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codeName="ThisWorkbook"/>
  <bookViews>
    <workbookView xWindow="-12" yWindow="-12" windowWidth="10260" windowHeight="7452" tabRatio="617" firstSheet="6" activeTab="11"/>
  </bookViews>
  <sheets>
    <sheet name="Working" sheetId="1" r:id="rId2"/>
    <sheet name="CellReference" sheetId="4" r:id="rId3"/>
    <sheet name="Calculation1" sheetId="2" r:id="rId4"/>
    <sheet name="Calculation2" sheetId="6" r:id="rId5"/>
    <sheet name="PositionReport Local" sheetId="17" r:id="rId6"/>
    <sheet name="PositionReport Expat" sheetId="18" r:id="rId7"/>
    <sheet name="Evaluation Warning" sheetId="19" r:id="rId8"/>
    <sheet name="Evaluation Warning (1)" sheetId="20" r:id="rId9"/>
    <sheet name="Evaluation Warning (2)" sheetId="21" r:id="rId10"/>
    <sheet name="Evaluation Warning (3)" sheetId="22" r:id="rId11"/>
    <sheet name="Evaluation Warning (4)" sheetId="23" r:id="rId12"/>
    <sheet name="Evaluation Warning (5)" sheetId="24" r:id="rId13"/>
  </sheets>
  <definedNames>
    <definedName name="AVGABS">'PositionReport Local'!$J$17</definedName>
    <definedName name="AVGAFC">'PositionReport Local'!$J$19</definedName>
    <definedName name="AVGATC">'PositionReport Local'!$J$30</definedName>
    <definedName name="Cal2_AgeFA">Calculation2!$E$42</definedName>
    <definedName name="Cal2_AgeMths">Calculation2!$E$32</definedName>
    <definedName name="Cal2_AgePcts">Calculation2!$E$34</definedName>
    <definedName name="Cal2_MoneyCode">Calculation2!$I$26:$I$62</definedName>
    <definedName name="Cal2_MoneyCtryCode">Calculation2!$J$26:$J$62</definedName>
    <definedName name="Cal2_MoneyEPS">Calculation2!$H$26:$H$62</definedName>
    <definedName name="Cal2_MoneyRate">Calculation2!$G$26:$G$62</definedName>
    <definedName name="Cal2_MoneyReuters">Calculation2!$F$26:$F$62</definedName>
    <definedName name="Cal2_TargetRate">Calculation2!$S$24</definedName>
    <definedName name="CommonCo_Area">Calculation2!$A:$C</definedName>
    <definedName name="CommonCo_Col">Working!$CV:$CV</definedName>
    <definedName name="ComMore40">Calculation2!$G$22</definedName>
    <definedName name="P50ABS">'PositionReport Local'!$F$17</definedName>
    <definedName name="P50AFC">'PositionReport Local'!$F$19</definedName>
    <definedName name="P50ATC">'PositionReport Local'!$F$30</definedName>
    <definedName name="_xlnm.Print_Area" localSheetId="5">'PositionReport Expat'!$A$1:$M$100</definedName>
    <definedName name="_xlnm.Print_Area" localSheetId="4">'PositionReport Local'!$A$1:$M$99</definedName>
    <definedName name="zABS_Cell">Calculation1!$AC1</definedName>
    <definedName name="zABSOLD_Cell">Calculation1!$AB1</definedName>
    <definedName name="zAFC_Cell">Calculation1!$AG1</definedName>
    <definedName name="zATC_Cell">Calculation1!$AM1</definedName>
    <definedName name="zATDC_Cell">Calculation1!$BN1</definedName>
    <definedName name="zATR_Cell">Calculation1!$BX1</definedName>
    <definedName name="zATSTVC_Cell">Calculation1!$AL1</definedName>
    <definedName name="zBENCON_Cell">Calculation1!$CC1</definedName>
    <definedName name="zCurrencyPay">Calculation1!$X1</definedName>
    <definedName name="zFA_Cell">Calculation1!$AE1</definedName>
    <definedName name="zFAOLD_Cell">Calculation1!$AD1</definedName>
    <definedName name="zGMTH_Cell">Calculation1!$AA1</definedName>
    <definedName name="zMBS_Cell">Calculation1!$Z1</definedName>
    <definedName name="zMBSOLD_Cell">Calculation1!$Y1</definedName>
    <definedName name="zTLTVC_Cell">Calculation1!$BM1</definedName>
    <definedName name="zTPERKS_Cell">Calculation1!$BW1</definedName>
    <definedName name="zTTC_Cell">Calculation1!$AS1</definedName>
    <definedName name="zTTDC_Cell">Calculation1!$DB1</definedName>
    <definedName name="zTTR_Cell">Calculation1!$DC1</definedName>
    <definedName name="zTTSTVC_Cell">Calculation1!$AR1</definedName>
    <definedName name="zUseThisRate">Calculation1!$U1</definedName>
  </definedNames>
  <calcPr fullCalcOnLoad="1"/>
</workbook>
</file>

<file path=xl/sharedStrings.xml><?xml version="1.0" encoding="utf-8"?>
<sst xmlns="http://schemas.openxmlformats.org/spreadsheetml/2006/main" count="860" uniqueCount="455">
  <si>
    <t>Cal_Car Allowance (in lieu of car)</t>
  </si>
  <si>
    <t>Cal_Total Social Benefits Contribution</t>
  </si>
  <si>
    <t>Percentile</t>
  </si>
  <si>
    <t>P10</t>
  </si>
  <si>
    <t>P25</t>
  </si>
  <si>
    <t>P50</t>
  </si>
  <si>
    <t>P60</t>
  </si>
  <si>
    <t>P75</t>
  </si>
  <si>
    <t>P90</t>
  </si>
  <si>
    <t>Mean</t>
  </si>
  <si>
    <t>Receiving Item</t>
  </si>
  <si>
    <t>Common Company</t>
  </si>
  <si>
    <t>No of Companies whose Data &gt; 40%</t>
  </si>
  <si>
    <t>Australian</t>
  </si>
  <si>
    <t>British</t>
  </si>
  <si>
    <t>Canadian</t>
  </si>
  <si>
    <t>European</t>
  </si>
  <si>
    <t>Filipino</t>
  </si>
  <si>
    <t>Indian</t>
  </si>
  <si>
    <t>Indonesian</t>
  </si>
  <si>
    <t>Japanese</t>
  </si>
  <si>
    <t>Korean</t>
  </si>
  <si>
    <t>Malaysian</t>
  </si>
  <si>
    <t>New Zealand</t>
  </si>
  <si>
    <t>Others</t>
  </si>
  <si>
    <t>PRC Chinese</t>
  </si>
  <si>
    <t>Singaporean</t>
  </si>
  <si>
    <t>Thai</t>
  </si>
  <si>
    <t>Group Nationality</t>
  </si>
  <si>
    <t>Scope</t>
  </si>
  <si>
    <t>Local or Expat or PRC Returnee</t>
  </si>
  <si>
    <t>Currency</t>
  </si>
  <si>
    <t>Industry</t>
  </si>
  <si>
    <t>Position Code From</t>
  </si>
  <si>
    <t>Position Code To</t>
  </si>
  <si>
    <t>HRBS Rank From</t>
  </si>
  <si>
    <t>HRBS Rank To</t>
  </si>
  <si>
    <t>Type of Report</t>
  </si>
  <si>
    <t>Sample</t>
  </si>
  <si>
    <t>Survey Position Title</t>
  </si>
  <si>
    <t>Position Code</t>
  </si>
  <si>
    <t>HRBS Rank</t>
  </si>
  <si>
    <t>Employee Type</t>
  </si>
  <si>
    <t>Survey Date</t>
  </si>
  <si>
    <t xml:space="preserve">Currency </t>
  </si>
  <si>
    <t>No. of Companies</t>
  </si>
  <si>
    <t xml:space="preserve">ANNUALIZED DATA OF RECIPIENTS ONLY </t>
  </si>
  <si>
    <t>No.</t>
  </si>
  <si>
    <t>%</t>
  </si>
  <si>
    <t>C1</t>
  </si>
  <si>
    <t>C2</t>
  </si>
  <si>
    <t>SHORT-TERM INCENTIVE</t>
  </si>
  <si>
    <t>C3a</t>
  </si>
  <si>
    <t>C3b</t>
  </si>
  <si>
    <t>EQUITY/LONG-TERM INCENTIVE</t>
  </si>
  <si>
    <t>SOCIAL BENEFITS CONTRIBUTION</t>
  </si>
  <si>
    <t>Notes:</t>
  </si>
  <si>
    <t>C2: Fixed Cash = Basic Salary + Fixed Cash Allowances</t>
  </si>
  <si>
    <t>Nationality</t>
  </si>
  <si>
    <t>Count</t>
  </si>
  <si>
    <t>Employee ID</t>
  </si>
  <si>
    <t>HRBS Survey Position Title</t>
  </si>
  <si>
    <t>Scope of Role</t>
  </si>
  <si>
    <t>Currency of Pay</t>
  </si>
  <si>
    <t>Fixed Cash Allowances</t>
  </si>
  <si>
    <t>Fixed Cash</t>
  </si>
  <si>
    <t>Actual Performance Bonus</t>
  </si>
  <si>
    <t>Actual Total Short-Term Variable Cash</t>
  </si>
  <si>
    <t>Actual Total Cash</t>
  </si>
  <si>
    <t>Target Performance Bonus</t>
  </si>
  <si>
    <t>Target Total Short-Term Variable Cash</t>
  </si>
  <si>
    <t>Target Total Cash</t>
  </si>
  <si>
    <t>Actual Total Direct Compensation</t>
  </si>
  <si>
    <t>Club Membership</t>
  </si>
  <si>
    <t>Children's Education Cost</t>
  </si>
  <si>
    <t>Total Perquisites</t>
  </si>
  <si>
    <t>Actual Total Remuneration</t>
  </si>
  <si>
    <t>Fixed Cash + Total Perquisites</t>
  </si>
  <si>
    <t>Actual Total Cash + Total Perquisites</t>
  </si>
  <si>
    <t>Total Social Benefits Contribution</t>
  </si>
  <si>
    <t>Actual Total Cost to Company</t>
  </si>
  <si>
    <t>Remarks</t>
  </si>
  <si>
    <t>City</t>
  </si>
  <si>
    <t>Car Allowance (in lieu of car)</t>
  </si>
  <si>
    <t>Version</t>
  </si>
  <si>
    <t>Company Name</t>
  </si>
  <si>
    <t>Contact Person</t>
  </si>
  <si>
    <t>Phone No</t>
  </si>
  <si>
    <t>Email</t>
  </si>
  <si>
    <t>Location</t>
  </si>
  <si>
    <t>Type of Operation</t>
  </si>
  <si>
    <t>Status</t>
  </si>
  <si>
    <t>FileName</t>
  </si>
  <si>
    <t>Datapoints</t>
  </si>
  <si>
    <t>Unique EmpID</t>
  </si>
  <si>
    <t>RawID (For Rolling Database)</t>
  </si>
  <si>
    <t>Cal_Actual Performance Bonus</t>
  </si>
  <si>
    <t>Cal_Actual Total Short-Term Variable Cash</t>
  </si>
  <si>
    <t>Cal_Actual Total Cash</t>
  </si>
  <si>
    <t>Cal_Target Performance Bonus</t>
  </si>
  <si>
    <t>Cal_Target Total Short-Term Variable Cash</t>
  </si>
  <si>
    <t>Cal_Target Total Cash</t>
  </si>
  <si>
    <t>Cal_Actual Total Direct Compensation</t>
  </si>
  <si>
    <t>Cal_Club Membership</t>
  </si>
  <si>
    <t>Cal_Children's Education Cost</t>
  </si>
  <si>
    <t>Cal_Total Perquisites</t>
  </si>
  <si>
    <t>Cal_Actual Total Remuneration</t>
  </si>
  <si>
    <t>Cal_Actual Total Cost to Company</t>
  </si>
  <si>
    <t>Cal_Age</t>
  </si>
  <si>
    <t>Hong Kong</t>
  </si>
  <si>
    <t>Taiwanese</t>
  </si>
  <si>
    <t>Job Family</t>
  </si>
  <si>
    <t>America / Europe</t>
  </si>
  <si>
    <t>Asia Pacific</t>
  </si>
  <si>
    <t>Vietnamese</t>
  </si>
  <si>
    <t>PERQUISITES</t>
  </si>
  <si>
    <t>Actual Total Cash + Total Perquisites + Total Social Benefits Contribution</t>
  </si>
  <si>
    <t>Fixed Cash + Total Perquisites + Total Social Benefits Contribution</t>
  </si>
  <si>
    <t>Using This Rate</t>
  </si>
  <si>
    <t>Target Rate</t>
  </si>
  <si>
    <t>Reuters Currency</t>
  </si>
  <si>
    <t>1 US$</t>
  </si>
  <si>
    <t>EPS Currency</t>
  </si>
  <si>
    <t>Australia $</t>
  </si>
  <si>
    <t>Australian Dollars (AUD)</t>
  </si>
  <si>
    <t>Bangladesh Taka</t>
  </si>
  <si>
    <t>Bangladesh Taka (BDT)</t>
  </si>
  <si>
    <t>China Rmb</t>
  </si>
  <si>
    <t>Chinese Yuan (CNY)</t>
  </si>
  <si>
    <t>Denmark Kroner</t>
  </si>
  <si>
    <t>Hong Kong $</t>
  </si>
  <si>
    <t>Hong Kong Dollars (HKD)</t>
  </si>
  <si>
    <t>India Rupees</t>
  </si>
  <si>
    <t>Indian Rupees (INR)</t>
  </si>
  <si>
    <t>Indonesia Rupiah</t>
  </si>
  <si>
    <t>Indonesian Rupiah (IDR)</t>
  </si>
  <si>
    <t>Japan ¥</t>
  </si>
  <si>
    <t>Japanese Yen (JPY)</t>
  </si>
  <si>
    <t>South Korea Won</t>
  </si>
  <si>
    <t>Korean Won (KRW)</t>
  </si>
  <si>
    <t>Macau Pataca</t>
  </si>
  <si>
    <t>Malaysia Ringgits</t>
  </si>
  <si>
    <t>Malaysian Ringgit (MYR)</t>
  </si>
  <si>
    <t>New Zealand $</t>
  </si>
  <si>
    <t>New Zealand Dollars (NZD)</t>
  </si>
  <si>
    <t>Pakistan Repee</t>
  </si>
  <si>
    <t>Pakistan Rupees (PKR)</t>
  </si>
  <si>
    <t>Philippines Pesos</t>
  </si>
  <si>
    <t>Philippine Pesos (PHP)</t>
  </si>
  <si>
    <t>Singapore $</t>
  </si>
  <si>
    <t>Singapore Dollars (SGD)</t>
  </si>
  <si>
    <t>Sri Lanka Rupee</t>
  </si>
  <si>
    <t>Sri Lanka Rupee (LKR)</t>
  </si>
  <si>
    <t>Switzerland Francs</t>
  </si>
  <si>
    <t>South Africa Rand</t>
  </si>
  <si>
    <t>Taiwan New$</t>
  </si>
  <si>
    <t>Taiwan Dollars (TWD)</t>
  </si>
  <si>
    <t>Thailand Baht</t>
  </si>
  <si>
    <t>Thai Baht (THB)</t>
  </si>
  <si>
    <t>Vietnam Dong</t>
  </si>
  <si>
    <t>Vietnam Dong (VND)</t>
  </si>
  <si>
    <t>US Dollars (USD)</t>
  </si>
  <si>
    <t>EPS Currency Code</t>
  </si>
  <si>
    <t>AUD</t>
  </si>
  <si>
    <t>BDT</t>
  </si>
  <si>
    <t>KHR</t>
  </si>
  <si>
    <t>CNY</t>
  </si>
  <si>
    <t>HKD</t>
  </si>
  <si>
    <t>INR</t>
  </si>
  <si>
    <t>IDR</t>
  </si>
  <si>
    <t>JPY</t>
  </si>
  <si>
    <t>KRW</t>
  </si>
  <si>
    <t>MYR</t>
  </si>
  <si>
    <t>NZD</t>
  </si>
  <si>
    <t>PKR</t>
  </si>
  <si>
    <t>PHP</t>
  </si>
  <si>
    <t>SGD</t>
  </si>
  <si>
    <t>LKR</t>
  </si>
  <si>
    <t>TWD</t>
  </si>
  <si>
    <t>THB</t>
  </si>
  <si>
    <t>VND</t>
  </si>
  <si>
    <t>USD</t>
  </si>
  <si>
    <t>Mexico, Pesos (MXN)</t>
  </si>
  <si>
    <t>MXN</t>
  </si>
  <si>
    <t>Denmark Kroner (DKK)</t>
  </si>
  <si>
    <t>DKK</t>
  </si>
  <si>
    <t>United Kingdom, Pounds (GBP)</t>
  </si>
  <si>
    <t>GBP</t>
  </si>
  <si>
    <t>Euro (EUR)</t>
  </si>
  <si>
    <t>EUR</t>
  </si>
  <si>
    <t>Sweden, Kronor (SEK)</t>
  </si>
  <si>
    <t>SEK</t>
  </si>
  <si>
    <t>Switzerland, Francs (CHF)</t>
  </si>
  <si>
    <t>CHF</t>
  </si>
  <si>
    <t>Macau Pataca (MOP)</t>
  </si>
  <si>
    <t>MOP</t>
  </si>
  <si>
    <t>South Africa Rand (ZAR)</t>
  </si>
  <si>
    <t>ZAR</t>
  </si>
  <si>
    <t>Egypt Pounds (EGP)</t>
  </si>
  <si>
    <t>EGP</t>
  </si>
  <si>
    <t>Guatemala Quetzales (GTQ)</t>
  </si>
  <si>
    <t>GTQ</t>
  </si>
  <si>
    <t>Turkey New Lira (TRY)</t>
  </si>
  <si>
    <t>TRY</t>
  </si>
  <si>
    <t>Age Months</t>
  </si>
  <si>
    <t>Age Pcts</t>
  </si>
  <si>
    <t>Automated Survey Date</t>
  </si>
  <si>
    <t>Automated Currency</t>
  </si>
  <si>
    <t>Britain £</t>
  </si>
  <si>
    <t>Canada $</t>
  </si>
  <si>
    <t>Egypt Pound</t>
  </si>
  <si>
    <t>Euro EUR</t>
  </si>
  <si>
    <t>Guatemala Quetzal</t>
  </si>
  <si>
    <t>Mexico Peso</t>
  </si>
  <si>
    <t>Russia Rouble</t>
  </si>
  <si>
    <t>Sweden Krona</t>
  </si>
  <si>
    <t>Turkey Lira</t>
  </si>
  <si>
    <t>Russia, Rubles (RUB)</t>
  </si>
  <si>
    <t>RUB</t>
  </si>
  <si>
    <t>Gender</t>
  </si>
  <si>
    <t>Car Cost</t>
  </si>
  <si>
    <t>Revenue (in US$ Million)</t>
  </si>
  <si>
    <t>RawID 2 (For Rolling Database)</t>
  </si>
  <si>
    <t>Working Column Text</t>
  </si>
  <si>
    <t>Cal_Car Cost</t>
  </si>
  <si>
    <t>C3a: Actual Total Cash = Fixed Cash + Actual Short-Term Variable Cash</t>
  </si>
  <si>
    <t>C3b: Target Total Cash = Fixed Cash + Target Short-Term Variable Cash</t>
  </si>
  <si>
    <t>Calculation Col</t>
  </si>
  <si>
    <t>Cal_Year of Service</t>
  </si>
  <si>
    <t>Cambodian Riel (KHR)</t>
  </si>
  <si>
    <t>Performance</t>
  </si>
  <si>
    <t>Other City (Please specify)</t>
  </si>
  <si>
    <t>Year of Birth</t>
  </si>
  <si>
    <t>Department</t>
  </si>
  <si>
    <t>Internal Position Title</t>
  </si>
  <si>
    <t>Internal Grade, if any</t>
  </si>
  <si>
    <t>Survey Job Family</t>
  </si>
  <si>
    <t>Survey Position Title Code</t>
  </si>
  <si>
    <t>HRBS Rank or Professional Level</t>
  </si>
  <si>
    <t>(1) Using HRBS Rank / P level</t>
  </si>
  <si>
    <t>or (2) Using External Ref.</t>
  </si>
  <si>
    <t>HRBS Rank (Automatic Link to Column P)</t>
  </si>
  <si>
    <t>Type of Expat Hire</t>
  </si>
  <si>
    <t>Nationality of Expat</t>
  </si>
  <si>
    <t>No. of Months Guaranteed per year</t>
  </si>
  <si>
    <t>Eligible to any kind of Short-term Incentives?</t>
  </si>
  <si>
    <t>Eligible to any kind of Long-term Incentives?</t>
  </si>
  <si>
    <t>Annualized Number of Stock Option Granted</t>
  </si>
  <si>
    <t>Vesting Period (Stock Option)</t>
  </si>
  <si>
    <t>Stock Valuation Multiplier (Stock Option)</t>
  </si>
  <si>
    <t>Annualized Number of SAR Granted</t>
  </si>
  <si>
    <t>Vesting Period (SAR)</t>
  </si>
  <si>
    <t>Stock Valuation Multiplier (SAR)</t>
  </si>
  <si>
    <t>Annualized Number of Stock Granted</t>
  </si>
  <si>
    <t>Vesting Period (Stock)</t>
  </si>
  <si>
    <t>Annualized Number of Share</t>
  </si>
  <si>
    <t>Average Grant Price of Share</t>
  </si>
  <si>
    <t>Vesting Period (Share)</t>
  </si>
  <si>
    <t>Performance Share Multiplier</t>
  </si>
  <si>
    <t>Award Value</t>
  </si>
  <si>
    <t>Vesting Period (Award)</t>
  </si>
  <si>
    <t>Mandatory Social Benefits Contribution</t>
  </si>
  <si>
    <t>Supplementary Social Benefits Contribution</t>
  </si>
  <si>
    <t>Data Submission for</t>
  </si>
  <si>
    <t>Cal_No. of Months Guaranteed per year</t>
  </si>
  <si>
    <t>Middle East</t>
  </si>
  <si>
    <t>South African</t>
  </si>
  <si>
    <t>South American</t>
  </si>
  <si>
    <t>South Asian</t>
  </si>
  <si>
    <t>US American</t>
  </si>
  <si>
    <t>Cal_Stock Option</t>
  </si>
  <si>
    <t>Cal_Stock Appreciation Right</t>
  </si>
  <si>
    <t>Cal_Restricted Stock/Unit</t>
  </si>
  <si>
    <t>Cal_Performance Share</t>
  </si>
  <si>
    <t>Cal_L-T Performance Cash</t>
  </si>
  <si>
    <t>Cal_Mandatory Social Benefits Contribution</t>
  </si>
  <si>
    <t>Cal_Supplementary Social Benefits Contribution</t>
  </si>
  <si>
    <t>Australasia</t>
  </si>
  <si>
    <t>NAmerican</t>
  </si>
  <si>
    <t>Asian</t>
  </si>
  <si>
    <t>MiddleEast</t>
  </si>
  <si>
    <t>Africa</t>
  </si>
  <si>
    <t>SAmerican</t>
  </si>
  <si>
    <t>Country (Code)</t>
  </si>
  <si>
    <t>Australia (AU)</t>
  </si>
  <si>
    <t>Bangladesh (BD)</t>
  </si>
  <si>
    <t>Cambodia (KH)</t>
  </si>
  <si>
    <t>China (CN)</t>
  </si>
  <si>
    <t>Hong Kong (HK)</t>
  </si>
  <si>
    <t>India (IN)</t>
  </si>
  <si>
    <t>Indonesia (ID)</t>
  </si>
  <si>
    <t>Japan (JP)</t>
  </si>
  <si>
    <t>South Korea (KR)</t>
  </si>
  <si>
    <t>Malaysia (MY)</t>
  </si>
  <si>
    <t>New Zealand (NZ)</t>
  </si>
  <si>
    <t>Pakistan (PK)</t>
  </si>
  <si>
    <t>Philippines (PH)</t>
  </si>
  <si>
    <t>Singapore (SG)</t>
  </si>
  <si>
    <t>Sri Lanka (LK)</t>
  </si>
  <si>
    <t>Taiwan (TW)</t>
  </si>
  <si>
    <t>Thailand (TH)</t>
  </si>
  <si>
    <t>Vietnam (VN)</t>
  </si>
  <si>
    <t>Egypt (EG)</t>
  </si>
  <si>
    <t>Turkey (TR)</t>
  </si>
  <si>
    <t>Year of Hire</t>
  </si>
  <si>
    <t>Local or Foreigner</t>
  </si>
  <si>
    <t>Type of Package (Foreigner &amp; China/India Local only)</t>
  </si>
  <si>
    <t>2011 Monthly Basic Salary (Gross before tax)</t>
  </si>
  <si>
    <t>2011 Basic Salary (p.a.)</t>
  </si>
  <si>
    <t>Actual Sales Incentive</t>
  </si>
  <si>
    <t>Actual Other Short-Term Variable Cash</t>
  </si>
  <si>
    <t>Target Sales Incentive</t>
  </si>
  <si>
    <t>Target Other Short-Term Variable Cash</t>
  </si>
  <si>
    <t>Grant Price of Stock Option</t>
  </si>
  <si>
    <t>Grant Price of SAR</t>
  </si>
  <si>
    <t>Grant Price of Stock</t>
  </si>
  <si>
    <t>Total Long-Term Incentives</t>
  </si>
  <si>
    <t>Housing Benefit</t>
  </si>
  <si>
    <t>No. of Employees</t>
  </si>
  <si>
    <t>CPerson Position Title</t>
  </si>
  <si>
    <t>Cal_Actual Sales Incentive</t>
  </si>
  <si>
    <t>Cal_Actual Other Short-Term Variable Cash</t>
  </si>
  <si>
    <t>Cal_Target Sales Incentive</t>
  </si>
  <si>
    <t>Cal_Target Other Short-Term Variable Cash</t>
  </si>
  <si>
    <t>Cal_Total Long-Term Incentives</t>
  </si>
  <si>
    <t>Cal_Housing Benefit</t>
  </si>
  <si>
    <t>Cal_C1 + Actual Total Short-Term Variable Cash</t>
  </si>
  <si>
    <t>C1 + Actual Total Short-Term Variable Cash</t>
  </si>
  <si>
    <t>Cal_C1 + Target Total Short-Term Variable Cash</t>
  </si>
  <si>
    <t>C1 + Target Total Short-Term Variable Cash</t>
  </si>
  <si>
    <t>Brunei $</t>
  </si>
  <si>
    <t>Brunei Dollars (BND)</t>
  </si>
  <si>
    <t>BND</t>
  </si>
  <si>
    <t>Brunei (BN)</t>
  </si>
  <si>
    <t>Lao Kip</t>
  </si>
  <si>
    <t>Lao Kip (LAK)</t>
  </si>
  <si>
    <t>LAK</t>
  </si>
  <si>
    <t>Laos (LA)</t>
  </si>
  <si>
    <t>Myanmar Kyat</t>
  </si>
  <si>
    <t>Myanmar Kyat (MMK)</t>
  </si>
  <si>
    <t>MMK</t>
  </si>
  <si>
    <t>Myanmar (MM)</t>
  </si>
  <si>
    <t>Monthly Basic Salary (Gross before tax)</t>
  </si>
  <si>
    <t>Basic Salary</t>
  </si>
  <si>
    <t>Actual Other Short-Term Incentives</t>
  </si>
  <si>
    <t>Target Other Short-Term Incentives</t>
  </si>
  <si>
    <t>Total Equity/Long-Term Incentive</t>
  </si>
  <si>
    <t>Housing</t>
  </si>
  <si>
    <t>Receviing Item must be &gt;= then 5</t>
  </si>
  <si>
    <t>United Kingdom (GB)</t>
  </si>
  <si>
    <t>Canada (CA)</t>
  </si>
  <si>
    <t>Denmark (DK)</t>
  </si>
  <si>
    <t>Guatemala (GT)</t>
  </si>
  <si>
    <t>Macau (MO)</t>
  </si>
  <si>
    <t>Mexico (MX)</t>
  </si>
  <si>
    <t>Russian Federation (RU)</t>
  </si>
  <si>
    <t>South Africa (ZA)</t>
  </si>
  <si>
    <t>Sweden (SE)</t>
  </si>
  <si>
    <t>Switzerland (CH)</t>
  </si>
  <si>
    <t>Saudi Arabia, Riyals</t>
  </si>
  <si>
    <t>Saudi Arabia, Riyals (SAR)</t>
  </si>
  <si>
    <t>SAR</t>
  </si>
  <si>
    <t>Saudi Arabia (SA)</t>
  </si>
  <si>
    <t>United Arab Emirates, Dirhams</t>
  </si>
  <si>
    <t>United Arab Emirates, Dirhams (AED)</t>
  </si>
  <si>
    <t>AED</t>
  </si>
  <si>
    <t>United Arab Emirates (AE)</t>
  </si>
  <si>
    <t>Cambodian Riel</t>
  </si>
  <si>
    <t>C4b</t>
  </si>
  <si>
    <t>C4a</t>
  </si>
  <si>
    <t>Target Total Direct Compensation</t>
  </si>
  <si>
    <t>C5b</t>
  </si>
  <si>
    <t>C5a</t>
  </si>
  <si>
    <t>Target Total Remuneration</t>
  </si>
  <si>
    <t>C6a</t>
  </si>
  <si>
    <t>C6b</t>
  </si>
  <si>
    <t>Target Total Cost to Company</t>
  </si>
  <si>
    <t>C4: Total Direct Compensation = Actual/Target Total Cash + Total Equity/Long-Term Incentive</t>
  </si>
  <si>
    <t>C6: Total Cost to Company = Actual/Target Total Remuneration + Social Benefits Contribution</t>
  </si>
  <si>
    <t>Social Benefits Contribution = Company's All-in Contribution (Mandatory + Supplementary)</t>
  </si>
  <si>
    <t>C1: Basic Salary = Monthly Basic Salary x No. of Months Guaranteed per year</t>
  </si>
  <si>
    <t xml:space="preserve">C5: Total Remuneration = Actual/Target Total Direct Compensation + Total Perquisites </t>
  </si>
  <si>
    <t>Performance Rating</t>
  </si>
  <si>
    <t>2012 Monthly Basic Salary (Gross before tax)</t>
  </si>
  <si>
    <t>2012 Basic Salary (p.a.)</t>
  </si>
  <si>
    <t>2011 Fixed Cash Allowances</t>
  </si>
  <si>
    <t>2012 Fixed Cash Allowances</t>
  </si>
  <si>
    <t>2011 Fixed Cash</t>
  </si>
  <si>
    <t>2012 Fixed Cash</t>
  </si>
  <si>
    <t>Annual Basic Salary + Actual Total Short-Term Variable Cash</t>
  </si>
  <si>
    <t>Annual Basic Salary + Target Total Short-Term Variable Cash</t>
  </si>
  <si>
    <t>Car Brand</t>
  </si>
  <si>
    <t>Car Model</t>
  </si>
  <si>
    <t>Eligible to Children's Education Benefits?</t>
  </si>
  <si>
    <t/>
  </si>
  <si>
    <t>Cal_Currency Rate</t>
  </si>
  <si>
    <t>CAD</t>
  </si>
  <si>
    <t>United States (US)</t>
  </si>
  <si>
    <t>Canada, Dollars (CAD)</t>
  </si>
  <si>
    <t>Rec Count Col (W)</t>
  </si>
  <si>
    <t>Age FA?</t>
  </si>
  <si>
    <t>Age only IN?</t>
  </si>
  <si>
    <t>I 1 2 Age FA?</t>
  </si>
  <si>
    <t>CrtyCode</t>
  </si>
  <si>
    <t>Cal_Actual Sales Incentive_%AI</t>
  </si>
  <si>
    <t>Cal_Actual Performance Bonus_%AJ</t>
  </si>
  <si>
    <t>Cal_Actual Other Short-Term Variable Cash_%AK</t>
  </si>
  <si>
    <t>Cal_Actual Total Short-Term Variable Cash_%AL</t>
  </si>
  <si>
    <t>Cal_Target Sales Incentive_%AO</t>
  </si>
  <si>
    <t>Cal_Target Performance Bonus_%AP</t>
  </si>
  <si>
    <t>Cal_Target Other Short-Term Variable Cash_%AQ</t>
  </si>
  <si>
    <t>Cal_Target Total Short-Term Variable Cash_%AR</t>
  </si>
  <si>
    <t>Stock Option</t>
  </si>
  <si>
    <t>Stock Appreciation Right</t>
  </si>
  <si>
    <t>Restricted Stock/Unit</t>
  </si>
  <si>
    <t>Performance Share</t>
  </si>
  <si>
    <t>L-T Performance Cash</t>
  </si>
  <si>
    <t>Cal_Total Long-Term Incentives_%BM</t>
  </si>
  <si>
    <t>Cal_Total Perquisites_%BW</t>
  </si>
  <si>
    <t>Cal_Total Social Benefits Contribution_%CC</t>
  </si>
  <si>
    <t>Cal_Stock Option_%CO</t>
  </si>
  <si>
    <t>Cal_Stock Appreciation Right_%CQ</t>
  </si>
  <si>
    <t>Cal_Restricted Stock/Unit_%CS</t>
  </si>
  <si>
    <t>Cal_Performance Share_%CU</t>
  </si>
  <si>
    <t>Cal_L-T Performance Cash_%CW</t>
  </si>
  <si>
    <t>IF "Expat" or "Foriegner" use "USD"</t>
  </si>
  <si>
    <t>IF country found, take the currency code</t>
  </si>
  <si>
    <t>IF "-" found, split and match country</t>
  </si>
  <si>
    <t>IF nothing match use USD</t>
  </si>
  <si>
    <t>Cal_2012 Monthly Basic Salary (Gross before tax)</t>
  </si>
  <si>
    <t>Cal_2012 Basic Salary (p.a.)</t>
  </si>
  <si>
    <t>Cal_2012 Fixed Cash Allowances</t>
  </si>
  <si>
    <t>Cal_2012 Fixed Cash</t>
  </si>
  <si>
    <t>Cal_Target Total Direct Compensation</t>
  </si>
  <si>
    <t>Cal_Target Total Remuneration</t>
  </si>
  <si>
    <t>Cal_Target Total Cost to Company</t>
  </si>
  <si>
    <t>Cal_Fixed Cash Allowances + Total Perquisites</t>
  </si>
  <si>
    <t>Fixed Cash Allowances  + Total Perquisites</t>
  </si>
  <si>
    <t>Cal_Actual Total Cash + Total Perquisites + Total Social Benefits Contribution</t>
  </si>
  <si>
    <t>Cal_Actual Total Cash + Total Perquisites</t>
  </si>
  <si>
    <t>Cal_Fixed Cash + Total Perquisites + Total Social Benefits Contribution</t>
  </si>
  <si>
    <t>Cal_Fixed Cash + Total Perquisites</t>
  </si>
  <si>
    <t>Y</t>
  </si>
  <si>
    <t>N</t>
  </si>
  <si>
    <t>Jaguar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</si>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</sst>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#,##0.0000"/>
    <numFmt numFmtId="177" formatCode="0.0"/>
    <numFmt numFmtId="178" formatCode="0.0000"/>
    <numFmt numFmtId="179" formatCode="[$-409]d\-mmm\-yy;@"/>
    <numFmt numFmtId="180" formatCode="0.000"/>
  </numFmts>
  <fonts count="31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name val="宋体"/>
      <family val="2"/>
      <scheme val="minor"/>
    </font>
    <font>
      <b/>
      <sz val="22"/>
      <name val="宋体"/>
      <family val="2"/>
      <scheme val="minor"/>
    </font>
    <font>
      <sz val="12"/>
      <name val="宋体"/>
      <family val="2"/>
      <scheme val="minor"/>
    </font>
    <font>
      <sz val="16"/>
      <name val="宋体"/>
      <family val="2"/>
      <scheme val="minor"/>
    </font>
    <font>
      <b/>
      <sz val="10"/>
      <color indexed="9"/>
      <name val="宋体"/>
      <family val="2"/>
      <scheme val="minor"/>
    </font>
    <font>
      <b/>
      <sz val="10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sz val="8"/>
      <name val="宋体"/>
      <family val="2"/>
      <scheme val="minor"/>
    </font>
    <font>
      <b/>
      <i/>
      <sz val="9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i/>
      <sz val="10"/>
      <name val="宋体"/>
      <family val="2"/>
      <scheme val="minor"/>
    </font>
    <font>
      <sz val="10"/>
      <color indexed="9"/>
      <name val="宋体"/>
      <family val="2"/>
      <scheme val="minor"/>
    </font>
    <font>
      <b/>
      <sz val="36"/>
      <name val="宋体"/>
      <family val="2"/>
      <scheme val="minor"/>
    </font>
    <font>
      <b/>
      <sz val="18"/>
      <name val="宋体"/>
      <family val="2"/>
      <scheme val="minor"/>
    </font>
    <font>
      <sz val="18"/>
      <name val="宋体"/>
      <family val="2"/>
      <scheme val="minor"/>
    </font>
    <font>
      <b/>
      <sz val="8"/>
      <color theme="0"/>
      <name val="Arial"/>
      <family val="2"/>
    </font>
    <font>
      <b/>
      <sz val="9"/>
      <color indexed="9"/>
      <name val="宋体"/>
      <family val="2"/>
      <scheme val="minor"/>
    </font>
    <font>
      <sz val="8"/>
      <color theme="0"/>
      <name val="Arial"/>
      <family val="2"/>
    </font>
    <font>
      <sz val="9"/>
      <name val="宋体"/>
      <family val="3"/>
      <charset val="134"/>
    </font>
    <font>
      <b/>
      <i/>
      <sz val="18"/>
      <color rgb="FF0000FF"/>
      <name val="Arial"/>
      <family val="2"/>
    </font>
  </fonts>
  <fills count="23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09996986389"/>
        <bgColor indexed="64"/>
      </patternFill>
    </fill>
    <fill>
      <patternFill patternType="solid">
        <fgColor theme="6" tint="-0.249909996986389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/>
      <top style="thin">
        <color indexed="55"/>
      </top>
      <bottom style="thin">
        <color indexed="55"/>
      </bottom>
    </border>
    <border>
      <left/>
      <right style="thin">
        <color indexed="55"/>
      </right>
      <top style="thin">
        <color indexed="55"/>
      </top>
      <bottom style="thin">
        <color indexed="55"/>
      </bottom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</border>
    <border>
      <left style="medium">
        <color indexed="55"/>
      </left>
      <right style="thin">
        <color indexed="22"/>
      </right>
      <top style="medium">
        <color indexed="55"/>
      </top>
      <bottom/>
    </border>
    <border>
      <left style="thin">
        <color indexed="22"/>
      </left>
      <right style="medium">
        <color indexed="55"/>
      </right>
      <top style="medium">
        <color indexed="55"/>
      </top>
      <bottom/>
    </border>
    <border>
      <left style="medium">
        <color indexed="55"/>
      </left>
      <right style="thin">
        <color indexed="22"/>
      </right>
      <top style="medium">
        <color indexed="55"/>
      </top>
      <bottom style="medium">
        <color indexed="55"/>
      </bottom>
    </border>
    <border>
      <left style="thin">
        <color indexed="22"/>
      </left>
      <right style="medium">
        <color indexed="55"/>
      </right>
      <top style="medium">
        <color indexed="55"/>
      </top>
      <bottom style="medium">
        <color indexed="55"/>
      </bottom>
    </border>
    <border>
      <left style="medium">
        <color indexed="55"/>
      </left>
      <right style="thin">
        <color indexed="22"/>
      </right>
      <top style="medium">
        <color indexed="55"/>
      </top>
      <bottom style="thin">
        <color indexed="22"/>
      </bottom>
    </border>
    <border>
      <left style="thin">
        <color indexed="22"/>
      </left>
      <right style="medium">
        <color indexed="55"/>
      </right>
      <top style="medium">
        <color indexed="55"/>
      </top>
      <bottom style="thin">
        <color indexed="22"/>
      </bottom>
    </border>
    <border>
      <left style="medium">
        <color indexed="55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medium">
        <color indexed="55"/>
      </right>
      <top style="thin">
        <color indexed="22"/>
      </top>
      <bottom style="thin">
        <color indexed="22"/>
      </bottom>
    </border>
    <border>
      <left style="medium">
        <color indexed="55"/>
      </left>
      <right style="thin">
        <color indexed="22"/>
      </right>
      <top style="thin">
        <color indexed="22"/>
      </top>
      <bottom style="medium">
        <color indexed="55"/>
      </bottom>
    </border>
    <border>
      <left style="thin">
        <color indexed="22"/>
      </left>
      <right style="medium">
        <color indexed="55"/>
      </right>
      <top style="thin">
        <color indexed="22"/>
      </top>
      <bottom style="medium">
        <color indexed="55"/>
      </bottom>
    </border>
    <border>
      <left/>
      <right/>
      <top style="thin">
        <color indexed="55"/>
      </top>
      <bottom style="thin">
        <color indexed="55"/>
      </bottom>
    </border>
  </borders>
  <cellStyleXfs count="3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9" fontId="0" fillId="0" borderId="0" applyFont="0" applyFill="0" applyBorder="0" applyAlignment="0" applyProtection="0"/>
    <xf numFmtId="0" fontId="2" fillId="0" borderId="0">
      <alignment/>
      <protection/>
    </xf>
  </cellStyleXfs>
  <cellXfs count="145">
    <xf numFmtId="0" fontId="0" fillId="0" borderId="0" xfId="0"/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1" xfId="0" applyFont="1" applyBorder="1"/>
    <xf numFmtId="0" fontId="5" fillId="4" borderId="1" xfId="0" applyFont="1" applyFill="1" applyBorder="1" applyAlignment="1">
      <alignment horizontal="center" wrapText="1"/>
    </xf>
    <xf numFmtId="176" fontId="3" fillId="0" borderId="1" xfId="0" applyNumberFormat="1" applyFont="1" applyBorder="1"/>
    <xf numFmtId="0" fontId="5" fillId="4" borderId="1" xfId="0" applyFont="1" applyFill="1" applyBorder="1" applyAlignment="1">
      <alignment horizontal="center" wrapText="1"/>
    </xf>
    <xf numFmtId="0" fontId="3" fillId="5" borderId="0" xfId="0" applyFont="1" applyFill="1"/>
    <xf numFmtId="0" fontId="0" fillId="0" borderId="0" xfId="0" applyBorder="1"/>
    <xf numFmtId="0" fontId="6" fillId="6" borderId="0" xfId="0" applyFont="1" applyFill="1" applyBorder="1" applyAlignment="1" applyProtection="1">
      <alignment horizontal="center" wrapText="1"/>
      <protection hidden="1"/>
    </xf>
    <xf numFmtId="0" fontId="5" fillId="7" borderId="0" xfId="0" applyFont="1" applyFill="1" applyAlignment="1">
      <alignment wrapText="1"/>
    </xf>
    <xf numFmtId="4" fontId="3" fillId="0" borderId="1" xfId="0" applyNumberFormat="1" applyFont="1" applyBorder="1"/>
    <xf numFmtId="0" fontId="5" fillId="5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3" fontId="3" fillId="0" borderId="1" xfId="20" applyNumberFormat="1" applyFont="1" applyFill="1" applyBorder="1" applyAlignment="1">
      <alignment horizontal="center" wrapText="1"/>
    </xf>
    <xf numFmtId="3" fontId="3" fillId="0" borderId="1" xfId="0" applyNumberFormat="1" applyFont="1" applyBorder="1"/>
    <xf numFmtId="3" fontId="5" fillId="0" borderId="1" xfId="0" applyNumberFormat="1" applyFont="1" applyFill="1" applyBorder="1" applyAlignment="1">
      <alignment wrapText="1"/>
    </xf>
    <xf numFmtId="178" fontId="3" fillId="5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5" fillId="8" borderId="1" xfId="0" applyFont="1" applyFill="1" applyBorder="1" applyAlignment="1" applyProtection="1">
      <alignment horizontal="center" wrapText="1"/>
      <protection hidden="1"/>
    </xf>
    <xf numFmtId="0" fontId="5" fillId="9" borderId="1" xfId="0" applyFont="1" applyFill="1" applyBorder="1" applyAlignment="1" applyProtection="1">
      <alignment horizontal="center" wrapText="1"/>
      <protection hidden="1"/>
    </xf>
    <xf numFmtId="0" fontId="3" fillId="0" borderId="0" xfId="0" applyFont="1" applyFill="1" applyAlignment="1">
      <alignment wrapText="1"/>
    </xf>
    <xf numFmtId="4" fontId="3" fillId="5" borderId="1" xfId="0" applyNumberFormat="1" applyFont="1" applyFill="1" applyBorder="1"/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5" fillId="12" borderId="0" xfId="0" applyFont="1" applyFill="1" applyAlignment="1">
      <alignment wrapText="1"/>
    </xf>
    <xf numFmtId="179" fontId="0" fillId="0" borderId="0" xfId="0" applyNumberFormat="1"/>
    <xf numFmtId="0" fontId="3" fillId="13" borderId="0" xfId="0" applyFont="1" applyFill="1"/>
    <xf numFmtId="179" fontId="3" fillId="5" borderId="0" xfId="0" applyNumberFormat="1" applyFont="1" applyFill="1"/>
    <xf numFmtId="0" fontId="3" fillId="0" borderId="0" xfId="0" applyFont="1" applyFill="1" applyAlignment="1">
      <alignment vertical="center"/>
    </xf>
    <xf numFmtId="0" fontId="8" fillId="14" borderId="0" xfId="0" applyFont="1" applyFill="1" applyBorder="1" applyAlignment="1" applyProtection="1">
      <alignment horizontal="left" vertical="top" wrapText="1"/>
      <protection hidden="1"/>
    </xf>
    <xf numFmtId="0" fontId="3" fillId="15" borderId="0" xfId="0" applyFont="1" applyFill="1" applyBorder="1" applyAlignment="1">
      <alignment horizontal="left" vertical="top" wrapText="1"/>
    </xf>
    <xf numFmtId="0" fontId="9" fillId="16" borderId="0" xfId="0" applyFont="1" applyFill="1"/>
    <xf numFmtId="0" fontId="10" fillId="16" borderId="0" xfId="0" applyFont="1" applyFill="1" applyAlignment="1">
      <alignment/>
    </xf>
    <xf numFmtId="0" fontId="9" fillId="0" borderId="0" xfId="0" applyFont="1"/>
    <xf numFmtId="0" fontId="11" fillId="16" borderId="0" xfId="0" applyFont="1" applyFill="1"/>
    <xf numFmtId="0" fontId="12" fillId="16" borderId="0" xfId="0" applyFont="1" applyFill="1"/>
    <xf numFmtId="0" fontId="13" fillId="17" borderId="2" xfId="30" applyFont="1" applyFill="1" applyBorder="1" applyAlignment="1">
      <alignment vertical="center" wrapText="1"/>
      <protection/>
    </xf>
    <xf numFmtId="0" fontId="9" fillId="16" borderId="0" xfId="0" applyFont="1" applyFill="1" applyBorder="1" applyAlignment="1">
      <alignment vertical="center"/>
    </xf>
    <xf numFmtId="0" fontId="14" fillId="16" borderId="0" xfId="0" applyFont="1" applyFill="1" applyBorder="1" applyAlignment="1">
      <alignment horizontal="left" vertical="center"/>
    </xf>
    <xf numFmtId="0" fontId="9" fillId="16" borderId="0" xfId="0" applyFont="1" applyFill="1" applyAlignment="1">
      <alignment vertical="center"/>
    </xf>
    <xf numFmtId="0" fontId="14" fillId="16" borderId="0" xfId="0" applyFont="1" applyFill="1" applyAlignment="1">
      <alignment vertical="center"/>
    </xf>
    <xf numFmtId="0" fontId="9" fillId="16" borderId="0" xfId="0" applyFont="1" applyFill="1" applyBorder="1" applyAlignment="1">
      <alignment horizontal="left" vertical="center"/>
    </xf>
    <xf numFmtId="0" fontId="13" fillId="17" borderId="2" xfId="0" applyFont="1" applyFill="1" applyBorder="1" applyAlignment="1">
      <alignment horizontal="center" vertical="center"/>
    </xf>
    <xf numFmtId="0" fontId="15" fillId="16" borderId="0" xfId="0" applyFont="1" applyFill="1" applyAlignment="1">
      <alignment vertical="center"/>
    </xf>
    <xf numFmtId="0" fontId="16" fillId="16" borderId="0" xfId="0" applyFont="1" applyFill="1" applyAlignment="1">
      <alignment vertical="center"/>
    </xf>
    <xf numFmtId="0" fontId="15" fillId="16" borderId="0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3" fontId="9" fillId="0" borderId="2" xfId="0" applyNumberFormat="1" applyFont="1" applyFill="1" applyBorder="1" applyAlignment="1">
      <alignment vertical="center"/>
    </xf>
    <xf numFmtId="3" fontId="9" fillId="0" borderId="3" xfId="0" applyNumberFormat="1" applyFont="1" applyFill="1" applyBorder="1" applyAlignment="1">
      <alignment vertical="center"/>
    </xf>
    <xf numFmtId="3" fontId="9" fillId="0" borderId="4" xfId="0" applyNumberFormat="1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vertical="center"/>
    </xf>
    <xf numFmtId="2" fontId="9" fillId="0" borderId="2" xfId="0" applyNumberFormat="1" applyFont="1" applyFill="1" applyBorder="1" applyAlignment="1">
      <alignment vertical="center"/>
    </xf>
    <xf numFmtId="0" fontId="14" fillId="18" borderId="2" xfId="30" applyFont="1" applyFill="1" applyBorder="1" applyAlignment="1">
      <alignment horizontal="center" vertical="center"/>
      <protection/>
    </xf>
    <xf numFmtId="3" fontId="9" fillId="19" borderId="2" xfId="0" applyNumberFormat="1" applyFont="1" applyFill="1" applyBorder="1" applyAlignment="1">
      <alignment vertical="center"/>
    </xf>
    <xf numFmtId="0" fontId="9" fillId="19" borderId="5" xfId="0" applyFont="1" applyFill="1" applyBorder="1" applyAlignment="1">
      <alignment vertical="center"/>
    </xf>
    <xf numFmtId="3" fontId="9" fillId="19" borderId="4" xfId="0" applyNumberFormat="1" applyFont="1" applyFill="1" applyBorder="1" applyAlignment="1">
      <alignment vertical="center"/>
    </xf>
    <xf numFmtId="177" fontId="9" fillId="19" borderId="2" xfId="0" applyNumberFormat="1" applyFont="1" applyFill="1" applyBorder="1" applyAlignment="1">
      <alignment vertical="center"/>
    </xf>
    <xf numFmtId="0" fontId="14" fillId="17" borderId="5" xfId="30" applyFont="1" applyFill="1" applyBorder="1" applyAlignment="1">
      <alignment vertical="center"/>
      <protection/>
    </xf>
    <xf numFmtId="10" fontId="9" fillId="0" borderId="2" xfId="31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17" fillId="16" borderId="0" xfId="0" applyFont="1" applyFill="1" applyAlignment="1">
      <alignment vertical="center"/>
    </xf>
    <xf numFmtId="3" fontId="18" fillId="16" borderId="0" xfId="30" applyNumberFormat="1" applyFont="1" applyFill="1" applyBorder="1" applyAlignment="1">
      <alignment vertical="center"/>
      <protection/>
    </xf>
    <xf numFmtId="3" fontId="19" fillId="16" borderId="0" xfId="30" applyNumberFormat="1" applyFont="1" applyFill="1" applyBorder="1" applyAlignment="1">
      <alignment vertical="center"/>
      <protection/>
    </xf>
    <xf numFmtId="0" fontId="19" fillId="16" borderId="0" xfId="30" applyFont="1" applyFill="1" applyAlignment="1">
      <alignment vertical="center"/>
      <protection/>
    </xf>
    <xf numFmtId="0" fontId="20" fillId="0" borderId="0" xfId="0" applyFont="1"/>
    <xf numFmtId="0" fontId="20" fillId="16" borderId="0" xfId="0" applyFont="1" applyFill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0" fontId="26" fillId="20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6" fillId="8" borderId="1" xfId="0" applyFont="1" applyFill="1" applyBorder="1" applyAlignment="1" applyProtection="1">
      <alignment horizontal="center" wrapText="1"/>
      <protection hidden="1"/>
    </xf>
    <xf numFmtId="0" fontId="4" fillId="11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4" fontId="3" fillId="14" borderId="1" xfId="0" applyNumberFormat="1" applyFont="1" applyFill="1" applyBorder="1"/>
    <xf numFmtId="180" fontId="3" fillId="0" borderId="0" xfId="0" applyNumberFormat="1" applyFont="1"/>
    <xf numFmtId="3" fontId="18" fillId="16" borderId="0" xfId="30" applyNumberFormat="1" applyFont="1" applyFill="1" applyBorder="1" applyAlignment="1">
      <alignment horizontal="left" vertical="center" indent="1"/>
      <protection/>
    </xf>
    <xf numFmtId="3" fontId="19" fillId="16" borderId="0" xfId="30" applyNumberFormat="1" applyFont="1" applyFill="1" applyBorder="1" applyAlignment="1">
      <alignment horizontal="left" vertical="center" indent="1"/>
      <protection/>
    </xf>
    <xf numFmtId="0" fontId="19" fillId="16" borderId="0" xfId="30" applyFont="1" applyFill="1" applyAlignment="1">
      <alignment horizontal="left" vertical="center" indent="1"/>
      <protection/>
    </xf>
    <xf numFmtId="0" fontId="27" fillId="17" borderId="6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27" fillId="17" borderId="9" xfId="0" applyFont="1" applyFill="1" applyBorder="1" applyAlignment="1">
      <alignment horizontal="center" vertical="center"/>
    </xf>
    <xf numFmtId="3" fontId="19" fillId="19" borderId="10" xfId="0" applyNumberFormat="1" applyFont="1" applyFill="1" applyBorder="1" applyAlignment="1">
      <alignment vertical="center"/>
    </xf>
    <xf numFmtId="3" fontId="19" fillId="19" borderId="11" xfId="0" applyNumberFormat="1" applyFont="1" applyFill="1" applyBorder="1" applyAlignment="1">
      <alignment vertical="center"/>
    </xf>
    <xf numFmtId="0" fontId="20" fillId="0" borderId="12" xfId="0" applyFont="1" applyBorder="1" applyAlignment="1">
      <alignment vertical="center"/>
    </xf>
    <xf numFmtId="3" fontId="20" fillId="0" borderId="13" xfId="0" applyNumberFormat="1" applyFont="1" applyFill="1" applyBorder="1" applyAlignment="1">
      <alignment vertical="center"/>
    </xf>
    <xf numFmtId="0" fontId="20" fillId="0" borderId="14" xfId="0" applyFont="1" applyBorder="1" applyAlignment="1">
      <alignment vertical="center"/>
    </xf>
    <xf numFmtId="3" fontId="20" fillId="0" borderId="15" xfId="0" applyNumberFormat="1" applyFont="1" applyFill="1" applyBorder="1" applyAlignment="1">
      <alignment vertical="center"/>
    </xf>
    <xf numFmtId="0" fontId="9" fillId="21" borderId="5" xfId="0" applyFont="1" applyFill="1" applyBorder="1" applyAlignment="1">
      <alignment vertical="center"/>
    </xf>
    <xf numFmtId="0" fontId="14" fillId="21" borderId="5" xfId="0" applyFont="1" applyFill="1" applyBorder="1" applyAlignment="1">
      <alignment vertical="center"/>
    </xf>
    <xf numFmtId="3" fontId="9" fillId="21" borderId="3" xfId="0" applyNumberFormat="1" applyFont="1" applyFill="1" applyBorder="1" applyAlignment="1">
      <alignment vertical="center"/>
    </xf>
    <xf numFmtId="3" fontId="9" fillId="21" borderId="4" xfId="0" applyNumberFormat="1" applyFont="1" applyFill="1" applyBorder="1" applyAlignment="1">
      <alignment vertical="center"/>
    </xf>
    <xf numFmtId="10" fontId="9" fillId="21" borderId="3" xfId="31" applyNumberFormat="1" applyFont="1" applyFill="1" applyBorder="1" applyAlignment="1">
      <alignment vertical="center"/>
    </xf>
    <xf numFmtId="2" fontId="9" fillId="21" borderId="3" xfId="0" applyNumberFormat="1" applyFont="1" applyFill="1" applyBorder="1" applyAlignment="1">
      <alignment vertical="center"/>
    </xf>
    <xf numFmtId="0" fontId="14" fillId="21" borderId="3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 vertical="center"/>
    </xf>
    <xf numFmtId="0" fontId="14" fillId="21" borderId="4" xfId="0" applyFont="1" applyFill="1" applyBorder="1" applyAlignment="1">
      <alignment horizontal="center" vertical="center"/>
    </xf>
    <xf numFmtId="3" fontId="9" fillId="21" borderId="2" xfId="0" applyNumberFormat="1" applyFont="1" applyFill="1" applyBorder="1" applyAlignment="1">
      <alignment vertical="center"/>
    </xf>
    <xf numFmtId="10" fontId="9" fillId="21" borderId="2" xfId="3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28" fillId="22" borderId="0" xfId="0" applyFont="1" applyFill="1" applyBorder="1" applyAlignment="1" applyProtection="1">
      <alignment horizontal="left" vertical="top" wrapText="1"/>
      <protection hidden="1"/>
    </xf>
    <xf numFmtId="0" fontId="14" fillId="0" borderId="3" xfId="0" applyFont="1" applyFill="1" applyBorder="1" applyAlignment="1">
      <alignment vertical="center" wrapText="1"/>
    </xf>
    <xf numFmtId="0" fontId="14" fillId="0" borderId="16" xfId="0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14" fillId="19" borderId="3" xfId="0" applyFont="1" applyFill="1" applyBorder="1" applyAlignment="1">
      <alignment vertical="center" wrapText="1"/>
    </xf>
    <xf numFmtId="0" fontId="14" fillId="19" borderId="16" xfId="0" applyFont="1" applyFill="1" applyBorder="1" applyAlignment="1">
      <alignment vertical="center" wrapText="1"/>
    </xf>
    <xf numFmtId="0" fontId="22" fillId="17" borderId="3" xfId="30" applyFont="1" applyFill="1" applyBorder="1" applyAlignment="1">
      <alignment horizontal="center" vertical="center"/>
      <protection/>
    </xf>
    <xf numFmtId="0" fontId="22" fillId="17" borderId="16" xfId="30" applyFont="1" applyFill="1" applyBorder="1" applyAlignment="1">
      <alignment horizontal="center" vertical="center"/>
      <protection/>
    </xf>
    <xf numFmtId="0" fontId="23" fillId="16" borderId="0" xfId="0" applyFont="1" applyFill="1" applyAlignment="1">
      <alignment/>
    </xf>
    <xf numFmtId="0" fontId="9" fillId="16" borderId="0" xfId="0" applyFont="1" applyFill="1" applyAlignment="1">
      <alignment/>
    </xf>
    <xf numFmtId="0" fontId="24" fillId="16" borderId="0" xfId="0" applyFont="1" applyFill="1" applyAlignment="1">
      <alignment horizontal="center"/>
    </xf>
    <xf numFmtId="0" fontId="25" fillId="16" borderId="0" xfId="0" applyFont="1" applyFill="1" applyAlignment="1">
      <alignment horizontal="center"/>
    </xf>
    <xf numFmtId="0" fontId="13" fillId="17" borderId="3" xfId="0" applyFont="1" applyFill="1" applyBorder="1" applyAlignment="1">
      <alignment vertical="center" wrapText="1"/>
    </xf>
    <xf numFmtId="0" fontId="13" fillId="17" borderId="4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4" xfId="0" applyBorder="1"/>
    <xf numFmtId="15" fontId="14" fillId="0" borderId="2" xfId="0" applyNumberFormat="1" applyFont="1" applyBorder="1" applyAlignment="1">
      <alignment horizontal="left" vertical="center" wrapText="1"/>
    </xf>
    <xf numFmtId="0" fontId="13" fillId="17" borderId="2" xfId="30" applyFont="1" applyFill="1" applyBorder="1" applyAlignment="1">
      <alignment horizontal="center" vertical="center"/>
      <protection/>
    </xf>
    <xf numFmtId="0" fontId="22" fillId="17" borderId="2" xfId="30" applyFont="1" applyFill="1" applyBorder="1" applyAlignment="1">
      <alignment horizontal="center" vertical="center"/>
      <protection/>
    </xf>
    <xf numFmtId="0" fontId="22" fillId="17" borderId="3" xfId="30" applyFont="1" applyFill="1" applyBorder="1" applyAlignment="1">
      <alignment horizontal="center" vertical="center"/>
      <protection/>
    </xf>
    <xf numFmtId="0" fontId="13" fillId="17" borderId="4" xfId="30" applyFont="1" applyFill="1" applyBorder="1" applyAlignment="1">
      <alignment horizontal="center" vertical="center"/>
      <protection/>
    </xf>
    <xf numFmtId="0" fontId="9" fillId="0" borderId="3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4" fontId="9" fillId="0" borderId="3" xfId="0" applyNumberFormat="1" applyFont="1" applyBorder="1" applyAlignment="1">
      <alignment vertical="center" wrapText="1"/>
    </xf>
    <xf numFmtId="4" fontId="9" fillId="0" borderId="16" xfId="0" applyNumberFormat="1" applyFont="1" applyBorder="1" applyAlignment="1">
      <alignment vertical="center" wrapText="1"/>
    </xf>
    <xf numFmtId="0" fontId="22" fillId="17" borderId="16" xfId="30" applyFont="1" applyFill="1" applyBorder="1" applyAlignment="1">
      <alignment horizontal="center" vertical="center"/>
      <protection/>
    </xf>
    <xf numFmtId="0" fontId="13" fillId="17" borderId="2" xfId="30" applyFont="1" applyFill="1" applyBorder="1" applyAlignment="1">
      <alignment horizontal="center" vertical="center"/>
      <protection/>
    </xf>
    <xf numFmtId="0" fontId="22" fillId="17" borderId="2" xfId="30" applyFont="1" applyFill="1" applyBorder="1" applyAlignment="1">
      <alignment horizontal="center" vertical="center"/>
      <protection/>
    </xf>
    <xf numFmtId="0" fontId="13" fillId="17" borderId="4" xfId="30" applyFont="1" applyFill="1" applyBorder="1" applyAlignment="1">
      <alignment horizontal="center" vertical="center"/>
      <protection/>
    </xf>
    <xf numFmtId="0" fontId="30" fillId="0" borderId="0" xfId="0" applyNumberFormat="1" applyFont="1" applyFill="1" applyBorder="1" applyAlignment="1" applyProtection="1">
      <alignment/>
      <protection/>
    </xf>
    <xf numFmtId="0" fontId="30" fillId="0" borderId="0" xfId="0" applyNumberFormat="1" applyFont="1" applyFill="1" applyBorder="1" applyAlignment="1" applyProtection="1">
      <alignment/>
      <protection/>
    </xf>
    <xf numFmtId="0" fontId="30" fillId="0" borderId="0" xfId="0" applyNumberFormat="1" applyFont="1" applyFill="1" applyBorder="1" applyAlignment="1" applyProtection="1">
      <alignment/>
      <protection/>
    </xf>
    <xf numFmtId="0" fontId="30" fillId="0" borderId="0" xfId="0" applyNumberFormat="1" applyFont="1" applyFill="1" applyBorder="1" applyAlignment="1" applyProtection="1">
      <alignment/>
      <protection/>
    </xf>
    <xf numFmtId="0" fontId="30" fillId="0" borderId="0" xfId="0" applyNumberFormat="1" applyFont="1" applyFill="1" applyBorder="1" applyAlignment="1" applyProtection="1">
      <alignment/>
      <protection/>
    </xf>
    <xf numFmtId="0" fontId="30" fillId="0" borderId="0" xfId="0" applyNumberFormat="1" applyFont="1" applyFill="1" applyBorder="1" applyAlignment="1" applyProtection="1">
      <alignment/>
      <protection/>
    </xf>
  </cellXfs>
  <cellStyles count="1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千位分隔" xfId="20"/>
    <cellStyle name="Normal 2" xfId="21"/>
    <cellStyle name="Normal 2 2" xfId="22"/>
    <cellStyle name="Normal 2 2 2" xfId="23"/>
    <cellStyle name="Normal 2 2_EPS2009 Position Report Template 20090704" xfId="24"/>
    <cellStyle name="Normal 2_EPS2009 Position Report Template 20090704" xfId="25"/>
    <cellStyle name="Normal 3" xfId="26"/>
    <cellStyle name="Normal 4" xfId="27"/>
    <cellStyle name="Normal 5" xfId="28"/>
    <cellStyle name="Normal 5 2" xfId="29"/>
    <cellStyle name="Normal_C&amp;B Survey Sample Report_EPS2007 Position Report Template 20070710_EPS2008 Position Report Template 20080526" xfId="30"/>
    <cellStyle name="百分比" xfId="31"/>
    <cellStyle name="Normal 6" xfId="32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C2D69A"/>
      <rgbColor rgb="00376091"/>
      <rgbColor rgb="00FFFF00"/>
      <rgbColor rgb="00D99795"/>
      <rgbColor rgb="0093CDDD"/>
      <rgbColor rgb="00953735"/>
      <rgbColor rgb="0075923C"/>
      <rgbColor rgb="00254061"/>
      <rgbColor rgb="0000B050"/>
      <rgbColor rgb="008064A2"/>
      <rgbColor rgb="0031849B"/>
      <rgbColor rgb="00BFBFBF"/>
      <rgbColor rgb="00404040"/>
      <rgbColor rgb="00FF0000"/>
      <rgbColor rgb="00632523"/>
      <rgbColor rgb="00F2F2F2"/>
      <rgbColor rgb="0000B0F0"/>
      <rgbColor rgb="000070C0"/>
      <rgbColor rgb="00002060"/>
      <rgbColor rgb="007030A0"/>
      <rgbColor rgb="00DDD9C3"/>
      <rgbColor rgb="00C0504D"/>
      <rgbColor rgb="00948B54"/>
      <rgbColor rgb="00C5D9F1"/>
      <rgbColor rgb="008DB4E3"/>
      <rgbColor rgb="00538ED5"/>
      <rgbColor rgb="001F497D"/>
      <rgbColor rgb="0017375D"/>
      <rgbColor rgb="000F253F"/>
      <rgbColor rgb="0095B3D7"/>
      <rgbColor rgb="00B6DDE8"/>
      <rgbColor rgb="00D7E4BC"/>
      <rgbColor rgb="00FFFF99"/>
      <rgbColor rgb="00B8CCE4"/>
      <rgbColor rgb="00E6B9B8"/>
      <rgbColor rgb="00CCC0DA"/>
      <rgbColor rgb="00FCD5B4"/>
      <rgbColor rgb="004F81BD"/>
      <rgbColor rgb="004BACC6"/>
      <rgbColor rgb="0092D050"/>
      <rgbColor rgb="00FFC000"/>
      <rgbColor rgb="00F79646"/>
      <rgbColor rgb="00E46D0A"/>
      <rgbColor rgb="0060497B"/>
      <rgbColor rgb="00808080"/>
      <rgbColor rgb="00215867"/>
      <rgbColor rgb="009BBB59"/>
      <rgbColor rgb="004F6228"/>
      <rgbColor rgb="004A452A"/>
      <rgbColor rgb="00974807"/>
      <rgbColor rgb="00B2A1C7"/>
      <rgbColor rgb="003F3151"/>
      <rgbColor rgb="000D0D0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6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L7"/>
  <sheetViews>
    <sheetView zoomScale="85" zoomScaleNormal="85" workbookViewId="0" topLeftCell="A1">
      <pane xSplit="1" ySplit="1" topLeftCell="B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C32" sqref="C32"/>
    </sheetView>
  </sheetViews>
  <sheetFormatPr defaultColWidth="14" defaultRowHeight="13.5"/>
  <sheetData>
    <row r="1" spans="1:116" ht="60" customHeight="1">
      <c r="A1" s="73" t="s">
        <v>85</v>
      </c>
      <c r="B1" s="73" t="s">
        <v>82</v>
      </c>
      <c r="C1" s="73" t="s">
        <v>231</v>
      </c>
      <c r="D1" s="73" t="s">
        <v>60</v>
      </c>
      <c r="E1" s="73" t="s">
        <v>219</v>
      </c>
      <c r="F1" s="73" t="s">
        <v>232</v>
      </c>
      <c r="G1" s="73" t="s">
        <v>304</v>
      </c>
      <c r="H1" s="73" t="s">
        <v>233</v>
      </c>
      <c r="I1" s="73" t="s">
        <v>234</v>
      </c>
      <c r="J1" s="73" t="s">
        <v>382</v>
      </c>
      <c r="K1" s="73" t="s">
        <v>235</v>
      </c>
      <c r="L1" s="73" t="s">
        <v>236</v>
      </c>
      <c r="M1" s="73" t="s">
        <v>39</v>
      </c>
      <c r="N1" s="73" t="s">
        <v>62</v>
      </c>
      <c r="O1" s="27" t="s">
        <v>237</v>
      </c>
      <c r="P1" s="27" t="s">
        <v>238</v>
      </c>
      <c r="Q1" s="27" t="s">
        <v>239</v>
      </c>
      <c r="R1" s="27" t="s">
        <v>240</v>
      </c>
      <c r="S1" s="27" t="s">
        <v>241</v>
      </c>
      <c r="T1" s="27" t="s">
        <v>305</v>
      </c>
      <c r="U1" s="27" t="s">
        <v>306</v>
      </c>
      <c r="V1" s="27" t="s">
        <v>242</v>
      </c>
      <c r="W1" s="27" t="s">
        <v>243</v>
      </c>
      <c r="X1" s="27" t="s">
        <v>63</v>
      </c>
      <c r="Y1" s="28" t="s">
        <v>307</v>
      </c>
      <c r="Z1" s="29" t="s">
        <v>383</v>
      </c>
      <c r="AA1" s="29" t="s">
        <v>244</v>
      </c>
      <c r="AB1" s="29" t="s">
        <v>308</v>
      </c>
      <c r="AC1" s="29" t="s">
        <v>384</v>
      </c>
      <c r="AD1" s="27" t="s">
        <v>385</v>
      </c>
      <c r="AE1" s="27" t="s">
        <v>386</v>
      </c>
      <c r="AF1" s="27" t="s">
        <v>387</v>
      </c>
      <c r="AG1" s="27" t="s">
        <v>388</v>
      </c>
      <c r="AH1" s="29" t="s">
        <v>245</v>
      </c>
      <c r="AI1" s="29" t="s">
        <v>309</v>
      </c>
      <c r="AJ1" s="29" t="s">
        <v>66</v>
      </c>
      <c r="AK1" s="29" t="s">
        <v>310</v>
      </c>
      <c r="AL1" s="29" t="s">
        <v>67</v>
      </c>
      <c r="AM1" s="29" t="s">
        <v>68</v>
      </c>
      <c r="AN1" s="29" t="s">
        <v>389</v>
      </c>
      <c r="AO1" s="27" t="s">
        <v>311</v>
      </c>
      <c r="AP1" s="27" t="s">
        <v>69</v>
      </c>
      <c r="AQ1" s="27" t="s">
        <v>312</v>
      </c>
      <c r="AR1" s="27" t="s">
        <v>70</v>
      </c>
      <c r="AS1" s="27" t="s">
        <v>71</v>
      </c>
      <c r="AT1" s="27" t="s">
        <v>390</v>
      </c>
      <c r="AU1" s="29" t="s">
        <v>246</v>
      </c>
      <c r="AV1" s="29" t="s">
        <v>247</v>
      </c>
      <c r="AW1" s="29" t="s">
        <v>313</v>
      </c>
      <c r="AX1" s="29" t="s">
        <v>248</v>
      </c>
      <c r="AY1" s="29" t="s">
        <v>249</v>
      </c>
      <c r="AZ1" s="27" t="s">
        <v>250</v>
      </c>
      <c r="BA1" s="27" t="s">
        <v>314</v>
      </c>
      <c r="BB1" s="27" t="s">
        <v>251</v>
      </c>
      <c r="BC1" s="27" t="s">
        <v>252</v>
      </c>
      <c r="BD1" s="29" t="s">
        <v>253</v>
      </c>
      <c r="BE1" s="29" t="s">
        <v>315</v>
      </c>
      <c r="BF1" s="29" t="s">
        <v>254</v>
      </c>
      <c r="BG1" s="27" t="s">
        <v>255</v>
      </c>
      <c r="BH1" s="27" t="s">
        <v>256</v>
      </c>
      <c r="BI1" s="27" t="s">
        <v>257</v>
      </c>
      <c r="BJ1" s="27" t="s">
        <v>258</v>
      </c>
      <c r="BK1" s="29" t="s">
        <v>259</v>
      </c>
      <c r="BL1" s="29" t="s">
        <v>260</v>
      </c>
      <c r="BM1" s="27" t="s">
        <v>316</v>
      </c>
      <c r="BN1" s="27" t="s">
        <v>72</v>
      </c>
      <c r="BO1" s="29" t="s">
        <v>83</v>
      </c>
      <c r="BP1" s="29" t="s">
        <v>220</v>
      </c>
      <c r="BQ1" s="29" t="s">
        <v>391</v>
      </c>
      <c r="BR1" s="29" t="s">
        <v>392</v>
      </c>
      <c r="BS1" s="29" t="s">
        <v>317</v>
      </c>
      <c r="BT1" s="29" t="s">
        <v>73</v>
      </c>
      <c r="BU1" s="29" t="s">
        <v>393</v>
      </c>
      <c r="BV1" s="29" t="s">
        <v>74</v>
      </c>
      <c r="BW1" s="29" t="s">
        <v>75</v>
      </c>
      <c r="BX1" s="29" t="s">
        <v>76</v>
      </c>
      <c r="BY1" s="29" t="s">
        <v>77</v>
      </c>
      <c r="BZ1" s="29" t="s">
        <v>78</v>
      </c>
      <c r="CA1" s="27" t="s">
        <v>261</v>
      </c>
      <c r="CB1" s="27" t="s">
        <v>262</v>
      </c>
      <c r="CC1" s="27" t="s">
        <v>79</v>
      </c>
      <c r="CD1" s="27" t="s">
        <v>80</v>
      </c>
      <c r="CE1" s="27" t="s">
        <v>117</v>
      </c>
      <c r="CF1" s="27" t="s">
        <v>116</v>
      </c>
      <c r="CG1" s="29" t="s">
        <v>81</v>
      </c>
      <c r="CH1" s="29" t="s">
        <v>89</v>
      </c>
      <c r="CI1" s="29" t="s">
        <v>32</v>
      </c>
      <c r="CJ1" s="29" t="s">
        <v>263</v>
      </c>
      <c r="CK1" s="29" t="s">
        <v>90</v>
      </c>
      <c r="CL1" s="29" t="s">
        <v>318</v>
      </c>
      <c r="CM1" s="29" t="s">
        <v>221</v>
      </c>
      <c r="CN1" s="29" t="s">
        <v>86</v>
      </c>
      <c r="CO1" s="29" t="s">
        <v>319</v>
      </c>
      <c r="CP1" s="29" t="s">
        <v>87</v>
      </c>
      <c r="CQ1" s="29" t="s">
        <v>88</v>
      </c>
      <c r="CR1" s="29" t="s">
        <v>92</v>
      </c>
      <c r="CS1" s="29" t="s">
        <v>93</v>
      </c>
      <c r="CT1" s="29" t="s">
        <v>94</v>
      </c>
      <c r="CU1" s="29" t="s">
        <v>91</v>
      </c>
      <c r="CV1" s="1" t="s">
        <v>11</v>
      </c>
      <c r="CW1" s="1" t="s">
        <v>84</v>
      </c>
      <c r="CX1" s="2" t="s">
        <v>95</v>
      </c>
      <c r="CY1" s="2" t="s">
        <v>222</v>
      </c>
      <c r="CZ1" s="35" t="str">
        <f>"2012 ABS-P50:  "&amp;TEXT(P50ABS,"#,###")&amp;"
2011 ABS-P50:  "&amp;TEXT(DG$1,"#,###")</f>
        <v>2012 ABS-P50:  1,109,420
2011 ABS-P50:  </v>
      </c>
      <c r="DA1" s="35" t="str">
        <f>"2012 ABS-Mean:  "&amp;TEXT(AVGABS,"#,###")&amp;"
2011 ABS-Mean:  "&amp;TEXT(DH$1,"#,###")</f>
        <v>2012 ABS-Mean:  1,155,507
2011 ABS-Mean:  </v>
      </c>
      <c r="DB1" s="35" t="str">
        <f>"2012 AFC-P50:  "&amp;TEXT(P50AFC,"#,###")&amp;"
2011 AFC-P50:  "&amp;TEXT(DI$1,"#,###")</f>
        <v>2012 AFC-P50:  1,199,231
2011 AFC-P50:  </v>
      </c>
      <c r="DC1" s="35" t="str">
        <f>"2012 AFC-Mean:  "&amp;TEXT(AVGAFC,"#,###")&amp;"
2011 AFC-Mean:  "&amp;TEXT(DJ$1,"#,###")</f>
        <v>2012 AFC-Mean:  1,216,347
2011 AFC-Mean:  </v>
      </c>
      <c r="DD1" s="35" t="str">
        <f>"2012 ATC-P50:  "&amp;TEXT(P50ATC,"#,###")&amp;"
2011 ATC-P50:  "&amp;TEXT(DK$1,"#,###")</f>
        <v>2012 ATC-P50:  2,398,972
2011 ATC-P50:  </v>
      </c>
      <c r="DE1" s="35" t="str">
        <f>"2012 ATC-Mean:  "&amp;TEXT(AVGATC,"#,###")&amp;"
2011 ATC-Mean:  "&amp;TEXT(DL$1,"#,###")</f>
        <v>2012 ATC-Mean:  2,808,659
2011 ATC-Mean:  </v>
      </c>
      <c r="DF1" s="105" t="str">
        <f>IF(ComMore40=1,"1 Company &gt; 40%, Ultimate No. of Occurrence:"&amp;ROUNDDOWN(SUMIFS(Calculation2!$B$23:$B1000,Calculation2!$C$23:$C$1000,"&lt;40")/0.6*0.4,0),IF(ComMore40=2,"2 Companies &gt; 40%, Ultimate No. of Occurrence:"&amp;ROUNDDOWN(SUMIFS(Calculation2!$B$23:$B$1000,Calculation2!$C$23:$C$1000,"&lt;40")/0.2*0.4,0),""))</f>
        <v/>
      </c>
      <c r="DG1" s="36"/>
      <c r="DH1" s="36"/>
      <c r="DI1" s="36"/>
      <c r="DJ1" s="36"/>
      <c r="DK1" s="36"/>
      <c r="DL1" s="36"/>
    </row>
    <row r="2" spans="6:100" ht="13.2">
      <c r="F2">
        <v>1957</v>
      </c>
      <c r="G2">
        <v>1989</v>
      </c>
      <c r="J2" t="s">
        <v>394</v>
      </c>
      <c r="X2" t="s">
        <v>150</v>
      </c>
      <c r="Y2">
        <v>126700</v>
      </c>
      <c r="Z2">
        <v>126700</v>
      </c>
      <c r="AA2">
        <v>13</v>
      </c>
      <c r="AB2">
        <v>1647100</v>
      </c>
      <c r="AC2">
        <v>1647100</v>
      </c>
      <c r="AD2" t="s">
        <v>394</v>
      </c>
      <c r="AE2">
        <v>89280</v>
      </c>
      <c r="AF2">
        <v>1647100</v>
      </c>
      <c r="AG2">
        <v>1736380</v>
      </c>
      <c r="AH2" t="s">
        <v>442</v>
      </c>
      <c r="AI2" t="s">
        <v>394</v>
      </c>
      <c r="AJ2">
        <v>3200000</v>
      </c>
      <c r="AK2" t="s">
        <v>394</v>
      </c>
      <c r="AL2">
        <v>3200000</v>
      </c>
      <c r="AM2">
        <v>4936380</v>
      </c>
      <c r="AN2">
        <v>4847100</v>
      </c>
      <c r="AO2" t="s">
        <v>394</v>
      </c>
      <c r="AP2">
        <v>3200000</v>
      </c>
      <c r="AQ2" t="s">
        <v>394</v>
      </c>
      <c r="AR2">
        <v>3200000</v>
      </c>
      <c r="AS2">
        <v>4936380</v>
      </c>
      <c r="AT2">
        <v>4847100</v>
      </c>
      <c r="AU2" t="s">
        <v>443</v>
      </c>
      <c r="AV2" t="s">
        <v>394</v>
      </c>
      <c r="AW2" t="s">
        <v>394</v>
      </c>
      <c r="AX2" t="s">
        <v>394</v>
      </c>
      <c r="AY2">
        <v>0.43</v>
      </c>
      <c r="AZ2" t="s">
        <v>394</v>
      </c>
      <c r="BA2" t="s">
        <v>394</v>
      </c>
      <c r="BB2" t="s">
        <v>394</v>
      </c>
      <c r="BC2">
        <v>0.43</v>
      </c>
      <c r="BD2" t="s">
        <v>394</v>
      </c>
      <c r="BE2" t="s">
        <v>394</v>
      </c>
      <c r="BF2" t="s">
        <v>394</v>
      </c>
      <c r="BG2" t="s">
        <v>394</v>
      </c>
      <c r="BH2" t="s">
        <v>394</v>
      </c>
      <c r="BI2" t="s">
        <v>394</v>
      </c>
      <c r="BJ2">
        <v>0.80</v>
      </c>
      <c r="BK2" t="s">
        <v>394</v>
      </c>
      <c r="BL2" t="s">
        <v>394</v>
      </c>
      <c r="BM2" t="s">
        <v>394</v>
      </c>
      <c r="BN2">
        <v>4936380</v>
      </c>
      <c r="BO2">
        <v>66000</v>
      </c>
      <c r="BP2" t="s">
        <v>394</v>
      </c>
      <c r="BQ2" t="s">
        <v>394</v>
      </c>
      <c r="BR2" t="s">
        <v>394</v>
      </c>
      <c r="BS2" t="s">
        <v>394</v>
      </c>
      <c r="BT2">
        <v>2406</v>
      </c>
      <c r="BU2" t="s">
        <v>443</v>
      </c>
      <c r="BV2" t="s">
        <v>394</v>
      </c>
      <c r="BW2">
        <v>68406</v>
      </c>
      <c r="BX2">
        <v>5004786</v>
      </c>
      <c r="BY2">
        <v>1804786</v>
      </c>
      <c r="BZ2">
        <v>5004786</v>
      </c>
      <c r="CA2">
        <v>9474</v>
      </c>
      <c r="CB2" t="s">
        <v>394</v>
      </c>
      <c r="CC2">
        <v>9474</v>
      </c>
      <c r="CD2">
        <v>5014260</v>
      </c>
      <c r="CE2">
        <v>1814260</v>
      </c>
      <c r="CF2">
        <v>5014260</v>
      </c>
      <c r="CV2" t="s">
        <v>445</v>
      </c>
    </row>
    <row r="3" spans="6:100" ht="13.2">
      <c r="F3">
        <v>1955</v>
      </c>
      <c r="G3">
        <v>1980</v>
      </c>
      <c r="J3" t="s">
        <v>394</v>
      </c>
      <c r="X3" t="s">
        <v>150</v>
      </c>
      <c r="Y3">
        <v>84300</v>
      </c>
      <c r="Z3">
        <v>90000</v>
      </c>
      <c r="AA3">
        <v>13</v>
      </c>
      <c r="AB3">
        <v>1095900</v>
      </c>
      <c r="AC3">
        <v>1170000</v>
      </c>
      <c r="AD3" t="s">
        <v>394</v>
      </c>
      <c r="AE3">
        <v>89280</v>
      </c>
      <c r="AF3">
        <v>1095900</v>
      </c>
      <c r="AG3">
        <v>1259280</v>
      </c>
      <c r="AH3" t="s">
        <v>442</v>
      </c>
      <c r="AI3" t="s">
        <v>394</v>
      </c>
      <c r="AJ3">
        <v>2250000</v>
      </c>
      <c r="AK3" t="s">
        <v>394</v>
      </c>
      <c r="AL3">
        <v>2250000</v>
      </c>
      <c r="AM3">
        <v>3509280</v>
      </c>
      <c r="AN3">
        <v>3420000</v>
      </c>
      <c r="AO3" t="s">
        <v>394</v>
      </c>
      <c r="AP3">
        <v>2250000</v>
      </c>
      <c r="AQ3" t="s">
        <v>394</v>
      </c>
      <c r="AR3">
        <v>2250000</v>
      </c>
      <c r="AS3">
        <v>3509280</v>
      </c>
      <c r="AT3">
        <v>3420000</v>
      </c>
      <c r="AU3" t="s">
        <v>443</v>
      </c>
      <c r="AV3" t="s">
        <v>394</v>
      </c>
      <c r="AW3" t="s">
        <v>394</v>
      </c>
      <c r="AX3" t="s">
        <v>394</v>
      </c>
      <c r="AY3">
        <v>0.43</v>
      </c>
      <c r="AZ3" t="s">
        <v>394</v>
      </c>
      <c r="BA3" t="s">
        <v>394</v>
      </c>
      <c r="BB3" t="s">
        <v>394</v>
      </c>
      <c r="BC3">
        <v>0.43</v>
      </c>
      <c r="BD3" t="s">
        <v>394</v>
      </c>
      <c r="BE3" t="s">
        <v>394</v>
      </c>
      <c r="BF3" t="s">
        <v>394</v>
      </c>
      <c r="BG3" t="s">
        <v>394</v>
      </c>
      <c r="BH3" t="s">
        <v>394</v>
      </c>
      <c r="BI3" t="s">
        <v>394</v>
      </c>
      <c r="BJ3">
        <v>0.80</v>
      </c>
      <c r="BK3" t="s">
        <v>394</v>
      </c>
      <c r="BL3" t="s">
        <v>394</v>
      </c>
      <c r="BM3" t="s">
        <v>394</v>
      </c>
      <c r="BN3">
        <v>3509280</v>
      </c>
      <c r="BO3">
        <v>54000</v>
      </c>
      <c r="BP3" t="s">
        <v>394</v>
      </c>
      <c r="BQ3" t="s">
        <v>394</v>
      </c>
      <c r="BR3" t="s">
        <v>394</v>
      </c>
      <c r="BS3" t="s">
        <v>394</v>
      </c>
      <c r="BT3">
        <v>1926</v>
      </c>
      <c r="BU3" t="s">
        <v>443</v>
      </c>
      <c r="BV3" t="s">
        <v>394</v>
      </c>
      <c r="BW3">
        <v>55926</v>
      </c>
      <c r="BX3">
        <v>3565206</v>
      </c>
      <c r="BY3">
        <v>1315206</v>
      </c>
      <c r="BZ3">
        <v>3565206</v>
      </c>
      <c r="CA3">
        <v>7048</v>
      </c>
      <c r="CB3" t="s">
        <v>394</v>
      </c>
      <c r="CC3">
        <v>7048</v>
      </c>
      <c r="CD3">
        <v>3572254</v>
      </c>
      <c r="CE3">
        <v>1322254</v>
      </c>
      <c r="CF3">
        <v>3572254</v>
      </c>
      <c r="CV3" t="s">
        <v>446</v>
      </c>
    </row>
    <row r="4" spans="6:100" ht="13.2">
      <c r="F4">
        <v>1953</v>
      </c>
      <c r="G4">
        <v>2005</v>
      </c>
      <c r="J4" t="s">
        <v>394</v>
      </c>
      <c r="X4" t="s">
        <v>150</v>
      </c>
      <c r="Y4">
        <v>92700</v>
      </c>
      <c r="Z4">
        <v>96871.50</v>
      </c>
      <c r="AA4">
        <v>12</v>
      </c>
      <c r="AB4">
        <v>1112400</v>
      </c>
      <c r="AC4">
        <v>1162458</v>
      </c>
      <c r="AD4">
        <v>720</v>
      </c>
      <c r="AE4">
        <v>103680</v>
      </c>
      <c r="AF4">
        <v>1113120</v>
      </c>
      <c r="AG4">
        <v>1266138</v>
      </c>
      <c r="AH4" t="s">
        <v>442</v>
      </c>
      <c r="AI4" t="s">
        <v>394</v>
      </c>
      <c r="AJ4">
        <v>1212262.70</v>
      </c>
      <c r="AK4" t="s">
        <v>394</v>
      </c>
      <c r="AL4">
        <v>1212262.70</v>
      </c>
      <c r="AM4">
        <v>2478400.7000000002</v>
      </c>
      <c r="AN4">
        <v>2374720.7000000002</v>
      </c>
      <c r="AO4" t="s">
        <v>394</v>
      </c>
      <c r="AP4">
        <v>468369</v>
      </c>
      <c r="AQ4" t="s">
        <v>394</v>
      </c>
      <c r="AR4">
        <v>468369</v>
      </c>
      <c r="AS4">
        <v>1734507</v>
      </c>
      <c r="AT4">
        <v>1630827</v>
      </c>
      <c r="AU4" t="s">
        <v>442</v>
      </c>
      <c r="AV4" t="s">
        <v>394</v>
      </c>
      <c r="AW4" t="s">
        <v>394</v>
      </c>
      <c r="AX4" t="s">
        <v>394</v>
      </c>
      <c r="AY4">
        <v>0.33</v>
      </c>
      <c r="AZ4" t="s">
        <v>394</v>
      </c>
      <c r="BA4" t="s">
        <v>394</v>
      </c>
      <c r="BB4" t="s">
        <v>394</v>
      </c>
      <c r="BC4">
        <v>0.33</v>
      </c>
      <c r="BD4" t="s">
        <v>394</v>
      </c>
      <c r="BE4" t="s">
        <v>394</v>
      </c>
      <c r="BF4" t="s">
        <v>394</v>
      </c>
      <c r="BG4" t="s">
        <v>394</v>
      </c>
      <c r="BH4" t="s">
        <v>394</v>
      </c>
      <c r="BI4">
        <v>1</v>
      </c>
      <c r="BJ4">
        <v>0.80</v>
      </c>
      <c r="BK4">
        <v>610000</v>
      </c>
      <c r="BL4">
        <v>1</v>
      </c>
      <c r="BM4">
        <v>610000</v>
      </c>
      <c r="BN4">
        <v>3088400.70</v>
      </c>
      <c r="BO4" t="s">
        <v>394</v>
      </c>
      <c r="BP4">
        <v>15050</v>
      </c>
      <c r="BQ4" t="s">
        <v>394</v>
      </c>
      <c r="BR4" t="s">
        <v>394</v>
      </c>
      <c r="BS4" t="s">
        <v>394</v>
      </c>
      <c r="BT4">
        <v>2400</v>
      </c>
      <c r="BU4" t="s">
        <v>443</v>
      </c>
      <c r="BV4" t="s">
        <v>394</v>
      </c>
      <c r="BW4">
        <v>17450</v>
      </c>
      <c r="BX4">
        <v>3105850.70</v>
      </c>
      <c r="BY4">
        <v>1283588</v>
      </c>
      <c r="BZ4">
        <v>2495850.7000000002</v>
      </c>
      <c r="CA4">
        <v>5743</v>
      </c>
      <c r="CB4" t="s">
        <v>394</v>
      </c>
      <c r="CC4">
        <v>5743</v>
      </c>
      <c r="CD4">
        <v>3111593.70</v>
      </c>
      <c r="CE4">
        <v>1289331</v>
      </c>
      <c r="CF4">
        <v>2501593.7000000002</v>
      </c>
      <c r="CV4" t="s">
        <v>447</v>
      </c>
    </row>
    <row r="5" spans="6:100" ht="13.2">
      <c r="F5">
        <v>1953</v>
      </c>
      <c r="G5">
        <v>2008</v>
      </c>
      <c r="J5" t="s">
        <v>394</v>
      </c>
      <c r="X5" t="s">
        <v>150</v>
      </c>
      <c r="Y5">
        <v>84241</v>
      </c>
      <c r="Z5">
        <v>88031.845000000001</v>
      </c>
      <c r="AA5">
        <v>12</v>
      </c>
      <c r="AB5">
        <v>1010892</v>
      </c>
      <c r="AC5">
        <v>1056382.1400000008</v>
      </c>
      <c r="AD5">
        <v>82800</v>
      </c>
      <c r="AE5">
        <v>82800</v>
      </c>
      <c r="AF5">
        <v>1093692</v>
      </c>
      <c r="AG5">
        <v>1139182.1400000008</v>
      </c>
      <c r="AH5" t="s">
        <v>442</v>
      </c>
      <c r="AI5" t="s">
        <v>394</v>
      </c>
      <c r="AJ5">
        <v>1180361.9849999999</v>
      </c>
      <c r="AK5" t="s">
        <v>394</v>
      </c>
      <c r="AL5">
        <v>1180361.9849999999</v>
      </c>
      <c r="AM5">
        <v>2319544.125</v>
      </c>
      <c r="AN5">
        <v>2236744.125</v>
      </c>
      <c r="AO5" t="s">
        <v>394</v>
      </c>
      <c r="AP5">
        <v>632787.21</v>
      </c>
      <c r="AQ5" t="s">
        <v>394</v>
      </c>
      <c r="AR5">
        <v>632787.21</v>
      </c>
      <c r="AS5">
        <v>1771969.35</v>
      </c>
      <c r="AT5">
        <v>1689169.35</v>
      </c>
      <c r="AU5" t="s">
        <v>442</v>
      </c>
      <c r="AV5">
        <v>39600</v>
      </c>
      <c r="AW5">
        <v>39.571056000000006</v>
      </c>
      <c r="AX5">
        <v>1</v>
      </c>
      <c r="AY5">
        <v>0.23</v>
      </c>
      <c r="AZ5" t="s">
        <v>394</v>
      </c>
      <c r="BA5" t="s">
        <v>394</v>
      </c>
      <c r="BB5" t="s">
        <v>394</v>
      </c>
      <c r="BC5">
        <v>0.23</v>
      </c>
      <c r="BD5">
        <v>6600</v>
      </c>
      <c r="BE5">
        <v>39.571056000000006</v>
      </c>
      <c r="BF5">
        <v>1</v>
      </c>
      <c r="BG5" t="s">
        <v>394</v>
      </c>
      <c r="BH5" t="s">
        <v>394</v>
      </c>
      <c r="BI5">
        <v>1</v>
      </c>
      <c r="BJ5">
        <v>0.80</v>
      </c>
      <c r="BK5" t="s">
        <v>394</v>
      </c>
      <c r="BL5">
        <v>1</v>
      </c>
      <c r="BM5">
        <v>621582.14764799993</v>
      </c>
      <c r="BN5">
        <v>2941126.2726479964</v>
      </c>
      <c r="BO5" t="s">
        <v>394</v>
      </c>
      <c r="BP5" t="s">
        <v>394</v>
      </c>
      <c r="BQ5" t="s">
        <v>394</v>
      </c>
      <c r="BR5" t="s">
        <v>394</v>
      </c>
      <c r="BS5" t="s">
        <v>394</v>
      </c>
      <c r="BT5" t="s">
        <v>394</v>
      </c>
      <c r="BU5" t="s">
        <v>443</v>
      </c>
      <c r="BV5" t="s">
        <v>394</v>
      </c>
      <c r="BW5" t="s">
        <v>394</v>
      </c>
      <c r="BX5">
        <v>2941126.2726479964</v>
      </c>
      <c r="BY5">
        <v>1139182.1400000008</v>
      </c>
      <c r="BZ5">
        <v>2319544.125</v>
      </c>
      <c r="CA5">
        <v>13600</v>
      </c>
      <c r="CB5" t="s">
        <v>394</v>
      </c>
      <c r="CC5">
        <v>13600</v>
      </c>
      <c r="CD5">
        <v>2954726.2726479964</v>
      </c>
      <c r="CE5">
        <v>1152782.1400000008</v>
      </c>
      <c r="CF5">
        <v>2333144.125</v>
      </c>
      <c r="CV5" t="s">
        <v>448</v>
      </c>
    </row>
    <row r="6" spans="6:100" ht="13.2">
      <c r="F6">
        <v>1952</v>
      </c>
      <c r="G6">
        <v>2010</v>
      </c>
      <c r="J6" t="s">
        <v>394</v>
      </c>
      <c r="X6" t="s">
        <v>150</v>
      </c>
      <c r="Y6" t="s">
        <v>394</v>
      </c>
      <c r="Z6">
        <v>76700</v>
      </c>
      <c r="AA6">
        <v>13</v>
      </c>
      <c r="AB6" t="s">
        <v>394</v>
      </c>
      <c r="AC6">
        <v>997100</v>
      </c>
      <c r="AD6" t="s">
        <v>394</v>
      </c>
      <c r="AE6" t="s">
        <v>394</v>
      </c>
      <c r="AF6" t="s">
        <v>394</v>
      </c>
      <c r="AG6">
        <v>997100</v>
      </c>
      <c r="AH6" t="s">
        <v>442</v>
      </c>
      <c r="AI6" t="s">
        <v>394</v>
      </c>
      <c r="AJ6">
        <v>410038</v>
      </c>
      <c r="AK6">
        <v>401206</v>
      </c>
      <c r="AL6">
        <v>811244</v>
      </c>
      <c r="AM6">
        <v>1808344</v>
      </c>
      <c r="AN6">
        <v>1808344</v>
      </c>
      <c r="AO6" t="s">
        <v>394</v>
      </c>
      <c r="AP6">
        <v>191750</v>
      </c>
      <c r="AQ6" t="s">
        <v>394</v>
      </c>
      <c r="AR6">
        <v>191750</v>
      </c>
      <c r="AS6">
        <v>1188850</v>
      </c>
      <c r="AT6">
        <v>1188850</v>
      </c>
      <c r="AU6" t="s">
        <v>442</v>
      </c>
      <c r="AV6" t="s">
        <v>394</v>
      </c>
      <c r="AW6" t="s">
        <v>394</v>
      </c>
      <c r="AX6" t="s">
        <v>394</v>
      </c>
      <c r="AY6">
        <v>0.43</v>
      </c>
      <c r="AZ6" t="s">
        <v>394</v>
      </c>
      <c r="BA6" t="s">
        <v>394</v>
      </c>
      <c r="BB6" t="s">
        <v>394</v>
      </c>
      <c r="BC6">
        <v>0.43</v>
      </c>
      <c r="BD6">
        <v>264000</v>
      </c>
      <c r="BE6">
        <v>3.67</v>
      </c>
      <c r="BF6">
        <v>2</v>
      </c>
      <c r="BG6">
        <v>304000</v>
      </c>
      <c r="BH6">
        <v>3.67</v>
      </c>
      <c r="BI6">
        <v>3</v>
      </c>
      <c r="BJ6">
        <v>0.80</v>
      </c>
      <c r="BK6" t="s">
        <v>394</v>
      </c>
      <c r="BL6" t="s">
        <v>394</v>
      </c>
      <c r="BM6">
        <v>1861424</v>
      </c>
      <c r="BN6">
        <v>3669768</v>
      </c>
      <c r="BO6">
        <v>50004</v>
      </c>
      <c r="BP6" t="s">
        <v>394</v>
      </c>
      <c r="BQ6" t="s">
        <v>394</v>
      </c>
      <c r="BR6" t="s">
        <v>394</v>
      </c>
      <c r="BS6">
        <v>216000</v>
      </c>
      <c r="BT6">
        <v>3900</v>
      </c>
      <c r="BU6" t="s">
        <v>443</v>
      </c>
      <c r="BV6" t="s">
        <v>394</v>
      </c>
      <c r="BW6">
        <v>269904</v>
      </c>
      <c r="BX6">
        <v>3939672</v>
      </c>
      <c r="BY6">
        <v>1267004</v>
      </c>
      <c r="BZ6">
        <v>2078248</v>
      </c>
      <c r="CA6">
        <v>13600</v>
      </c>
      <c r="CB6" t="s">
        <v>394</v>
      </c>
      <c r="CC6">
        <v>13600</v>
      </c>
      <c r="CD6">
        <v>3953272</v>
      </c>
      <c r="CE6">
        <v>1280604</v>
      </c>
      <c r="CF6">
        <v>2091848</v>
      </c>
      <c r="CV6" t="s">
        <v>449</v>
      </c>
    </row>
    <row r="7" spans="6:100" ht="13.2">
      <c r="F7">
        <v>1952</v>
      </c>
      <c r="G7">
        <v>2004</v>
      </c>
      <c r="J7" t="s">
        <v>394</v>
      </c>
      <c r="X7" t="s">
        <v>150</v>
      </c>
      <c r="Y7">
        <v>68578</v>
      </c>
      <c r="Z7">
        <v>69231</v>
      </c>
      <c r="AA7">
        <v>13</v>
      </c>
      <c r="AB7">
        <v>891514</v>
      </c>
      <c r="AC7">
        <v>900003</v>
      </c>
      <c r="AD7" t="s">
        <v>394</v>
      </c>
      <c r="AE7" t="s">
        <v>394</v>
      </c>
      <c r="AF7">
        <v>891514</v>
      </c>
      <c r="AG7">
        <v>900003</v>
      </c>
      <c r="AH7" t="s">
        <v>442</v>
      </c>
      <c r="AI7" t="s">
        <v>394</v>
      </c>
      <c r="AJ7">
        <v>900000</v>
      </c>
      <c r="AK7" t="s">
        <v>394</v>
      </c>
      <c r="AL7">
        <v>900000</v>
      </c>
      <c r="AM7">
        <v>1800003</v>
      </c>
      <c r="AN7">
        <v>1800003</v>
      </c>
      <c r="AO7" t="s">
        <v>394</v>
      </c>
      <c r="AP7">
        <v>900003</v>
      </c>
      <c r="AQ7" t="s">
        <v>394</v>
      </c>
      <c r="AR7">
        <v>900003</v>
      </c>
      <c r="AS7">
        <v>1800006</v>
      </c>
      <c r="AT7">
        <v>1800006</v>
      </c>
      <c r="AU7" t="s">
        <v>442</v>
      </c>
      <c r="AV7" t="s">
        <v>394</v>
      </c>
      <c r="AW7" t="s">
        <v>394</v>
      </c>
      <c r="AX7" t="s">
        <v>394</v>
      </c>
      <c r="AY7">
        <v>0.33</v>
      </c>
      <c r="AZ7" t="s">
        <v>394</v>
      </c>
      <c r="BA7" t="s">
        <v>394</v>
      </c>
      <c r="BB7" t="s">
        <v>394</v>
      </c>
      <c r="BC7">
        <v>0.33</v>
      </c>
      <c r="BD7" t="s">
        <v>394</v>
      </c>
      <c r="BE7" t="s">
        <v>394</v>
      </c>
      <c r="BF7" t="s">
        <v>394</v>
      </c>
      <c r="BG7" t="s">
        <v>394</v>
      </c>
      <c r="BH7" t="s">
        <v>394</v>
      </c>
      <c r="BI7" t="s">
        <v>394</v>
      </c>
      <c r="BJ7">
        <v>0.80</v>
      </c>
      <c r="BK7">
        <v>900003</v>
      </c>
      <c r="BL7">
        <v>3</v>
      </c>
      <c r="BM7">
        <v>900003</v>
      </c>
      <c r="BN7">
        <v>2700006</v>
      </c>
      <c r="BO7" t="s">
        <v>394</v>
      </c>
      <c r="BP7">
        <v>62500</v>
      </c>
      <c r="BQ7" t="s">
        <v>444</v>
      </c>
      <c r="BR7" t="s">
        <v>394</v>
      </c>
      <c r="BS7" t="s">
        <v>394</v>
      </c>
      <c r="BT7">
        <v>3475</v>
      </c>
      <c r="BU7" t="s">
        <v>443</v>
      </c>
      <c r="BV7" t="s">
        <v>394</v>
      </c>
      <c r="BW7">
        <v>65975</v>
      </c>
      <c r="BX7">
        <v>2765981</v>
      </c>
      <c r="BY7">
        <v>965978</v>
      </c>
      <c r="BZ7">
        <v>1865978</v>
      </c>
      <c r="CA7">
        <v>13600</v>
      </c>
      <c r="CB7" t="s">
        <v>394</v>
      </c>
      <c r="CC7">
        <v>13600</v>
      </c>
      <c r="CD7">
        <v>2779581</v>
      </c>
      <c r="CE7">
        <v>979578</v>
      </c>
      <c r="CF7">
        <v>1879578</v>
      </c>
      <c r="CV7" t="s">
        <v>450</v>
      </c>
    </row>
  </sheetData>
  <conditionalFormatting sqref="CZ1">
    <cfRule type="expression" priority="6" dxfId="4">
      <formula>IF(P50ABS&lt;=DG$1,TRUE,FALSE)</formula>
    </cfRule>
  </conditionalFormatting>
  <conditionalFormatting sqref="DA1">
    <cfRule type="expression" priority="5" dxfId="4">
      <formula>IF(AVGABS&lt;=DH$1,TRUE,FALSE)</formula>
    </cfRule>
  </conditionalFormatting>
  <conditionalFormatting sqref="DB1">
    <cfRule type="expression" priority="4" dxfId="4">
      <formula>IF(P50AFC&lt;=DI$1,TRUE,FALSE)</formula>
    </cfRule>
  </conditionalFormatting>
  <conditionalFormatting sqref="DC1">
    <cfRule type="expression" priority="3" dxfId="4">
      <formula>IF(AVGAFC&lt;=DJ$1,TRUE,FALSE)</formula>
    </cfRule>
  </conditionalFormatting>
  <conditionalFormatting sqref="DD1">
    <cfRule type="expression" priority="2" dxfId="4">
      <formula>IF(P50ATC&lt;=DK$1,TRUE,FALSE)</formula>
    </cfRule>
  </conditionalFormatting>
  <conditionalFormatting sqref="DE1">
    <cfRule type="expression" priority="1" dxfId="4">
      <formula>IF(AVGATC&lt;=DL$1,TRUE,FALSE)</formula>
    </cfRule>
  </conditionalFormatting>
  <pageMargins left="0.75" right="0.75" top="1" bottom="1" header="0.5" footer="0.5"/>
  <pageSetup horizontalDpi="300" verticalDpi="300" orientation="portrait" paperSize="9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142" t="s">
        <v>454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143" t="s">
        <v>454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44" t="s">
        <v>454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F8"/>
  <sheetViews>
    <sheetView workbookViewId="0" topLeftCell="BS1">
      <selection pane="topLeft" activeCell="F2" sqref="F2"/>
    </sheetView>
  </sheetViews>
  <sheetFormatPr defaultRowHeight="13.5"/>
  <cols>
    <col min="1" max="5" width="0.857142857142857" customWidth="1"/>
    <col min="6" max="7" width="12.7142857142857" customWidth="1"/>
    <col min="8" max="23" width="0.857142857142857" customWidth="1"/>
    <col min="24" max="84" width="12.7142857142857" customWidth="1"/>
  </cols>
  <sheetData>
    <row r="1" spans="1:84" ht="54.9" customHeight="1">
      <c r="A1" s="11"/>
      <c r="B1" s="11"/>
      <c r="C1" s="11"/>
      <c r="D1" s="11"/>
      <c r="E1" s="11"/>
      <c r="F1" s="73" t="s">
        <v>232</v>
      </c>
      <c r="G1" s="73" t="s">
        <v>304</v>
      </c>
      <c r="H1" s="11"/>
      <c r="I1" s="11"/>
      <c r="J1" s="11"/>
      <c r="K1" s="11"/>
      <c r="L1" s="11"/>
      <c r="M1" s="11"/>
      <c r="N1" s="11"/>
      <c r="O1" s="11"/>
      <c r="P1" s="11"/>
      <c r="Q1" s="11"/>
      <c r="T1" s="3"/>
      <c r="U1" s="3"/>
      <c r="X1" s="27" t="s">
        <v>63</v>
      </c>
      <c r="Y1" s="28" t="s">
        <v>307</v>
      </c>
      <c r="Z1" s="29" t="s">
        <v>383</v>
      </c>
      <c r="AA1" s="29" t="s">
        <v>244</v>
      </c>
      <c r="AB1" s="29" t="s">
        <v>308</v>
      </c>
      <c r="AC1" s="29" t="s">
        <v>384</v>
      </c>
      <c r="AD1" s="27" t="s">
        <v>385</v>
      </c>
      <c r="AE1" s="27" t="s">
        <v>386</v>
      </c>
      <c r="AF1" s="27" t="s">
        <v>387</v>
      </c>
      <c r="AG1" s="27" t="s">
        <v>388</v>
      </c>
      <c r="AH1" s="29" t="s">
        <v>245</v>
      </c>
      <c r="AI1" s="29" t="s">
        <v>309</v>
      </c>
      <c r="AJ1" s="29" t="s">
        <v>66</v>
      </c>
      <c r="AK1" s="29" t="s">
        <v>310</v>
      </c>
      <c r="AL1" s="29" t="s">
        <v>67</v>
      </c>
      <c r="AM1" s="29" t="s">
        <v>68</v>
      </c>
      <c r="AN1" s="76" t="s">
        <v>327</v>
      </c>
      <c r="AO1" s="27" t="s">
        <v>311</v>
      </c>
      <c r="AP1" s="27" t="s">
        <v>69</v>
      </c>
      <c r="AQ1" s="27" t="s">
        <v>312</v>
      </c>
      <c r="AR1" s="27" t="s">
        <v>70</v>
      </c>
      <c r="AS1" s="27" t="s">
        <v>71</v>
      </c>
      <c r="AT1" s="77" t="s">
        <v>329</v>
      </c>
      <c r="AU1" s="29" t="s">
        <v>246</v>
      </c>
      <c r="AV1" s="29" t="s">
        <v>247</v>
      </c>
      <c r="AW1" s="29" t="s">
        <v>313</v>
      </c>
      <c r="AX1" s="29" t="s">
        <v>248</v>
      </c>
      <c r="AY1" s="29" t="s">
        <v>249</v>
      </c>
      <c r="AZ1" s="27" t="s">
        <v>250</v>
      </c>
      <c r="BA1" s="27" t="s">
        <v>314</v>
      </c>
      <c r="BB1" s="27" t="s">
        <v>251</v>
      </c>
      <c r="BC1" s="27" t="s">
        <v>252</v>
      </c>
      <c r="BD1" s="29" t="s">
        <v>253</v>
      </c>
      <c r="BE1" s="29" t="s">
        <v>315</v>
      </c>
      <c r="BF1" s="29" t="s">
        <v>254</v>
      </c>
      <c r="BG1" s="27" t="s">
        <v>255</v>
      </c>
      <c r="BH1" s="27" t="s">
        <v>256</v>
      </c>
      <c r="BI1" s="27" t="s">
        <v>257</v>
      </c>
      <c r="BJ1" s="27" t="s">
        <v>258</v>
      </c>
      <c r="BK1" s="29" t="s">
        <v>259</v>
      </c>
      <c r="BL1" s="29" t="s">
        <v>260</v>
      </c>
      <c r="BM1" s="27" t="s">
        <v>316</v>
      </c>
      <c r="BN1" s="27" t="s">
        <v>72</v>
      </c>
      <c r="BO1" s="29" t="s">
        <v>83</v>
      </c>
      <c r="BP1" s="29" t="s">
        <v>220</v>
      </c>
      <c r="BQ1" s="29" t="s">
        <v>391</v>
      </c>
      <c r="BR1" s="29" t="s">
        <v>392</v>
      </c>
      <c r="BS1" s="29" t="s">
        <v>317</v>
      </c>
      <c r="BT1" s="29" t="s">
        <v>73</v>
      </c>
      <c r="BU1" s="29" t="s">
        <v>393</v>
      </c>
      <c r="BV1" s="29" t="s">
        <v>74</v>
      </c>
      <c r="BW1" s="29" t="s">
        <v>75</v>
      </c>
      <c r="BX1" s="29" t="s">
        <v>76</v>
      </c>
      <c r="BY1" s="76" t="s">
        <v>77</v>
      </c>
      <c r="BZ1" s="76" t="s">
        <v>78</v>
      </c>
      <c r="CA1" s="27" t="s">
        <v>261</v>
      </c>
      <c r="CB1" s="27" t="s">
        <v>262</v>
      </c>
      <c r="CC1" s="27" t="s">
        <v>79</v>
      </c>
      <c r="CD1" s="27" t="s">
        <v>80</v>
      </c>
      <c r="CE1" s="77" t="s">
        <v>117</v>
      </c>
      <c r="CF1" s="77" t="s">
        <v>116</v>
      </c>
    </row>
    <row r="2" spans="6:84" ht="13.2">
      <c r="F2" s="10" t="str">
        <f ca="1">TRIM(INDIRECT("Working!"&amp;ADDRESS(ROW(),COLUMN())))</f>
        <v>1957</v>
      </c>
      <c r="G2" s="10" t="str">
        <f ca="1">TRIM(INDIRECT("Working!"&amp;ADDRESS(ROW(),COLUMN())))</f>
        <v>1989</v>
      </c>
      <c r="U2" s="3"/>
      <c r="X2" s="10" t="str">
        <f ca="1">TRIM(INDIRECT("Working!"&amp;ADDRESS(ROW(),COLUMN())))</f>
        <v>Singapore Dollars (SGD)</v>
      </c>
      <c r="Y2" s="10" t="str">
        <f ca="1" t="shared" si="0" ref="Y2:CF6">TRIM(INDIRECT("Working!"&amp;ADDRESS(ROW(),COLUMN())))</f>
        <v>126700</v>
      </c>
      <c r="Z2" s="10" t="str">
        <f ca="1" t="shared" si="0"/>
        <v>126700</v>
      </c>
      <c r="AA2" s="10" t="str">
        <f ca="1" t="shared" si="0"/>
        <v>13</v>
      </c>
      <c r="AB2" s="10" t="str">
        <f ca="1" t="shared" si="0"/>
        <v>1647100</v>
      </c>
      <c r="AC2" s="10" t="str">
        <f ca="1" t="shared" si="0"/>
        <v>1647100</v>
      </c>
      <c r="AD2" s="10" t="str">
        <f ca="1" t="shared" si="0"/>
        <v/>
      </c>
      <c r="AE2" s="10" t="str">
        <f ca="1" t="shared" si="0"/>
        <v>89280</v>
      </c>
      <c r="AF2" s="10" t="str">
        <f ca="1" t="shared" si="0"/>
        <v>1647100</v>
      </c>
      <c r="AG2" s="10" t="str">
        <f ca="1" t="shared" si="0"/>
        <v>1736380</v>
      </c>
      <c r="AH2" s="10" t="str">
        <f ca="1" t="shared" si="0"/>
        <v>Y</v>
      </c>
      <c r="AI2" s="10" t="str">
        <f ca="1" t="shared" si="0"/>
        <v/>
      </c>
      <c r="AJ2" s="10" t="str">
        <f ca="1" t="shared" si="0"/>
        <v>3200000</v>
      </c>
      <c r="AK2" s="10" t="str">
        <f ca="1" t="shared" si="0"/>
        <v/>
      </c>
      <c r="AL2" s="10" t="str">
        <f ca="1" t="shared" si="0"/>
        <v>3200000</v>
      </c>
      <c r="AM2" s="10" t="str">
        <f ca="1" t="shared" si="0"/>
        <v>4936380</v>
      </c>
      <c r="AN2" s="10" t="str">
        <f ca="1" t="shared" si="0"/>
        <v>4847100</v>
      </c>
      <c r="AO2" s="10" t="str">
        <f ca="1" t="shared" si="0"/>
        <v/>
      </c>
      <c r="AP2" s="10" t="str">
        <f ca="1" t="shared" si="0"/>
        <v>3200000</v>
      </c>
      <c r="AQ2" s="10" t="str">
        <f ca="1" t="shared" si="0"/>
        <v/>
      </c>
      <c r="AR2" s="10" t="str">
        <f ca="1" t="shared" si="0"/>
        <v>3200000</v>
      </c>
      <c r="AS2" s="10" t="str">
        <f ca="1" t="shared" si="0"/>
        <v>4936380</v>
      </c>
      <c r="AT2" s="10" t="str">
        <f ca="1" t="shared" si="0"/>
        <v>4847100</v>
      </c>
      <c r="AU2" s="10" t="str">
        <f ca="1" t="shared" si="0"/>
        <v>N</v>
      </c>
      <c r="AV2" s="10" t="str">
        <f ca="1" t="shared" si="0"/>
        <v/>
      </c>
      <c r="AW2" s="10" t="str">
        <f ca="1" t="shared" si="0"/>
        <v/>
      </c>
      <c r="AX2" s="10" t="str">
        <f ca="1" t="shared" si="0"/>
        <v/>
      </c>
      <c r="AY2" s="10" t="str">
        <f ca="1" t="shared" si="0"/>
        <v>0.43</v>
      </c>
      <c r="AZ2" s="10" t="str">
        <f ca="1" t="shared" si="0"/>
        <v/>
      </c>
      <c r="BA2" s="10" t="str">
        <f ca="1" t="shared" si="0"/>
        <v/>
      </c>
      <c r="BB2" s="10" t="str">
        <f ca="1" t="shared" si="0"/>
        <v/>
      </c>
      <c r="BC2" s="10" t="str">
        <f ca="1" t="shared" si="0"/>
        <v>0.43</v>
      </c>
      <c r="BD2" s="10" t="str">
        <f ca="1" t="shared" si="0"/>
        <v/>
      </c>
      <c r="BE2" s="10" t="str">
        <f ca="1" t="shared" si="0"/>
        <v/>
      </c>
      <c r="BF2" s="10" t="str">
        <f ca="1" t="shared" si="0"/>
        <v/>
      </c>
      <c r="BG2" s="10" t="str">
        <f ca="1" t="shared" si="0"/>
        <v/>
      </c>
      <c r="BH2" s="10" t="str">
        <f ca="1" t="shared" si="0"/>
        <v/>
      </c>
      <c r="BI2" s="10" t="str">
        <f ca="1" t="shared" si="0"/>
        <v/>
      </c>
      <c r="BJ2" s="10" t="str">
        <f ca="1" t="shared" si="0"/>
        <v>0.8</v>
      </c>
      <c r="BK2" s="10" t="str">
        <f ca="1" t="shared" si="0"/>
        <v/>
      </c>
      <c r="BL2" s="10" t="str">
        <f ca="1" t="shared" si="0"/>
        <v/>
      </c>
      <c r="BM2" s="10" t="str">
        <f ca="1" t="shared" si="0"/>
        <v/>
      </c>
      <c r="BN2" s="10" t="str">
        <f ca="1" t="shared" si="0"/>
        <v>4936380</v>
      </c>
      <c r="BO2" s="10" t="str">
        <f ca="1" t="shared" si="0"/>
        <v>66000</v>
      </c>
      <c r="BP2" s="10" t="str">
        <f ca="1" t="shared" si="0"/>
        <v/>
      </c>
      <c r="BQ2" s="10" t="str">
        <f ca="1" t="shared" si="0"/>
        <v/>
      </c>
      <c r="BR2" s="10" t="str">
        <f ca="1" t="shared" si="0"/>
        <v/>
      </c>
      <c r="BS2" s="10" t="str">
        <f ca="1" t="shared" si="0"/>
        <v/>
      </c>
      <c r="BT2" s="10" t="str">
        <f ca="1" t="shared" si="0"/>
        <v>2406</v>
      </c>
      <c r="BU2" s="10" t="str">
        <f ca="1" t="shared" si="0"/>
        <v>N</v>
      </c>
      <c r="BV2" s="10" t="str">
        <f ca="1" t="shared" si="0"/>
        <v/>
      </c>
      <c r="BW2" s="10" t="str">
        <f ca="1" t="shared" si="0"/>
        <v>68406</v>
      </c>
      <c r="BX2" s="10" t="str">
        <f ca="1" t="shared" si="0"/>
        <v>5004786</v>
      </c>
      <c r="BY2" s="10" t="str">
        <f ca="1" t="shared" si="0"/>
        <v>1804786</v>
      </c>
      <c r="BZ2" s="10" t="str">
        <f ca="1" t="shared" si="0"/>
        <v>5004786</v>
      </c>
      <c r="CA2" s="10" t="str">
        <f ca="1" t="shared" si="0"/>
        <v>9474</v>
      </c>
      <c r="CB2" s="10" t="str">
        <f ca="1" t="shared" si="0"/>
        <v/>
      </c>
      <c r="CC2" s="10" t="str">
        <f ca="1" t="shared" si="0"/>
        <v>9474</v>
      </c>
      <c r="CD2" s="10" t="str">
        <f ca="1" t="shared" si="0"/>
        <v>5014260</v>
      </c>
      <c r="CE2" s="10" t="str">
        <f ca="1" t="shared" si="0"/>
        <v>1814260</v>
      </c>
      <c r="CF2" s="10" t="str">
        <f ca="1" t="shared" si="0"/>
        <v>5014260</v>
      </c>
    </row>
    <row r="3" spans="6:84" ht="13.2">
      <c r="F3" s="10" t="str">
        <f ca="1" t="shared" si="1" ref="F3:G8">TRIM(INDIRECT("Working!"&amp;ADDRESS(ROW(),COLUMN())))</f>
        <v>1955</v>
      </c>
      <c r="G3" s="10" t="str">
        <f ca="1" t="shared" si="1"/>
        <v>1980</v>
      </c>
      <c r="U3" s="3"/>
      <c r="X3" s="10" t="str">
        <f ca="1" t="shared" si="2" ref="X3:AM8">TRIM(INDIRECT("Working!"&amp;ADDRESS(ROW(),COLUMN())))</f>
        <v>Singapore Dollars (SGD)</v>
      </c>
      <c r="Y3" s="10" t="str">
        <f ca="1" t="shared" si="0"/>
        <v>84300</v>
      </c>
      <c r="Z3" s="10" t="str">
        <f ca="1" t="shared" si="0"/>
        <v>90000</v>
      </c>
      <c r="AA3" s="10" t="str">
        <f ca="1" t="shared" si="0"/>
        <v>13</v>
      </c>
      <c r="AB3" s="10" t="str">
        <f ca="1" t="shared" si="0"/>
        <v>1095900</v>
      </c>
      <c r="AC3" s="10" t="str">
        <f ca="1" t="shared" si="0"/>
        <v>1170000</v>
      </c>
      <c r="AD3" s="10" t="str">
        <f ca="1" t="shared" si="0"/>
        <v/>
      </c>
      <c r="AE3" s="10" t="str">
        <f ca="1" t="shared" si="0"/>
        <v>89280</v>
      </c>
      <c r="AF3" s="10" t="str">
        <f ca="1" t="shared" si="0"/>
        <v>1095900</v>
      </c>
      <c r="AG3" s="10" t="str">
        <f ca="1" t="shared" si="0"/>
        <v>1259280</v>
      </c>
      <c r="AH3" s="10" t="str">
        <f ca="1" t="shared" si="0"/>
        <v>Y</v>
      </c>
      <c r="AI3" s="10" t="str">
        <f ca="1" t="shared" si="0"/>
        <v/>
      </c>
      <c r="AJ3" s="10" t="str">
        <f ca="1" t="shared" si="0"/>
        <v>2250000</v>
      </c>
      <c r="AK3" s="10" t="str">
        <f ca="1" t="shared" si="0"/>
        <v/>
      </c>
      <c r="AL3" s="10" t="str">
        <f ca="1" t="shared" si="0"/>
        <v>2250000</v>
      </c>
      <c r="AM3" s="10" t="str">
        <f ca="1" t="shared" si="0"/>
        <v>3509280</v>
      </c>
      <c r="AN3" s="10" t="str">
        <f ca="1" t="shared" si="0"/>
        <v>3420000</v>
      </c>
      <c r="AO3" s="10" t="str">
        <f ca="1" t="shared" si="0"/>
        <v/>
      </c>
      <c r="AP3" s="10" t="str">
        <f ca="1" t="shared" si="0"/>
        <v>2250000</v>
      </c>
      <c r="AQ3" s="10" t="str">
        <f ca="1" t="shared" si="0"/>
        <v/>
      </c>
      <c r="AR3" s="10" t="str">
        <f ca="1" t="shared" si="0"/>
        <v>2250000</v>
      </c>
      <c r="AS3" s="10" t="str">
        <f ca="1" t="shared" si="0"/>
        <v>3509280</v>
      </c>
      <c r="AT3" s="10" t="str">
        <f ca="1" t="shared" si="0"/>
        <v>3420000</v>
      </c>
      <c r="AU3" s="10" t="str">
        <f ca="1" t="shared" si="0"/>
        <v>N</v>
      </c>
      <c r="AV3" s="10" t="str">
        <f ca="1" t="shared" si="0"/>
        <v/>
      </c>
      <c r="AW3" s="10" t="str">
        <f ca="1" t="shared" si="0"/>
        <v/>
      </c>
      <c r="AX3" s="10" t="str">
        <f ca="1" t="shared" si="0"/>
        <v/>
      </c>
      <c r="AY3" s="10" t="str">
        <f ca="1" t="shared" si="0"/>
        <v>0.43</v>
      </c>
      <c r="AZ3" s="10" t="str">
        <f ca="1" t="shared" si="0"/>
        <v/>
      </c>
      <c r="BA3" s="10" t="str">
        <f ca="1" t="shared" si="0"/>
        <v/>
      </c>
      <c r="BB3" s="10" t="str">
        <f ca="1" t="shared" si="0"/>
        <v/>
      </c>
      <c r="BC3" s="10" t="str">
        <f ca="1" t="shared" si="0"/>
        <v>0.43</v>
      </c>
      <c r="BD3" s="10" t="str">
        <f ca="1" t="shared" si="0"/>
        <v/>
      </c>
      <c r="BE3" s="10" t="str">
        <f ca="1" t="shared" si="0"/>
        <v/>
      </c>
      <c r="BF3" s="10" t="str">
        <f ca="1" t="shared" si="0"/>
        <v/>
      </c>
      <c r="BG3" s="10" t="str">
        <f ca="1" t="shared" si="0"/>
        <v/>
      </c>
      <c r="BH3" s="10" t="str">
        <f ca="1" t="shared" si="0"/>
        <v/>
      </c>
      <c r="BI3" s="10" t="str">
        <f ca="1" t="shared" si="0"/>
        <v/>
      </c>
      <c r="BJ3" s="10" t="str">
        <f ca="1" t="shared" si="0"/>
        <v>0.8</v>
      </c>
      <c r="BK3" s="10" t="str">
        <f ca="1" t="shared" si="0"/>
        <v/>
      </c>
      <c r="BL3" s="10" t="str">
        <f ca="1" t="shared" si="0"/>
        <v/>
      </c>
      <c r="BM3" s="10" t="str">
        <f ca="1" t="shared" si="0"/>
        <v/>
      </c>
      <c r="BN3" s="10" t="str">
        <f ca="1" t="shared" si="0"/>
        <v>3509280</v>
      </c>
      <c r="BO3" s="10" t="str">
        <f ca="1" t="shared" si="0"/>
        <v>54000</v>
      </c>
      <c r="BP3" s="10" t="str">
        <f ca="1" t="shared" si="0"/>
        <v/>
      </c>
      <c r="BQ3" s="10" t="str">
        <f ca="1" t="shared" si="0"/>
        <v/>
      </c>
      <c r="BR3" s="10" t="str">
        <f ca="1" t="shared" si="0"/>
        <v/>
      </c>
      <c r="BS3" s="10" t="str">
        <f ca="1" t="shared" si="0"/>
        <v/>
      </c>
      <c r="BT3" s="10" t="str">
        <f ca="1" t="shared" si="0"/>
        <v>1926</v>
      </c>
      <c r="BU3" s="10" t="str">
        <f ca="1" t="shared" si="0"/>
        <v>N</v>
      </c>
      <c r="BV3" s="10" t="str">
        <f ca="1" t="shared" si="0"/>
        <v/>
      </c>
      <c r="BW3" s="10" t="str">
        <f ca="1" t="shared" si="0"/>
        <v>55926</v>
      </c>
      <c r="BX3" s="10" t="str">
        <f ca="1" t="shared" si="0"/>
        <v>3565206</v>
      </c>
      <c r="BY3" s="10" t="str">
        <f ca="1" t="shared" si="0"/>
        <v>1315206</v>
      </c>
      <c r="BZ3" s="10" t="str">
        <f ca="1" t="shared" si="0"/>
        <v>3565206</v>
      </c>
      <c r="CA3" s="10" t="str">
        <f ca="1" t="shared" si="0"/>
        <v>7048</v>
      </c>
      <c r="CB3" s="10" t="str">
        <f ca="1" t="shared" si="0"/>
        <v/>
      </c>
      <c r="CC3" s="10" t="str">
        <f ca="1" t="shared" si="0"/>
        <v>7048</v>
      </c>
      <c r="CD3" s="10" t="str">
        <f ca="1" t="shared" si="0"/>
        <v>3572254</v>
      </c>
      <c r="CE3" s="10" t="str">
        <f ca="1" t="shared" si="0"/>
        <v>1322254</v>
      </c>
      <c r="CF3" s="10" t="str">
        <f ca="1" t="shared" si="0"/>
        <v>3572254</v>
      </c>
    </row>
    <row r="4" spans="6:84" ht="13.2">
      <c r="F4" s="10" t="str">
        <f ca="1" t="shared" si="1"/>
        <v>1953</v>
      </c>
      <c r="G4" s="10" t="str">
        <f ca="1" t="shared" si="1"/>
        <v>2005</v>
      </c>
      <c r="U4" s="3"/>
      <c r="X4" s="10" t="str">
        <f ca="1" t="shared" si="2"/>
        <v>Singapore Dollars (SGD)</v>
      </c>
      <c r="Y4" s="10" t="str">
        <f ca="1" t="shared" si="0"/>
        <v>92700</v>
      </c>
      <c r="Z4" s="10" t="str">
        <f ca="1" t="shared" si="0"/>
        <v>96871.5</v>
      </c>
      <c r="AA4" s="10" t="str">
        <f ca="1" t="shared" si="0"/>
        <v>12</v>
      </c>
      <c r="AB4" s="10" t="str">
        <f ca="1" t="shared" si="0"/>
        <v>1112400</v>
      </c>
      <c r="AC4" s="10" t="str">
        <f ca="1" t="shared" si="0"/>
        <v>1162458</v>
      </c>
      <c r="AD4" s="10" t="str">
        <f ca="1" t="shared" si="0"/>
        <v>720</v>
      </c>
      <c r="AE4" s="10" t="str">
        <f ca="1" t="shared" si="0"/>
        <v>103680</v>
      </c>
      <c r="AF4" s="10" t="str">
        <f ca="1" t="shared" si="0"/>
        <v>1113120</v>
      </c>
      <c r="AG4" s="10" t="str">
        <f ca="1" t="shared" si="0"/>
        <v>1266138</v>
      </c>
      <c r="AH4" s="10" t="str">
        <f ca="1" t="shared" si="0"/>
        <v>Y</v>
      </c>
      <c r="AI4" s="10" t="str">
        <f ca="1" t="shared" si="0"/>
        <v/>
      </c>
      <c r="AJ4" s="10" t="str">
        <f ca="1" t="shared" si="0"/>
        <v>1212262.7</v>
      </c>
      <c r="AK4" s="10" t="str">
        <f ca="1" t="shared" si="0"/>
        <v/>
      </c>
      <c r="AL4" s="10" t="str">
        <f ca="1" t="shared" si="0"/>
        <v>1212262.7</v>
      </c>
      <c r="AM4" s="10" t="str">
        <f ca="1" t="shared" si="0"/>
        <v>2478400.7</v>
      </c>
      <c r="AN4" s="10" t="str">
        <f ca="1" t="shared" si="0"/>
        <v>2374720.7</v>
      </c>
      <c r="AO4" s="10" t="str">
        <f ca="1" t="shared" si="0"/>
        <v/>
      </c>
      <c r="AP4" s="10" t="str">
        <f ca="1" t="shared" si="0"/>
        <v>468369</v>
      </c>
      <c r="AQ4" s="10" t="str">
        <f ca="1" t="shared" si="0"/>
        <v/>
      </c>
      <c r="AR4" s="10" t="str">
        <f ca="1" t="shared" si="0"/>
        <v>468369</v>
      </c>
      <c r="AS4" s="10" t="str">
        <f ca="1" t="shared" si="0"/>
        <v>1734507</v>
      </c>
      <c r="AT4" s="10" t="str">
        <f ca="1" t="shared" si="0"/>
        <v>1630827</v>
      </c>
      <c r="AU4" s="10" t="str">
        <f ca="1" t="shared" si="0"/>
        <v>Y</v>
      </c>
      <c r="AV4" s="10" t="str">
        <f ca="1" t="shared" si="0"/>
        <v/>
      </c>
      <c r="AW4" s="10" t="str">
        <f ca="1" t="shared" si="0"/>
        <v/>
      </c>
      <c r="AX4" s="10" t="str">
        <f ca="1" t="shared" si="0"/>
        <v/>
      </c>
      <c r="AY4" s="10" t="str">
        <f ca="1" t="shared" si="0"/>
        <v>0.33</v>
      </c>
      <c r="AZ4" s="10" t="str">
        <f ca="1" t="shared" si="0"/>
        <v/>
      </c>
      <c r="BA4" s="10" t="str">
        <f ca="1" t="shared" si="0"/>
        <v/>
      </c>
      <c r="BB4" s="10" t="str">
        <f ca="1" t="shared" si="0"/>
        <v/>
      </c>
      <c r="BC4" s="10" t="str">
        <f ca="1" t="shared" si="0"/>
        <v>0.33</v>
      </c>
      <c r="BD4" s="10" t="str">
        <f ca="1" t="shared" si="0"/>
        <v/>
      </c>
      <c r="BE4" s="10" t="str">
        <f ca="1" t="shared" si="0"/>
        <v/>
      </c>
      <c r="BF4" s="10" t="str">
        <f ca="1" t="shared" si="0"/>
        <v/>
      </c>
      <c r="BG4" s="10" t="str">
        <f ca="1" t="shared" si="0"/>
        <v/>
      </c>
      <c r="BH4" s="10" t="str">
        <f ca="1" t="shared" si="0"/>
        <v/>
      </c>
      <c r="BI4" s="10" t="str">
        <f ca="1" t="shared" si="0"/>
        <v>1</v>
      </c>
      <c r="BJ4" s="10" t="str">
        <f ca="1" t="shared" si="0"/>
        <v>0.8</v>
      </c>
      <c r="BK4" s="10" t="str">
        <f ca="1" t="shared" si="0"/>
        <v>610000</v>
      </c>
      <c r="BL4" s="10" t="str">
        <f ca="1" t="shared" si="0"/>
        <v>1</v>
      </c>
      <c r="BM4" s="10" t="str">
        <f ca="1" t="shared" si="0"/>
        <v>610000</v>
      </c>
      <c r="BN4" s="10" t="str">
        <f ca="1" t="shared" si="0"/>
        <v>3088400.7</v>
      </c>
      <c r="BO4" s="10" t="str">
        <f ca="1" t="shared" si="0"/>
        <v/>
      </c>
      <c r="BP4" s="10" t="str">
        <f ca="1" t="shared" si="0"/>
        <v>15050</v>
      </c>
      <c r="BQ4" s="10" t="str">
        <f ca="1" t="shared" si="0"/>
        <v/>
      </c>
      <c r="BR4" s="10" t="str">
        <f ca="1" t="shared" si="0"/>
        <v/>
      </c>
      <c r="BS4" s="10" t="str">
        <f ca="1" t="shared" si="0"/>
        <v/>
      </c>
      <c r="BT4" s="10" t="str">
        <f ca="1" t="shared" si="0"/>
        <v>2400</v>
      </c>
      <c r="BU4" s="10" t="str">
        <f ca="1" t="shared" si="0"/>
        <v>N</v>
      </c>
      <c r="BV4" s="10" t="str">
        <f ca="1" t="shared" si="0"/>
        <v/>
      </c>
      <c r="BW4" s="10" t="str">
        <f ca="1" t="shared" si="0"/>
        <v>17450</v>
      </c>
      <c r="BX4" s="10" t="str">
        <f ca="1" t="shared" si="0"/>
        <v>3105850.7</v>
      </c>
      <c r="BY4" s="10" t="str">
        <f ca="1" t="shared" si="0"/>
        <v>1283588</v>
      </c>
      <c r="BZ4" s="10" t="str">
        <f ca="1" t="shared" si="0"/>
        <v>2495850.7</v>
      </c>
      <c r="CA4" s="10" t="str">
        <f ca="1" t="shared" si="0"/>
        <v>5743</v>
      </c>
      <c r="CB4" s="10" t="str">
        <f ca="1" t="shared" si="0"/>
        <v/>
      </c>
      <c r="CC4" s="10" t="str">
        <f ca="1" t="shared" si="0"/>
        <v>5743</v>
      </c>
      <c r="CD4" s="10" t="str">
        <f ca="1" t="shared" si="0"/>
        <v>3111593.7</v>
      </c>
      <c r="CE4" s="10" t="str">
        <f ca="1" t="shared" si="0"/>
        <v>1289331</v>
      </c>
      <c r="CF4" s="10" t="str">
        <f ca="1" t="shared" si="0"/>
        <v>2501593.7</v>
      </c>
    </row>
    <row r="5" spans="6:84" ht="13.2">
      <c r="F5" s="10" t="str">
        <f ca="1" t="shared" si="1"/>
        <v>1953</v>
      </c>
      <c r="G5" s="10" t="str">
        <f ca="1" t="shared" si="1"/>
        <v>2008</v>
      </c>
      <c r="U5" s="3"/>
      <c r="X5" s="10" t="str">
        <f ca="1" t="shared" si="2"/>
        <v>Singapore Dollars (SGD)</v>
      </c>
      <c r="Y5" s="10" t="str">
        <f ca="1" t="shared" si="0"/>
        <v>84241</v>
      </c>
      <c r="Z5" s="10" t="str">
        <f ca="1" t="shared" si="0"/>
        <v>88031.845</v>
      </c>
      <c r="AA5" s="10" t="str">
        <f ca="1" t="shared" si="0"/>
        <v>12</v>
      </c>
      <c r="AB5" s="10" t="str">
        <f ca="1" t="shared" si="0"/>
        <v>1010892</v>
      </c>
      <c r="AC5" s="10" t="str">
        <f ca="1" t="shared" si="0"/>
        <v>1056382.14</v>
      </c>
      <c r="AD5" s="10" t="str">
        <f ca="1" t="shared" si="0"/>
        <v>82800</v>
      </c>
      <c r="AE5" s="10" t="str">
        <f ca="1" t="shared" si="0"/>
        <v>82800</v>
      </c>
      <c r="AF5" s="10" t="str">
        <f ca="1" t="shared" si="0"/>
        <v>1093692</v>
      </c>
      <c r="AG5" s="10" t="str">
        <f ca="1" t="shared" si="0"/>
        <v>1139182.14</v>
      </c>
      <c r="AH5" s="10" t="str">
        <f ca="1" t="shared" si="0"/>
        <v>Y</v>
      </c>
      <c r="AI5" s="10" t="str">
        <f ca="1" t="shared" si="0"/>
        <v/>
      </c>
      <c r="AJ5" s="10" t="str">
        <f ca="1" t="shared" si="0"/>
        <v>1180361.985</v>
      </c>
      <c r="AK5" s="10" t="str">
        <f ca="1" t="shared" si="0"/>
        <v/>
      </c>
      <c r="AL5" s="10" t="str">
        <f ca="1" t="shared" si="0"/>
        <v>1180361.985</v>
      </c>
      <c r="AM5" s="10" t="str">
        <f ca="1" t="shared" si="0"/>
        <v>2319544.125</v>
      </c>
      <c r="AN5" s="10" t="str">
        <f ca="1" t="shared" si="0"/>
        <v>2236744.125</v>
      </c>
      <c r="AO5" s="10" t="str">
        <f ca="1" t="shared" si="0"/>
        <v/>
      </c>
      <c r="AP5" s="10" t="str">
        <f ca="1" t="shared" si="0"/>
        <v>632787.21</v>
      </c>
      <c r="AQ5" s="10" t="str">
        <f ca="1" t="shared" si="0"/>
        <v/>
      </c>
      <c r="AR5" s="10" t="str">
        <f ca="1" t="shared" si="0"/>
        <v>632787.21</v>
      </c>
      <c r="AS5" s="10" t="str">
        <f ca="1" t="shared" si="0"/>
        <v>1771969.35</v>
      </c>
      <c r="AT5" s="10" t="str">
        <f ca="1" t="shared" si="0"/>
        <v>1689169.35</v>
      </c>
      <c r="AU5" s="10" t="str">
        <f ca="1" t="shared" si="0"/>
        <v>Y</v>
      </c>
      <c r="AV5" s="10" t="str">
        <f ca="1" t="shared" si="0"/>
        <v>39600</v>
      </c>
      <c r="AW5" s="10" t="str">
        <f ca="1" t="shared" si="0"/>
        <v>39.571056</v>
      </c>
      <c r="AX5" s="10" t="str">
        <f ca="1" t="shared" si="0"/>
        <v>1</v>
      </c>
      <c r="AY5" s="10" t="str">
        <f ca="1" t="shared" si="0"/>
        <v>0.23</v>
      </c>
      <c r="AZ5" s="10" t="str">
        <f ca="1" t="shared" si="0"/>
        <v/>
      </c>
      <c r="BA5" s="10" t="str">
        <f ca="1" t="shared" si="0"/>
        <v/>
      </c>
      <c r="BB5" s="10" t="str">
        <f ca="1" t="shared" si="0"/>
        <v/>
      </c>
      <c r="BC5" s="10" t="str">
        <f ca="1" t="shared" si="0"/>
        <v>0.23</v>
      </c>
      <c r="BD5" s="10" t="str">
        <f ca="1" t="shared" si="0"/>
        <v>6600</v>
      </c>
      <c r="BE5" s="10" t="str">
        <f ca="1" t="shared" si="0"/>
        <v>39.571056</v>
      </c>
      <c r="BF5" s="10" t="str">
        <f ca="1" t="shared" si="0"/>
        <v>1</v>
      </c>
      <c r="BG5" s="10" t="str">
        <f ca="1" t="shared" si="0"/>
        <v/>
      </c>
      <c r="BH5" s="10" t="str">
        <f ca="1" t="shared" si="0"/>
        <v/>
      </c>
      <c r="BI5" s="10" t="str">
        <f ca="1" t="shared" si="0"/>
        <v>1</v>
      </c>
      <c r="BJ5" s="10" t="str">
        <f ca="1" t="shared" si="0"/>
        <v>0.8</v>
      </c>
      <c r="BK5" s="10" t="str">
        <f ca="1" t="shared" si="0"/>
        <v/>
      </c>
      <c r="BL5" s="10" t="str">
        <f ca="1" t="shared" si="0"/>
        <v>1</v>
      </c>
      <c r="BM5" s="10" t="str">
        <f ca="1" t="shared" si="0"/>
        <v>621582.147648</v>
      </c>
      <c r="BN5" s="10" t="str">
        <f ca="1" t="shared" si="0"/>
        <v>2941126.272648</v>
      </c>
      <c r="BO5" s="10" t="str">
        <f ca="1" t="shared" si="0"/>
        <v/>
      </c>
      <c r="BP5" s="10" t="str">
        <f ca="1" t="shared" si="0"/>
        <v/>
      </c>
      <c r="BQ5" s="10" t="str">
        <f ca="1" t="shared" si="0"/>
        <v/>
      </c>
      <c r="BR5" s="10" t="str">
        <f ca="1" t="shared" si="0"/>
        <v/>
      </c>
      <c r="BS5" s="10" t="str">
        <f ca="1" t="shared" si="0"/>
        <v/>
      </c>
      <c r="BT5" s="10" t="str">
        <f ca="1" t="shared" si="0"/>
        <v/>
      </c>
      <c r="BU5" s="10" t="str">
        <f ca="1" t="shared" si="0"/>
        <v>N</v>
      </c>
      <c r="BV5" s="10" t="str">
        <f ca="1" t="shared" si="0"/>
        <v/>
      </c>
      <c r="BW5" s="10" t="str">
        <f ca="1" t="shared" si="0"/>
        <v/>
      </c>
      <c r="BX5" s="10" t="str">
        <f ca="1" t="shared" si="0"/>
        <v>2941126.272648</v>
      </c>
      <c r="BY5" s="10" t="str">
        <f ca="1" t="shared" si="0"/>
        <v>1139182.14</v>
      </c>
      <c r="BZ5" s="10" t="str">
        <f ca="1" t="shared" si="0"/>
        <v>2319544.125</v>
      </c>
      <c r="CA5" s="10" t="str">
        <f ca="1" t="shared" si="0"/>
        <v>13600</v>
      </c>
      <c r="CB5" s="10" t="str">
        <f ca="1" t="shared" si="0"/>
        <v/>
      </c>
      <c r="CC5" s="10" t="str">
        <f ca="1" t="shared" si="0"/>
        <v>13600</v>
      </c>
      <c r="CD5" s="10" t="str">
        <f ca="1" t="shared" si="0"/>
        <v>2954726.272648</v>
      </c>
      <c r="CE5" s="10" t="str">
        <f ca="1" t="shared" si="0"/>
        <v>1152782.14</v>
      </c>
      <c r="CF5" s="10" t="str">
        <f ca="1" t="shared" si="0"/>
        <v>2333144.125</v>
      </c>
    </row>
    <row r="6" spans="6:84" ht="13.2">
      <c r="F6" s="10" t="str">
        <f ca="1" t="shared" si="1"/>
        <v>1952</v>
      </c>
      <c r="G6" s="10" t="str">
        <f ca="1" t="shared" si="1"/>
        <v>2010</v>
      </c>
      <c r="U6" s="3"/>
      <c r="X6" s="10" t="str">
        <f ca="1" t="shared" si="2"/>
        <v>Singapore Dollars (SGD)</v>
      </c>
      <c r="Y6" s="10" t="str">
        <f ca="1" t="shared" si="0"/>
        <v/>
      </c>
      <c r="Z6" s="10" t="str">
        <f ca="1" t="shared" si="0"/>
        <v>76700</v>
      </c>
      <c r="AA6" s="10" t="str">
        <f ca="1" t="shared" si="0"/>
        <v>13</v>
      </c>
      <c r="AB6" s="10" t="str">
        <f ca="1" t="shared" si="0"/>
        <v/>
      </c>
      <c r="AC6" s="10" t="str">
        <f ca="1" t="shared" si="0"/>
        <v>997100</v>
      </c>
      <c r="AD6" s="10" t="str">
        <f ca="1" t="shared" si="0"/>
        <v/>
      </c>
      <c r="AE6" s="10" t="str">
        <f ca="1" t="shared" si="0"/>
        <v/>
      </c>
      <c r="AF6" s="10" t="str">
        <f ca="1" t="shared" si="0"/>
        <v/>
      </c>
      <c r="AG6" s="10" t="str">
        <f ca="1" t="shared" si="0"/>
        <v>997100</v>
      </c>
      <c r="AH6" s="10" t="str">
        <f ca="1" t="shared" si="0"/>
        <v>Y</v>
      </c>
      <c r="AI6" s="10" t="str">
        <f ca="1" t="shared" si="0"/>
        <v/>
      </c>
      <c r="AJ6" s="10" t="str">
        <f ca="1" t="shared" si="0"/>
        <v>410038</v>
      </c>
      <c r="AK6" s="10" t="str">
        <f ca="1" t="shared" si="0"/>
        <v>401206</v>
      </c>
      <c r="AL6" s="10" t="str">
        <f ca="1" t="shared" si="0"/>
        <v>811244</v>
      </c>
      <c r="AM6" s="10" t="str">
        <f ca="1" t="shared" si="0"/>
        <v>1808344</v>
      </c>
      <c r="AN6" s="10" t="str">
        <f ca="1" t="shared" si="3" ref="AN6:BC8">TRIM(INDIRECT("Working!"&amp;ADDRESS(ROW(),COLUMN())))</f>
        <v>1808344</v>
      </c>
      <c r="AO6" s="10" t="str">
        <f ca="1" t="shared" si="3"/>
        <v/>
      </c>
      <c r="AP6" s="10" t="str">
        <f ca="1" t="shared" si="3"/>
        <v>191750</v>
      </c>
      <c r="AQ6" s="10" t="str">
        <f ca="1" t="shared" si="3"/>
        <v/>
      </c>
      <c r="AR6" s="10" t="str">
        <f ca="1" t="shared" si="3"/>
        <v>191750</v>
      </c>
      <c r="AS6" s="10" t="str">
        <f ca="1" t="shared" si="3"/>
        <v>1188850</v>
      </c>
      <c r="AT6" s="10" t="str">
        <f ca="1" t="shared" si="3"/>
        <v>1188850</v>
      </c>
      <c r="AU6" s="10" t="str">
        <f ca="1" t="shared" si="3"/>
        <v>Y</v>
      </c>
      <c r="AV6" s="10" t="str">
        <f ca="1" t="shared" si="3"/>
        <v/>
      </c>
      <c r="AW6" s="10" t="str">
        <f ca="1" t="shared" si="3"/>
        <v/>
      </c>
      <c r="AX6" s="10" t="str">
        <f ca="1" t="shared" si="3"/>
        <v/>
      </c>
      <c r="AY6" s="10" t="str">
        <f ca="1" t="shared" si="3"/>
        <v>0.43</v>
      </c>
      <c r="AZ6" s="10" t="str">
        <f ca="1" t="shared" si="3"/>
        <v/>
      </c>
      <c r="BA6" s="10" t="str">
        <f ca="1" t="shared" si="3"/>
        <v/>
      </c>
      <c r="BB6" s="10" t="str">
        <f ca="1" t="shared" si="3"/>
        <v/>
      </c>
      <c r="BC6" s="10" t="str">
        <f ca="1" t="shared" si="3"/>
        <v>0.43</v>
      </c>
      <c r="BD6" s="10" t="str">
        <f ca="1" t="shared" si="4" ref="BD6:BS8">TRIM(INDIRECT("Working!"&amp;ADDRESS(ROW(),COLUMN())))</f>
        <v>264000</v>
      </c>
      <c r="BE6" s="10" t="str">
        <f ca="1" t="shared" si="4"/>
        <v>3.67</v>
      </c>
      <c r="BF6" s="10" t="str">
        <f ca="1" t="shared" si="4"/>
        <v>2</v>
      </c>
      <c r="BG6" s="10" t="str">
        <f ca="1" t="shared" si="4"/>
        <v>304000</v>
      </c>
      <c r="BH6" s="10" t="str">
        <f ca="1" t="shared" si="4"/>
        <v>3.67</v>
      </c>
      <c r="BI6" s="10" t="str">
        <f ca="1" t="shared" si="4"/>
        <v>3</v>
      </c>
      <c r="BJ6" s="10" t="str">
        <f ca="1" t="shared" si="4"/>
        <v>0.8</v>
      </c>
      <c r="BK6" s="10" t="str">
        <f ca="1" t="shared" si="4"/>
        <v/>
      </c>
      <c r="BL6" s="10" t="str">
        <f ca="1" t="shared" si="4"/>
        <v/>
      </c>
      <c r="BM6" s="10" t="str">
        <f ca="1" t="shared" si="4"/>
        <v>1861424</v>
      </c>
      <c r="BN6" s="10" t="str">
        <f ca="1" t="shared" si="4"/>
        <v>3669768</v>
      </c>
      <c r="BO6" s="10" t="str">
        <f ca="1" t="shared" si="4"/>
        <v>50004</v>
      </c>
      <c r="BP6" s="10" t="str">
        <f ca="1" t="shared" si="4"/>
        <v/>
      </c>
      <c r="BQ6" s="10" t="str">
        <f ca="1" t="shared" si="4"/>
        <v/>
      </c>
      <c r="BR6" s="10" t="str">
        <f ca="1" t="shared" si="4"/>
        <v/>
      </c>
      <c r="BS6" s="10" t="str">
        <f ca="1" t="shared" si="4"/>
        <v>216000</v>
      </c>
      <c r="BT6" s="10" t="str">
        <f ca="1" t="shared" si="5" ref="BT6:CF8">TRIM(INDIRECT("Working!"&amp;ADDRESS(ROW(),COLUMN())))</f>
        <v>3900</v>
      </c>
      <c r="BU6" s="10" t="str">
        <f ca="1" t="shared" si="5"/>
        <v>N</v>
      </c>
      <c r="BV6" s="10" t="str">
        <f ca="1" t="shared" si="5"/>
        <v/>
      </c>
      <c r="BW6" s="10" t="str">
        <f ca="1" t="shared" si="5"/>
        <v>269904</v>
      </c>
      <c r="BX6" s="10" t="str">
        <f ca="1" t="shared" si="5"/>
        <v>3939672</v>
      </c>
      <c r="BY6" s="10" t="str">
        <f ca="1" t="shared" si="5"/>
        <v>1267004</v>
      </c>
      <c r="BZ6" s="10" t="str">
        <f ca="1" t="shared" si="5"/>
        <v>2078248</v>
      </c>
      <c r="CA6" s="10" t="str">
        <f ca="1" t="shared" si="5"/>
        <v>13600</v>
      </c>
      <c r="CB6" s="10" t="str">
        <f ca="1" t="shared" si="5"/>
        <v/>
      </c>
      <c r="CC6" s="10" t="str">
        <f ca="1" t="shared" si="5"/>
        <v>13600</v>
      </c>
      <c r="CD6" s="10" t="str">
        <f ca="1" t="shared" si="5"/>
        <v>3953272</v>
      </c>
      <c r="CE6" s="10" t="str">
        <f ca="1" t="shared" si="5"/>
        <v>1280604</v>
      </c>
      <c r="CF6" s="10" t="str">
        <f ca="1" t="shared" si="5"/>
        <v>2091848</v>
      </c>
    </row>
    <row r="7" spans="6:84" ht="13.2">
      <c r="F7" s="10" t="str">
        <f ca="1" t="shared" si="1"/>
        <v>1952</v>
      </c>
      <c r="G7" s="10" t="str">
        <f ca="1" t="shared" si="1"/>
        <v>2004</v>
      </c>
      <c r="U7" s="3"/>
      <c r="X7" s="10" t="str">
        <f ca="1" t="shared" si="2"/>
        <v>Singapore Dollars (SGD)</v>
      </c>
      <c r="Y7" s="10" t="str">
        <f ca="1" t="shared" si="2"/>
        <v>68578</v>
      </c>
      <c r="Z7" s="10" t="str">
        <f ca="1" t="shared" si="2"/>
        <v>69231</v>
      </c>
      <c r="AA7" s="10" t="str">
        <f ca="1" t="shared" si="2"/>
        <v>13</v>
      </c>
      <c r="AB7" s="10" t="str">
        <f ca="1" t="shared" si="2"/>
        <v>891514</v>
      </c>
      <c r="AC7" s="10" t="str">
        <f ca="1" t="shared" si="2"/>
        <v>900003</v>
      </c>
      <c r="AD7" s="10" t="str">
        <f ca="1" t="shared" si="2"/>
        <v/>
      </c>
      <c r="AE7" s="10" t="str">
        <f ca="1" t="shared" si="2"/>
        <v/>
      </c>
      <c r="AF7" s="10" t="str">
        <f ca="1" t="shared" si="2"/>
        <v>891514</v>
      </c>
      <c r="AG7" s="10" t="str">
        <f ca="1" t="shared" si="2"/>
        <v>900003</v>
      </c>
      <c r="AH7" s="10" t="str">
        <f ca="1" t="shared" si="2"/>
        <v>Y</v>
      </c>
      <c r="AI7" s="10" t="str">
        <f ca="1" t="shared" si="2"/>
        <v/>
      </c>
      <c r="AJ7" s="10" t="str">
        <f ca="1" t="shared" si="2"/>
        <v>900000</v>
      </c>
      <c r="AK7" s="10" t="str">
        <f ca="1" t="shared" si="2"/>
        <v/>
      </c>
      <c r="AL7" s="10" t="str">
        <f ca="1" t="shared" si="2"/>
        <v>900000</v>
      </c>
      <c r="AM7" s="10" t="str">
        <f ca="1" t="shared" si="2"/>
        <v>1800003</v>
      </c>
      <c r="AN7" s="10" t="str">
        <f ca="1" t="shared" si="3"/>
        <v>1800003</v>
      </c>
      <c r="AO7" s="10" t="str">
        <f ca="1" t="shared" si="3"/>
        <v/>
      </c>
      <c r="AP7" s="10" t="str">
        <f ca="1" t="shared" si="3"/>
        <v>900003</v>
      </c>
      <c r="AQ7" s="10" t="str">
        <f ca="1" t="shared" si="3"/>
        <v/>
      </c>
      <c r="AR7" s="10" t="str">
        <f ca="1" t="shared" si="3"/>
        <v>900003</v>
      </c>
      <c r="AS7" s="10" t="str">
        <f ca="1" t="shared" si="3"/>
        <v>1800006</v>
      </c>
      <c r="AT7" s="10" t="str">
        <f ca="1" t="shared" si="3"/>
        <v>1800006</v>
      </c>
      <c r="AU7" s="10" t="str">
        <f ca="1" t="shared" si="3"/>
        <v>Y</v>
      </c>
      <c r="AV7" s="10" t="str">
        <f ca="1" t="shared" si="3"/>
        <v/>
      </c>
      <c r="AW7" s="10" t="str">
        <f ca="1" t="shared" si="3"/>
        <v/>
      </c>
      <c r="AX7" s="10" t="str">
        <f ca="1" t="shared" si="3"/>
        <v/>
      </c>
      <c r="AY7" s="10" t="str">
        <f ca="1" t="shared" si="3"/>
        <v>0.33</v>
      </c>
      <c r="AZ7" s="10" t="str">
        <f ca="1" t="shared" si="3"/>
        <v/>
      </c>
      <c r="BA7" s="10" t="str">
        <f ca="1" t="shared" si="3"/>
        <v/>
      </c>
      <c r="BB7" s="10" t="str">
        <f ca="1" t="shared" si="3"/>
        <v/>
      </c>
      <c r="BC7" s="10" t="str">
        <f ca="1" t="shared" si="3"/>
        <v>0.33</v>
      </c>
      <c r="BD7" s="10" t="str">
        <f ca="1" t="shared" si="4"/>
        <v/>
      </c>
      <c r="BE7" s="10" t="str">
        <f ca="1" t="shared" si="4"/>
        <v/>
      </c>
      <c r="BF7" s="10" t="str">
        <f ca="1" t="shared" si="4"/>
        <v/>
      </c>
      <c r="BG7" s="10" t="str">
        <f ca="1" t="shared" si="4"/>
        <v/>
      </c>
      <c r="BH7" s="10" t="str">
        <f ca="1" t="shared" si="4"/>
        <v/>
      </c>
      <c r="BI7" s="10" t="str">
        <f ca="1" t="shared" si="4"/>
        <v/>
      </c>
      <c r="BJ7" s="10" t="str">
        <f ca="1" t="shared" si="4"/>
        <v>0.8</v>
      </c>
      <c r="BK7" s="10" t="str">
        <f ca="1" t="shared" si="4"/>
        <v>900003</v>
      </c>
      <c r="BL7" s="10" t="str">
        <f ca="1" t="shared" si="4"/>
        <v>3</v>
      </c>
      <c r="BM7" s="10" t="str">
        <f ca="1" t="shared" si="4"/>
        <v>900003</v>
      </c>
      <c r="BN7" s="10" t="str">
        <f ca="1" t="shared" si="4"/>
        <v>2700006</v>
      </c>
      <c r="BO7" s="10" t="str">
        <f ca="1" t="shared" si="4"/>
        <v/>
      </c>
      <c r="BP7" s="10" t="str">
        <f ca="1" t="shared" si="4"/>
        <v>62500</v>
      </c>
      <c r="BQ7" s="10" t="str">
        <f ca="1" t="shared" si="4"/>
        <v>Jaguar</v>
      </c>
      <c r="BR7" s="10" t="str">
        <f ca="1" t="shared" si="4"/>
        <v/>
      </c>
      <c r="BS7" s="10" t="str">
        <f ca="1" t="shared" si="4"/>
        <v/>
      </c>
      <c r="BT7" s="10" t="str">
        <f ca="1" t="shared" si="5"/>
        <v>3475</v>
      </c>
      <c r="BU7" s="10" t="str">
        <f ca="1" t="shared" si="5"/>
        <v>N</v>
      </c>
      <c r="BV7" s="10" t="str">
        <f ca="1" t="shared" si="5"/>
        <v/>
      </c>
      <c r="BW7" s="10" t="str">
        <f ca="1" t="shared" si="5"/>
        <v>65975</v>
      </c>
      <c r="BX7" s="10" t="str">
        <f ca="1" t="shared" si="5"/>
        <v>2765981</v>
      </c>
      <c r="BY7" s="10" t="str">
        <f ca="1" t="shared" si="5"/>
        <v>965978</v>
      </c>
      <c r="BZ7" s="10" t="str">
        <f ca="1" t="shared" si="5"/>
        <v>1865978</v>
      </c>
      <c r="CA7" s="10" t="str">
        <f ca="1" t="shared" si="5"/>
        <v>13600</v>
      </c>
      <c r="CB7" s="10" t="str">
        <f ca="1" t="shared" si="5"/>
        <v/>
      </c>
      <c r="CC7" s="10" t="str">
        <f ca="1" t="shared" si="5"/>
        <v>13600</v>
      </c>
      <c r="CD7" s="10" t="str">
        <f ca="1" t="shared" si="5"/>
        <v>2779581</v>
      </c>
      <c r="CE7" s="10" t="str">
        <f ca="1" t="shared" si="5"/>
        <v>979578</v>
      </c>
      <c r="CF7" s="10" t="str">
        <f ca="1" t="shared" si="5"/>
        <v>1879578</v>
      </c>
    </row>
    <row r="8" spans="6:84" ht="13.2">
      <c r="F8" s="10" t="str">
        <f ca="1" t="shared" si="1"/>
        <v/>
      </c>
      <c r="G8" s="10" t="str">
        <f ca="1" t="shared" si="1"/>
        <v/>
      </c>
      <c r="U8" s="3"/>
      <c r="X8" s="10" t="str">
        <f ca="1" t="shared" si="2"/>
        <v/>
      </c>
      <c r="Y8" s="10" t="str">
        <f ca="1" t="shared" si="2"/>
        <v/>
      </c>
      <c r="Z8" s="10" t="str">
        <f ca="1" t="shared" si="2"/>
        <v/>
      </c>
      <c r="AA8" s="10" t="str">
        <f ca="1" t="shared" si="2"/>
        <v/>
      </c>
      <c r="AB8" s="10" t="str">
        <f ca="1" t="shared" si="2"/>
        <v/>
      </c>
      <c r="AC8" s="10" t="str">
        <f ca="1" t="shared" si="2"/>
        <v/>
      </c>
      <c r="AD8" s="10" t="str">
        <f ca="1" t="shared" si="2"/>
        <v/>
      </c>
      <c r="AE8" s="10" t="str">
        <f ca="1" t="shared" si="2"/>
        <v/>
      </c>
      <c r="AF8" s="10" t="str">
        <f ca="1" t="shared" si="2"/>
        <v/>
      </c>
      <c r="AG8" s="10" t="str">
        <f ca="1" t="shared" si="2"/>
        <v/>
      </c>
      <c r="AH8" s="10" t="str">
        <f ca="1" t="shared" si="2"/>
        <v/>
      </c>
      <c r="AI8" s="10" t="str">
        <f ca="1" t="shared" si="2"/>
        <v/>
      </c>
      <c r="AJ8" s="10" t="str">
        <f ca="1" t="shared" si="2"/>
        <v/>
      </c>
      <c r="AK8" s="10" t="str">
        <f ca="1" t="shared" si="2"/>
        <v/>
      </c>
      <c r="AL8" s="10" t="str">
        <f ca="1" t="shared" si="2"/>
        <v/>
      </c>
      <c r="AM8" s="10" t="str">
        <f ca="1" t="shared" si="2"/>
        <v/>
      </c>
      <c r="AN8" s="10" t="str">
        <f ca="1" t="shared" si="3"/>
        <v/>
      </c>
      <c r="AO8" s="10" t="str">
        <f ca="1" t="shared" si="3"/>
        <v/>
      </c>
      <c r="AP8" s="10" t="str">
        <f ca="1" t="shared" si="3"/>
        <v/>
      </c>
      <c r="AQ8" s="10" t="str">
        <f ca="1" t="shared" si="3"/>
        <v/>
      </c>
      <c r="AR8" s="10" t="str">
        <f ca="1" t="shared" si="3"/>
        <v/>
      </c>
      <c r="AS8" s="10" t="str">
        <f ca="1" t="shared" si="3"/>
        <v/>
      </c>
      <c r="AT8" s="10" t="str">
        <f ca="1" t="shared" si="3"/>
        <v/>
      </c>
      <c r="AU8" s="10" t="str">
        <f ca="1" t="shared" si="3"/>
        <v/>
      </c>
      <c r="AV8" s="10" t="str">
        <f ca="1" t="shared" si="3"/>
        <v/>
      </c>
      <c r="AW8" s="10" t="str">
        <f ca="1" t="shared" si="3"/>
        <v/>
      </c>
      <c r="AX8" s="10" t="str">
        <f ca="1" t="shared" si="3"/>
        <v/>
      </c>
      <c r="AY8" s="10" t="str">
        <f ca="1" t="shared" si="3"/>
        <v/>
      </c>
      <c r="AZ8" s="10" t="str">
        <f ca="1" t="shared" si="3"/>
        <v/>
      </c>
      <c r="BA8" s="10" t="str">
        <f ca="1" t="shared" si="3"/>
        <v/>
      </c>
      <c r="BB8" s="10" t="str">
        <f ca="1" t="shared" si="3"/>
        <v/>
      </c>
      <c r="BC8" s="10" t="str">
        <f ca="1" t="shared" si="3"/>
        <v/>
      </c>
      <c r="BD8" s="10" t="str">
        <f ca="1" t="shared" si="4"/>
        <v/>
      </c>
      <c r="BE8" s="10" t="str">
        <f ca="1" t="shared" si="4"/>
        <v/>
      </c>
      <c r="BF8" s="10" t="str">
        <f ca="1" t="shared" si="4"/>
        <v/>
      </c>
      <c r="BG8" s="10" t="str">
        <f ca="1" t="shared" si="4"/>
        <v/>
      </c>
      <c r="BH8" s="10" t="str">
        <f ca="1" t="shared" si="4"/>
        <v/>
      </c>
      <c r="BI8" s="10" t="str">
        <f ca="1" t="shared" si="4"/>
        <v/>
      </c>
      <c r="BJ8" s="10" t="str">
        <f ca="1" t="shared" si="4"/>
        <v/>
      </c>
      <c r="BK8" s="10" t="str">
        <f ca="1" t="shared" si="4"/>
        <v/>
      </c>
      <c r="BL8" s="10" t="str">
        <f ca="1" t="shared" si="4"/>
        <v/>
      </c>
      <c r="BM8" s="10" t="str">
        <f ca="1" t="shared" si="4"/>
        <v/>
      </c>
      <c r="BN8" s="10" t="str">
        <f ca="1" t="shared" si="4"/>
        <v/>
      </c>
      <c r="BO8" s="10" t="str">
        <f ca="1" t="shared" si="4"/>
        <v/>
      </c>
      <c r="BP8" s="10" t="str">
        <f ca="1" t="shared" si="4"/>
        <v/>
      </c>
      <c r="BQ8" s="10" t="str">
        <f ca="1" t="shared" si="4"/>
        <v/>
      </c>
      <c r="BR8" s="10" t="str">
        <f ca="1" t="shared" si="4"/>
        <v/>
      </c>
      <c r="BS8" s="10" t="str">
        <f ca="1" t="shared" si="4"/>
        <v/>
      </c>
      <c r="BT8" s="10" t="str">
        <f ca="1" t="shared" si="5"/>
        <v/>
      </c>
      <c r="BU8" s="10" t="str">
        <f ca="1" t="shared" si="5"/>
        <v/>
      </c>
      <c r="BV8" s="10" t="str">
        <f ca="1" t="shared" si="5"/>
        <v/>
      </c>
      <c r="BW8" s="10" t="str">
        <f ca="1" t="shared" si="5"/>
        <v/>
      </c>
      <c r="BX8" s="10" t="str">
        <f ca="1" t="shared" si="5"/>
        <v/>
      </c>
      <c r="BY8" s="10" t="str">
        <f ca="1" t="shared" si="5"/>
        <v/>
      </c>
      <c r="BZ8" s="10" t="str">
        <f ca="1" t="shared" si="5"/>
        <v/>
      </c>
      <c r="CA8" s="10" t="str">
        <f ca="1" t="shared" si="5"/>
        <v/>
      </c>
      <c r="CB8" s="10" t="str">
        <f ca="1" t="shared" si="5"/>
        <v/>
      </c>
      <c r="CC8" s="10" t="str">
        <f ca="1" t="shared" si="5"/>
        <v/>
      </c>
      <c r="CD8" s="10" t="str">
        <f ca="1" t="shared" si="5"/>
        <v/>
      </c>
      <c r="CE8" s="10" t="str">
        <f ca="1" t="shared" si="5"/>
        <v/>
      </c>
      <c r="CF8" s="10" t="str">
        <f ca="1" t="shared" si="5"/>
        <v/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F1:DE8"/>
  <sheetViews>
    <sheetView workbookViewId="0" topLeftCell="F1">
      <selection pane="topLeft" activeCell="Y17" sqref="Y17"/>
    </sheetView>
  </sheetViews>
  <sheetFormatPr defaultRowHeight="13.5"/>
  <cols>
    <col min="1" max="5" width="0.857142857142857" customWidth="1"/>
    <col min="6" max="7" width="12.7142857142857" customWidth="1"/>
    <col min="8" max="20" width="0.857142857142857" customWidth="1"/>
    <col min="21" max="78" width="12.7142857142857" customWidth="1"/>
    <col min="79" max="109" width="15.7142857142857" customWidth="1"/>
  </cols>
  <sheetData>
    <row r="1" spans="6:109" ht="54.9" customHeight="1">
      <c r="F1" s="73" t="s">
        <v>108</v>
      </c>
      <c r="G1" s="73" t="s">
        <v>228</v>
      </c>
      <c r="U1" s="12" t="s">
        <v>118</v>
      </c>
      <c r="V1" s="12" t="s">
        <v>119</v>
      </c>
      <c r="W1" s="12" t="s">
        <v>395</v>
      </c>
      <c r="X1" s="12" t="str">
        <f>CONCATENATE("Cal_",CellReference!X1)</f>
        <v>Cal_Currency of Pay</v>
      </c>
      <c r="Y1" s="28" t="str">
        <f>CONCATENATE("Cal_",CellReference!Y1)</f>
        <v>Cal_2011 Monthly Basic Salary (Gross before tax)</v>
      </c>
      <c r="Z1" s="29" t="str">
        <f>CONCATENATE("Cal_",CellReference!Z1)</f>
        <v>Cal_2012 Monthly Basic Salary (Gross before tax)</v>
      </c>
      <c r="AA1" s="29" t="str">
        <f>CONCATENATE("Cal_",CellReference!AA1)</f>
        <v>Cal_No. of Months Guaranteed per year</v>
      </c>
      <c r="AB1" s="29" t="str">
        <f>CONCATENATE("Cal_",CellReference!AB1)</f>
        <v>Cal_2011 Basic Salary (p.a.)</v>
      </c>
      <c r="AC1" s="29" t="str">
        <f>CONCATENATE("Cal_",CellReference!AC1)</f>
        <v>Cal_2012 Basic Salary (p.a.)</v>
      </c>
      <c r="AD1" s="27" t="str">
        <f>CONCATENATE("Cal_",CellReference!AD1)</f>
        <v>Cal_2011 Fixed Cash Allowances</v>
      </c>
      <c r="AE1" s="27" t="str">
        <f>CONCATENATE("Cal_",CellReference!AE1)</f>
        <v>Cal_2012 Fixed Cash Allowances</v>
      </c>
      <c r="AF1" s="27" t="str">
        <f>CONCATENATE("Cal_",CellReference!AF1)</f>
        <v>Cal_2011 Fixed Cash</v>
      </c>
      <c r="AG1" s="27" t="str">
        <f>CONCATENATE("Cal_",CellReference!AG1)</f>
        <v>Cal_2012 Fixed Cash</v>
      </c>
      <c r="AH1" s="29" t="str">
        <f>CONCATENATE("Cal_",CellReference!AH1)</f>
        <v>Cal_Eligible to any kind of Short-term Incentives?</v>
      </c>
      <c r="AI1" s="29" t="str">
        <f>CONCATENATE("Cal_",CellReference!AI1)</f>
        <v>Cal_Actual Sales Incentive</v>
      </c>
      <c r="AJ1" s="29" t="str">
        <f>CONCATENATE("Cal_",CellReference!AJ1)</f>
        <v>Cal_Actual Performance Bonus</v>
      </c>
      <c r="AK1" s="29" t="str">
        <f>CONCATENATE("Cal_",CellReference!AK1)</f>
        <v>Cal_Actual Other Short-Term Variable Cash</v>
      </c>
      <c r="AL1" s="29" t="str">
        <f>CONCATENATE("Cal_",CellReference!AL1)</f>
        <v>Cal_Actual Total Short-Term Variable Cash</v>
      </c>
      <c r="AM1" s="29" t="str">
        <f>CONCATENATE("Cal_",CellReference!AM1)</f>
        <v>Cal_Actual Total Cash</v>
      </c>
      <c r="AN1" s="29" t="str">
        <f>CONCATENATE("Cal_",CellReference!AN1)</f>
        <v>Cal_C1 + Actual Total Short-Term Variable Cash</v>
      </c>
      <c r="AO1" s="27" t="str">
        <f>CONCATENATE("Cal_",CellReference!AO1)</f>
        <v>Cal_Target Sales Incentive</v>
      </c>
      <c r="AP1" s="27" t="str">
        <f>CONCATENATE("Cal_",CellReference!AP1)</f>
        <v>Cal_Target Performance Bonus</v>
      </c>
      <c r="AQ1" s="27" t="str">
        <f>CONCATENATE("Cal_",CellReference!AQ1)</f>
        <v>Cal_Target Other Short-Term Variable Cash</v>
      </c>
      <c r="AR1" s="27" t="str">
        <f>CONCATENATE("Cal_",CellReference!AR1)</f>
        <v>Cal_Target Total Short-Term Variable Cash</v>
      </c>
      <c r="AS1" s="27" t="str">
        <f>CONCATENATE("Cal_",CellReference!AS1)</f>
        <v>Cal_Target Total Cash</v>
      </c>
      <c r="AT1" s="27" t="str">
        <f>CONCATENATE("Cal_",CellReference!AT1)</f>
        <v>Cal_C1 + Target Total Short-Term Variable Cash</v>
      </c>
      <c r="AU1" s="29" t="str">
        <f>CONCATENATE("Cal_",CellReference!AU1)</f>
        <v>Cal_Eligible to any kind of Long-term Incentives?</v>
      </c>
      <c r="AV1" s="29" t="str">
        <f>CONCATENATE("Cal_",CellReference!AV1)</f>
        <v>Cal_Annualized Number of Stock Option Granted</v>
      </c>
      <c r="AW1" s="29" t="str">
        <f>CONCATENATE("Cal_",CellReference!AW1)</f>
        <v>Cal_Grant Price of Stock Option</v>
      </c>
      <c r="AX1" s="29" t="str">
        <f>CONCATENATE("Cal_",CellReference!AX1)</f>
        <v>Cal_Vesting Period (Stock Option)</v>
      </c>
      <c r="AY1" s="29" t="str">
        <f>CONCATENATE("Cal_",CellReference!AY1)</f>
        <v>Cal_Stock Valuation Multiplier (Stock Option)</v>
      </c>
      <c r="AZ1" s="27" t="str">
        <f>CONCATENATE("Cal_",CellReference!AZ1)</f>
        <v>Cal_Annualized Number of SAR Granted</v>
      </c>
      <c r="BA1" s="27" t="str">
        <f>CONCATENATE("Cal_",CellReference!BA1)</f>
        <v>Cal_Grant Price of SAR</v>
      </c>
      <c r="BB1" s="27" t="str">
        <f>CONCATENATE("Cal_",CellReference!BB1)</f>
        <v>Cal_Vesting Period (SAR)</v>
      </c>
      <c r="BC1" s="27" t="str">
        <f>CONCATENATE("Cal_",CellReference!BC1)</f>
        <v>Cal_Stock Valuation Multiplier (SAR)</v>
      </c>
      <c r="BD1" s="29" t="str">
        <f>CONCATENATE("Cal_",CellReference!BD1)</f>
        <v>Cal_Annualized Number of Stock Granted</v>
      </c>
      <c r="BE1" s="29" t="str">
        <f>CONCATENATE("Cal_",CellReference!BE1)</f>
        <v>Cal_Grant Price of Stock</v>
      </c>
      <c r="BF1" s="29" t="str">
        <f>CONCATENATE("Cal_",CellReference!BF1)</f>
        <v>Cal_Vesting Period (Stock)</v>
      </c>
      <c r="BG1" s="27" t="str">
        <f>CONCATENATE("Cal_",CellReference!BG1)</f>
        <v>Cal_Annualized Number of Share</v>
      </c>
      <c r="BH1" s="27" t="str">
        <f>CONCATENATE("Cal_",CellReference!BH1)</f>
        <v>Cal_Average Grant Price of Share</v>
      </c>
      <c r="BI1" s="27" t="str">
        <f>CONCATENATE("Cal_",CellReference!BI1)</f>
        <v>Cal_Vesting Period (Share)</v>
      </c>
      <c r="BJ1" s="27" t="str">
        <f>CONCATENATE("Cal_",CellReference!BJ1)</f>
        <v>Cal_Performance Share Multiplier</v>
      </c>
      <c r="BK1" s="29" t="str">
        <f>CONCATENATE("Cal_",CellReference!BK1)</f>
        <v>Cal_Award Value</v>
      </c>
      <c r="BL1" s="29" t="str">
        <f>CONCATENATE("Cal_",CellReference!BL1)</f>
        <v>Cal_Vesting Period (Award)</v>
      </c>
      <c r="BM1" s="27" t="str">
        <f>CONCATENATE("Cal_",CellReference!BM1)</f>
        <v>Cal_Total Long-Term Incentives</v>
      </c>
      <c r="BN1" s="27" t="str">
        <f>CONCATENATE("Cal_",CellReference!BN1)</f>
        <v>Cal_Actual Total Direct Compensation</v>
      </c>
      <c r="BO1" s="29" t="str">
        <f>CONCATENATE("Cal_",CellReference!BO1)</f>
        <v>Cal_Car Allowance (in lieu of car)</v>
      </c>
      <c r="BP1" s="29" t="str">
        <f>CONCATENATE("Cal_",CellReference!BP1)</f>
        <v>Cal_Car Cost</v>
      </c>
      <c r="BQ1" s="29" t="str">
        <f>CONCATENATE("Cal_",CellReference!BQ1)</f>
        <v>Cal_Car Brand</v>
      </c>
      <c r="BR1" s="29" t="str">
        <f>CONCATENATE("Cal_",CellReference!BR1)</f>
        <v>Cal_Car Model</v>
      </c>
      <c r="BS1" s="29" t="str">
        <f>CONCATENATE("Cal_",CellReference!BS1)</f>
        <v>Cal_Housing Benefit</v>
      </c>
      <c r="BT1" s="29" t="str">
        <f>CONCATENATE("Cal_",CellReference!BT1)</f>
        <v>Cal_Club Membership</v>
      </c>
      <c r="BU1" s="29" t="str">
        <f>CONCATENATE("Cal_",CellReference!BU1)</f>
        <v>Cal_Eligible to Children's Education Benefits?</v>
      </c>
      <c r="BV1" s="29" t="str">
        <f>CONCATENATE("Cal_",CellReference!BV1)</f>
        <v>Cal_Children's Education Cost</v>
      </c>
      <c r="BW1" s="29" t="str">
        <f>CONCATENATE("Cal_",CellReference!BW1)</f>
        <v>Cal_Total Perquisites</v>
      </c>
      <c r="BX1" s="29" t="str">
        <f>CONCATENATE("Cal_",CellReference!BX1)</f>
        <v>Cal_Actual Total Remuneration</v>
      </c>
      <c r="BY1" s="29" t="str">
        <f>CONCATENATE("Cal_",CellReference!BY1)</f>
        <v>Cal_Fixed Cash + Total Perquisites</v>
      </c>
      <c r="BZ1" s="29" t="str">
        <f>CONCATENATE("Cal_",CellReference!BZ1)</f>
        <v>Cal_Actual Total Cash + Total Perquisites</v>
      </c>
      <c r="CA1" s="27" t="str">
        <f>CONCATENATE("Cal_",CellReference!CA1)</f>
        <v>Cal_Mandatory Social Benefits Contribution</v>
      </c>
      <c r="CB1" s="27" t="str">
        <f>CONCATENATE("Cal_",CellReference!CB1)</f>
        <v>Cal_Supplementary Social Benefits Contribution</v>
      </c>
      <c r="CC1" s="27" t="str">
        <f>CONCATENATE("Cal_",CellReference!CC1)</f>
        <v>Cal_Total Social Benefits Contribution</v>
      </c>
      <c r="CD1" s="27" t="str">
        <f>CONCATENATE("Cal_",CellReference!CD1)</f>
        <v>Cal_Actual Total Cost to Company</v>
      </c>
      <c r="CE1" s="27" t="str">
        <f>CONCATENATE("Cal_",CellReference!CE1)</f>
        <v>Cal_Fixed Cash + Total Perquisites + Total Social Benefits Contribution</v>
      </c>
      <c r="CF1" s="27" t="str">
        <f>CONCATENATE("Cal_",CellReference!CF1)</f>
        <v>Cal_Actual Total Cash + Total Perquisites + Total Social Benefits Contribution</v>
      </c>
      <c r="CG1" s="23" t="s">
        <v>404</v>
      </c>
      <c r="CH1" s="23" t="s">
        <v>405</v>
      </c>
      <c r="CI1" s="23" t="s">
        <v>406</v>
      </c>
      <c r="CJ1" s="23" t="s">
        <v>407</v>
      </c>
      <c r="CK1" s="23" t="s">
        <v>408</v>
      </c>
      <c r="CL1" s="23" t="s">
        <v>409</v>
      </c>
      <c r="CM1" s="23" t="s">
        <v>410</v>
      </c>
      <c r="CN1" s="23" t="s">
        <v>411</v>
      </c>
      <c r="CO1" s="24" t="s">
        <v>270</v>
      </c>
      <c r="CP1" s="24" t="s">
        <v>420</v>
      </c>
      <c r="CQ1" s="24" t="s">
        <v>271</v>
      </c>
      <c r="CR1" s="24" t="s">
        <v>421</v>
      </c>
      <c r="CS1" s="24" t="s">
        <v>272</v>
      </c>
      <c r="CT1" s="24" t="s">
        <v>422</v>
      </c>
      <c r="CU1" s="24" t="s">
        <v>273</v>
      </c>
      <c r="CV1" s="24" t="s">
        <v>423</v>
      </c>
      <c r="CW1" s="24" t="s">
        <v>274</v>
      </c>
      <c r="CX1" s="24" t="s">
        <v>424</v>
      </c>
      <c r="CY1" s="23" t="s">
        <v>417</v>
      </c>
      <c r="CZ1" s="23" t="s">
        <v>418</v>
      </c>
      <c r="DA1" s="24" t="s">
        <v>419</v>
      </c>
      <c r="DB1" s="75" t="s">
        <v>433</v>
      </c>
      <c r="DC1" s="75" t="s">
        <v>434</v>
      </c>
      <c r="DD1" s="75" t="s">
        <v>435</v>
      </c>
      <c r="DE1" s="75" t="s">
        <v>436</v>
      </c>
    </row>
    <row r="2" spans="6:109" ht="13.2">
      <c r="F2" s="21">
        <f>IF(ISERROR(VALUE(CellReference!F2)),"",IF(VALUE(CellReference!F2)&gt;0,YEAR(NOW())-VALUE(CellReference!F2),""))</f>
        <v>59</v>
      </c>
      <c r="G2" s="21">
        <f>IF(ISERROR(VALUE(CellReference!G2)),"",IF(VALUE(CellReference!G2)&gt;0,YEAR(NOW())-VALUE(CellReference!G2)+1,""))</f>
        <v>28</v>
      </c>
      <c r="U2" s="20">
        <f>V2/W2</f>
        <v>1</v>
      </c>
      <c r="V2" s="20">
        <f t="shared" si="0" ref="V2:V8">Cal2_TargetRate</f>
        <v>1.2510999999999985</v>
      </c>
      <c r="W2" s="20">
        <f t="shared" si="1" ref="W2:W8">IF(ISERROR(MATCH(zCurrencyPay,Cal2_MoneyEPS,0)),IF(ISERROR(MATCH(zCurrencyPay,Cal2_MoneyCode,0)),1,INDEX(Cal2_MoneyRate,MATCH(zCurrencyPay,Cal2_MoneyCode,0))),INDEX(Cal2_MoneyRate,MATCH(zCurrencyPay,Cal2_MoneyEPS,0)))</f>
        <v>1.2510999999999985</v>
      </c>
      <c r="X2" s="22" t="str">
        <f>CellReference!X2</f>
        <v>Singapore Dollars (SGD)</v>
      </c>
      <c r="Y2" s="10">
        <f>IF(ISERROR(VALUE(CellReference!Y2)),"",IF(VALUE(CellReference!Y2)&lt;=0,"",(VALUE(CellReference!Y2)*POWER(1+Cal2_AgePcts/100,Cal2_AgeMths/12))*zUseThisRate))</f>
        <v>126700</v>
      </c>
      <c r="Z2" s="10">
        <f>IF(ISERROR(VALUE(CellReference!Z2)),"",IF(VALUE(CellReference!Z2)&lt;=0,"",(VALUE(CellReference!Z2)*POWER(1+Cal2_AgePcts/100,Cal2_AgeMths/12))*zUseThisRate))</f>
        <v>126700</v>
      </c>
      <c r="AA2" s="10">
        <f>IF(ISERROR(VALUE(CellReference!AA2)),"",IF(VALUE(CellReference!AA2)&lt;=0,"",VALUE(CellReference!AA2)))</f>
        <v>13</v>
      </c>
      <c r="AB2" s="10">
        <f t="shared" si="2" ref="AB2:AB8">IF(ISERROR(zMBSOLD_Cell*zGMTH_Cell),"",IF(VALUE(zMBSOLD_Cell*zGMTH_Cell)&lt;=0,"",VALUE(zMBSOLD_Cell*zGMTH_Cell)))</f>
        <v>1647100</v>
      </c>
      <c r="AC2" s="10">
        <f t="shared" si="3" ref="AC2:AC8">IF(ISERROR(zMBS_Cell*zGMTH_Cell),"",IF(VALUE(zMBS_Cell*zGMTH_Cell)&lt;=0,"",VALUE(zMBS_Cell*zGMTH_Cell)))</f>
        <v>1647100</v>
      </c>
      <c r="AD2" s="10" t="str">
        <f>IF(ISERROR(VALUE(CellReference!AD2)),"",IF(VALUE(CellReference!AD2)&lt;=0,"",IF(NOT(Cal2_AgeFA),VALUE(CellReference!AD2),VALUE(CellReference!AD2)*POWER(1+Cal2_AgePcts/100,Cal2_AgeMths/12))*zUseThisRate))</f>
        <v/>
      </c>
      <c r="AE2" s="10">
        <f>IF(ISERROR(VALUE(CellReference!AE2)),"",IF(VALUE(CellReference!AE2)&lt;=0,"",IF(NOT(Cal2_AgeFA),VALUE(CellReference!AE2),VALUE(CellReference!AE2)*POWER(1+Cal2_AgePcts/100,Cal2_AgeMths/12))*zUseThisRate))</f>
        <v>89280</v>
      </c>
      <c r="AF2" s="10">
        <f t="shared" si="4" ref="AF2:AF8">IF(SUM(zABSOLD_Cell,zFAOLD_Cell)=0,"",SUM(zABSOLD_Cell,zFAOLD_Cell))</f>
        <v>1647100</v>
      </c>
      <c r="AG2" s="10">
        <f t="shared" si="5" ref="AG2:AG8">IF(SUM(zABS_Cell,zFA_Cell)=0,"",SUM(zABS_Cell,zFA_Cell))</f>
        <v>1736380</v>
      </c>
      <c r="AH2" s="10" t="str">
        <f>IF(NOT(OR(CellReference!AH2="N",CellReference!AH2="Y")),"Y",CellReference!AH2)</f>
        <v>Y</v>
      </c>
      <c r="AI2" s="10" t="str">
        <f>IF(ISERROR(VALUE(CellReference!AI2)),"",IF(VALUE(CellReference!AI2)&lt;0,"",(VALUE(CellReference!AI2)*POWER(1+Cal2_AgePcts/100,Cal2_AgeMths/12))*zUseThisRate))</f>
        <v/>
      </c>
      <c r="AJ2" s="10">
        <f>IF(ISERROR(VALUE(CellReference!AJ2)),"",IF(VALUE(CellReference!AJ2)&lt;0,"",(VALUE(CellReference!AJ2)*POWER(1+Cal2_AgePcts/100,Cal2_AgeMths/12))*zUseThisRate))</f>
        <v>3200000</v>
      </c>
      <c r="AK2" s="10" t="str">
        <f>IF(ISERROR(VALUE(CellReference!AK2)),"",IF(VALUE(CellReference!AK2)&lt;0,"",(VALUE(CellReference!AK2)*POWER(1+Cal2_AgePcts/100,Cal2_AgeMths/12))*zUseThisRate))</f>
        <v/>
      </c>
      <c r="AL2" s="10">
        <f>IF(SUM(AI2:AK2)&gt;0,SUM(AI2:AK2),IF(LEN(TRIM(CONCATENATE(AI2,AJ2,AK2)))=0,"",0))</f>
        <v>3200000</v>
      </c>
      <c r="AM2" s="10">
        <f t="shared" si="6" ref="AM2:AM8">IF(SUM(zAFC_Cell,zATSTVC_Cell)=0,"",SUM(zAFC_Cell,zATSTVC_Cell))</f>
        <v>4936380</v>
      </c>
      <c r="AN2" s="10">
        <f t="shared" si="7" ref="AN2:AN8">IF(SUM(zABS_Cell,zATSTVC_Cell)=0,"",SUM(zABS_Cell,zATSTVC_Cell))</f>
        <v>4847100</v>
      </c>
      <c r="AO2" s="10" t="str">
        <f>IF(ISERROR(VALUE(CellReference!AO2)),"",IF(VALUE(CellReference!AO2)&lt;=0,"",IF(NOT(Cal2_AgeFA),VALUE(CellReference!AO2),VALUE(CellReference!AO2)*POWER(1+Cal2_AgePcts/100,Cal2_AgeMths/12))*zUseThisRate))</f>
        <v/>
      </c>
      <c r="AP2" s="10">
        <f>IF(ISERROR(VALUE(CellReference!AP2)),"",IF(VALUE(CellReference!AP2)&lt;=0,"",IF(NOT(Cal2_AgeFA),VALUE(CellReference!AP2),VALUE(CellReference!AP2)*POWER(1+Cal2_AgePcts/100,Cal2_AgeMths/12))*zUseThisRate))</f>
        <v>3200000</v>
      </c>
      <c r="AQ2" s="10" t="str">
        <f>IF(ISERROR(VALUE(CellReference!AQ2)),"",IF(VALUE(CellReference!AQ2)&lt;=0,"",IF(NOT(Cal2_AgeFA),VALUE(CellReference!AQ2),VALUE(CellReference!AQ2)*POWER(1+Cal2_AgePcts/100,Cal2_AgeMths/12))*zUseThisRate))</f>
        <v/>
      </c>
      <c r="AR2" s="10">
        <f>IF(SUM(AO2:AQ2)&gt;0,SUM(AO2:AQ2),IF(LEN(TRIM(CONCATENATE(AO2,AP2,AQ2)))=0,"",0))</f>
        <v>3200000</v>
      </c>
      <c r="AS2" s="10">
        <f t="shared" si="8" ref="AS2:AS8">IF(SUM(zAFC_Cell,zTTSTVC_Cell)=0,"",SUM(zAFC_Cell,zTTSTVC_Cell))</f>
        <v>4936380</v>
      </c>
      <c r="AT2" s="10">
        <f t="shared" si="9" ref="AT2:AT8">IF(SUM(zABS_Cell,zTTSTVC_Cell)=0,"",SUM(zABS_Cell,zTTSTVC_Cell))</f>
        <v>4847100</v>
      </c>
      <c r="AU2" s="10" t="str">
        <f>IF(NOT(OR(CellReference!AU2="N",CellReference!AU2="Y")),"Y",CellReference!AU2)</f>
        <v>N</v>
      </c>
      <c r="AV2" s="10" t="str">
        <f>IF(ISERROR(VALUE(CellReference!AV2)),"",IF(VALUE(CellReference!AV2)&lt;=0,"",VALUE(CellReference!AV2)))</f>
        <v/>
      </c>
      <c r="AW2" s="10" t="str">
        <f>IF(ISERROR(VALUE(CellReference!AW2)),"",IF(VALUE(CellReference!AW2)&lt;=0,"",VALUE(CellReference!AW2)*zUseThisRate))</f>
        <v/>
      </c>
      <c r="AX2" s="10" t="str">
        <f>IF(ISERROR(VALUE(CellReference!AX2)),"",IF(VALUE(CellReference!AX2)&lt;=0,"",VALUE(CellReference!AX2)))</f>
        <v/>
      </c>
      <c r="AY2" s="10">
        <f>IF(ISERROR(VALUE(CellReference!AY2)),"",IF(VALUE(CellReference!AY2)&lt;=0,0.33,VALUE(CellReference!AY2)))</f>
        <v>0.43</v>
      </c>
      <c r="AZ2" s="10" t="str">
        <f>IF(ISERROR(VALUE(CellReference!AZ2)),"",IF(VALUE(CellReference!AZ2)&lt;=0,"",VALUE(CellReference!AZ2)))</f>
        <v/>
      </c>
      <c r="BA2" s="10" t="str">
        <f>IF(ISERROR(VALUE(CellReference!BA2)),"",IF(VALUE(CellReference!BA2)&lt;=0,"",VALUE(CellReference!BA2)*zUseThisRate))</f>
        <v/>
      </c>
      <c r="BB2" s="10" t="str">
        <f>IF(ISERROR(VALUE(CellReference!BB2)),"",IF(VALUE(CellReference!BB2)&lt;=0,"",VALUE(CellReference!BB2)))</f>
        <v/>
      </c>
      <c r="BC2" s="10">
        <f>IF(ISERROR(VALUE(CellReference!BC2)),"",IF(VALUE(CellReference!BC2)&lt;=0,0.33,VALUE(CellReference!BC2)))</f>
        <v>0.43</v>
      </c>
      <c r="BD2" s="10" t="str">
        <f>IF(ISERROR(VALUE(CellReference!BD2)),"",IF(VALUE(CellReference!BD2)&lt;=0,"",VALUE(CellReference!BD2)))</f>
        <v/>
      </c>
      <c r="BE2" s="10" t="str">
        <f>IF(ISERROR(VALUE(CellReference!BE2)),"",IF(VALUE(CellReference!BE2)&lt;=0,"",VALUE(CellReference!BE2)*zUseThisRate))</f>
        <v/>
      </c>
      <c r="BF2" s="10" t="str">
        <f>IF(ISERROR(VALUE(CellReference!BF2)),"",IF(VALUE(CellReference!BF2)&lt;=0,"",VALUE(CellReference!BF2)))</f>
        <v/>
      </c>
      <c r="BG2" s="10" t="str">
        <f>IF(ISERROR(VALUE(CellReference!BG2)),"",IF(VALUE(CellReference!BG2)&lt;=0,"",VALUE(CellReference!BG2)))</f>
        <v/>
      </c>
      <c r="BH2" s="10" t="str">
        <f>IF(ISERROR(VALUE(CellReference!BH2)),"",IF(VALUE(CellReference!BH2)&lt;=0,"",VALUE(CellReference!BH2)*zUseThisRate))</f>
        <v/>
      </c>
      <c r="BI2" s="10" t="str">
        <f>IF(ISERROR(VALUE(CellReference!BI2)),"",IF(VALUE(CellReference!BI2)&lt;=0,"",VALUE(CellReference!BI2)))</f>
        <v/>
      </c>
      <c r="BJ2" s="10">
        <f>0.8</f>
        <v>0.80</v>
      </c>
      <c r="BK2" s="10" t="str">
        <f>IF(ISERROR(VALUE(CellReference!BK2)),"",IF(VALUE(CellReference!BK2)&lt;=0,"",VALUE(CellReference!BK2)*zUseThisRate))</f>
        <v/>
      </c>
      <c r="BL2" s="10" t="str">
        <f>IF(ISERROR(VALUE(CellReference!BL2)),"",IF(VALUE(CellReference!BL2)&lt;=0,"",VALUE(CellReference!BL2)))</f>
        <v/>
      </c>
      <c r="BM2" s="10" t="str">
        <f>IF(SUM(IF(ISERROR(AV2*AW2*AY2),0,AV2*AW2*AY2),IF(ISERROR(AZ2*BA2*BC2),0,AZ2*BA2*BC2),IF(ISERROR(BD2*BE2),0,BD2*BE2),IF(ISERROR(BG2*BH2*BJ2),0,BG2*BH2*BJ2),IF(ISERROR(BK2),0,BK2))=0,"",SUM(IF(ISERROR(AV2*AW2*AY2),0,AV2*AW2*AY2),IF(ISERROR(AZ2*BA2*BC2),0,AZ2*BA2*BC2),IF(ISERROR(BD2*BE2),0,BD2*BE2),IF(ISERROR(BG2*BH2*BJ2),0,BG2*BH2*BJ2),IF(ISERROR(BK2),0,BK2)))</f>
        <v/>
      </c>
      <c r="BN2" s="10">
        <f t="shared" si="10" ref="BN2:BN8">IF(SUM(zATC_Cell,zTLTVC_Cell)=0,"",SUM(zATC_Cell,zTLTVC_Cell))</f>
        <v>4936380</v>
      </c>
      <c r="BO2" s="10">
        <f>IF(ISERROR(VALUE(CellReference!BO2)),"",IF(VALUE(CellReference!BO2)&lt;=0,"",VALUE(CellReference!BO2)*zUseThisRate))</f>
        <v>66000</v>
      </c>
      <c r="BP2" s="10" t="str">
        <f>IF(ISERROR(VALUE(CellReference!BP2)),"",IF(VALUE(CellReference!BP2)&lt;=0,"",VALUE(CellReference!BP2)*zUseThisRate))</f>
        <v/>
      </c>
      <c r="BQ2" s="22" t="str">
        <f>CellReference!BQ2</f>
        <v/>
      </c>
      <c r="BR2" s="22" t="str">
        <f>CellReference!BR2</f>
        <v/>
      </c>
      <c r="BS2" s="10" t="str">
        <f>IF(ISERROR(VALUE(CellReference!BS2)),"",IF(VALUE(CellReference!BS2)&lt;=0,"",VALUE(CellReference!BS2)*zUseThisRate))</f>
        <v/>
      </c>
      <c r="BT2" s="10">
        <f>IF(ISERROR(VALUE(CellReference!BT2)),"",IF(VALUE(CellReference!BT2)&lt;=0,"",VALUE(CellReference!BT2)*zUseThisRate))</f>
        <v>2406</v>
      </c>
      <c r="BU2" s="10" t="str">
        <f>IF(NOT(OR(CellReference!BU2="N",CellReference!BU2="Y")),"Y",CellReference!BU2)</f>
        <v>N</v>
      </c>
      <c r="BV2" s="10" t="str">
        <f>IF(ISERROR(VALUE(CellReference!BV2)),"",IF(VALUE(CellReference!BV2)&lt;=0,"",VALUE(CellReference!BV2)*zUseThisRate))</f>
        <v/>
      </c>
      <c r="BW2" s="10">
        <f>IF((SUM(BO2:BP2)+SUM(BS2:BV2))&gt;0,(SUM(BO2:BP2)+SUM(BS2:BV2)),"")</f>
        <v>68406</v>
      </c>
      <c r="BX2" s="10">
        <f t="shared" si="11" ref="BX2:BX8">IF(SUM(zATDC_Cell,zTPERKS_Cell)=0,"",SUM(zATDC_Cell,zTPERKS_Cell))</f>
        <v>5004786</v>
      </c>
      <c r="BY2" s="10">
        <f t="shared" si="12" ref="BY2:BY8">IF(SUM(zAFC_Cell,zTPERKS_Cell)=0,"",SUM(zAFC_Cell,zTPERKS_Cell))</f>
        <v>1804786</v>
      </c>
      <c r="BZ2" s="10">
        <f t="shared" si="13" ref="BZ2:BZ8">IF(SUM(zATC_Cell,zTPERKS_Cell)=0,"",SUM(zATC_Cell,zTPERKS_Cell))</f>
        <v>5004786</v>
      </c>
      <c r="CA2" s="10">
        <f>IF(ISERROR(VALUE(CellReference!CA2)),"",IF(VALUE(CellReference!CA2)&lt;=0,"",VALUE(CellReference!CA2)*zUseThisRate))</f>
        <v>9474</v>
      </c>
      <c r="CB2" s="10" t="str">
        <f>IF(ISERROR(VALUE(CellReference!CB2)),"",IF(VALUE(CellReference!CB2)&lt;=0,"",VALUE(CellReference!CB2)*zUseThisRate))</f>
        <v/>
      </c>
      <c r="CC2" s="10">
        <f>IF(SUM($CA2:$CB2)&gt;0,SUM($CA2:$CB2),"")</f>
        <v>9474</v>
      </c>
      <c r="CD2" s="10">
        <f t="shared" si="14" ref="CD2:CD8">IF(SUM(zATR_Cell,zBENCON_Cell)=0,"",SUM(zATR_Cell,zBENCON_Cell))</f>
        <v>5014260</v>
      </c>
      <c r="CE2" s="10">
        <f t="shared" si="15" ref="CE2:CE8">IF(SUM(zAFC_Cell,zTPERKS_Cell,zBENCON_Cell)=0,"",SUM(zAFC_Cell,zTPERKS_Cell,zBENCON_Cell))</f>
        <v>1814260</v>
      </c>
      <c r="CF2" s="10">
        <f t="shared" si="16" ref="CF2:CF8">IF(SUM(zATC_Cell,zTPERKS_Cell,zBENCON_Cell)=0,"",SUM(zATC_Cell,zTPERKS_Cell,zBENCON_Cell))</f>
        <v>5014260</v>
      </c>
      <c r="CG2" s="10" t="str">
        <f t="shared" si="17" ref="CG2">IF(OR(AI2="",zABS_Cell=""),"",VALUE(AI2/zABS_Cell))</f>
        <v/>
      </c>
      <c r="CH2" s="10">
        <f t="shared" si="18" ref="CH2">IF(OR(AJ2="",zABS_Cell=""),"",VALUE(AJ2/zABS_Cell))</f>
        <v>1.9428085726428268</v>
      </c>
      <c r="CI2" s="10" t="str">
        <f t="shared" si="19" ref="CI2">IF(OR(AK2="",zABS_Cell=""),"",VALUE(AK2/zABS_Cell))</f>
        <v/>
      </c>
      <c r="CJ2" s="10">
        <f t="shared" si="20" ref="CJ2">IF(OR(AL2="",zABS_Cell=""),"",VALUE(AL2/zABS_Cell))</f>
        <v>1.9428085726428268</v>
      </c>
      <c r="CK2" s="10" t="str">
        <f t="shared" si="21" ref="CK2">IF(OR(AO2="",zABS_Cell=""),"",VALUE(AO2/zABS_Cell))</f>
        <v/>
      </c>
      <c r="CL2" s="10">
        <f t="shared" si="22" ref="CL2">IF(OR(AP2="",zABS_Cell=""),"",VALUE(AP2/zABS_Cell))</f>
        <v>1.9428085726428268</v>
      </c>
      <c r="CM2" s="10" t="str">
        <f t="shared" si="23" ref="CM2">IF(OR(AQ2="",zABS_Cell=""),"",VALUE(AQ2/zABS_Cell))</f>
        <v/>
      </c>
      <c r="CN2" s="10">
        <f t="shared" si="24" ref="CN2">IF(OR(AR2="",zABS_Cell=""),"",VALUE(AR2/zABS_Cell))</f>
        <v>1.9428085726428268</v>
      </c>
      <c r="CO2" s="10" t="str">
        <f>IF(SUM(IF(ISERROR(AV2*AW2*AY2/1),0,AV2*AW2*AY2/1))=0,"",SUM(IF(ISERROR(AV2*AW2*AY2/1),0,AV2*AW2*AY2/1)))</f>
        <v/>
      </c>
      <c r="CP2" s="10" t="str">
        <f t="shared" si="25" ref="CP2">IF(OR(CO2="",zABS_Cell=""),"",VALUE(CO2/zABS_Cell))</f>
        <v/>
      </c>
      <c r="CQ2" s="10" t="str">
        <f>IF(SUM(IF(ISERROR(AZ2*BA2*BC2/1),0,AZ2*BA2*BC2/1))=0,"",SUM(IF(ISERROR(AZ2*BA2*BC2/1),0,AZ2*BA2*BC2/1)))</f>
        <v/>
      </c>
      <c r="CR2" s="10" t="str">
        <f t="shared" si="26" ref="CR2">IF(OR(CQ2="",zABS_Cell=""),"",VALUE(CQ2/zABS_Cell))</f>
        <v/>
      </c>
      <c r="CS2" s="10" t="str">
        <f>IF(SUM(IF(ISERROR(BD2*BE2/1),0,BD2*BE2/1))=0,"",SUM(IF(ISERROR(BD2*BE2/1),0,BD2*BE2/1)))</f>
        <v/>
      </c>
      <c r="CT2" s="10" t="str">
        <f t="shared" si="27" ref="CT2">IF(OR(CS2="",zABS_Cell=""),"",VALUE(CS2/zABS_Cell))</f>
        <v/>
      </c>
      <c r="CU2" s="10" t="str">
        <f>IF(SUM(IF(ISERROR(BG2*BH2/1*BJ2),0,BG2*BH2/1*BJ2))=0,"",SUM(IF(ISERROR(BG2*BH2/1*BJ2),0,BG2*BH2/1*BJ2)))</f>
        <v/>
      </c>
      <c r="CV2" s="10" t="str">
        <f t="shared" si="28" ref="CV2">IF(OR(CU2="",zABS_Cell=""),"",VALUE(CU2/zABS_Cell))</f>
        <v/>
      </c>
      <c r="CW2" s="10" t="str">
        <f>IF(SUM(IF(ISERROR(BK2/1),0,BK2/1))=0,"",SUM(IF(ISERROR(BK2/1),0,BK2/1)))</f>
        <v/>
      </c>
      <c r="CX2" s="10" t="str">
        <f t="shared" si="29" ref="CX2">IF(OR(CW2="",zABS_Cell=""),"",VALUE(CW2/zABS_Cell))</f>
        <v/>
      </c>
      <c r="CY2" s="10" t="str">
        <f t="shared" si="30" ref="CY2:CY8">IF(OR(zTLTVC_Cell="",zABS_Cell=""),"",VALUE(zTLTVC_Cell/zABS_Cell))</f>
        <v/>
      </c>
      <c r="CZ2" s="10">
        <f t="shared" si="31" ref="CZ2:CZ8">IF(OR(zTPERKS_Cell="",zABS_Cell=""),"",VALUE(zTPERKS_Cell/zABS_Cell))</f>
        <v>0.041531176006314126</v>
      </c>
      <c r="DA2" s="10">
        <f t="shared" si="32" ref="DA2:DA8">IF(OR(zBENCON_Cell="",zABS_Cell=""),"",VALUE(zBENCON_Cell/zABS_Cell))</f>
        <v>0.0057519276303806665</v>
      </c>
      <c r="DB2" s="10">
        <f t="shared" si="33" ref="DB2:DB8">IF(SUM(zTLTVC_Cell,zTTC_Cell)=0,"",SUM(zTLTVC_Cell,zTTC_Cell))</f>
        <v>4936380</v>
      </c>
      <c r="DC2" s="10">
        <f t="shared" si="34" ref="DC2:DC8">IF(SUM(zTTDC_Cell,zTPERKS_Cell)=0,"",SUM(zTTDC_Cell,zTPERKS_Cell))</f>
        <v>5004786</v>
      </c>
      <c r="DD2" s="10">
        <f t="shared" si="35" ref="DD2:DD8">IF(SUM(zTTR_Cell,zBENCON_Cell)=0,"",SUM(zTTR_Cell,zBENCON_Cell))</f>
        <v>5014260</v>
      </c>
      <c r="DE2" s="10">
        <f t="shared" si="36" ref="DE2:DE8">IF(SUM(zFA_Cell,zTPERKS_Cell)=0,"",SUM(zFA_Cell,zTPERKS_Cell))</f>
        <v>157686</v>
      </c>
    </row>
    <row r="3" spans="6:109" ht="13.2">
      <c r="F3" s="21">
        <f>IF(ISERROR(VALUE(CellReference!F3)),"",IF(VALUE(CellReference!F3)&gt;0,YEAR(NOW())-VALUE(CellReference!F3),""))</f>
        <v>61</v>
      </c>
      <c r="G3" s="21">
        <f>IF(ISERROR(VALUE(CellReference!G3)),"",IF(VALUE(CellReference!G3)&gt;0,YEAR(NOW())-VALUE(CellReference!G3)+1,""))</f>
        <v>37</v>
      </c>
      <c r="U3" s="20">
        <f t="shared" si="37" ref="U3:U8">V3/W3</f>
        <v>1</v>
      </c>
      <c r="V3" s="20">
        <f t="shared" si="0"/>
        <v>1.2510999999999985</v>
      </c>
      <c r="W3" s="20">
        <f t="shared" si="1"/>
        <v>1.2510999999999985</v>
      </c>
      <c r="X3" s="22" t="str">
        <f>CellReference!X3</f>
        <v>Singapore Dollars (SGD)</v>
      </c>
      <c r="Y3" s="10">
        <f>IF(ISERROR(VALUE(CellReference!Y3)),"",IF(VALUE(CellReference!Y3)&lt;=0,"",(VALUE(CellReference!Y3)*POWER(1+Cal2_AgePcts/100,Cal2_AgeMths/12))*zUseThisRate))</f>
        <v>84300</v>
      </c>
      <c r="Z3" s="10">
        <f>IF(ISERROR(VALUE(CellReference!Z3)),"",IF(VALUE(CellReference!Z3)&lt;=0,"",(VALUE(CellReference!Z3)*POWER(1+Cal2_AgePcts/100,Cal2_AgeMths/12))*zUseThisRate))</f>
        <v>90000</v>
      </c>
      <c r="AA3" s="10">
        <f>IF(ISERROR(VALUE(CellReference!AA3)),"",IF(VALUE(CellReference!AA3)&lt;=0,"",VALUE(CellReference!AA3)))</f>
        <v>13</v>
      </c>
      <c r="AB3" s="10">
        <f t="shared" si="2"/>
        <v>1095900</v>
      </c>
      <c r="AC3" s="10">
        <f t="shared" si="3"/>
        <v>1170000</v>
      </c>
      <c r="AD3" s="10" t="str">
        <f>IF(ISERROR(VALUE(CellReference!AD3)),"",IF(VALUE(CellReference!AD3)&lt;=0,"",IF(NOT(Cal2_AgeFA),VALUE(CellReference!AD3),VALUE(CellReference!AD3)*POWER(1+Cal2_AgePcts/100,Cal2_AgeMths/12))*zUseThisRate))</f>
        <v/>
      </c>
      <c r="AE3" s="10">
        <f>IF(ISERROR(VALUE(CellReference!AE3)),"",IF(VALUE(CellReference!AE3)&lt;=0,"",IF(NOT(Cal2_AgeFA),VALUE(CellReference!AE3),VALUE(CellReference!AE3)*POWER(1+Cal2_AgePcts/100,Cal2_AgeMths/12))*zUseThisRate))</f>
        <v>89280</v>
      </c>
      <c r="AF3" s="10">
        <f t="shared" si="4"/>
        <v>1095900</v>
      </c>
      <c r="AG3" s="10">
        <f t="shared" si="5"/>
        <v>1259280</v>
      </c>
      <c r="AH3" s="10" t="str">
        <f>IF(NOT(OR(CellReference!AH3="N",CellReference!AH3="Y")),"Y",CellReference!AH3)</f>
        <v>Y</v>
      </c>
      <c r="AI3" s="10" t="str">
        <f>IF(ISERROR(VALUE(CellReference!AI3)),"",IF(VALUE(CellReference!AI3)&lt;0,"",(VALUE(CellReference!AI3)*POWER(1+Cal2_AgePcts/100,Cal2_AgeMths/12))*zUseThisRate))</f>
        <v/>
      </c>
      <c r="AJ3" s="10">
        <f>IF(ISERROR(VALUE(CellReference!AJ3)),"",IF(VALUE(CellReference!AJ3)&lt;0,"",(VALUE(CellReference!AJ3)*POWER(1+Cal2_AgePcts/100,Cal2_AgeMths/12))*zUseThisRate))</f>
        <v>2250000</v>
      </c>
      <c r="AK3" s="10" t="str">
        <f>IF(ISERROR(VALUE(CellReference!AK3)),"",IF(VALUE(CellReference!AK3)&lt;0,"",(VALUE(CellReference!AK3)*POWER(1+Cal2_AgePcts/100,Cal2_AgeMths/12))*zUseThisRate))</f>
        <v/>
      </c>
      <c r="AL3" s="10">
        <f t="shared" si="38" ref="AL3:AL8">IF(SUM(AI3:AK3)&gt;0,SUM(AI3:AK3),IF(LEN(TRIM(CONCATENATE(AI3,AJ3,AK3)))=0,"",0))</f>
        <v>2250000</v>
      </c>
      <c r="AM3" s="10">
        <f t="shared" si="6"/>
        <v>3509280</v>
      </c>
      <c r="AN3" s="10">
        <f t="shared" si="7"/>
        <v>3420000</v>
      </c>
      <c r="AO3" s="10" t="str">
        <f>IF(ISERROR(VALUE(CellReference!AO3)),"",IF(VALUE(CellReference!AO3)&lt;=0,"",IF(NOT(Cal2_AgeFA),VALUE(CellReference!AO3),VALUE(CellReference!AO3)*POWER(1+Cal2_AgePcts/100,Cal2_AgeMths/12))*zUseThisRate))</f>
        <v/>
      </c>
      <c r="AP3" s="10">
        <f>IF(ISERROR(VALUE(CellReference!AP3)),"",IF(VALUE(CellReference!AP3)&lt;=0,"",IF(NOT(Cal2_AgeFA),VALUE(CellReference!AP3),VALUE(CellReference!AP3)*POWER(1+Cal2_AgePcts/100,Cal2_AgeMths/12))*zUseThisRate))</f>
        <v>2250000</v>
      </c>
      <c r="AQ3" s="10" t="str">
        <f>IF(ISERROR(VALUE(CellReference!AQ3)),"",IF(VALUE(CellReference!AQ3)&lt;=0,"",IF(NOT(Cal2_AgeFA),VALUE(CellReference!AQ3),VALUE(CellReference!AQ3)*POWER(1+Cal2_AgePcts/100,Cal2_AgeMths/12))*zUseThisRate))</f>
        <v/>
      </c>
      <c r="AR3" s="10">
        <f t="shared" si="39" ref="AR3:AR8">IF(SUM(AO3:AQ3)&gt;0,SUM(AO3:AQ3),IF(LEN(TRIM(CONCATENATE(AO3,AP3,AQ3)))=0,"",0))</f>
        <v>2250000</v>
      </c>
      <c r="AS3" s="10">
        <f t="shared" si="8"/>
        <v>3509280</v>
      </c>
      <c r="AT3" s="10">
        <f t="shared" si="9"/>
        <v>3420000</v>
      </c>
      <c r="AU3" s="10" t="str">
        <f>IF(NOT(OR(CellReference!AU3="N",CellReference!AU3="Y")),"Y",CellReference!AU3)</f>
        <v>N</v>
      </c>
      <c r="AV3" s="10" t="str">
        <f>IF(ISERROR(VALUE(CellReference!AV3)),"",IF(VALUE(CellReference!AV3)&lt;=0,"",VALUE(CellReference!AV3)))</f>
        <v/>
      </c>
      <c r="AW3" s="10" t="str">
        <f>IF(ISERROR(VALUE(CellReference!AW3)),"",IF(VALUE(CellReference!AW3)&lt;=0,"",VALUE(CellReference!AW3)*zUseThisRate))</f>
        <v/>
      </c>
      <c r="AX3" s="10" t="str">
        <f>IF(ISERROR(VALUE(CellReference!AX3)),"",IF(VALUE(CellReference!AX3)&lt;=0,"",VALUE(CellReference!AX3)))</f>
        <v/>
      </c>
      <c r="AY3" s="10">
        <f>IF(ISERROR(VALUE(CellReference!AY3)),"",IF(VALUE(CellReference!AY3)&lt;=0,0.33,VALUE(CellReference!AY3)))</f>
        <v>0.43</v>
      </c>
      <c r="AZ3" s="10" t="str">
        <f>IF(ISERROR(VALUE(CellReference!AZ3)),"",IF(VALUE(CellReference!AZ3)&lt;=0,"",VALUE(CellReference!AZ3)))</f>
        <v/>
      </c>
      <c r="BA3" s="10" t="str">
        <f>IF(ISERROR(VALUE(CellReference!BA3)),"",IF(VALUE(CellReference!BA3)&lt;=0,"",VALUE(CellReference!BA3)*zUseThisRate))</f>
        <v/>
      </c>
      <c r="BB3" s="10" t="str">
        <f>IF(ISERROR(VALUE(CellReference!BB3)),"",IF(VALUE(CellReference!BB3)&lt;=0,"",VALUE(CellReference!BB3)))</f>
        <v/>
      </c>
      <c r="BC3" s="10">
        <f>IF(ISERROR(VALUE(CellReference!BC3)),"",IF(VALUE(CellReference!BC3)&lt;=0,0.33,VALUE(CellReference!BC3)))</f>
        <v>0.43</v>
      </c>
      <c r="BD3" s="10" t="str">
        <f>IF(ISERROR(VALUE(CellReference!BD3)),"",IF(VALUE(CellReference!BD3)&lt;=0,"",VALUE(CellReference!BD3)))</f>
        <v/>
      </c>
      <c r="BE3" s="10" t="str">
        <f>IF(ISERROR(VALUE(CellReference!BE3)),"",IF(VALUE(CellReference!BE3)&lt;=0,"",VALUE(CellReference!BE3)*zUseThisRate))</f>
        <v/>
      </c>
      <c r="BF3" s="10" t="str">
        <f>IF(ISERROR(VALUE(CellReference!BF3)),"",IF(VALUE(CellReference!BF3)&lt;=0,"",VALUE(CellReference!BF3)))</f>
        <v/>
      </c>
      <c r="BG3" s="10" t="str">
        <f>IF(ISERROR(VALUE(CellReference!BG3)),"",IF(VALUE(CellReference!BG3)&lt;=0,"",VALUE(CellReference!BG3)))</f>
        <v/>
      </c>
      <c r="BH3" s="10" t="str">
        <f>IF(ISERROR(VALUE(CellReference!BH3)),"",IF(VALUE(CellReference!BH3)&lt;=0,"",VALUE(CellReference!BH3)*zUseThisRate))</f>
        <v/>
      </c>
      <c r="BI3" s="10" t="str">
        <f>IF(ISERROR(VALUE(CellReference!BI3)),"",IF(VALUE(CellReference!BI3)&lt;=0,"",VALUE(CellReference!BI3)))</f>
        <v/>
      </c>
      <c r="BJ3" s="10">
        <f t="shared" si="40" ref="BJ3:BJ8">0.8</f>
        <v>0.80</v>
      </c>
      <c r="BK3" s="10" t="str">
        <f>IF(ISERROR(VALUE(CellReference!BK3)),"",IF(VALUE(CellReference!BK3)&lt;=0,"",VALUE(CellReference!BK3)*zUseThisRate))</f>
        <v/>
      </c>
      <c r="BL3" s="10" t="str">
        <f>IF(ISERROR(VALUE(CellReference!BL3)),"",IF(VALUE(CellReference!BL3)&lt;=0,"",VALUE(CellReference!BL3)))</f>
        <v/>
      </c>
      <c r="BM3" s="10" t="str">
        <f t="shared" si="41" ref="BM3:BM8">IF(SUM(IF(ISERROR(AV3*AW3*AY3),0,AV3*AW3*AY3),IF(ISERROR(AZ3*BA3*BC3),0,AZ3*BA3*BC3),IF(ISERROR(BD3*BE3),0,BD3*BE3),IF(ISERROR(BG3*BH3*BJ3),0,BG3*BH3*BJ3),IF(ISERROR(BK3),0,BK3))=0,"",SUM(IF(ISERROR(AV3*AW3*AY3),0,AV3*AW3*AY3),IF(ISERROR(AZ3*BA3*BC3),0,AZ3*BA3*BC3),IF(ISERROR(BD3*BE3),0,BD3*BE3),IF(ISERROR(BG3*BH3*BJ3),0,BG3*BH3*BJ3),IF(ISERROR(BK3),0,BK3)))</f>
        <v/>
      </c>
      <c r="BN3" s="10">
        <f t="shared" si="10"/>
        <v>3509280</v>
      </c>
      <c r="BO3" s="10">
        <f>IF(ISERROR(VALUE(CellReference!BO3)),"",IF(VALUE(CellReference!BO3)&lt;=0,"",VALUE(CellReference!BO3)*zUseThisRate))</f>
        <v>54000</v>
      </c>
      <c r="BP3" s="10" t="str">
        <f>IF(ISERROR(VALUE(CellReference!BP3)),"",IF(VALUE(CellReference!BP3)&lt;=0,"",VALUE(CellReference!BP3)*zUseThisRate))</f>
        <v/>
      </c>
      <c r="BQ3" s="22" t="str">
        <f>CellReference!BQ3</f>
        <v/>
      </c>
      <c r="BR3" s="22" t="str">
        <f>CellReference!BR3</f>
        <v/>
      </c>
      <c r="BS3" s="10" t="str">
        <f>IF(ISERROR(VALUE(CellReference!BS3)),"",IF(VALUE(CellReference!BS3)&lt;=0,"",VALUE(CellReference!BS3)*zUseThisRate))</f>
        <v/>
      </c>
      <c r="BT3" s="10">
        <f>IF(ISERROR(VALUE(CellReference!BT3)),"",IF(VALUE(CellReference!BT3)&lt;=0,"",VALUE(CellReference!BT3)*zUseThisRate))</f>
        <v>1926</v>
      </c>
      <c r="BU3" s="10" t="str">
        <f>IF(NOT(OR(CellReference!BU3="N",CellReference!BU3="Y")),"Y",CellReference!BU3)</f>
        <v>N</v>
      </c>
      <c r="BV3" s="10" t="str">
        <f>IF(ISERROR(VALUE(CellReference!BV3)),"",IF(VALUE(CellReference!BV3)&lt;=0,"",VALUE(CellReference!BV3)*zUseThisRate))</f>
        <v/>
      </c>
      <c r="BW3" s="10">
        <f t="shared" si="42" ref="BW3:BW8">IF((SUM(BO3:BP3)+SUM(BS3:BV3))&gt;0,(SUM(BO3:BP3)+SUM(BS3:BV3)),"")</f>
        <v>55926</v>
      </c>
      <c r="BX3" s="10">
        <f t="shared" si="11"/>
        <v>3565206</v>
      </c>
      <c r="BY3" s="10">
        <f t="shared" si="12"/>
        <v>1315206</v>
      </c>
      <c r="BZ3" s="10">
        <f t="shared" si="13"/>
        <v>3565206</v>
      </c>
      <c r="CA3" s="10">
        <f>IF(ISERROR(VALUE(CellReference!CA3)),"",IF(VALUE(CellReference!CA3)&lt;=0,"",VALUE(CellReference!CA3)*zUseThisRate))</f>
        <v>7048</v>
      </c>
      <c r="CB3" s="10" t="str">
        <f>IF(ISERROR(VALUE(CellReference!CB3)),"",IF(VALUE(CellReference!CB3)&lt;=0,"",VALUE(CellReference!CB3)*zUseThisRate))</f>
        <v/>
      </c>
      <c r="CC3" s="10">
        <f t="shared" si="43" ref="CC3:CC8">IF(SUM($CA3:$CB3)&gt;0,SUM($CA3:$CB3),"")</f>
        <v>7048</v>
      </c>
      <c r="CD3" s="10">
        <f t="shared" si="14"/>
        <v>3572254</v>
      </c>
      <c r="CE3" s="10">
        <f t="shared" si="15"/>
        <v>1322254</v>
      </c>
      <c r="CF3" s="10">
        <f t="shared" si="16"/>
        <v>3572254</v>
      </c>
      <c r="CG3" s="10" t="str">
        <f t="shared" si="44" ref="CG3:CG8">IF(OR(AI3="",zABS_Cell=""),"",VALUE(AI3/zABS_Cell))</f>
        <v/>
      </c>
      <c r="CH3" s="10">
        <f t="shared" si="45" ref="CH3:CH8">IF(OR(AJ3="",zABS_Cell=""),"",VALUE(AJ3/zABS_Cell))</f>
        <v>1.9230769230769231</v>
      </c>
      <c r="CI3" s="10" t="str">
        <f t="shared" si="46" ref="CI3:CI8">IF(OR(AK3="",zABS_Cell=""),"",VALUE(AK3/zABS_Cell))</f>
        <v/>
      </c>
      <c r="CJ3" s="10">
        <f t="shared" si="47" ref="CJ3:CJ8">IF(OR(AL3="",zABS_Cell=""),"",VALUE(AL3/zABS_Cell))</f>
        <v>1.9230769230769231</v>
      </c>
      <c r="CK3" s="10" t="str">
        <f t="shared" si="48" ref="CK3:CK8">IF(OR(AO3="",zABS_Cell=""),"",VALUE(AO3/zABS_Cell))</f>
        <v/>
      </c>
      <c r="CL3" s="10">
        <f t="shared" si="49" ref="CL3:CL8">IF(OR(AP3="",zABS_Cell=""),"",VALUE(AP3/zABS_Cell))</f>
        <v>1.9230769230769231</v>
      </c>
      <c r="CM3" s="10" t="str">
        <f t="shared" si="50" ref="CM3:CM8">IF(OR(AQ3="",zABS_Cell=""),"",VALUE(AQ3/zABS_Cell))</f>
        <v/>
      </c>
      <c r="CN3" s="10">
        <f t="shared" si="51" ref="CN3:CN8">IF(OR(AR3="",zABS_Cell=""),"",VALUE(AR3/zABS_Cell))</f>
        <v>1.9230769230769231</v>
      </c>
      <c r="CO3" s="10" t="str">
        <f t="shared" si="52" ref="CO3:CO8">IF(SUM(IF(ISERROR(AV3*AW3*AY3/1),0,AV3*AW3*AY3/1))=0,"",SUM(IF(ISERROR(AV3*AW3*AY3/1),0,AV3*AW3*AY3/1)))</f>
        <v/>
      </c>
      <c r="CP3" s="10" t="str">
        <f t="shared" si="53" ref="CP3:CP8">IF(OR(CO3="",zABS_Cell=""),"",VALUE(CO3/zABS_Cell))</f>
        <v/>
      </c>
      <c r="CQ3" s="10" t="str">
        <f t="shared" si="54" ref="CQ3:CQ8">IF(SUM(IF(ISERROR(AZ3*BA3*BC3/1),0,AZ3*BA3*BC3/1))=0,"",SUM(IF(ISERROR(AZ3*BA3*BC3/1),0,AZ3*BA3*BC3/1)))</f>
        <v/>
      </c>
      <c r="CR3" s="10" t="str">
        <f t="shared" si="55" ref="CR3:CR8">IF(OR(CQ3="",zABS_Cell=""),"",VALUE(CQ3/zABS_Cell))</f>
        <v/>
      </c>
      <c r="CS3" s="10" t="str">
        <f t="shared" si="56" ref="CS3:CS8">IF(SUM(IF(ISERROR(BD3*BE3/1),0,BD3*BE3/1))=0,"",SUM(IF(ISERROR(BD3*BE3/1),0,BD3*BE3/1)))</f>
        <v/>
      </c>
      <c r="CT3" s="10" t="str">
        <f t="shared" si="57" ref="CT3:CT8">IF(OR(CS3="",zABS_Cell=""),"",VALUE(CS3/zABS_Cell))</f>
        <v/>
      </c>
      <c r="CU3" s="10" t="str">
        <f t="shared" si="58" ref="CU3:CU8">IF(SUM(IF(ISERROR(BG3*BH3/1*BJ3),0,BG3*BH3/1*BJ3))=0,"",SUM(IF(ISERROR(BG3*BH3/1*BJ3),0,BG3*BH3/1*BJ3)))</f>
        <v/>
      </c>
      <c r="CV3" s="10" t="str">
        <f t="shared" si="59" ref="CV3:CV8">IF(OR(CU3="",zABS_Cell=""),"",VALUE(CU3/zABS_Cell))</f>
        <v/>
      </c>
      <c r="CW3" s="10" t="str">
        <f t="shared" si="60" ref="CW3:CW8">IF(SUM(IF(ISERROR(BK3/1),0,BK3/1))=0,"",SUM(IF(ISERROR(BK3/1),0,BK3/1)))</f>
        <v/>
      </c>
      <c r="CX3" s="10" t="str">
        <f t="shared" si="61" ref="CX3:CX8">IF(OR(CW3="",zABS_Cell=""),"",VALUE(CW3/zABS_Cell))</f>
        <v/>
      </c>
      <c r="CY3" s="10" t="str">
        <f t="shared" si="30"/>
        <v/>
      </c>
      <c r="CZ3" s="10">
        <f t="shared" si="31"/>
        <v>0.047800000000000002</v>
      </c>
      <c r="DA3" s="10">
        <f t="shared" si="32"/>
        <v>0.0060239316239316335</v>
      </c>
      <c r="DB3" s="10">
        <f t="shared" si="33"/>
        <v>3509280</v>
      </c>
      <c r="DC3" s="10">
        <f t="shared" si="34"/>
        <v>3565206</v>
      </c>
      <c r="DD3" s="10">
        <f t="shared" si="35"/>
        <v>3572254</v>
      </c>
      <c r="DE3" s="10">
        <f t="shared" si="36"/>
        <v>145206</v>
      </c>
    </row>
    <row r="4" spans="6:109" ht="13.2">
      <c r="F4" s="21">
        <f>IF(ISERROR(VALUE(CellReference!F4)),"",IF(VALUE(CellReference!F4)&gt;0,YEAR(NOW())-VALUE(CellReference!F4),""))</f>
        <v>63</v>
      </c>
      <c r="G4" s="21">
        <f>IF(ISERROR(VALUE(CellReference!G4)),"",IF(VALUE(CellReference!G4)&gt;0,YEAR(NOW())-VALUE(CellReference!G4)+1,""))</f>
        <v>12</v>
      </c>
      <c r="U4" s="20">
        <f t="shared" si="37"/>
        <v>1</v>
      </c>
      <c r="V4" s="20">
        <f t="shared" si="0"/>
        <v>1.2510999999999985</v>
      </c>
      <c r="W4" s="20">
        <f t="shared" si="1"/>
        <v>1.2510999999999985</v>
      </c>
      <c r="X4" s="22" t="str">
        <f>CellReference!X4</f>
        <v>Singapore Dollars (SGD)</v>
      </c>
      <c r="Y4" s="10">
        <f>IF(ISERROR(VALUE(CellReference!Y4)),"",IF(VALUE(CellReference!Y4)&lt;=0,"",(VALUE(CellReference!Y4)*POWER(1+Cal2_AgePcts/100,Cal2_AgeMths/12))*zUseThisRate))</f>
        <v>92700</v>
      </c>
      <c r="Z4" s="10">
        <f>IF(ISERROR(VALUE(CellReference!Z4)),"",IF(VALUE(CellReference!Z4)&lt;=0,"",(VALUE(CellReference!Z4)*POWER(1+Cal2_AgePcts/100,Cal2_AgeMths/12))*zUseThisRate))</f>
        <v>96871.50</v>
      </c>
      <c r="AA4" s="10">
        <f>IF(ISERROR(VALUE(CellReference!AA4)),"",IF(VALUE(CellReference!AA4)&lt;=0,"",VALUE(CellReference!AA4)))</f>
        <v>12</v>
      </c>
      <c r="AB4" s="10">
        <f t="shared" si="2"/>
        <v>1112400</v>
      </c>
      <c r="AC4" s="10">
        <f t="shared" si="3"/>
        <v>1162458</v>
      </c>
      <c r="AD4" s="10">
        <f>IF(ISERROR(VALUE(CellReference!AD4)),"",IF(VALUE(CellReference!AD4)&lt;=0,"",IF(NOT(Cal2_AgeFA),VALUE(CellReference!AD4),VALUE(CellReference!AD4)*POWER(1+Cal2_AgePcts/100,Cal2_AgeMths/12))*zUseThisRate))</f>
        <v>720</v>
      </c>
      <c r="AE4" s="10">
        <f>IF(ISERROR(VALUE(CellReference!AE4)),"",IF(VALUE(CellReference!AE4)&lt;=0,"",IF(NOT(Cal2_AgeFA),VALUE(CellReference!AE4),VALUE(CellReference!AE4)*POWER(1+Cal2_AgePcts/100,Cal2_AgeMths/12))*zUseThisRate))</f>
        <v>103680</v>
      </c>
      <c r="AF4" s="10">
        <f t="shared" si="4"/>
        <v>1113120</v>
      </c>
      <c r="AG4" s="10">
        <f t="shared" si="5"/>
        <v>1266138</v>
      </c>
      <c r="AH4" s="10" t="str">
        <f>IF(NOT(OR(CellReference!AH4="N",CellReference!AH4="Y")),"Y",CellReference!AH4)</f>
        <v>Y</v>
      </c>
      <c r="AI4" s="10" t="str">
        <f>IF(ISERROR(VALUE(CellReference!AI4)),"",IF(VALUE(CellReference!AI4)&lt;0,"",(VALUE(CellReference!AI4)*POWER(1+Cal2_AgePcts/100,Cal2_AgeMths/12))*zUseThisRate))</f>
        <v/>
      </c>
      <c r="AJ4" s="10">
        <f>IF(ISERROR(VALUE(CellReference!AJ4)),"",IF(VALUE(CellReference!AJ4)&lt;0,"",(VALUE(CellReference!AJ4)*POWER(1+Cal2_AgePcts/100,Cal2_AgeMths/12))*zUseThisRate))</f>
        <v>1212262.70</v>
      </c>
      <c r="AK4" s="10" t="str">
        <f>IF(ISERROR(VALUE(CellReference!AK4)),"",IF(VALUE(CellReference!AK4)&lt;0,"",(VALUE(CellReference!AK4)*POWER(1+Cal2_AgePcts/100,Cal2_AgeMths/12))*zUseThisRate))</f>
        <v/>
      </c>
      <c r="AL4" s="10">
        <f t="shared" si="38"/>
        <v>1212262.70</v>
      </c>
      <c r="AM4" s="10">
        <f t="shared" si="6"/>
        <v>2478400.7000000002</v>
      </c>
      <c r="AN4" s="10">
        <f t="shared" si="7"/>
        <v>2374720.7000000002</v>
      </c>
      <c r="AO4" s="10" t="str">
        <f>IF(ISERROR(VALUE(CellReference!AO4)),"",IF(VALUE(CellReference!AO4)&lt;=0,"",IF(NOT(Cal2_AgeFA),VALUE(CellReference!AO4),VALUE(CellReference!AO4)*POWER(1+Cal2_AgePcts/100,Cal2_AgeMths/12))*zUseThisRate))</f>
        <v/>
      </c>
      <c r="AP4" s="10">
        <f>IF(ISERROR(VALUE(CellReference!AP4)),"",IF(VALUE(CellReference!AP4)&lt;=0,"",IF(NOT(Cal2_AgeFA),VALUE(CellReference!AP4),VALUE(CellReference!AP4)*POWER(1+Cal2_AgePcts/100,Cal2_AgeMths/12))*zUseThisRate))</f>
        <v>468369</v>
      </c>
      <c r="AQ4" s="10" t="str">
        <f>IF(ISERROR(VALUE(CellReference!AQ4)),"",IF(VALUE(CellReference!AQ4)&lt;=0,"",IF(NOT(Cal2_AgeFA),VALUE(CellReference!AQ4),VALUE(CellReference!AQ4)*POWER(1+Cal2_AgePcts/100,Cal2_AgeMths/12))*zUseThisRate))</f>
        <v/>
      </c>
      <c r="AR4" s="10">
        <f t="shared" si="39"/>
        <v>468369</v>
      </c>
      <c r="AS4" s="10">
        <f t="shared" si="8"/>
        <v>1734507</v>
      </c>
      <c r="AT4" s="10">
        <f t="shared" si="9"/>
        <v>1630827</v>
      </c>
      <c r="AU4" s="10" t="str">
        <f>IF(NOT(OR(CellReference!AU4="N",CellReference!AU4="Y")),"Y",CellReference!AU4)</f>
        <v>Y</v>
      </c>
      <c r="AV4" s="10" t="str">
        <f>IF(ISERROR(VALUE(CellReference!AV4)),"",IF(VALUE(CellReference!AV4)&lt;=0,"",VALUE(CellReference!AV4)))</f>
        <v/>
      </c>
      <c r="AW4" s="10" t="str">
        <f>IF(ISERROR(VALUE(CellReference!AW4)),"",IF(VALUE(CellReference!AW4)&lt;=0,"",VALUE(CellReference!AW4)*zUseThisRate))</f>
        <v/>
      </c>
      <c r="AX4" s="10" t="str">
        <f>IF(ISERROR(VALUE(CellReference!AX4)),"",IF(VALUE(CellReference!AX4)&lt;=0,"",VALUE(CellReference!AX4)))</f>
        <v/>
      </c>
      <c r="AY4" s="10">
        <f>IF(ISERROR(VALUE(CellReference!AY4)),"",IF(VALUE(CellReference!AY4)&lt;=0,0.33,VALUE(CellReference!AY4)))</f>
        <v>0.33</v>
      </c>
      <c r="AZ4" s="10" t="str">
        <f>IF(ISERROR(VALUE(CellReference!AZ4)),"",IF(VALUE(CellReference!AZ4)&lt;=0,"",VALUE(CellReference!AZ4)))</f>
        <v/>
      </c>
      <c r="BA4" s="10" t="str">
        <f>IF(ISERROR(VALUE(CellReference!BA4)),"",IF(VALUE(CellReference!BA4)&lt;=0,"",VALUE(CellReference!BA4)*zUseThisRate))</f>
        <v/>
      </c>
      <c r="BB4" s="10" t="str">
        <f>IF(ISERROR(VALUE(CellReference!BB4)),"",IF(VALUE(CellReference!BB4)&lt;=0,"",VALUE(CellReference!BB4)))</f>
        <v/>
      </c>
      <c r="BC4" s="10">
        <f>IF(ISERROR(VALUE(CellReference!BC4)),"",IF(VALUE(CellReference!BC4)&lt;=0,0.33,VALUE(CellReference!BC4)))</f>
        <v>0.33</v>
      </c>
      <c r="BD4" s="10" t="str">
        <f>IF(ISERROR(VALUE(CellReference!BD4)),"",IF(VALUE(CellReference!BD4)&lt;=0,"",VALUE(CellReference!BD4)))</f>
        <v/>
      </c>
      <c r="BE4" s="10" t="str">
        <f>IF(ISERROR(VALUE(CellReference!BE4)),"",IF(VALUE(CellReference!BE4)&lt;=0,"",VALUE(CellReference!BE4)*zUseThisRate))</f>
        <v/>
      </c>
      <c r="BF4" s="10" t="str">
        <f>IF(ISERROR(VALUE(CellReference!BF4)),"",IF(VALUE(CellReference!BF4)&lt;=0,"",VALUE(CellReference!BF4)))</f>
        <v/>
      </c>
      <c r="BG4" s="10" t="str">
        <f>IF(ISERROR(VALUE(CellReference!BG4)),"",IF(VALUE(CellReference!BG4)&lt;=0,"",VALUE(CellReference!BG4)))</f>
        <v/>
      </c>
      <c r="BH4" s="10" t="str">
        <f>IF(ISERROR(VALUE(CellReference!BH4)),"",IF(VALUE(CellReference!BH4)&lt;=0,"",VALUE(CellReference!BH4)*zUseThisRate))</f>
        <v/>
      </c>
      <c r="BI4" s="10">
        <f>IF(ISERROR(VALUE(CellReference!BI4)),"",IF(VALUE(CellReference!BI4)&lt;=0,"",VALUE(CellReference!BI4)))</f>
        <v>1</v>
      </c>
      <c r="BJ4" s="10">
        <f t="shared" si="40"/>
        <v>0.80</v>
      </c>
      <c r="BK4" s="10">
        <f>IF(ISERROR(VALUE(CellReference!BK4)),"",IF(VALUE(CellReference!BK4)&lt;=0,"",VALUE(CellReference!BK4)*zUseThisRate))</f>
        <v>610000</v>
      </c>
      <c r="BL4" s="10">
        <f>IF(ISERROR(VALUE(CellReference!BL4)),"",IF(VALUE(CellReference!BL4)&lt;=0,"",VALUE(CellReference!BL4)))</f>
        <v>1</v>
      </c>
      <c r="BM4" s="10">
        <f t="shared" si="41"/>
        <v>610000</v>
      </c>
      <c r="BN4" s="10">
        <f t="shared" si="10"/>
        <v>3088400.70</v>
      </c>
      <c r="BO4" s="10" t="str">
        <f>IF(ISERROR(VALUE(CellReference!BO4)),"",IF(VALUE(CellReference!BO4)&lt;=0,"",VALUE(CellReference!BO4)*zUseThisRate))</f>
        <v/>
      </c>
      <c r="BP4" s="10">
        <f>IF(ISERROR(VALUE(CellReference!BP4)),"",IF(VALUE(CellReference!BP4)&lt;=0,"",VALUE(CellReference!BP4)*zUseThisRate))</f>
        <v>15050</v>
      </c>
      <c r="BQ4" s="22" t="str">
        <f>CellReference!BQ4</f>
        <v/>
      </c>
      <c r="BR4" s="22" t="str">
        <f>CellReference!BR4</f>
        <v/>
      </c>
      <c r="BS4" s="10" t="str">
        <f>IF(ISERROR(VALUE(CellReference!BS4)),"",IF(VALUE(CellReference!BS4)&lt;=0,"",VALUE(CellReference!BS4)*zUseThisRate))</f>
        <v/>
      </c>
      <c r="BT4" s="10">
        <f>IF(ISERROR(VALUE(CellReference!BT4)),"",IF(VALUE(CellReference!BT4)&lt;=0,"",VALUE(CellReference!BT4)*zUseThisRate))</f>
        <v>2400</v>
      </c>
      <c r="BU4" s="10" t="str">
        <f>IF(NOT(OR(CellReference!BU4="N",CellReference!BU4="Y")),"Y",CellReference!BU4)</f>
        <v>N</v>
      </c>
      <c r="BV4" s="10" t="str">
        <f>IF(ISERROR(VALUE(CellReference!BV4)),"",IF(VALUE(CellReference!BV4)&lt;=0,"",VALUE(CellReference!BV4)*zUseThisRate))</f>
        <v/>
      </c>
      <c r="BW4" s="10">
        <f t="shared" si="42"/>
        <v>17450</v>
      </c>
      <c r="BX4" s="10">
        <f t="shared" si="11"/>
        <v>3105850.70</v>
      </c>
      <c r="BY4" s="10">
        <f t="shared" si="12"/>
        <v>1283588</v>
      </c>
      <c r="BZ4" s="10">
        <f t="shared" si="13"/>
        <v>2495850.7000000002</v>
      </c>
      <c r="CA4" s="10">
        <f>IF(ISERROR(VALUE(CellReference!CA4)),"",IF(VALUE(CellReference!CA4)&lt;=0,"",VALUE(CellReference!CA4)*zUseThisRate))</f>
        <v>5743</v>
      </c>
      <c r="CB4" s="10" t="str">
        <f>IF(ISERROR(VALUE(CellReference!CB4)),"",IF(VALUE(CellReference!CB4)&lt;=0,"",VALUE(CellReference!CB4)*zUseThisRate))</f>
        <v/>
      </c>
      <c r="CC4" s="10">
        <f t="shared" si="43"/>
        <v>5743</v>
      </c>
      <c r="CD4" s="10">
        <f t="shared" si="14"/>
        <v>3111593.70</v>
      </c>
      <c r="CE4" s="10">
        <f t="shared" si="15"/>
        <v>1289331</v>
      </c>
      <c r="CF4" s="10">
        <f t="shared" si="16"/>
        <v>2501593.7000000002</v>
      </c>
      <c r="CG4" s="10" t="str">
        <f t="shared" si="44"/>
        <v/>
      </c>
      <c r="CH4" s="10">
        <f t="shared" si="45"/>
        <v>1.0428443006112909</v>
      </c>
      <c r="CI4" s="10" t="str">
        <f t="shared" si="46"/>
        <v/>
      </c>
      <c r="CJ4" s="10">
        <f t="shared" si="47"/>
        <v>1.0428443006112909</v>
      </c>
      <c r="CK4" s="10" t="str">
        <f t="shared" si="48"/>
        <v/>
      </c>
      <c r="CL4" s="10">
        <f t="shared" si="49"/>
        <v>0.40291262135922418</v>
      </c>
      <c r="CM4" s="10" t="str">
        <f t="shared" si="50"/>
        <v/>
      </c>
      <c r="CN4" s="10">
        <f t="shared" si="51"/>
        <v>0.40291262135922418</v>
      </c>
      <c r="CO4" s="10" t="str">
        <f t="shared" si="52"/>
        <v/>
      </c>
      <c r="CP4" s="10" t="str">
        <f t="shared" si="53"/>
        <v/>
      </c>
      <c r="CQ4" s="10" t="str">
        <f t="shared" si="54"/>
        <v/>
      </c>
      <c r="CR4" s="10" t="str">
        <f t="shared" si="55"/>
        <v/>
      </c>
      <c r="CS4" s="10" t="str">
        <f t="shared" si="56"/>
        <v/>
      </c>
      <c r="CT4" s="10" t="str">
        <f t="shared" si="57"/>
        <v/>
      </c>
      <c r="CU4" s="10" t="str">
        <f t="shared" si="58"/>
        <v/>
      </c>
      <c r="CV4" s="10" t="str">
        <f t="shared" si="59"/>
        <v/>
      </c>
      <c r="CW4" s="10">
        <f t="shared" si="60"/>
        <v>610000</v>
      </c>
      <c r="CX4" s="10">
        <f t="shared" si="61"/>
        <v>0.52475014151048893</v>
      </c>
      <c r="CY4" s="10">
        <f t="shared" si="30"/>
        <v>0.52475014151048893</v>
      </c>
      <c r="CZ4" s="10">
        <f t="shared" si="31"/>
        <v>0.015011295031734496</v>
      </c>
      <c r="DA4" s="10">
        <f t="shared" si="32"/>
        <v>0.0049403935454012194</v>
      </c>
      <c r="DB4" s="10">
        <f t="shared" si="33"/>
        <v>2344507</v>
      </c>
      <c r="DC4" s="10">
        <f t="shared" si="34"/>
        <v>2361957</v>
      </c>
      <c r="DD4" s="10">
        <f t="shared" si="35"/>
        <v>2367700</v>
      </c>
      <c r="DE4" s="10">
        <f t="shared" si="36"/>
        <v>121130</v>
      </c>
    </row>
    <row r="5" spans="6:109" ht="13.2">
      <c r="F5" s="21">
        <f>IF(ISERROR(VALUE(CellReference!F5)),"",IF(VALUE(CellReference!F5)&gt;0,YEAR(NOW())-VALUE(CellReference!F5),""))</f>
        <v>63</v>
      </c>
      <c r="G5" s="21">
        <f>IF(ISERROR(VALUE(CellReference!G5)),"",IF(VALUE(CellReference!G5)&gt;0,YEAR(NOW())-VALUE(CellReference!G5)+1,""))</f>
        <v>9</v>
      </c>
      <c r="U5" s="20">
        <f t="shared" si="37"/>
        <v>1</v>
      </c>
      <c r="V5" s="20">
        <f t="shared" si="0"/>
        <v>1.2510999999999985</v>
      </c>
      <c r="W5" s="20">
        <f t="shared" si="1"/>
        <v>1.2510999999999985</v>
      </c>
      <c r="X5" s="22" t="str">
        <f>CellReference!X5</f>
        <v>Singapore Dollars (SGD)</v>
      </c>
      <c r="Y5" s="10">
        <f>IF(ISERROR(VALUE(CellReference!Y5)),"",IF(VALUE(CellReference!Y5)&lt;=0,"",(VALUE(CellReference!Y5)*POWER(1+Cal2_AgePcts/100,Cal2_AgeMths/12))*zUseThisRate))</f>
        <v>84241</v>
      </c>
      <c r="Z5" s="10">
        <f>IF(ISERROR(VALUE(CellReference!Z5)),"",IF(VALUE(CellReference!Z5)&lt;=0,"",(VALUE(CellReference!Z5)*POWER(1+Cal2_AgePcts/100,Cal2_AgeMths/12))*zUseThisRate))</f>
        <v>88031.845000000001</v>
      </c>
      <c r="AA5" s="10">
        <f>IF(ISERROR(VALUE(CellReference!AA5)),"",IF(VALUE(CellReference!AA5)&lt;=0,"",VALUE(CellReference!AA5)))</f>
        <v>12</v>
      </c>
      <c r="AB5" s="10">
        <f t="shared" si="2"/>
        <v>1010892</v>
      </c>
      <c r="AC5" s="10">
        <f t="shared" si="3"/>
        <v>1056382.1400000001</v>
      </c>
      <c r="AD5" s="10">
        <f>IF(ISERROR(VALUE(CellReference!AD5)),"",IF(VALUE(CellReference!AD5)&lt;=0,"",IF(NOT(Cal2_AgeFA),VALUE(CellReference!AD5),VALUE(CellReference!AD5)*POWER(1+Cal2_AgePcts/100,Cal2_AgeMths/12))*zUseThisRate))</f>
        <v>82800</v>
      </c>
      <c r="AE5" s="10">
        <f>IF(ISERROR(VALUE(CellReference!AE5)),"",IF(VALUE(CellReference!AE5)&lt;=0,"",IF(NOT(Cal2_AgeFA),VALUE(CellReference!AE5),VALUE(CellReference!AE5)*POWER(1+Cal2_AgePcts/100,Cal2_AgeMths/12))*zUseThisRate))</f>
        <v>82800</v>
      </c>
      <c r="AF5" s="10">
        <f t="shared" si="4"/>
        <v>1093692</v>
      </c>
      <c r="AG5" s="10">
        <f t="shared" si="5"/>
        <v>1139182.1400000001</v>
      </c>
      <c r="AH5" s="10" t="str">
        <f>IF(NOT(OR(CellReference!AH5="N",CellReference!AH5="Y")),"Y",CellReference!AH5)</f>
        <v>Y</v>
      </c>
      <c r="AI5" s="10" t="str">
        <f>IF(ISERROR(VALUE(CellReference!AI5)),"",IF(VALUE(CellReference!AI5)&lt;0,"",(VALUE(CellReference!AI5)*POWER(1+Cal2_AgePcts/100,Cal2_AgeMths/12))*zUseThisRate))</f>
        <v/>
      </c>
      <c r="AJ5" s="10">
        <f>IF(ISERROR(VALUE(CellReference!AJ5)),"",IF(VALUE(CellReference!AJ5)&lt;0,"",(VALUE(CellReference!AJ5)*POWER(1+Cal2_AgePcts/100,Cal2_AgeMths/12))*zUseThisRate))</f>
        <v>1180361.9849999999</v>
      </c>
      <c r="AK5" s="10" t="str">
        <f>IF(ISERROR(VALUE(CellReference!AK5)),"",IF(VALUE(CellReference!AK5)&lt;0,"",(VALUE(CellReference!AK5)*POWER(1+Cal2_AgePcts/100,Cal2_AgeMths/12))*zUseThisRate))</f>
        <v/>
      </c>
      <c r="AL5" s="10">
        <f t="shared" si="38"/>
        <v>1180361.9849999999</v>
      </c>
      <c r="AM5" s="10">
        <f t="shared" si="6"/>
        <v>2319544.125</v>
      </c>
      <c r="AN5" s="10">
        <f t="shared" si="7"/>
        <v>2236744.125</v>
      </c>
      <c r="AO5" s="10" t="str">
        <f>IF(ISERROR(VALUE(CellReference!AO5)),"",IF(VALUE(CellReference!AO5)&lt;=0,"",IF(NOT(Cal2_AgeFA),VALUE(CellReference!AO5),VALUE(CellReference!AO5)*POWER(1+Cal2_AgePcts/100,Cal2_AgeMths/12))*zUseThisRate))</f>
        <v/>
      </c>
      <c r="AP5" s="10">
        <f>IF(ISERROR(VALUE(CellReference!AP5)),"",IF(VALUE(CellReference!AP5)&lt;=0,"",IF(NOT(Cal2_AgeFA),VALUE(CellReference!AP5),VALUE(CellReference!AP5)*POWER(1+Cal2_AgePcts/100,Cal2_AgeMths/12))*zUseThisRate))</f>
        <v>632787.21</v>
      </c>
      <c r="AQ5" s="10" t="str">
        <f>IF(ISERROR(VALUE(CellReference!AQ5)),"",IF(VALUE(CellReference!AQ5)&lt;=0,"",IF(NOT(Cal2_AgeFA),VALUE(CellReference!AQ5),VALUE(CellReference!AQ5)*POWER(1+Cal2_AgePcts/100,Cal2_AgeMths/12))*zUseThisRate))</f>
        <v/>
      </c>
      <c r="AR5" s="10">
        <f t="shared" si="39"/>
        <v>632787.21</v>
      </c>
      <c r="AS5" s="10">
        <f t="shared" si="8"/>
        <v>1771969.35</v>
      </c>
      <c r="AT5" s="10">
        <f t="shared" si="9"/>
        <v>1689169.35</v>
      </c>
      <c r="AU5" s="10" t="str">
        <f>IF(NOT(OR(CellReference!AU5="N",CellReference!AU5="Y")),"Y",CellReference!AU5)</f>
        <v>Y</v>
      </c>
      <c r="AV5" s="10">
        <f>IF(ISERROR(VALUE(CellReference!AV5)),"",IF(VALUE(CellReference!AV5)&lt;=0,"",VALUE(CellReference!AV5)))</f>
        <v>39600</v>
      </c>
      <c r="AW5" s="10">
        <f>IF(ISERROR(VALUE(CellReference!AW5)),"",IF(VALUE(CellReference!AW5)&lt;=0,"",VALUE(CellReference!AW5)*zUseThisRate))</f>
        <v>39.571056000000006</v>
      </c>
      <c r="AX5" s="10">
        <f>IF(ISERROR(VALUE(CellReference!AX5)),"",IF(VALUE(CellReference!AX5)&lt;=0,"",VALUE(CellReference!AX5)))</f>
        <v>1</v>
      </c>
      <c r="AY5" s="10">
        <f>IF(ISERROR(VALUE(CellReference!AY5)),"",IF(VALUE(CellReference!AY5)&lt;=0,0.33,VALUE(CellReference!AY5)))</f>
        <v>0.23</v>
      </c>
      <c r="AZ5" s="10" t="str">
        <f>IF(ISERROR(VALUE(CellReference!AZ5)),"",IF(VALUE(CellReference!AZ5)&lt;=0,"",VALUE(CellReference!AZ5)))</f>
        <v/>
      </c>
      <c r="BA5" s="10" t="str">
        <f>IF(ISERROR(VALUE(CellReference!BA5)),"",IF(VALUE(CellReference!BA5)&lt;=0,"",VALUE(CellReference!BA5)*zUseThisRate))</f>
        <v/>
      </c>
      <c r="BB5" s="10" t="str">
        <f>IF(ISERROR(VALUE(CellReference!BB5)),"",IF(VALUE(CellReference!BB5)&lt;=0,"",VALUE(CellReference!BB5)))</f>
        <v/>
      </c>
      <c r="BC5" s="10">
        <f>IF(ISERROR(VALUE(CellReference!BC5)),"",IF(VALUE(CellReference!BC5)&lt;=0,0.33,VALUE(CellReference!BC5)))</f>
        <v>0.23</v>
      </c>
      <c r="BD5" s="10">
        <f>IF(ISERROR(VALUE(CellReference!BD5)),"",IF(VALUE(CellReference!BD5)&lt;=0,"",VALUE(CellReference!BD5)))</f>
        <v>6600</v>
      </c>
      <c r="BE5" s="10">
        <f>IF(ISERROR(VALUE(CellReference!BE5)),"",IF(VALUE(CellReference!BE5)&lt;=0,"",VALUE(CellReference!BE5)*zUseThisRate))</f>
        <v>39.571056000000006</v>
      </c>
      <c r="BF5" s="10">
        <f>IF(ISERROR(VALUE(CellReference!BF5)),"",IF(VALUE(CellReference!BF5)&lt;=0,"",VALUE(CellReference!BF5)))</f>
        <v>1</v>
      </c>
      <c r="BG5" s="10" t="str">
        <f>IF(ISERROR(VALUE(CellReference!BG5)),"",IF(VALUE(CellReference!BG5)&lt;=0,"",VALUE(CellReference!BG5)))</f>
        <v/>
      </c>
      <c r="BH5" s="10" t="str">
        <f>IF(ISERROR(VALUE(CellReference!BH5)),"",IF(VALUE(CellReference!BH5)&lt;=0,"",VALUE(CellReference!BH5)*zUseThisRate))</f>
        <v/>
      </c>
      <c r="BI5" s="10">
        <f>IF(ISERROR(VALUE(CellReference!BI5)),"",IF(VALUE(CellReference!BI5)&lt;=0,"",VALUE(CellReference!BI5)))</f>
        <v>1</v>
      </c>
      <c r="BJ5" s="10">
        <f t="shared" si="40"/>
        <v>0.80</v>
      </c>
      <c r="BK5" s="10" t="str">
        <f>IF(ISERROR(VALUE(CellReference!BK5)),"",IF(VALUE(CellReference!BK5)&lt;=0,"",VALUE(CellReference!BK5)*zUseThisRate))</f>
        <v/>
      </c>
      <c r="BL5" s="10">
        <f>IF(ISERROR(VALUE(CellReference!BL5)),"",IF(VALUE(CellReference!BL5)&lt;=0,"",VALUE(CellReference!BL5)))</f>
        <v>1</v>
      </c>
      <c r="BM5" s="10">
        <f t="shared" si="41"/>
        <v>621582.14764799993</v>
      </c>
      <c r="BN5" s="10">
        <f t="shared" si="10"/>
        <v>2941126.2726479964</v>
      </c>
      <c r="BO5" s="10" t="str">
        <f>IF(ISERROR(VALUE(CellReference!BO5)),"",IF(VALUE(CellReference!BO5)&lt;=0,"",VALUE(CellReference!BO5)*zUseThisRate))</f>
        <v/>
      </c>
      <c r="BP5" s="10" t="str">
        <f>IF(ISERROR(VALUE(CellReference!BP5)),"",IF(VALUE(CellReference!BP5)&lt;=0,"",VALUE(CellReference!BP5)*zUseThisRate))</f>
        <v/>
      </c>
      <c r="BQ5" s="22" t="str">
        <f>CellReference!BQ5</f>
        <v/>
      </c>
      <c r="BR5" s="22" t="str">
        <f>CellReference!BR5</f>
        <v/>
      </c>
      <c r="BS5" s="10" t="str">
        <f>IF(ISERROR(VALUE(CellReference!BS5)),"",IF(VALUE(CellReference!BS5)&lt;=0,"",VALUE(CellReference!BS5)*zUseThisRate))</f>
        <v/>
      </c>
      <c r="BT5" s="10" t="str">
        <f>IF(ISERROR(VALUE(CellReference!BT5)),"",IF(VALUE(CellReference!BT5)&lt;=0,"",VALUE(CellReference!BT5)*zUseThisRate))</f>
        <v/>
      </c>
      <c r="BU5" s="10" t="str">
        <f>IF(NOT(OR(CellReference!BU5="N",CellReference!BU5="Y")),"Y",CellReference!BU5)</f>
        <v>N</v>
      </c>
      <c r="BV5" s="10" t="str">
        <f>IF(ISERROR(VALUE(CellReference!BV5)),"",IF(VALUE(CellReference!BV5)&lt;=0,"",VALUE(CellReference!BV5)*zUseThisRate))</f>
        <v/>
      </c>
      <c r="BW5" s="10" t="str">
        <f t="shared" si="42"/>
        <v/>
      </c>
      <c r="BX5" s="10">
        <f t="shared" si="11"/>
        <v>2941126.2726479964</v>
      </c>
      <c r="BY5" s="10">
        <f t="shared" si="12"/>
        <v>1139182.1400000001</v>
      </c>
      <c r="BZ5" s="10">
        <f t="shared" si="13"/>
        <v>2319544.125</v>
      </c>
      <c r="CA5" s="10">
        <f>IF(ISERROR(VALUE(CellReference!CA5)),"",IF(VALUE(CellReference!CA5)&lt;=0,"",VALUE(CellReference!CA5)*zUseThisRate))</f>
        <v>13600</v>
      </c>
      <c r="CB5" s="10" t="str">
        <f>IF(ISERROR(VALUE(CellReference!CB5)),"",IF(VALUE(CellReference!CB5)&lt;=0,"",VALUE(CellReference!CB5)*zUseThisRate))</f>
        <v/>
      </c>
      <c r="CC5" s="10">
        <f t="shared" si="43"/>
        <v>13600</v>
      </c>
      <c r="CD5" s="10">
        <f t="shared" si="14"/>
        <v>2954726.2726479964</v>
      </c>
      <c r="CE5" s="10">
        <f t="shared" si="15"/>
        <v>1152782.1400000001</v>
      </c>
      <c r="CF5" s="10">
        <f t="shared" si="16"/>
        <v>2333144.125</v>
      </c>
      <c r="CG5" s="10" t="str">
        <f t="shared" si="44"/>
        <v/>
      </c>
      <c r="CH5" s="10">
        <f t="shared" si="45"/>
        <v>1.1173626856281378</v>
      </c>
      <c r="CI5" s="10" t="str">
        <f t="shared" si="46"/>
        <v/>
      </c>
      <c r="CJ5" s="10">
        <f t="shared" si="47"/>
        <v>1.1173626856281378</v>
      </c>
      <c r="CK5" s="10" t="str">
        <f t="shared" si="48"/>
        <v/>
      </c>
      <c r="CL5" s="10">
        <f t="shared" si="49"/>
        <v>0.59901354447359367</v>
      </c>
      <c r="CM5" s="10" t="str">
        <f t="shared" si="50"/>
        <v/>
      </c>
      <c r="CN5" s="10">
        <f t="shared" si="51"/>
        <v>0.59901354447359367</v>
      </c>
      <c r="CO5" s="10">
        <f t="shared" si="52"/>
        <v>360413.17804800003</v>
      </c>
      <c r="CP5" s="10">
        <f t="shared" si="53"/>
        <v>0.34117689461126255</v>
      </c>
      <c r="CQ5" s="10" t="str">
        <f t="shared" si="54"/>
        <v/>
      </c>
      <c r="CR5" s="10" t="str">
        <f t="shared" si="55"/>
        <v/>
      </c>
      <c r="CS5" s="10">
        <f t="shared" si="56"/>
        <v>261168.96959999972</v>
      </c>
      <c r="CT5" s="10">
        <f t="shared" si="57"/>
        <v>0.24722963377627746</v>
      </c>
      <c r="CU5" s="10" t="str">
        <f t="shared" si="58"/>
        <v/>
      </c>
      <c r="CV5" s="10" t="str">
        <f t="shared" si="59"/>
        <v/>
      </c>
      <c r="CW5" s="10" t="str">
        <f t="shared" si="60"/>
        <v/>
      </c>
      <c r="CX5" s="10" t="str">
        <f t="shared" si="61"/>
        <v/>
      </c>
      <c r="CY5" s="10">
        <f t="shared" si="30"/>
        <v>0.58840652838753849</v>
      </c>
      <c r="CZ5" s="10" t="str">
        <f t="shared" si="31"/>
        <v/>
      </c>
      <c r="DA5" s="10">
        <f t="shared" si="32"/>
        <v>0.012874129053336725</v>
      </c>
      <c r="DB5" s="10">
        <f t="shared" si="33"/>
        <v>2393551.4976480003</v>
      </c>
      <c r="DC5" s="10">
        <f t="shared" si="34"/>
        <v>2393551.4976480003</v>
      </c>
      <c r="DD5" s="10">
        <f t="shared" si="35"/>
        <v>2407151.4976480003</v>
      </c>
      <c r="DE5" s="10">
        <f t="shared" si="36"/>
        <v>82800</v>
      </c>
    </row>
    <row r="6" spans="6:109" ht="13.2">
      <c r="F6" s="21">
        <f>IF(ISERROR(VALUE(CellReference!F6)),"",IF(VALUE(CellReference!F6)&gt;0,YEAR(NOW())-VALUE(CellReference!F6),""))</f>
        <v>64</v>
      </c>
      <c r="G6" s="21">
        <f>IF(ISERROR(VALUE(CellReference!G6)),"",IF(VALUE(CellReference!G6)&gt;0,YEAR(NOW())-VALUE(CellReference!G6)+1,""))</f>
        <v>7</v>
      </c>
      <c r="U6" s="20">
        <f t="shared" si="37"/>
        <v>1</v>
      </c>
      <c r="V6" s="20">
        <f t="shared" si="0"/>
        <v>1.2510999999999985</v>
      </c>
      <c r="W6" s="20">
        <f t="shared" si="1"/>
        <v>1.2510999999999985</v>
      </c>
      <c r="X6" s="22" t="str">
        <f>CellReference!X6</f>
        <v>Singapore Dollars (SGD)</v>
      </c>
      <c r="Y6" s="10" t="str">
        <f>IF(ISERROR(VALUE(CellReference!Y6)),"",IF(VALUE(CellReference!Y6)&lt;=0,"",(VALUE(CellReference!Y6)*POWER(1+Cal2_AgePcts/100,Cal2_AgeMths/12))*zUseThisRate))</f>
        <v/>
      </c>
      <c r="Z6" s="10">
        <f>IF(ISERROR(VALUE(CellReference!Z6)),"",IF(VALUE(CellReference!Z6)&lt;=0,"",(VALUE(CellReference!Z6)*POWER(1+Cal2_AgePcts/100,Cal2_AgeMths/12))*zUseThisRate))</f>
        <v>76700</v>
      </c>
      <c r="AA6" s="10">
        <f>IF(ISERROR(VALUE(CellReference!AA6)),"",IF(VALUE(CellReference!AA6)&lt;=0,"",VALUE(CellReference!AA6)))</f>
        <v>13</v>
      </c>
      <c r="AB6" s="10" t="str">
        <f t="shared" si="2"/>
        <v/>
      </c>
      <c r="AC6" s="10">
        <f t="shared" si="3"/>
        <v>997100</v>
      </c>
      <c r="AD6" s="10" t="str">
        <f>IF(ISERROR(VALUE(CellReference!AD6)),"",IF(VALUE(CellReference!AD6)&lt;=0,"",IF(NOT(Cal2_AgeFA),VALUE(CellReference!AD6),VALUE(CellReference!AD6)*POWER(1+Cal2_AgePcts/100,Cal2_AgeMths/12))*zUseThisRate))</f>
        <v/>
      </c>
      <c r="AE6" s="10" t="str">
        <f>IF(ISERROR(VALUE(CellReference!AE6)),"",IF(VALUE(CellReference!AE6)&lt;=0,"",IF(NOT(Cal2_AgeFA),VALUE(CellReference!AE6),VALUE(CellReference!AE6)*POWER(1+Cal2_AgePcts/100,Cal2_AgeMths/12))*zUseThisRate))</f>
        <v/>
      </c>
      <c r="AF6" s="10" t="str">
        <f t="shared" si="4"/>
        <v/>
      </c>
      <c r="AG6" s="10">
        <f t="shared" si="5"/>
        <v>997100</v>
      </c>
      <c r="AH6" s="10" t="str">
        <f>IF(NOT(OR(CellReference!AH6="N",CellReference!AH6="Y")),"Y",CellReference!AH6)</f>
        <v>Y</v>
      </c>
      <c r="AI6" s="10" t="str">
        <f>IF(ISERROR(VALUE(CellReference!AI6)),"",IF(VALUE(CellReference!AI6)&lt;0,"",(VALUE(CellReference!AI6)*POWER(1+Cal2_AgePcts/100,Cal2_AgeMths/12))*zUseThisRate))</f>
        <v/>
      </c>
      <c r="AJ6" s="10">
        <f>IF(ISERROR(VALUE(CellReference!AJ6)),"",IF(VALUE(CellReference!AJ6)&lt;0,"",(VALUE(CellReference!AJ6)*POWER(1+Cal2_AgePcts/100,Cal2_AgeMths/12))*zUseThisRate))</f>
        <v>410038</v>
      </c>
      <c r="AK6" s="10">
        <f>IF(ISERROR(VALUE(CellReference!AK6)),"",IF(VALUE(CellReference!AK6)&lt;0,"",(VALUE(CellReference!AK6)*POWER(1+Cal2_AgePcts/100,Cal2_AgeMths/12))*zUseThisRate))</f>
        <v>401206</v>
      </c>
      <c r="AL6" s="10">
        <f t="shared" si="38"/>
        <v>811244</v>
      </c>
      <c r="AM6" s="10">
        <f t="shared" si="6"/>
        <v>1808344</v>
      </c>
      <c r="AN6" s="10">
        <f t="shared" si="7"/>
        <v>1808344</v>
      </c>
      <c r="AO6" s="10" t="str">
        <f>IF(ISERROR(VALUE(CellReference!AO6)),"",IF(VALUE(CellReference!AO6)&lt;=0,"",IF(NOT(Cal2_AgeFA),VALUE(CellReference!AO6),VALUE(CellReference!AO6)*POWER(1+Cal2_AgePcts/100,Cal2_AgeMths/12))*zUseThisRate))</f>
        <v/>
      </c>
      <c r="AP6" s="10">
        <f>IF(ISERROR(VALUE(CellReference!AP6)),"",IF(VALUE(CellReference!AP6)&lt;=0,"",IF(NOT(Cal2_AgeFA),VALUE(CellReference!AP6),VALUE(CellReference!AP6)*POWER(1+Cal2_AgePcts/100,Cal2_AgeMths/12))*zUseThisRate))</f>
        <v>191750</v>
      </c>
      <c r="AQ6" s="10" t="str">
        <f>IF(ISERROR(VALUE(CellReference!AQ6)),"",IF(VALUE(CellReference!AQ6)&lt;=0,"",IF(NOT(Cal2_AgeFA),VALUE(CellReference!AQ6),VALUE(CellReference!AQ6)*POWER(1+Cal2_AgePcts/100,Cal2_AgeMths/12))*zUseThisRate))</f>
        <v/>
      </c>
      <c r="AR6" s="10">
        <f t="shared" si="39"/>
        <v>191750</v>
      </c>
      <c r="AS6" s="10">
        <f t="shared" si="8"/>
        <v>1188850</v>
      </c>
      <c r="AT6" s="10">
        <f t="shared" si="9"/>
        <v>1188850</v>
      </c>
      <c r="AU6" s="10" t="str">
        <f>IF(NOT(OR(CellReference!AU6="N",CellReference!AU6="Y")),"Y",CellReference!AU6)</f>
        <v>Y</v>
      </c>
      <c r="AV6" s="10" t="str">
        <f>IF(ISERROR(VALUE(CellReference!AV6)),"",IF(VALUE(CellReference!AV6)&lt;=0,"",VALUE(CellReference!AV6)))</f>
        <v/>
      </c>
      <c r="AW6" s="10" t="str">
        <f>IF(ISERROR(VALUE(CellReference!AW6)),"",IF(VALUE(CellReference!AW6)&lt;=0,"",VALUE(CellReference!AW6)*zUseThisRate))</f>
        <v/>
      </c>
      <c r="AX6" s="10" t="str">
        <f>IF(ISERROR(VALUE(CellReference!AX6)),"",IF(VALUE(CellReference!AX6)&lt;=0,"",VALUE(CellReference!AX6)))</f>
        <v/>
      </c>
      <c r="AY6" s="10">
        <f>IF(ISERROR(VALUE(CellReference!AY6)),"",IF(VALUE(CellReference!AY6)&lt;=0,0.33,VALUE(CellReference!AY6)))</f>
        <v>0.43</v>
      </c>
      <c r="AZ6" s="10" t="str">
        <f>IF(ISERROR(VALUE(CellReference!AZ6)),"",IF(VALUE(CellReference!AZ6)&lt;=0,"",VALUE(CellReference!AZ6)))</f>
        <v/>
      </c>
      <c r="BA6" s="10" t="str">
        <f>IF(ISERROR(VALUE(CellReference!BA6)),"",IF(VALUE(CellReference!BA6)&lt;=0,"",VALUE(CellReference!BA6)*zUseThisRate))</f>
        <v/>
      </c>
      <c r="BB6" s="10" t="str">
        <f>IF(ISERROR(VALUE(CellReference!BB6)),"",IF(VALUE(CellReference!BB6)&lt;=0,"",VALUE(CellReference!BB6)))</f>
        <v/>
      </c>
      <c r="BC6" s="10">
        <f>IF(ISERROR(VALUE(CellReference!BC6)),"",IF(VALUE(CellReference!BC6)&lt;=0,0.33,VALUE(CellReference!BC6)))</f>
        <v>0.43</v>
      </c>
      <c r="BD6" s="10">
        <f>IF(ISERROR(VALUE(CellReference!BD6)),"",IF(VALUE(CellReference!BD6)&lt;=0,"",VALUE(CellReference!BD6)))</f>
        <v>264000</v>
      </c>
      <c r="BE6" s="10">
        <f>IF(ISERROR(VALUE(CellReference!BE6)),"",IF(VALUE(CellReference!BE6)&lt;=0,"",VALUE(CellReference!BE6)*zUseThisRate))</f>
        <v>3.67</v>
      </c>
      <c r="BF6" s="10">
        <f>IF(ISERROR(VALUE(CellReference!BF6)),"",IF(VALUE(CellReference!BF6)&lt;=0,"",VALUE(CellReference!BF6)))</f>
        <v>2</v>
      </c>
      <c r="BG6" s="10">
        <f>IF(ISERROR(VALUE(CellReference!BG6)),"",IF(VALUE(CellReference!BG6)&lt;=0,"",VALUE(CellReference!BG6)))</f>
        <v>304000</v>
      </c>
      <c r="BH6" s="10">
        <f>IF(ISERROR(VALUE(CellReference!BH6)),"",IF(VALUE(CellReference!BH6)&lt;=0,"",VALUE(CellReference!BH6)*zUseThisRate))</f>
        <v>3.67</v>
      </c>
      <c r="BI6" s="10">
        <f>IF(ISERROR(VALUE(CellReference!BI6)),"",IF(VALUE(CellReference!BI6)&lt;=0,"",VALUE(CellReference!BI6)))</f>
        <v>3</v>
      </c>
      <c r="BJ6" s="10">
        <f t="shared" si="40"/>
        <v>0.80</v>
      </c>
      <c r="BK6" s="10" t="str">
        <f>IF(ISERROR(VALUE(CellReference!BK6)),"",IF(VALUE(CellReference!BK6)&lt;=0,"",VALUE(CellReference!BK6)*zUseThisRate))</f>
        <v/>
      </c>
      <c r="BL6" s="10" t="str">
        <f>IF(ISERROR(VALUE(CellReference!BL6)),"",IF(VALUE(CellReference!BL6)&lt;=0,"",VALUE(CellReference!BL6)))</f>
        <v/>
      </c>
      <c r="BM6" s="10">
        <f t="shared" si="41"/>
        <v>1861424</v>
      </c>
      <c r="BN6" s="10">
        <f t="shared" si="10"/>
        <v>3669768</v>
      </c>
      <c r="BO6" s="10">
        <f>IF(ISERROR(VALUE(CellReference!BO6)),"",IF(VALUE(CellReference!BO6)&lt;=0,"",VALUE(CellReference!BO6)*zUseThisRate))</f>
        <v>50004</v>
      </c>
      <c r="BP6" s="10" t="str">
        <f>IF(ISERROR(VALUE(CellReference!BP6)),"",IF(VALUE(CellReference!BP6)&lt;=0,"",VALUE(CellReference!BP6)*zUseThisRate))</f>
        <v/>
      </c>
      <c r="BQ6" s="22" t="str">
        <f>CellReference!BQ6</f>
        <v/>
      </c>
      <c r="BR6" s="22" t="str">
        <f>CellReference!BR6</f>
        <v/>
      </c>
      <c r="BS6" s="10">
        <f>IF(ISERROR(VALUE(CellReference!BS6)),"",IF(VALUE(CellReference!BS6)&lt;=0,"",VALUE(CellReference!BS6)*zUseThisRate))</f>
        <v>216000</v>
      </c>
      <c r="BT6" s="10">
        <f>IF(ISERROR(VALUE(CellReference!BT6)),"",IF(VALUE(CellReference!BT6)&lt;=0,"",VALUE(CellReference!BT6)*zUseThisRate))</f>
        <v>3900</v>
      </c>
      <c r="BU6" s="10" t="str">
        <f>IF(NOT(OR(CellReference!BU6="N",CellReference!BU6="Y")),"Y",CellReference!BU6)</f>
        <v>N</v>
      </c>
      <c r="BV6" s="10" t="str">
        <f>IF(ISERROR(VALUE(CellReference!BV6)),"",IF(VALUE(CellReference!BV6)&lt;=0,"",VALUE(CellReference!BV6)*zUseThisRate))</f>
        <v/>
      </c>
      <c r="BW6" s="10">
        <f t="shared" si="42"/>
        <v>269904</v>
      </c>
      <c r="BX6" s="10">
        <f t="shared" si="11"/>
        <v>3939672</v>
      </c>
      <c r="BY6" s="10">
        <f t="shared" si="12"/>
        <v>1267004</v>
      </c>
      <c r="BZ6" s="10">
        <f t="shared" si="13"/>
        <v>2078248</v>
      </c>
      <c r="CA6" s="10">
        <f>IF(ISERROR(VALUE(CellReference!CA6)),"",IF(VALUE(CellReference!CA6)&lt;=0,"",VALUE(CellReference!CA6)*zUseThisRate))</f>
        <v>13600</v>
      </c>
      <c r="CB6" s="10" t="str">
        <f>IF(ISERROR(VALUE(CellReference!CB6)),"",IF(VALUE(CellReference!CB6)&lt;=0,"",VALUE(CellReference!CB6)*zUseThisRate))</f>
        <v/>
      </c>
      <c r="CC6" s="10">
        <f t="shared" si="43"/>
        <v>13600</v>
      </c>
      <c r="CD6" s="10">
        <f t="shared" si="14"/>
        <v>3953272</v>
      </c>
      <c r="CE6" s="10">
        <f t="shared" si="15"/>
        <v>1280604</v>
      </c>
      <c r="CF6" s="10">
        <f t="shared" si="16"/>
        <v>2091848</v>
      </c>
      <c r="CG6" s="10" t="str">
        <f t="shared" si="44"/>
        <v/>
      </c>
      <c r="CH6" s="10">
        <f t="shared" si="45"/>
        <v>0.41123056864908236</v>
      </c>
      <c r="CI6" s="10">
        <f t="shared" si="46"/>
        <v>0.40237288135593308</v>
      </c>
      <c r="CJ6" s="10">
        <f t="shared" si="47"/>
        <v>0.81360345000501533</v>
      </c>
      <c r="CK6" s="10" t="str">
        <f t="shared" si="48"/>
        <v/>
      </c>
      <c r="CL6" s="10">
        <f t="shared" si="49"/>
        <v>0.1923076923076924</v>
      </c>
      <c r="CM6" s="10" t="str">
        <f t="shared" si="50"/>
        <v/>
      </c>
      <c r="CN6" s="10">
        <f t="shared" si="51"/>
        <v>0.1923076923076924</v>
      </c>
      <c r="CO6" s="10" t="str">
        <f t="shared" si="52"/>
        <v/>
      </c>
      <c r="CP6" s="10" t="str">
        <f t="shared" si="53"/>
        <v/>
      </c>
      <c r="CQ6" s="10" t="str">
        <f t="shared" si="54"/>
        <v/>
      </c>
      <c r="CR6" s="10" t="str">
        <f t="shared" si="55"/>
        <v/>
      </c>
      <c r="CS6" s="10">
        <f t="shared" si="56"/>
        <v>968880</v>
      </c>
      <c r="CT6" s="10">
        <f t="shared" si="57"/>
        <v>0.97169792397954069</v>
      </c>
      <c r="CU6" s="10">
        <f t="shared" si="58"/>
        <v>892544</v>
      </c>
      <c r="CV6" s="10">
        <f t="shared" si="59"/>
        <v>0.89513990572660618</v>
      </c>
      <c r="CW6" s="10" t="str">
        <f t="shared" si="60"/>
        <v/>
      </c>
      <c r="CX6" s="10" t="str">
        <f t="shared" si="61"/>
        <v/>
      </c>
      <c r="CY6" s="10">
        <f t="shared" si="30"/>
        <v>1.8668378297061503</v>
      </c>
      <c r="CZ6" s="10">
        <f t="shared" si="31"/>
        <v>0.27068899809447478</v>
      </c>
      <c r="DA6" s="10">
        <f t="shared" si="32"/>
        <v>0.013639554708655112</v>
      </c>
      <c r="DB6" s="10">
        <f t="shared" si="33"/>
        <v>3050274</v>
      </c>
      <c r="DC6" s="10">
        <f t="shared" si="34"/>
        <v>3320178</v>
      </c>
      <c r="DD6" s="10">
        <f t="shared" si="35"/>
        <v>3333778</v>
      </c>
      <c r="DE6" s="10">
        <f t="shared" si="36"/>
        <v>269904</v>
      </c>
    </row>
    <row r="7" spans="6:109" ht="13.2">
      <c r="F7" s="21">
        <f>IF(ISERROR(VALUE(CellReference!F7)),"",IF(VALUE(CellReference!F7)&gt;0,YEAR(NOW())-VALUE(CellReference!F7),""))</f>
        <v>64</v>
      </c>
      <c r="G7" s="21">
        <f>IF(ISERROR(VALUE(CellReference!G7)),"",IF(VALUE(CellReference!G7)&gt;0,YEAR(NOW())-VALUE(CellReference!G7)+1,""))</f>
        <v>13</v>
      </c>
      <c r="U7" s="20">
        <f t="shared" si="37"/>
        <v>1</v>
      </c>
      <c r="V7" s="20">
        <f t="shared" si="0"/>
        <v>1.2510999999999985</v>
      </c>
      <c r="W7" s="20">
        <f t="shared" si="1"/>
        <v>1.2510999999999985</v>
      </c>
      <c r="X7" s="22" t="str">
        <f>CellReference!X7</f>
        <v>Singapore Dollars (SGD)</v>
      </c>
      <c r="Y7" s="10">
        <f>IF(ISERROR(VALUE(CellReference!Y7)),"",IF(VALUE(CellReference!Y7)&lt;=0,"",(VALUE(CellReference!Y7)*POWER(1+Cal2_AgePcts/100,Cal2_AgeMths/12))*zUseThisRate))</f>
        <v>68578</v>
      </c>
      <c r="Z7" s="10">
        <f>IF(ISERROR(VALUE(CellReference!Z7)),"",IF(VALUE(CellReference!Z7)&lt;=0,"",(VALUE(CellReference!Z7)*POWER(1+Cal2_AgePcts/100,Cal2_AgeMths/12))*zUseThisRate))</f>
        <v>69231</v>
      </c>
      <c r="AA7" s="10">
        <f>IF(ISERROR(VALUE(CellReference!AA7)),"",IF(VALUE(CellReference!AA7)&lt;=0,"",VALUE(CellReference!AA7)))</f>
        <v>13</v>
      </c>
      <c r="AB7" s="10">
        <f t="shared" si="2"/>
        <v>891514</v>
      </c>
      <c r="AC7" s="10">
        <f t="shared" si="3"/>
        <v>900003</v>
      </c>
      <c r="AD7" s="10" t="str">
        <f>IF(ISERROR(VALUE(CellReference!AD7)),"",IF(VALUE(CellReference!AD7)&lt;=0,"",IF(NOT(Cal2_AgeFA),VALUE(CellReference!AD7),VALUE(CellReference!AD7)*POWER(1+Cal2_AgePcts/100,Cal2_AgeMths/12))*zUseThisRate))</f>
        <v/>
      </c>
      <c r="AE7" s="10" t="str">
        <f>IF(ISERROR(VALUE(CellReference!AE7)),"",IF(VALUE(CellReference!AE7)&lt;=0,"",IF(NOT(Cal2_AgeFA),VALUE(CellReference!AE7),VALUE(CellReference!AE7)*POWER(1+Cal2_AgePcts/100,Cal2_AgeMths/12))*zUseThisRate))</f>
        <v/>
      </c>
      <c r="AF7" s="10">
        <f t="shared" si="4"/>
        <v>891514</v>
      </c>
      <c r="AG7" s="10">
        <f t="shared" si="5"/>
        <v>900003</v>
      </c>
      <c r="AH7" s="10" t="str">
        <f>IF(NOT(OR(CellReference!AH7="N",CellReference!AH7="Y")),"Y",CellReference!AH7)</f>
        <v>Y</v>
      </c>
      <c r="AI7" s="10" t="str">
        <f>IF(ISERROR(VALUE(CellReference!AI7)),"",IF(VALUE(CellReference!AI7)&lt;0,"",(VALUE(CellReference!AI7)*POWER(1+Cal2_AgePcts/100,Cal2_AgeMths/12))*zUseThisRate))</f>
        <v/>
      </c>
      <c r="AJ7" s="10">
        <f>IF(ISERROR(VALUE(CellReference!AJ7)),"",IF(VALUE(CellReference!AJ7)&lt;0,"",(VALUE(CellReference!AJ7)*POWER(1+Cal2_AgePcts/100,Cal2_AgeMths/12))*zUseThisRate))</f>
        <v>900000</v>
      </c>
      <c r="AK7" s="10" t="str">
        <f>IF(ISERROR(VALUE(CellReference!AK7)),"",IF(VALUE(CellReference!AK7)&lt;0,"",(VALUE(CellReference!AK7)*POWER(1+Cal2_AgePcts/100,Cal2_AgeMths/12))*zUseThisRate))</f>
        <v/>
      </c>
      <c r="AL7" s="10">
        <f t="shared" si="38"/>
        <v>900000</v>
      </c>
      <c r="AM7" s="10">
        <f t="shared" si="6"/>
        <v>1800003</v>
      </c>
      <c r="AN7" s="10">
        <f t="shared" si="7"/>
        <v>1800003</v>
      </c>
      <c r="AO7" s="10" t="str">
        <f>IF(ISERROR(VALUE(CellReference!AO7)),"",IF(VALUE(CellReference!AO7)&lt;=0,"",IF(NOT(Cal2_AgeFA),VALUE(CellReference!AO7),VALUE(CellReference!AO7)*POWER(1+Cal2_AgePcts/100,Cal2_AgeMths/12))*zUseThisRate))</f>
        <v/>
      </c>
      <c r="AP7" s="10">
        <f>IF(ISERROR(VALUE(CellReference!AP7)),"",IF(VALUE(CellReference!AP7)&lt;=0,"",IF(NOT(Cal2_AgeFA),VALUE(CellReference!AP7),VALUE(CellReference!AP7)*POWER(1+Cal2_AgePcts/100,Cal2_AgeMths/12))*zUseThisRate))</f>
        <v>900003</v>
      </c>
      <c r="AQ7" s="10" t="str">
        <f>IF(ISERROR(VALUE(CellReference!AQ7)),"",IF(VALUE(CellReference!AQ7)&lt;=0,"",IF(NOT(Cal2_AgeFA),VALUE(CellReference!AQ7),VALUE(CellReference!AQ7)*POWER(1+Cal2_AgePcts/100,Cal2_AgeMths/12))*zUseThisRate))</f>
        <v/>
      </c>
      <c r="AR7" s="10">
        <f t="shared" si="39"/>
        <v>900003</v>
      </c>
      <c r="AS7" s="10">
        <f t="shared" si="8"/>
        <v>1800006</v>
      </c>
      <c r="AT7" s="10">
        <f t="shared" si="9"/>
        <v>1800006</v>
      </c>
      <c r="AU7" s="10" t="str">
        <f>IF(NOT(OR(CellReference!AU7="N",CellReference!AU7="Y")),"Y",CellReference!AU7)</f>
        <v>Y</v>
      </c>
      <c r="AV7" s="10" t="str">
        <f>IF(ISERROR(VALUE(CellReference!AV7)),"",IF(VALUE(CellReference!AV7)&lt;=0,"",VALUE(CellReference!AV7)))</f>
        <v/>
      </c>
      <c r="AW7" s="10" t="str">
        <f>IF(ISERROR(VALUE(CellReference!AW7)),"",IF(VALUE(CellReference!AW7)&lt;=0,"",VALUE(CellReference!AW7)*zUseThisRate))</f>
        <v/>
      </c>
      <c r="AX7" s="10" t="str">
        <f>IF(ISERROR(VALUE(CellReference!AX7)),"",IF(VALUE(CellReference!AX7)&lt;=0,"",VALUE(CellReference!AX7)))</f>
        <v/>
      </c>
      <c r="AY7" s="10">
        <f>IF(ISERROR(VALUE(CellReference!AY7)),"",IF(VALUE(CellReference!AY7)&lt;=0,0.33,VALUE(CellReference!AY7)))</f>
        <v>0.33</v>
      </c>
      <c r="AZ7" s="10" t="str">
        <f>IF(ISERROR(VALUE(CellReference!AZ7)),"",IF(VALUE(CellReference!AZ7)&lt;=0,"",VALUE(CellReference!AZ7)))</f>
        <v/>
      </c>
      <c r="BA7" s="10" t="str">
        <f>IF(ISERROR(VALUE(CellReference!BA7)),"",IF(VALUE(CellReference!BA7)&lt;=0,"",VALUE(CellReference!BA7)*zUseThisRate))</f>
        <v/>
      </c>
      <c r="BB7" s="10" t="str">
        <f>IF(ISERROR(VALUE(CellReference!BB7)),"",IF(VALUE(CellReference!BB7)&lt;=0,"",VALUE(CellReference!BB7)))</f>
        <v/>
      </c>
      <c r="BC7" s="10">
        <f>IF(ISERROR(VALUE(CellReference!BC7)),"",IF(VALUE(CellReference!BC7)&lt;=0,0.33,VALUE(CellReference!BC7)))</f>
        <v>0.33</v>
      </c>
      <c r="BD7" s="10" t="str">
        <f>IF(ISERROR(VALUE(CellReference!BD7)),"",IF(VALUE(CellReference!BD7)&lt;=0,"",VALUE(CellReference!BD7)))</f>
        <v/>
      </c>
      <c r="BE7" s="10" t="str">
        <f>IF(ISERROR(VALUE(CellReference!BE7)),"",IF(VALUE(CellReference!BE7)&lt;=0,"",VALUE(CellReference!BE7)*zUseThisRate))</f>
        <v/>
      </c>
      <c r="BF7" s="10" t="str">
        <f>IF(ISERROR(VALUE(CellReference!BF7)),"",IF(VALUE(CellReference!BF7)&lt;=0,"",VALUE(CellReference!BF7)))</f>
        <v/>
      </c>
      <c r="BG7" s="10" t="str">
        <f>IF(ISERROR(VALUE(CellReference!BG7)),"",IF(VALUE(CellReference!BG7)&lt;=0,"",VALUE(CellReference!BG7)))</f>
        <v/>
      </c>
      <c r="BH7" s="10" t="str">
        <f>IF(ISERROR(VALUE(CellReference!BH7)),"",IF(VALUE(CellReference!BH7)&lt;=0,"",VALUE(CellReference!BH7)*zUseThisRate))</f>
        <v/>
      </c>
      <c r="BI7" s="10" t="str">
        <f>IF(ISERROR(VALUE(CellReference!BI7)),"",IF(VALUE(CellReference!BI7)&lt;=0,"",VALUE(CellReference!BI7)))</f>
        <v/>
      </c>
      <c r="BJ7" s="10">
        <f t="shared" si="40"/>
        <v>0.80</v>
      </c>
      <c r="BK7" s="10">
        <f>IF(ISERROR(VALUE(CellReference!BK7)),"",IF(VALUE(CellReference!BK7)&lt;=0,"",VALUE(CellReference!BK7)*zUseThisRate))</f>
        <v>900003</v>
      </c>
      <c r="BL7" s="10">
        <f>IF(ISERROR(VALUE(CellReference!BL7)),"",IF(VALUE(CellReference!BL7)&lt;=0,"",VALUE(CellReference!BL7)))</f>
        <v>3</v>
      </c>
      <c r="BM7" s="10">
        <f t="shared" si="41"/>
        <v>900003</v>
      </c>
      <c r="BN7" s="10">
        <f t="shared" si="10"/>
        <v>2700006</v>
      </c>
      <c r="BO7" s="10" t="str">
        <f>IF(ISERROR(VALUE(CellReference!BO7)),"",IF(VALUE(CellReference!BO7)&lt;=0,"",VALUE(CellReference!BO7)*zUseThisRate))</f>
        <v/>
      </c>
      <c r="BP7" s="10">
        <f>IF(ISERROR(VALUE(CellReference!BP7)),"",IF(VALUE(CellReference!BP7)&lt;=0,"",VALUE(CellReference!BP7)*zUseThisRate))</f>
        <v>62500</v>
      </c>
      <c r="BQ7" s="22" t="str">
        <f>CellReference!BQ7</f>
        <v>Jaguar</v>
      </c>
      <c r="BR7" s="22" t="str">
        <f>CellReference!BR7</f>
        <v/>
      </c>
      <c r="BS7" s="10" t="str">
        <f>IF(ISERROR(VALUE(CellReference!BS7)),"",IF(VALUE(CellReference!BS7)&lt;=0,"",VALUE(CellReference!BS7)*zUseThisRate))</f>
        <v/>
      </c>
      <c r="BT7" s="10">
        <f>IF(ISERROR(VALUE(CellReference!BT7)),"",IF(VALUE(CellReference!BT7)&lt;=0,"",VALUE(CellReference!BT7)*zUseThisRate))</f>
        <v>3475</v>
      </c>
      <c r="BU7" s="10" t="str">
        <f>IF(NOT(OR(CellReference!BU7="N",CellReference!BU7="Y")),"Y",CellReference!BU7)</f>
        <v>N</v>
      </c>
      <c r="BV7" s="10" t="str">
        <f>IF(ISERROR(VALUE(CellReference!BV7)),"",IF(VALUE(CellReference!BV7)&lt;=0,"",VALUE(CellReference!BV7)*zUseThisRate))</f>
        <v/>
      </c>
      <c r="BW7" s="10">
        <f t="shared" si="42"/>
        <v>65975</v>
      </c>
      <c r="BX7" s="10">
        <f t="shared" si="11"/>
        <v>2765981</v>
      </c>
      <c r="BY7" s="10">
        <f t="shared" si="12"/>
        <v>965978</v>
      </c>
      <c r="BZ7" s="10">
        <f t="shared" si="13"/>
        <v>1865978</v>
      </c>
      <c r="CA7" s="10">
        <f>IF(ISERROR(VALUE(CellReference!CA7)),"",IF(VALUE(CellReference!CA7)&lt;=0,"",VALUE(CellReference!CA7)*zUseThisRate))</f>
        <v>13600</v>
      </c>
      <c r="CB7" s="10" t="str">
        <f>IF(ISERROR(VALUE(CellReference!CB7)),"",IF(VALUE(CellReference!CB7)&lt;=0,"",VALUE(CellReference!CB7)*zUseThisRate))</f>
        <v/>
      </c>
      <c r="CC7" s="10">
        <f t="shared" si="43"/>
        <v>13600</v>
      </c>
      <c r="CD7" s="10">
        <f t="shared" si="14"/>
        <v>2779581</v>
      </c>
      <c r="CE7" s="10">
        <f t="shared" si="15"/>
        <v>979578</v>
      </c>
      <c r="CF7" s="10">
        <f t="shared" si="16"/>
        <v>1879578</v>
      </c>
      <c r="CG7" s="10" t="str">
        <f t="shared" si="44"/>
        <v/>
      </c>
      <c r="CH7" s="10">
        <f t="shared" si="45"/>
        <v>0.99999666667777853</v>
      </c>
      <c r="CI7" s="10" t="str">
        <f t="shared" si="46"/>
        <v/>
      </c>
      <c r="CJ7" s="10">
        <f t="shared" si="47"/>
        <v>0.99999666667777853</v>
      </c>
      <c r="CK7" s="10" t="str">
        <f t="shared" si="48"/>
        <v/>
      </c>
      <c r="CL7" s="10">
        <f t="shared" si="49"/>
        <v>1</v>
      </c>
      <c r="CM7" s="10" t="str">
        <f t="shared" si="50"/>
        <v/>
      </c>
      <c r="CN7" s="10">
        <f t="shared" si="51"/>
        <v>1</v>
      </c>
      <c r="CO7" s="10" t="str">
        <f t="shared" si="52"/>
        <v/>
      </c>
      <c r="CP7" s="10" t="str">
        <f t="shared" si="53"/>
        <v/>
      </c>
      <c r="CQ7" s="10" t="str">
        <f t="shared" si="54"/>
        <v/>
      </c>
      <c r="CR7" s="10" t="str">
        <f t="shared" si="55"/>
        <v/>
      </c>
      <c r="CS7" s="10" t="str">
        <f t="shared" si="56"/>
        <v/>
      </c>
      <c r="CT7" s="10" t="str">
        <f t="shared" si="57"/>
        <v/>
      </c>
      <c r="CU7" s="10" t="str">
        <f t="shared" si="58"/>
        <v/>
      </c>
      <c r="CV7" s="10" t="str">
        <f t="shared" si="59"/>
        <v/>
      </c>
      <c r="CW7" s="10">
        <f t="shared" si="60"/>
        <v>900003</v>
      </c>
      <c r="CX7" s="10">
        <f t="shared" si="61"/>
        <v>1</v>
      </c>
      <c r="CY7" s="10">
        <f t="shared" si="30"/>
        <v>1</v>
      </c>
      <c r="CZ7" s="10">
        <f t="shared" si="31"/>
        <v>0.073305311204518178</v>
      </c>
      <c r="DA7" s="10">
        <f t="shared" si="32"/>
        <v>0.015111060740908641</v>
      </c>
      <c r="DB7" s="10">
        <f t="shared" si="33"/>
        <v>2700009</v>
      </c>
      <c r="DC7" s="10">
        <f t="shared" si="34"/>
        <v>2765984</v>
      </c>
      <c r="DD7" s="10">
        <f t="shared" si="35"/>
        <v>2779584</v>
      </c>
      <c r="DE7" s="10">
        <f t="shared" si="36"/>
        <v>65975</v>
      </c>
    </row>
    <row r="8" spans="6:109" ht="13.2">
      <c r="F8" s="21" t="str">
        <f>IF(ISERROR(VALUE(CellReference!F8)),"",IF(VALUE(CellReference!F8)&gt;0,YEAR(NOW())-VALUE(CellReference!F8),""))</f>
        <v/>
      </c>
      <c r="G8" s="21" t="str">
        <f>IF(ISERROR(VALUE(CellReference!G8)),"",IF(VALUE(CellReference!G8)&gt;0,YEAR(NOW())-VALUE(CellReference!G8)+1,""))</f>
        <v/>
      </c>
      <c r="U8" s="20">
        <f t="shared" si="37"/>
        <v>1.2510999999999985</v>
      </c>
      <c r="V8" s="20">
        <f t="shared" si="0"/>
        <v>1.2510999999999985</v>
      </c>
      <c r="W8" s="20">
        <f t="shared" si="1"/>
        <v>1</v>
      </c>
      <c r="X8" s="22" t="str">
        <f>CellReference!X8</f>
        <v/>
      </c>
      <c r="Y8" s="10" t="str">
        <f>IF(ISERROR(VALUE(CellReference!Y8)),"",IF(VALUE(CellReference!Y8)&lt;=0,"",(VALUE(CellReference!Y8)*POWER(1+Cal2_AgePcts/100,Cal2_AgeMths/12))*zUseThisRate))</f>
        <v/>
      </c>
      <c r="Z8" s="10" t="str">
        <f>IF(ISERROR(VALUE(CellReference!Z8)),"",IF(VALUE(CellReference!Z8)&lt;=0,"",(VALUE(CellReference!Z8)*POWER(1+Cal2_AgePcts/100,Cal2_AgeMths/12))*zUseThisRate))</f>
        <v/>
      </c>
      <c r="AA8" s="10" t="str">
        <f>IF(ISERROR(VALUE(CellReference!AA8)),"",IF(VALUE(CellReference!AA8)&lt;=0,"",VALUE(CellReference!AA8)))</f>
        <v/>
      </c>
      <c r="AB8" s="10" t="str">
        <f t="shared" si="2"/>
        <v/>
      </c>
      <c r="AC8" s="10" t="str">
        <f t="shared" si="3"/>
        <v/>
      </c>
      <c r="AD8" s="10" t="str">
        <f>IF(ISERROR(VALUE(CellReference!AD8)),"",IF(VALUE(CellReference!AD8)&lt;=0,"",IF(NOT(Cal2_AgeFA),VALUE(CellReference!AD8),VALUE(CellReference!AD8)*POWER(1+Cal2_AgePcts/100,Cal2_AgeMths/12))*zUseThisRate))</f>
        <v/>
      </c>
      <c r="AE8" s="10" t="str">
        <f>IF(ISERROR(VALUE(CellReference!AE8)),"",IF(VALUE(CellReference!AE8)&lt;=0,"",IF(NOT(Cal2_AgeFA),VALUE(CellReference!AE8),VALUE(CellReference!AE8)*POWER(1+Cal2_AgePcts/100,Cal2_AgeMths/12))*zUseThisRate))</f>
        <v/>
      </c>
      <c r="AF8" s="10" t="str">
        <f t="shared" si="4"/>
        <v/>
      </c>
      <c r="AG8" s="10" t="str">
        <f t="shared" si="5"/>
        <v/>
      </c>
      <c r="AH8" s="10" t="str">
        <f>IF(NOT(OR(CellReference!AH8="N",CellReference!AH8="Y")),"Y",CellReference!AH8)</f>
        <v>Y</v>
      </c>
      <c r="AI8" s="10" t="str">
        <f>IF(ISERROR(VALUE(CellReference!AI8)),"",IF(VALUE(CellReference!AI8)&lt;0,"",(VALUE(CellReference!AI8)*POWER(1+Cal2_AgePcts/100,Cal2_AgeMths/12))*zUseThisRate))</f>
        <v/>
      </c>
      <c r="AJ8" s="10" t="str">
        <f>IF(ISERROR(VALUE(CellReference!AJ8)),"",IF(VALUE(CellReference!AJ8)&lt;0,"",(VALUE(CellReference!AJ8)*POWER(1+Cal2_AgePcts/100,Cal2_AgeMths/12))*zUseThisRate))</f>
        <v/>
      </c>
      <c r="AK8" s="10" t="str">
        <f>IF(ISERROR(VALUE(CellReference!AK8)),"",IF(VALUE(CellReference!AK8)&lt;0,"",(VALUE(CellReference!AK8)*POWER(1+Cal2_AgePcts/100,Cal2_AgeMths/12))*zUseThisRate))</f>
        <v/>
      </c>
      <c r="AL8" s="10" t="str">
        <f t="shared" si="38"/>
        <v/>
      </c>
      <c r="AM8" s="10" t="str">
        <f t="shared" si="6"/>
        <v/>
      </c>
      <c r="AN8" s="10" t="str">
        <f t="shared" si="7"/>
        <v/>
      </c>
      <c r="AO8" s="10" t="str">
        <f>IF(ISERROR(VALUE(CellReference!AO8)),"",IF(VALUE(CellReference!AO8)&lt;=0,"",IF(NOT(Cal2_AgeFA),VALUE(CellReference!AO8),VALUE(CellReference!AO8)*POWER(1+Cal2_AgePcts/100,Cal2_AgeMths/12))*zUseThisRate))</f>
        <v/>
      </c>
      <c r="AP8" s="10" t="str">
        <f>IF(ISERROR(VALUE(CellReference!AP8)),"",IF(VALUE(CellReference!AP8)&lt;=0,"",IF(NOT(Cal2_AgeFA),VALUE(CellReference!AP8),VALUE(CellReference!AP8)*POWER(1+Cal2_AgePcts/100,Cal2_AgeMths/12))*zUseThisRate))</f>
        <v/>
      </c>
      <c r="AQ8" s="10" t="str">
        <f>IF(ISERROR(VALUE(CellReference!AQ8)),"",IF(VALUE(CellReference!AQ8)&lt;=0,"",IF(NOT(Cal2_AgeFA),VALUE(CellReference!AQ8),VALUE(CellReference!AQ8)*POWER(1+Cal2_AgePcts/100,Cal2_AgeMths/12))*zUseThisRate))</f>
        <v/>
      </c>
      <c r="AR8" s="10" t="str">
        <f t="shared" si="39"/>
        <v/>
      </c>
      <c r="AS8" s="10" t="str">
        <f t="shared" si="8"/>
        <v/>
      </c>
      <c r="AT8" s="10" t="str">
        <f t="shared" si="9"/>
        <v/>
      </c>
      <c r="AU8" s="10" t="str">
        <f>IF(NOT(OR(CellReference!AU8="N",CellReference!AU8="Y")),"Y",CellReference!AU8)</f>
        <v>Y</v>
      </c>
      <c r="AV8" s="10" t="str">
        <f>IF(ISERROR(VALUE(CellReference!AV8)),"",IF(VALUE(CellReference!AV8)&lt;=0,"",VALUE(CellReference!AV8)))</f>
        <v/>
      </c>
      <c r="AW8" s="10" t="str">
        <f>IF(ISERROR(VALUE(CellReference!AW8)),"",IF(VALUE(CellReference!AW8)&lt;=0,"",VALUE(CellReference!AW8)*zUseThisRate))</f>
        <v/>
      </c>
      <c r="AX8" s="10" t="str">
        <f>IF(ISERROR(VALUE(CellReference!AX8)),"",IF(VALUE(CellReference!AX8)&lt;=0,"",VALUE(CellReference!AX8)))</f>
        <v/>
      </c>
      <c r="AY8" s="10" t="str">
        <f>IF(ISERROR(VALUE(CellReference!AY8)),"",IF(VALUE(CellReference!AY8)&lt;=0,0.33,VALUE(CellReference!AY8)))</f>
        <v/>
      </c>
      <c r="AZ8" s="10" t="str">
        <f>IF(ISERROR(VALUE(CellReference!AZ8)),"",IF(VALUE(CellReference!AZ8)&lt;=0,"",VALUE(CellReference!AZ8)))</f>
        <v/>
      </c>
      <c r="BA8" s="10" t="str">
        <f>IF(ISERROR(VALUE(CellReference!BA8)),"",IF(VALUE(CellReference!BA8)&lt;=0,"",VALUE(CellReference!BA8)*zUseThisRate))</f>
        <v/>
      </c>
      <c r="BB8" s="10" t="str">
        <f>IF(ISERROR(VALUE(CellReference!BB8)),"",IF(VALUE(CellReference!BB8)&lt;=0,"",VALUE(CellReference!BB8)))</f>
        <v/>
      </c>
      <c r="BC8" s="10" t="str">
        <f>IF(ISERROR(VALUE(CellReference!BC8)),"",IF(VALUE(CellReference!BC8)&lt;=0,0.33,VALUE(CellReference!BC8)))</f>
        <v/>
      </c>
      <c r="BD8" s="10" t="str">
        <f>IF(ISERROR(VALUE(CellReference!BD8)),"",IF(VALUE(CellReference!BD8)&lt;=0,"",VALUE(CellReference!BD8)))</f>
        <v/>
      </c>
      <c r="BE8" s="10" t="str">
        <f>IF(ISERROR(VALUE(CellReference!BE8)),"",IF(VALUE(CellReference!BE8)&lt;=0,"",VALUE(CellReference!BE8)*zUseThisRate))</f>
        <v/>
      </c>
      <c r="BF8" s="10" t="str">
        <f>IF(ISERROR(VALUE(CellReference!BF8)),"",IF(VALUE(CellReference!BF8)&lt;=0,"",VALUE(CellReference!BF8)))</f>
        <v/>
      </c>
      <c r="BG8" s="10" t="str">
        <f>IF(ISERROR(VALUE(CellReference!BG8)),"",IF(VALUE(CellReference!BG8)&lt;=0,"",VALUE(CellReference!BG8)))</f>
        <v/>
      </c>
      <c r="BH8" s="10" t="str">
        <f>IF(ISERROR(VALUE(CellReference!BH8)),"",IF(VALUE(CellReference!BH8)&lt;=0,"",VALUE(CellReference!BH8)*zUseThisRate))</f>
        <v/>
      </c>
      <c r="BI8" s="10" t="str">
        <f>IF(ISERROR(VALUE(CellReference!BI8)),"",IF(VALUE(CellReference!BI8)&lt;=0,"",VALUE(CellReference!BI8)))</f>
        <v/>
      </c>
      <c r="BJ8" s="10">
        <f t="shared" si="40"/>
        <v>0.80</v>
      </c>
      <c r="BK8" s="10" t="str">
        <f>IF(ISERROR(VALUE(CellReference!BK8)),"",IF(VALUE(CellReference!BK8)&lt;=0,"",VALUE(CellReference!BK8)*zUseThisRate))</f>
        <v/>
      </c>
      <c r="BL8" s="10" t="str">
        <f>IF(ISERROR(VALUE(CellReference!BL8)),"",IF(VALUE(CellReference!BL8)&lt;=0,"",VALUE(CellReference!BL8)))</f>
        <v/>
      </c>
      <c r="BM8" s="10" t="str">
        <f t="shared" si="41"/>
        <v/>
      </c>
      <c r="BN8" s="10" t="str">
        <f t="shared" si="10"/>
        <v/>
      </c>
      <c r="BO8" s="10" t="str">
        <f>IF(ISERROR(VALUE(CellReference!BO8)),"",IF(VALUE(CellReference!BO8)&lt;=0,"",VALUE(CellReference!BO8)*zUseThisRate))</f>
        <v/>
      </c>
      <c r="BP8" s="10" t="str">
        <f>IF(ISERROR(VALUE(CellReference!BP8)),"",IF(VALUE(CellReference!BP8)&lt;=0,"",VALUE(CellReference!BP8)*zUseThisRate))</f>
        <v/>
      </c>
      <c r="BQ8" s="22" t="str">
        <f>CellReference!BQ8</f>
        <v/>
      </c>
      <c r="BR8" s="22" t="str">
        <f>CellReference!BR8</f>
        <v/>
      </c>
      <c r="BS8" s="10" t="str">
        <f>IF(ISERROR(VALUE(CellReference!BS8)),"",IF(VALUE(CellReference!BS8)&lt;=0,"",VALUE(CellReference!BS8)*zUseThisRate))</f>
        <v/>
      </c>
      <c r="BT8" s="10" t="str">
        <f>IF(ISERROR(VALUE(CellReference!BT8)),"",IF(VALUE(CellReference!BT8)&lt;=0,"",VALUE(CellReference!BT8)*zUseThisRate))</f>
        <v/>
      </c>
      <c r="BU8" s="10" t="str">
        <f>IF(NOT(OR(CellReference!BU8="N",CellReference!BU8="Y")),"Y",CellReference!BU8)</f>
        <v>Y</v>
      </c>
      <c r="BV8" s="10" t="str">
        <f>IF(ISERROR(VALUE(CellReference!BV8)),"",IF(VALUE(CellReference!BV8)&lt;=0,"",VALUE(CellReference!BV8)*zUseThisRate))</f>
        <v/>
      </c>
      <c r="BW8" s="10" t="str">
        <f t="shared" si="42"/>
        <v/>
      </c>
      <c r="BX8" s="10" t="str">
        <f t="shared" si="11"/>
        <v/>
      </c>
      <c r="BY8" s="10" t="str">
        <f t="shared" si="12"/>
        <v/>
      </c>
      <c r="BZ8" s="10" t="str">
        <f t="shared" si="13"/>
        <v/>
      </c>
      <c r="CA8" s="10" t="str">
        <f>IF(ISERROR(VALUE(CellReference!CA8)),"",IF(VALUE(CellReference!CA8)&lt;=0,"",VALUE(CellReference!CA8)*zUseThisRate))</f>
        <v/>
      </c>
      <c r="CB8" s="10" t="str">
        <f>IF(ISERROR(VALUE(CellReference!CB8)),"",IF(VALUE(CellReference!CB8)&lt;=0,"",VALUE(CellReference!CB8)*zUseThisRate))</f>
        <v/>
      </c>
      <c r="CC8" s="10" t="str">
        <f t="shared" si="43"/>
        <v/>
      </c>
      <c r="CD8" s="10" t="str">
        <f t="shared" si="14"/>
        <v/>
      </c>
      <c r="CE8" s="10" t="str">
        <f t="shared" si="15"/>
        <v/>
      </c>
      <c r="CF8" s="10" t="str">
        <f t="shared" si="16"/>
        <v/>
      </c>
      <c r="CG8" s="10" t="str">
        <f t="shared" si="44"/>
        <v/>
      </c>
      <c r="CH8" s="10" t="str">
        <f t="shared" si="45"/>
        <v/>
      </c>
      <c r="CI8" s="10" t="str">
        <f t="shared" si="46"/>
        <v/>
      </c>
      <c r="CJ8" s="10" t="str">
        <f t="shared" si="47"/>
        <v/>
      </c>
      <c r="CK8" s="10" t="str">
        <f t="shared" si="48"/>
        <v/>
      </c>
      <c r="CL8" s="10" t="str">
        <f t="shared" si="49"/>
        <v/>
      </c>
      <c r="CM8" s="10" t="str">
        <f t="shared" si="50"/>
        <v/>
      </c>
      <c r="CN8" s="10" t="str">
        <f t="shared" si="51"/>
        <v/>
      </c>
      <c r="CO8" s="10" t="str">
        <f t="shared" si="52"/>
        <v/>
      </c>
      <c r="CP8" s="10" t="str">
        <f t="shared" si="53"/>
        <v/>
      </c>
      <c r="CQ8" s="10" t="str">
        <f t="shared" si="54"/>
        <v/>
      </c>
      <c r="CR8" s="10" t="str">
        <f t="shared" si="55"/>
        <v/>
      </c>
      <c r="CS8" s="10" t="str">
        <f t="shared" si="56"/>
        <v/>
      </c>
      <c r="CT8" s="10" t="str">
        <f t="shared" si="57"/>
        <v/>
      </c>
      <c r="CU8" s="10" t="str">
        <f t="shared" si="58"/>
        <v/>
      </c>
      <c r="CV8" s="10" t="str">
        <f t="shared" si="59"/>
        <v/>
      </c>
      <c r="CW8" s="10" t="str">
        <f t="shared" si="60"/>
        <v/>
      </c>
      <c r="CX8" s="10" t="str">
        <f t="shared" si="61"/>
        <v/>
      </c>
      <c r="CY8" s="10" t="str">
        <f t="shared" si="30"/>
        <v/>
      </c>
      <c r="CZ8" s="10" t="str">
        <f t="shared" si="31"/>
        <v/>
      </c>
      <c r="DA8" s="10" t="str">
        <f t="shared" si="32"/>
        <v/>
      </c>
      <c r="DB8" s="10" t="str">
        <f t="shared" si="33"/>
        <v/>
      </c>
      <c r="DC8" s="10" t="str">
        <f t="shared" si="34"/>
        <v/>
      </c>
      <c r="DD8" s="10" t="str">
        <f t="shared" si="35"/>
        <v/>
      </c>
      <c r="DE8" s="10" t="str">
        <f t="shared" si="36"/>
        <v/>
      </c>
    </row>
  </sheetData>
  <pageMargins left="0.75" right="0.75" top="1" bottom="1" header="0.5" footer="0.5"/>
  <pageSetup orientation="portrait" paperSize="9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K811"/>
  <sheetViews>
    <sheetView workbookViewId="0" topLeftCell="A5">
      <selection pane="topLeft" activeCell="E34" sqref="E34"/>
    </sheetView>
  </sheetViews>
  <sheetFormatPr defaultColWidth="9.109375" defaultRowHeight="13.5"/>
  <cols>
    <col min="1" max="2" width="14.7142857142857" customWidth="1"/>
    <col min="3" max="63" width="15.7142857142857" customWidth="1"/>
    <col min="64" max="84" width="9.14285714285714" customWidth="1"/>
  </cols>
  <sheetData>
    <row r="1" spans="1:63" ht="41.4">
      <c r="A1" s="3"/>
      <c r="B1" s="5" t="s">
        <v>223</v>
      </c>
      <c r="C1" s="4" t="s">
        <v>429</v>
      </c>
      <c r="D1" s="4" t="s">
        <v>264</v>
      </c>
      <c r="E1" s="4" t="s">
        <v>430</v>
      </c>
      <c r="F1" s="4" t="s">
        <v>431</v>
      </c>
      <c r="G1" s="4" t="s">
        <v>432</v>
      </c>
      <c r="H1" s="4" t="s">
        <v>320</v>
      </c>
      <c r="I1" s="4" t="str">
        <f>H1&amp;"_%"&amp;H2</f>
        <v>Cal_Actual Sales Incentive_%AI</v>
      </c>
      <c r="J1" s="4" t="s">
        <v>96</v>
      </c>
      <c r="K1" s="4" t="str">
        <f>J1&amp;"_%"&amp;J2</f>
        <v>Cal_Actual Performance Bonus_%AJ</v>
      </c>
      <c r="L1" s="4" t="s">
        <v>321</v>
      </c>
      <c r="M1" s="4" t="str">
        <f>L1&amp;"_%"&amp;L2</f>
        <v>Cal_Actual Other Short-Term Variable Cash_%AK</v>
      </c>
      <c r="N1" s="4" t="s">
        <v>97</v>
      </c>
      <c r="O1" s="4" t="str">
        <f>N1&amp;"_%"&amp;N2</f>
        <v>Cal_Actual Total Short-Term Variable Cash_%AL</v>
      </c>
      <c r="P1" s="4" t="s">
        <v>98</v>
      </c>
      <c r="Q1" s="4" t="s">
        <v>326</v>
      </c>
      <c r="R1" s="25" t="s">
        <v>322</v>
      </c>
      <c r="S1" s="4" t="str">
        <f>R1&amp;"_%"&amp;R2</f>
        <v>Cal_Target Sales Incentive_%AO</v>
      </c>
      <c r="T1" s="25" t="s">
        <v>99</v>
      </c>
      <c r="U1" s="4" t="str">
        <f>T1&amp;"_%"&amp;T2</f>
        <v>Cal_Target Performance Bonus_%AP</v>
      </c>
      <c r="V1" s="25" t="s">
        <v>323</v>
      </c>
      <c r="W1" s="4" t="str">
        <f>V1&amp;"_%"&amp;V2</f>
        <v>Cal_Target Other Short-Term Variable Cash_%AQ</v>
      </c>
      <c r="X1" s="25" t="s">
        <v>100</v>
      </c>
      <c r="Y1" s="4" t="str">
        <f>X1&amp;"_%"&amp;X2</f>
        <v>Cal_Target Total Short-Term Variable Cash_%AR</v>
      </c>
      <c r="Z1" s="25" t="s">
        <v>101</v>
      </c>
      <c r="AA1" s="4" t="s">
        <v>328</v>
      </c>
      <c r="AB1" s="25" t="s">
        <v>270</v>
      </c>
      <c r="AC1" s="4" t="str">
        <f>AB1&amp;"_%"&amp;AB2</f>
        <v>Cal_Stock Option_%CO</v>
      </c>
      <c r="AD1" s="25" t="s">
        <v>271</v>
      </c>
      <c r="AE1" s="4" t="str">
        <f>AD1&amp;"_%"&amp;AD2</f>
        <v>Cal_Stock Appreciation Right_%CQ</v>
      </c>
      <c r="AF1" s="25" t="s">
        <v>272</v>
      </c>
      <c r="AG1" s="4" t="str">
        <f>AF1&amp;"_%"&amp;AF2</f>
        <v>Cal_Restricted Stock/Unit_%CS</v>
      </c>
      <c r="AH1" s="25" t="s">
        <v>273</v>
      </c>
      <c r="AI1" s="4" t="str">
        <f>AH1&amp;"_%"&amp;AH2</f>
        <v>Cal_Performance Share_%CU</v>
      </c>
      <c r="AJ1" s="25" t="s">
        <v>274</v>
      </c>
      <c r="AK1" s="4" t="str">
        <f>AJ1&amp;"_%"&amp;AJ2</f>
        <v>Cal_L-T Performance Cash_%CW</v>
      </c>
      <c r="AL1" s="25" t="s">
        <v>324</v>
      </c>
      <c r="AM1" s="4" t="str">
        <f>AL1&amp;"_%"&amp;AL2</f>
        <v>Cal_Total Long-Term Incentives_%BM</v>
      </c>
      <c r="AN1" s="25" t="s">
        <v>102</v>
      </c>
      <c r="AO1" s="25" t="s">
        <v>433</v>
      </c>
      <c r="AP1" s="25" t="s">
        <v>0</v>
      </c>
      <c r="AQ1" s="25" t="s">
        <v>224</v>
      </c>
      <c r="AR1" s="25" t="s">
        <v>325</v>
      </c>
      <c r="AS1" s="25" t="s">
        <v>103</v>
      </c>
      <c r="AT1" s="25" t="s">
        <v>104</v>
      </c>
      <c r="AU1" s="25" t="s">
        <v>105</v>
      </c>
      <c r="AV1" s="25" t="str">
        <f>AU1&amp;"_%"&amp;AU2</f>
        <v>Cal_Total Perquisites_%BW</v>
      </c>
      <c r="AW1" s="25" t="s">
        <v>106</v>
      </c>
      <c r="AX1" s="25" t="s">
        <v>434</v>
      </c>
      <c r="AY1" s="25" t="s">
        <v>275</v>
      </c>
      <c r="AZ1" s="25" t="s">
        <v>276</v>
      </c>
      <c r="BA1" s="25" t="s">
        <v>1</v>
      </c>
      <c r="BB1" s="25" t="str">
        <f>BA1&amp;"_%"&amp;BA2</f>
        <v>Cal_Total Social Benefits Contribution_%CC</v>
      </c>
      <c r="BC1" s="25" t="s">
        <v>107</v>
      </c>
      <c r="BD1" s="25" t="s">
        <v>435</v>
      </c>
      <c r="BE1" s="25" t="s">
        <v>436</v>
      </c>
      <c r="BF1" s="25" t="s">
        <v>441</v>
      </c>
      <c r="BG1" s="25" t="s">
        <v>440</v>
      </c>
      <c r="BH1" s="25" t="s">
        <v>439</v>
      </c>
      <c r="BI1" s="25" t="s">
        <v>438</v>
      </c>
      <c r="BJ1" s="25" t="s">
        <v>108</v>
      </c>
      <c r="BK1" s="25" t="s">
        <v>228</v>
      </c>
    </row>
    <row r="2" spans="1:63" ht="13.2">
      <c r="A2" s="3"/>
      <c r="B2" s="5" t="s">
        <v>227</v>
      </c>
      <c r="C2" s="10" t="str">
        <f>SUBSTITUTE(ADDRESS(1,MATCH(C$1,Calculation1!$1:$1,0),4),"1","")</f>
        <v>Z</v>
      </c>
      <c r="D2" s="10" t="str">
        <f>SUBSTITUTE(ADDRESS(1,MATCH(D$1,Calculation1!$1:$1,0),4),"1","")</f>
        <v>AA</v>
      </c>
      <c r="E2" s="10" t="str">
        <f>SUBSTITUTE(ADDRESS(1,MATCH(E$1,Calculation1!$1:$1,0),4),"1","")</f>
        <v>AC</v>
      </c>
      <c r="F2" s="10" t="str">
        <f>SUBSTITUTE(ADDRESS(1,MATCH(F$1,Calculation1!$1:$1,0),4),"1","")</f>
        <v>AE</v>
      </c>
      <c r="G2" s="10" t="str">
        <f>SUBSTITUTE(ADDRESS(1,MATCH(G$1,Calculation1!$1:$1,0),4),"1","")</f>
        <v>AG</v>
      </c>
      <c r="H2" s="10" t="str">
        <f>SUBSTITUTE(ADDRESS(1,MATCH(H$1,Calculation1!$1:$1,0),4),"1","")</f>
        <v>AI</v>
      </c>
      <c r="I2" s="10" t="str">
        <f>SUBSTITUTE(ADDRESS(1,MATCH(I$1,Calculation1!$1:$1,0),4),"1","")</f>
        <v>CG</v>
      </c>
      <c r="J2" s="10" t="str">
        <f>SUBSTITUTE(ADDRESS(1,MATCH(J$1,Calculation1!$1:$1,0),4),"1","")</f>
        <v>AJ</v>
      </c>
      <c r="K2" s="10" t="str">
        <f>SUBSTITUTE(ADDRESS(1,MATCH(K$1,Calculation1!$1:$1,0),4),"1","")</f>
        <v>CH</v>
      </c>
      <c r="L2" s="10" t="str">
        <f>SUBSTITUTE(ADDRESS(1,MATCH(L$1,Calculation1!$1:$1,0),4),"1","")</f>
        <v>AK</v>
      </c>
      <c r="M2" s="10" t="str">
        <f>SUBSTITUTE(ADDRESS(1,MATCH(M$1,Calculation1!$1:$1,0),4),"1","")</f>
        <v>CI</v>
      </c>
      <c r="N2" s="10" t="str">
        <f>SUBSTITUTE(ADDRESS(1,MATCH(N$1,Calculation1!$1:$1,0),4),"1","")</f>
        <v>AL</v>
      </c>
      <c r="O2" s="10" t="str">
        <f>SUBSTITUTE(ADDRESS(1,MATCH(O$1,Calculation1!$1:$1,0),4),"1","")</f>
        <v>CJ</v>
      </c>
      <c r="P2" s="10" t="str">
        <f>SUBSTITUTE(ADDRESS(1,MATCH(P$1,Calculation1!$1:$1,0),4),"1","")</f>
        <v>AM</v>
      </c>
      <c r="Q2" s="10" t="str">
        <f>SUBSTITUTE(ADDRESS(1,MATCH(Q$1,Calculation1!$1:$1,0),4),"1","")</f>
        <v>AN</v>
      </c>
      <c r="R2" s="10" t="str">
        <f>SUBSTITUTE(ADDRESS(1,MATCH(R$1,Calculation1!$1:$1,0),4),"1","")</f>
        <v>AO</v>
      </c>
      <c r="S2" s="10" t="str">
        <f>SUBSTITUTE(ADDRESS(1,MATCH(S$1,Calculation1!$1:$1,0),4),"1","")</f>
        <v>CK</v>
      </c>
      <c r="T2" s="10" t="str">
        <f>SUBSTITUTE(ADDRESS(1,MATCH(T$1,Calculation1!$1:$1,0),4),"1","")</f>
        <v>AP</v>
      </c>
      <c r="U2" s="10" t="str">
        <f>SUBSTITUTE(ADDRESS(1,MATCH(U$1,Calculation1!$1:$1,0),4),"1","")</f>
        <v>CL</v>
      </c>
      <c r="V2" s="10" t="str">
        <f>SUBSTITUTE(ADDRESS(1,MATCH(V$1,Calculation1!$1:$1,0),4),"1","")</f>
        <v>AQ</v>
      </c>
      <c r="W2" s="10" t="str">
        <f>SUBSTITUTE(ADDRESS(1,MATCH(W$1,Calculation1!$1:$1,0),4),"1","")</f>
        <v>CM</v>
      </c>
      <c r="X2" s="10" t="str">
        <f>SUBSTITUTE(ADDRESS(1,MATCH(X$1,Calculation1!$1:$1,0),4),"1","")</f>
        <v>AR</v>
      </c>
      <c r="Y2" s="10" t="str">
        <f>SUBSTITUTE(ADDRESS(1,MATCH(Y$1,Calculation1!$1:$1,0),4),"1","")</f>
        <v>CN</v>
      </c>
      <c r="Z2" s="10" t="str">
        <f>SUBSTITUTE(ADDRESS(1,MATCH(Z$1,Calculation1!$1:$1,0),4),"1","")</f>
        <v>AS</v>
      </c>
      <c r="AA2" s="10" t="str">
        <f>SUBSTITUTE(ADDRESS(1,MATCH(AA$1,Calculation1!$1:$1,0),4),"1","")</f>
        <v>AT</v>
      </c>
      <c r="AB2" s="10" t="str">
        <f>SUBSTITUTE(ADDRESS(1,MATCH(AB$1,Calculation1!$1:$1,0),4),"1","")</f>
        <v>CO</v>
      </c>
      <c r="AC2" s="10" t="str">
        <f>SUBSTITUTE(ADDRESS(1,MATCH(AC$1,Calculation1!$1:$1,0),4),"1","")</f>
        <v>CP</v>
      </c>
      <c r="AD2" s="10" t="str">
        <f>SUBSTITUTE(ADDRESS(1,MATCH(AD$1,Calculation1!$1:$1,0),4),"1","")</f>
        <v>CQ</v>
      </c>
      <c r="AE2" s="10" t="str">
        <f>SUBSTITUTE(ADDRESS(1,MATCH(AE$1,Calculation1!$1:$1,0),4),"1","")</f>
        <v>CR</v>
      </c>
      <c r="AF2" s="10" t="str">
        <f>SUBSTITUTE(ADDRESS(1,MATCH(AF$1,Calculation1!$1:$1,0),4),"1","")</f>
        <v>CS</v>
      </c>
      <c r="AG2" s="10" t="str">
        <f>SUBSTITUTE(ADDRESS(1,MATCH(AG$1,Calculation1!$1:$1,0),4),"1","")</f>
        <v>CT</v>
      </c>
      <c r="AH2" s="10" t="str">
        <f>SUBSTITUTE(ADDRESS(1,MATCH(AH$1,Calculation1!$1:$1,0),4),"1","")</f>
        <v>CU</v>
      </c>
      <c r="AI2" s="10" t="str">
        <f>SUBSTITUTE(ADDRESS(1,MATCH(AI$1,Calculation1!$1:$1,0),4),"1","")</f>
        <v>CV</v>
      </c>
      <c r="AJ2" s="10" t="str">
        <f>SUBSTITUTE(ADDRESS(1,MATCH(AJ$1,Calculation1!$1:$1,0),4),"1","")</f>
        <v>CW</v>
      </c>
      <c r="AK2" s="10" t="str">
        <f>SUBSTITUTE(ADDRESS(1,MATCH(AK$1,Calculation1!$1:$1,0),4),"1","")</f>
        <v>CX</v>
      </c>
      <c r="AL2" s="10" t="str">
        <f>SUBSTITUTE(ADDRESS(1,MATCH(AL$1,Calculation1!$1:$1,0),4),"1","")</f>
        <v>BM</v>
      </c>
      <c r="AM2" s="10" t="str">
        <f>SUBSTITUTE(ADDRESS(1,MATCH(AM$1,Calculation1!$1:$1,0),4),"1","")</f>
        <v>CY</v>
      </c>
      <c r="AN2" s="10" t="str">
        <f>SUBSTITUTE(ADDRESS(1,MATCH(AN$1,Calculation1!$1:$1,0),4),"1","")</f>
        <v>BN</v>
      </c>
      <c r="AO2" s="10" t="str">
        <f>SUBSTITUTE(ADDRESS(1,MATCH(AO$1,Calculation1!$1:$1,0),4),"1","")</f>
        <v>DB</v>
      </c>
      <c r="AP2" s="10" t="str">
        <f>SUBSTITUTE(ADDRESS(1,MATCH(AP$1,Calculation1!$1:$1,0),4),"1","")</f>
        <v>BO</v>
      </c>
      <c r="AQ2" s="10" t="str">
        <f>SUBSTITUTE(ADDRESS(1,MATCH(AQ$1,Calculation1!$1:$1,0),4),"1","")</f>
        <v>BP</v>
      </c>
      <c r="AR2" s="10" t="str">
        <f>SUBSTITUTE(ADDRESS(1,MATCH(AR$1,Calculation1!$1:$1,0),4),"1","")</f>
        <v>BS</v>
      </c>
      <c r="AS2" s="10" t="str">
        <f>SUBSTITUTE(ADDRESS(1,MATCH(AS$1,Calculation1!$1:$1,0),4),"1","")</f>
        <v>BT</v>
      </c>
      <c r="AT2" s="10" t="str">
        <f>SUBSTITUTE(ADDRESS(1,MATCH(AT$1,Calculation1!$1:$1,0),4),"1","")</f>
        <v>BV</v>
      </c>
      <c r="AU2" s="10" t="str">
        <f>SUBSTITUTE(ADDRESS(1,MATCH(AU$1,Calculation1!$1:$1,0),4),"1","")</f>
        <v>BW</v>
      </c>
      <c r="AV2" s="10" t="str">
        <f>SUBSTITUTE(ADDRESS(1,MATCH(AV$1,Calculation1!$1:$1,0),4),"1","")</f>
        <v>CZ</v>
      </c>
      <c r="AW2" s="10" t="str">
        <f>SUBSTITUTE(ADDRESS(1,MATCH(AW$1,Calculation1!$1:$1,0),4),"1","")</f>
        <v>BX</v>
      </c>
      <c r="AX2" s="10" t="str">
        <f>SUBSTITUTE(ADDRESS(1,MATCH(AX$1,Calculation1!$1:$1,0),4),"1","")</f>
        <v>DC</v>
      </c>
      <c r="AY2" s="10" t="str">
        <f>SUBSTITUTE(ADDRESS(1,MATCH(AY$1,Calculation1!$1:$1,0),4),"1","")</f>
        <v>CA</v>
      </c>
      <c r="AZ2" s="10" t="str">
        <f>SUBSTITUTE(ADDRESS(1,MATCH(AZ$1,Calculation1!$1:$1,0),4),"1","")</f>
        <v>CB</v>
      </c>
      <c r="BA2" s="10" t="str">
        <f>SUBSTITUTE(ADDRESS(1,MATCH(BA$1,Calculation1!$1:$1,0),4),"1","")</f>
        <v>CC</v>
      </c>
      <c r="BB2" s="10" t="str">
        <f>SUBSTITUTE(ADDRESS(1,MATCH(BB$1,Calculation1!$1:$1,0),4),"1","")</f>
        <v>DA</v>
      </c>
      <c r="BC2" s="10" t="str">
        <f>SUBSTITUTE(ADDRESS(1,MATCH(BC$1,Calculation1!$1:$1,0),4),"1","")</f>
        <v>CD</v>
      </c>
      <c r="BD2" s="10" t="str">
        <f>SUBSTITUTE(ADDRESS(1,MATCH(BD$1,Calculation1!$1:$1,0),4),"1","")</f>
        <v>DD</v>
      </c>
      <c r="BE2" s="10" t="str">
        <f>SUBSTITUTE(ADDRESS(1,MATCH(BE$1,Calculation1!$1:$1,0),4),"1","")</f>
        <v>DE</v>
      </c>
      <c r="BF2" s="10" t="str">
        <f>SUBSTITUTE(ADDRESS(1,MATCH(BF$1,Calculation1!$1:$1,0),4),"1","")</f>
        <v>BY</v>
      </c>
      <c r="BG2" s="10" t="str">
        <f>SUBSTITUTE(ADDRESS(1,MATCH(BG$1,Calculation1!$1:$1,0),4),"1","")</f>
        <v>CE</v>
      </c>
      <c r="BH2" s="10" t="str">
        <f>SUBSTITUTE(ADDRESS(1,MATCH(BH$1,Calculation1!$1:$1,0),4),"1","")</f>
        <v>BZ</v>
      </c>
      <c r="BI2" s="10" t="str">
        <f>SUBSTITUTE(ADDRESS(1,MATCH(BI$1,Calculation1!$1:$1,0),4),"1","")</f>
        <v>CF</v>
      </c>
      <c r="BJ2" s="10" t="str">
        <f>SUBSTITUTE(ADDRESS(1,MATCH(BJ$1,Calculation1!$1:$1,0),4),"1","")</f>
        <v>F</v>
      </c>
      <c r="BK2" s="10" t="str">
        <f>SUBSTITUTE(ADDRESS(1,MATCH(BK$1,Calculation1!$1:$1,0),4),"1","")</f>
        <v>G</v>
      </c>
    </row>
    <row r="3" spans="1:63" ht="13.2">
      <c r="A3" s="3"/>
      <c r="B3" s="5" t="s">
        <v>227</v>
      </c>
      <c r="C3" s="10" t="str">
        <f t="shared" si="0" ref="C3:AH3">CONCATENATE("Calculation1!",C$2,":",C$2)</f>
        <v>Calculation1!Z:Z</v>
      </c>
      <c r="D3" s="10" t="str">
        <f t="shared" si="0"/>
        <v>Calculation1!AA:AA</v>
      </c>
      <c r="E3" s="10" t="str">
        <f t="shared" si="0"/>
        <v>Calculation1!AC:AC</v>
      </c>
      <c r="F3" s="10" t="str">
        <f t="shared" si="0"/>
        <v>Calculation1!AE:AE</v>
      </c>
      <c r="G3" s="10" t="str">
        <f t="shared" si="0"/>
        <v>Calculation1!AG:AG</v>
      </c>
      <c r="H3" s="10" t="str">
        <f t="shared" si="0"/>
        <v>Calculation1!AI:AI</v>
      </c>
      <c r="I3" s="10" t="str">
        <f t="shared" si="0"/>
        <v>Calculation1!CG:CG</v>
      </c>
      <c r="J3" s="10" t="str">
        <f t="shared" si="0"/>
        <v>Calculation1!AJ:AJ</v>
      </c>
      <c r="K3" s="10" t="str">
        <f t="shared" si="0"/>
        <v>Calculation1!CH:CH</v>
      </c>
      <c r="L3" s="10" t="str">
        <f t="shared" si="0"/>
        <v>Calculation1!AK:AK</v>
      </c>
      <c r="M3" s="10" t="str">
        <f t="shared" si="0"/>
        <v>Calculation1!CI:CI</v>
      </c>
      <c r="N3" s="10" t="str">
        <f t="shared" si="0"/>
        <v>Calculation1!AL:AL</v>
      </c>
      <c r="O3" s="10" t="str">
        <f t="shared" si="0"/>
        <v>Calculation1!CJ:CJ</v>
      </c>
      <c r="P3" s="10" t="str">
        <f t="shared" si="0"/>
        <v>Calculation1!AM:AM</v>
      </c>
      <c r="Q3" s="10" t="str">
        <f t="shared" si="0"/>
        <v>Calculation1!AN:AN</v>
      </c>
      <c r="R3" s="10" t="str">
        <f t="shared" si="0"/>
        <v>Calculation1!AO:AO</v>
      </c>
      <c r="S3" s="10" t="str">
        <f t="shared" si="0"/>
        <v>Calculation1!CK:CK</v>
      </c>
      <c r="T3" s="10" t="str">
        <f t="shared" si="0"/>
        <v>Calculation1!AP:AP</v>
      </c>
      <c r="U3" s="10" t="str">
        <f t="shared" si="0"/>
        <v>Calculation1!CL:CL</v>
      </c>
      <c r="V3" s="10" t="str">
        <f t="shared" si="0"/>
        <v>Calculation1!AQ:AQ</v>
      </c>
      <c r="W3" s="10" t="str">
        <f t="shared" si="0"/>
        <v>Calculation1!CM:CM</v>
      </c>
      <c r="X3" s="10" t="str">
        <f t="shared" si="0"/>
        <v>Calculation1!AR:AR</v>
      </c>
      <c r="Y3" s="10" t="str">
        <f t="shared" si="0"/>
        <v>Calculation1!CN:CN</v>
      </c>
      <c r="Z3" s="10" t="str">
        <f t="shared" si="0"/>
        <v>Calculation1!AS:AS</v>
      </c>
      <c r="AA3" s="10" t="str">
        <f t="shared" si="0"/>
        <v>Calculation1!AT:AT</v>
      </c>
      <c r="AB3" s="10" t="str">
        <f t="shared" si="0"/>
        <v>Calculation1!CO:CO</v>
      </c>
      <c r="AC3" s="10" t="str">
        <f t="shared" si="0"/>
        <v>Calculation1!CP:CP</v>
      </c>
      <c r="AD3" s="10" t="str">
        <f t="shared" si="0"/>
        <v>Calculation1!CQ:CQ</v>
      </c>
      <c r="AE3" s="10" t="str">
        <f t="shared" si="0"/>
        <v>Calculation1!CR:CR</v>
      </c>
      <c r="AF3" s="10" t="str">
        <f t="shared" si="0"/>
        <v>Calculation1!CS:CS</v>
      </c>
      <c r="AG3" s="10" t="str">
        <f t="shared" si="0"/>
        <v>Calculation1!CT:CT</v>
      </c>
      <c r="AH3" s="10" t="str">
        <f t="shared" si="0"/>
        <v>Calculation1!CU:CU</v>
      </c>
      <c r="AI3" s="10" t="str">
        <f t="shared" si="1" ref="AI3:BK3">CONCATENATE("Calculation1!",AI$2,":",AI$2)</f>
        <v>Calculation1!CV:CV</v>
      </c>
      <c r="AJ3" s="10" t="str">
        <f t="shared" si="1"/>
        <v>Calculation1!CW:CW</v>
      </c>
      <c r="AK3" s="10" t="str">
        <f t="shared" si="1"/>
        <v>Calculation1!CX:CX</v>
      </c>
      <c r="AL3" s="10" t="str">
        <f t="shared" si="1"/>
        <v>Calculation1!BM:BM</v>
      </c>
      <c r="AM3" s="10" t="str">
        <f t="shared" si="1"/>
        <v>Calculation1!CY:CY</v>
      </c>
      <c r="AN3" s="10" t="str">
        <f t="shared" si="1"/>
        <v>Calculation1!BN:BN</v>
      </c>
      <c r="AO3" s="10" t="str">
        <f t="shared" si="1"/>
        <v>Calculation1!DB:DB</v>
      </c>
      <c r="AP3" s="10" t="str">
        <f t="shared" si="1"/>
        <v>Calculation1!BO:BO</v>
      </c>
      <c r="AQ3" s="10" t="str">
        <f t="shared" si="1"/>
        <v>Calculation1!BP:BP</v>
      </c>
      <c r="AR3" s="10" t="str">
        <f t="shared" si="1"/>
        <v>Calculation1!BS:BS</v>
      </c>
      <c r="AS3" s="10" t="str">
        <f t="shared" si="1"/>
        <v>Calculation1!BT:BT</v>
      </c>
      <c r="AT3" s="10" t="str">
        <f t="shared" si="1"/>
        <v>Calculation1!BV:BV</v>
      </c>
      <c r="AU3" s="10" t="str">
        <f t="shared" si="1"/>
        <v>Calculation1!BW:BW</v>
      </c>
      <c r="AV3" s="10" t="str">
        <f t="shared" si="1"/>
        <v>Calculation1!CZ:CZ</v>
      </c>
      <c r="AW3" s="10" t="str">
        <f t="shared" si="1"/>
        <v>Calculation1!BX:BX</v>
      </c>
      <c r="AX3" s="10" t="str">
        <f t="shared" si="1"/>
        <v>Calculation1!DC:DC</v>
      </c>
      <c r="AY3" s="10" t="str">
        <f t="shared" si="1"/>
        <v>Calculation1!CA:CA</v>
      </c>
      <c r="AZ3" s="10" t="str">
        <f t="shared" si="1"/>
        <v>Calculation1!CB:CB</v>
      </c>
      <c r="BA3" s="10" t="str">
        <f t="shared" si="1"/>
        <v>Calculation1!CC:CC</v>
      </c>
      <c r="BB3" s="10" t="str">
        <f t="shared" si="1"/>
        <v>Calculation1!DA:DA</v>
      </c>
      <c r="BC3" s="10" t="str">
        <f t="shared" si="1"/>
        <v>Calculation1!CD:CD</v>
      </c>
      <c r="BD3" s="10" t="str">
        <f t="shared" si="1"/>
        <v>Calculation1!DD:DD</v>
      </c>
      <c r="BE3" s="10" t="str">
        <f t="shared" si="1"/>
        <v>Calculation1!DE:DE</v>
      </c>
      <c r="BF3" s="10" t="str">
        <f t="shared" si="1"/>
        <v>Calculation1!BY:BY</v>
      </c>
      <c r="BG3" s="10" t="str">
        <f t="shared" si="1"/>
        <v>Calculation1!CE:CE</v>
      </c>
      <c r="BH3" s="10" t="str">
        <f t="shared" si="1"/>
        <v>Calculation1!BZ:BZ</v>
      </c>
      <c r="BI3" s="10" t="str">
        <f t="shared" si="1"/>
        <v>Calculation1!CF:CF</v>
      </c>
      <c r="BJ3" s="10" t="str">
        <f t="shared" si="1"/>
        <v>Calculation1!F:F</v>
      </c>
      <c r="BK3" s="10" t="str">
        <f t="shared" si="1"/>
        <v>Calculation1!G:G</v>
      </c>
    </row>
    <row r="4" spans="1:63" ht="41.4">
      <c r="A4" s="3"/>
      <c r="B4" s="5" t="s">
        <v>2</v>
      </c>
      <c r="C4" s="13" t="s">
        <v>342</v>
      </c>
      <c r="D4" s="13" t="s">
        <v>244</v>
      </c>
      <c r="E4" s="13" t="s">
        <v>343</v>
      </c>
      <c r="F4" s="13" t="s">
        <v>64</v>
      </c>
      <c r="G4" s="13" t="s">
        <v>65</v>
      </c>
      <c r="H4" s="13" t="s">
        <v>309</v>
      </c>
      <c r="I4" s="30" t="str">
        <f t="shared" si="2" ref="I4:AM4">IF(ISERROR(FIND("_%",I$1,1)),SUBSTITUTE(I$1,"Cal_",""),"- As % of Basic Salary")</f>
        <v>- As % of Basic Salary</v>
      </c>
      <c r="J4" s="13" t="s">
        <v>66</v>
      </c>
      <c r="K4" s="30" t="str">
        <f t="shared" si="2"/>
        <v>- As % of Basic Salary</v>
      </c>
      <c r="L4" s="13" t="s">
        <v>344</v>
      </c>
      <c r="M4" s="30" t="str">
        <f t="shared" si="2"/>
        <v>- As % of Basic Salary</v>
      </c>
      <c r="N4" s="13" t="s">
        <v>67</v>
      </c>
      <c r="O4" s="30" t="str">
        <f t="shared" si="2"/>
        <v>- As % of Basic Salary</v>
      </c>
      <c r="P4" s="13" t="s">
        <v>68</v>
      </c>
      <c r="Q4" s="13" t="s">
        <v>327</v>
      </c>
      <c r="R4" s="13" t="s">
        <v>311</v>
      </c>
      <c r="S4" s="30" t="str">
        <f t="shared" si="2"/>
        <v>- As % of Basic Salary</v>
      </c>
      <c r="T4" s="13" t="s">
        <v>69</v>
      </c>
      <c r="U4" s="30" t="str">
        <f t="shared" si="2"/>
        <v>- As % of Basic Salary</v>
      </c>
      <c r="V4" s="13" t="s">
        <v>345</v>
      </c>
      <c r="W4" s="30" t="str">
        <f t="shared" si="2"/>
        <v>- As % of Basic Salary</v>
      </c>
      <c r="X4" s="13" t="str">
        <f t="shared" si="2"/>
        <v>Target Total Short-Term Variable Cash</v>
      </c>
      <c r="Y4" s="30" t="str">
        <f t="shared" si="2"/>
        <v>- As % of Basic Salary</v>
      </c>
      <c r="Z4" s="13" t="s">
        <v>71</v>
      </c>
      <c r="AA4" s="13" t="s">
        <v>329</v>
      </c>
      <c r="AB4" s="13" t="s">
        <v>412</v>
      </c>
      <c r="AC4" s="30" t="str">
        <f t="shared" si="2"/>
        <v>- As % of Basic Salary</v>
      </c>
      <c r="AD4" s="13" t="s">
        <v>413</v>
      </c>
      <c r="AE4" s="30" t="str">
        <f t="shared" si="2"/>
        <v>- As % of Basic Salary</v>
      </c>
      <c r="AF4" s="13" t="s">
        <v>414</v>
      </c>
      <c r="AG4" s="30" t="str">
        <f t="shared" si="2"/>
        <v>- As % of Basic Salary</v>
      </c>
      <c r="AH4" s="13" t="s">
        <v>415</v>
      </c>
      <c r="AI4" s="30" t="str">
        <f t="shared" si="2"/>
        <v>- As % of Basic Salary</v>
      </c>
      <c r="AJ4" s="13" t="s">
        <v>416</v>
      </c>
      <c r="AK4" s="30" t="str">
        <f t="shared" si="2"/>
        <v>- As % of Basic Salary</v>
      </c>
      <c r="AL4" s="13" t="s">
        <v>346</v>
      </c>
      <c r="AM4" s="30" t="str">
        <f t="shared" si="2"/>
        <v>- As % of Basic Salary</v>
      </c>
      <c r="AN4" s="13" t="s">
        <v>72</v>
      </c>
      <c r="AO4" s="13" t="s">
        <v>370</v>
      </c>
      <c r="AP4" s="13" t="s">
        <v>83</v>
      </c>
      <c r="AQ4" s="13" t="s">
        <v>220</v>
      </c>
      <c r="AR4" s="13" t="s">
        <v>347</v>
      </c>
      <c r="AS4" s="13" t="s">
        <v>73</v>
      </c>
      <c r="AT4" s="13" t="s">
        <v>74</v>
      </c>
      <c r="AU4" s="13" t="s">
        <v>75</v>
      </c>
      <c r="AV4" s="30" t="str">
        <f t="shared" si="3" ref="AV4:BK4">IF(ISERROR(FIND("_%",AV$1,1)),SUBSTITUTE(AV$1,"Cal_",""),"- As % of Basic Salary")</f>
        <v>- As % of Basic Salary</v>
      </c>
      <c r="AW4" s="13" t="s">
        <v>76</v>
      </c>
      <c r="AX4" s="13" t="s">
        <v>373</v>
      </c>
      <c r="AY4" s="13" t="s">
        <v>261</v>
      </c>
      <c r="AZ4" s="13" t="s">
        <v>262</v>
      </c>
      <c r="BA4" s="13" t="s">
        <v>79</v>
      </c>
      <c r="BB4" s="30" t="str">
        <f t="shared" si="3"/>
        <v>- As % of Basic Salary</v>
      </c>
      <c r="BC4" s="13" t="s">
        <v>80</v>
      </c>
      <c r="BD4" s="13" t="s">
        <v>376</v>
      </c>
      <c r="BE4" s="13" t="s">
        <v>437</v>
      </c>
      <c r="BF4" s="13" t="s">
        <v>77</v>
      </c>
      <c r="BG4" s="13" t="s">
        <v>117</v>
      </c>
      <c r="BH4" s="13" t="s">
        <v>78</v>
      </c>
      <c r="BI4" s="13" t="s">
        <v>116</v>
      </c>
      <c r="BJ4" s="13" t="str">
        <f t="shared" si="3"/>
        <v>Age</v>
      </c>
      <c r="BK4" s="13" t="str">
        <f t="shared" si="3"/>
        <v>Year of Service</v>
      </c>
    </row>
    <row r="5" spans="1:63" ht="13.2">
      <c r="A5" s="3" t="s">
        <v>3</v>
      </c>
      <c r="B5" s="79">
        <f>IF(ISNUMBER(VALUE(SUBSTITUTE(A5,"P",""))),VALUE(SUBSTITUTE(A5,"P",""))/100+IF(AND(OR($C$12=5,$C$12=9,$C$12=11),NOT(OR(A5="P50",A5="P75"))),0.001,0),"")</f>
        <v>0.10</v>
      </c>
      <c r="C5" s="14">
        <f ca="1" t="shared" si="4" ref="C5:C11">IF(C$12&gt;0,IF($B5="",AVERAGE(INDIRECT(C$3)),PERCENTILE(INDIRECT(C$3),$B5)),0)</f>
        <v>72965.50</v>
      </c>
      <c r="D5" s="78">
        <f ca="1">IF(D$12&gt;0,IF($B5="",AVERAGE(INDIRECT(D$3)),PERCENTILE(INDIRECT(D$3),ROUND($B5,2))),0)</f>
        <v>12</v>
      </c>
      <c r="E5" s="14">
        <f ca="1" t="shared" si="5" ref="E5:AI5">IF(E$12&gt;0,IF($B5="",AVERAGE(INDIRECT(E$3)),PERCENTILE(INDIRECT(E$3),$B5)),0)</f>
        <v>948551.50</v>
      </c>
      <c r="F5" s="14">
        <f ca="1" t="shared" si="5"/>
        <v>84744</v>
      </c>
      <c r="G5" s="14">
        <f ca="1" t="shared" si="5"/>
        <v>948551.50</v>
      </c>
      <c r="H5" s="14">
        <f ca="1" t="shared" si="5"/>
        <v>0</v>
      </c>
      <c r="I5" s="14">
        <f ca="1" t="shared" si="5"/>
        <v>0</v>
      </c>
      <c r="J5" s="14">
        <f ca="1" t="shared" si="5"/>
        <v>655019</v>
      </c>
      <c r="K5" s="14">
        <f ca="1" t="shared" si="5"/>
        <v>0.70561361766343089</v>
      </c>
      <c r="L5" s="14">
        <f ca="1" t="shared" si="5"/>
        <v>401206</v>
      </c>
      <c r="M5" s="14">
        <f ca="1" t="shared" si="5"/>
        <v>0.40237288135593308</v>
      </c>
      <c r="N5" s="14">
        <f ca="1" t="shared" si="5"/>
        <v>855622</v>
      </c>
      <c r="O5" s="14">
        <f ca="1" t="shared" si="5"/>
        <v>0.90680005834139665</v>
      </c>
      <c r="P5" s="14">
        <f ca="1" t="shared" si="5"/>
        <v>1804173.50</v>
      </c>
      <c r="Q5" s="14">
        <f ca="1" t="shared" si="5"/>
        <v>1804173.50</v>
      </c>
      <c r="R5" s="14">
        <f ca="1" t="shared" si="5"/>
        <v>0</v>
      </c>
      <c r="S5" s="14">
        <f ca="1" t="shared" si="5"/>
        <v>0</v>
      </c>
      <c r="T5" s="14">
        <f ca="1" t="shared" si="5"/>
        <v>330059.50</v>
      </c>
      <c r="U5" s="14">
        <f ca="1" t="shared" si="5"/>
        <v>0.29761015683345782</v>
      </c>
      <c r="V5" s="14">
        <f ca="1" t="shared" si="5"/>
        <v>0</v>
      </c>
      <c r="W5" s="14">
        <f ca="1" t="shared" si="5"/>
        <v>0</v>
      </c>
      <c r="X5" s="14">
        <f ca="1" t="shared" si="5"/>
        <v>330059.50</v>
      </c>
      <c r="Y5" s="14">
        <f ca="1" t="shared" si="5"/>
        <v>0.29761015683345782</v>
      </c>
      <c r="Z5" s="14">
        <f ca="1" t="shared" si="5"/>
        <v>1461678.50</v>
      </c>
      <c r="AA5" s="14">
        <f ca="1" t="shared" si="5"/>
        <v>1409838.50</v>
      </c>
      <c r="AB5" s="14">
        <f ca="1" t="shared" si="5"/>
        <v>360413.17804800003</v>
      </c>
      <c r="AC5" s="14">
        <f ca="1" t="shared" si="5"/>
        <v>0.34117689461126255</v>
      </c>
      <c r="AD5" s="14">
        <f ca="1" t="shared" si="5"/>
        <v>0</v>
      </c>
      <c r="AE5" s="14">
        <f ca="1" t="shared" si="5"/>
        <v>0</v>
      </c>
      <c r="AF5" s="14">
        <f ca="1" t="shared" si="5"/>
        <v>331940.0726400002</v>
      </c>
      <c r="AG5" s="14">
        <f ca="1" t="shared" si="5"/>
        <v>0.31967646279660394</v>
      </c>
      <c r="AH5" s="14">
        <f ca="1" t="shared" si="5"/>
        <v>892544</v>
      </c>
      <c r="AI5" s="14">
        <f ca="1" t="shared" si="5"/>
        <v>0.89513990572660618</v>
      </c>
      <c r="AJ5" s="14">
        <f ca="1" t="shared" si="6" ref="AJ5:BK5">IF(AJ$12&gt;0,IF($B5="",AVERAGE(INDIRECT(AJ$3)),PERCENTILE(INDIRECT(AJ$3),$B5)),0)</f>
        <v>639000.30000000005</v>
      </c>
      <c r="AK5" s="14">
        <f ca="1" t="shared" si="6"/>
        <v>0.57227512735944064</v>
      </c>
      <c r="AL5" s="14">
        <f ca="1" t="shared" si="6"/>
        <v>613474.6442944</v>
      </c>
      <c r="AM5" s="14">
        <f ca="1" t="shared" si="6"/>
        <v>0.54384705757360541</v>
      </c>
      <c r="AN5" s="14">
        <f ca="1" t="shared" si="6"/>
        <v>2820566.1363240001</v>
      </c>
      <c r="AO5" s="14">
        <f ca="1" t="shared" si="6"/>
        <v>2369029.2488240022</v>
      </c>
      <c r="AP5" s="14">
        <f ca="1" t="shared" si="6"/>
        <v>50803.199999999997</v>
      </c>
      <c r="AQ5" s="14">
        <f ca="1" t="shared" si="6"/>
        <v>19795.000000000004</v>
      </c>
      <c r="AR5" s="14">
        <f ca="1" t="shared" si="6"/>
        <v>216000</v>
      </c>
      <c r="AS5" s="14">
        <f ca="1" t="shared" si="6"/>
        <v>2115.60</v>
      </c>
      <c r="AT5" s="14">
        <f ca="1" t="shared" si="6"/>
        <v>0</v>
      </c>
      <c r="AU5" s="14">
        <f ca="1" t="shared" si="6"/>
        <v>32840.40</v>
      </c>
      <c r="AV5" s="14">
        <f ca="1" t="shared" si="6"/>
        <v>0.02561924742156629</v>
      </c>
      <c r="AW5" s="14">
        <f ca="1" t="shared" si="6"/>
        <v>2853553.6363240001</v>
      </c>
      <c r="AX5" s="14">
        <f ca="1" t="shared" si="6"/>
        <v>2377754.2488240022</v>
      </c>
      <c r="AY5" s="14">
        <f ca="1" t="shared" si="6"/>
        <v>6395.50</v>
      </c>
      <c r="AZ5" s="14">
        <f ca="1" t="shared" si="6"/>
        <v>0</v>
      </c>
      <c r="BA5" s="14">
        <f ca="1" t="shared" si="6"/>
        <v>6395.50</v>
      </c>
      <c r="BB5" s="14">
        <f ca="1" t="shared" si="6"/>
        <v>0.0053461605878909399</v>
      </c>
      <c r="BC5" s="14">
        <f ca="1" t="shared" si="6"/>
        <v>2867153.6363240001</v>
      </c>
      <c r="BD5" s="14">
        <f ca="1" t="shared" si="6"/>
        <v>2387425.7488240022</v>
      </c>
      <c r="BE5" s="14">
        <f ca="1" t="shared" si="6"/>
        <v>74387.50</v>
      </c>
      <c r="BF5" s="14">
        <f ca="1" t="shared" si="6"/>
        <v>1052580.07</v>
      </c>
      <c r="BG5" s="14">
        <f ca="1" t="shared" si="6"/>
        <v>1066180.07</v>
      </c>
      <c r="BH5" s="14">
        <f ca="1" t="shared" si="6"/>
        <v>1972113</v>
      </c>
      <c r="BI5" s="14">
        <f ca="1" t="shared" si="6"/>
        <v>1985713</v>
      </c>
      <c r="BJ5" s="14">
        <f ca="1" t="shared" si="6"/>
        <v>60</v>
      </c>
      <c r="BK5" s="14">
        <f ca="1" t="shared" si="6"/>
        <v>8</v>
      </c>
    </row>
    <row r="6" spans="1:63" ht="13.2">
      <c r="A6" s="3" t="s">
        <v>4</v>
      </c>
      <c r="B6" s="79">
        <f t="shared" si="7" ref="B6:B11">IF(ISNUMBER(VALUE(SUBSTITUTE(A6,"P",""))),VALUE(SUBSTITUTE(A6,"P",""))/100+IF(AND(OR($C$12=5,$C$12=9,$C$12=11),NOT(OR(A6="P50",A6="P75"))),0.001,0),"")</f>
        <v>0.25</v>
      </c>
      <c r="C6" s="14">
        <f ca="1" t="shared" si="4"/>
        <v>79532.961249999978</v>
      </c>
      <c r="D6" s="78">
        <f ca="1">IF(D$12&gt;0,IF($B6="",AVERAGE(INDIRECT(D$3)),PERCENTILE(INDIRECT(D$3),ROUND($B6,2))),0)</f>
        <v>12.25</v>
      </c>
      <c r="E6" s="14">
        <f ca="1" t="shared" si="8" ref="E6:Q6">IF(E$12&gt;0,IF($B6="",AVERAGE(INDIRECT(E$3)),PERCENTILE(INDIRECT(E$3),$B6)),0)</f>
        <v>1011920.535</v>
      </c>
      <c r="F6" s="14">
        <f ca="1" t="shared" si="8"/>
        <v>87660</v>
      </c>
      <c r="G6" s="14">
        <f ca="1" t="shared" si="8"/>
        <v>1032620.535</v>
      </c>
      <c r="H6" s="14">
        <f ca="1" t="shared" si="8"/>
        <v>0</v>
      </c>
      <c r="I6" s="14">
        <f ca="1" t="shared" si="8"/>
        <v>0</v>
      </c>
      <c r="J6" s="14">
        <f ca="1" t="shared" si="8"/>
        <v>970090.49625000043</v>
      </c>
      <c r="K6" s="14">
        <f ca="1" t="shared" si="8"/>
        <v>1.010708575161156</v>
      </c>
      <c r="L6" s="14">
        <f ca="1" t="shared" si="8"/>
        <v>401206</v>
      </c>
      <c r="M6" s="14">
        <f ca="1" t="shared" si="8"/>
        <v>0.40237288135593308</v>
      </c>
      <c r="N6" s="14">
        <f ca="1" t="shared" si="8"/>
        <v>970090.49625000043</v>
      </c>
      <c r="O6" s="14">
        <f ca="1" t="shared" si="8"/>
        <v>1.010708575161156</v>
      </c>
      <c r="P6" s="14">
        <f ca="1" t="shared" si="8"/>
        <v>1936144.0312499998</v>
      </c>
      <c r="Q6" s="14">
        <f ca="1" t="shared" si="8"/>
        <v>1915444.0312499998</v>
      </c>
      <c r="R6" s="14">
        <f ca="1" t="shared" si="9" ref="R6:AA11">IF(R$12&gt;0,IF($B6="",AVERAGE(INDIRECT(R$3)),PERCENTILE(INDIRECT(R$3),$B6)),0)</f>
        <v>0</v>
      </c>
      <c r="S6" s="14">
        <f ca="1" t="shared" si="9"/>
        <v>0</v>
      </c>
      <c r="T6" s="14">
        <f ca="1" t="shared" si="9"/>
        <v>509473.55249999999</v>
      </c>
      <c r="U6" s="14">
        <f ca="1" t="shared" si="9"/>
        <v>0.45193785213781584</v>
      </c>
      <c r="V6" s="14">
        <f ca="1" t="shared" si="9"/>
        <v>0</v>
      </c>
      <c r="W6" s="14">
        <f ca="1" t="shared" si="9"/>
        <v>0</v>
      </c>
      <c r="X6" s="14">
        <f ca="1" t="shared" si="9"/>
        <v>509473.55249999999</v>
      </c>
      <c r="Y6" s="14">
        <f ca="1" t="shared" si="9"/>
        <v>0.45193785213781584</v>
      </c>
      <c r="Z6" s="14">
        <f ca="1" t="shared" si="9"/>
        <v>1743872.5875000001</v>
      </c>
      <c r="AA6" s="14">
        <f ca="1" t="shared" si="9"/>
        <v>1645412.5875000001</v>
      </c>
      <c r="AB6" s="14">
        <f ca="1" t="shared" si="10" ref="AB6:AK11">IF(AB$12&gt;0,IF($B6="",AVERAGE(INDIRECT(AB$3)),PERCENTILE(INDIRECT(AB$3),$B6)),0)</f>
        <v>360413.17804800003</v>
      </c>
      <c r="AC6" s="14">
        <f ca="1" t="shared" si="10"/>
        <v>0.34117689461126255</v>
      </c>
      <c r="AD6" s="14">
        <f ca="1" t="shared" si="10"/>
        <v>0</v>
      </c>
      <c r="AE6" s="14">
        <f ca="1" t="shared" si="10"/>
        <v>0</v>
      </c>
      <c r="AF6" s="14">
        <f ca="1" t="shared" si="10"/>
        <v>438096.72719999996</v>
      </c>
      <c r="AG6" s="14">
        <f ca="1" t="shared" si="10"/>
        <v>0.42834670632709376</v>
      </c>
      <c r="AH6" s="14">
        <f ca="1" t="shared" si="10"/>
        <v>892544</v>
      </c>
      <c r="AI6" s="14">
        <f ca="1" t="shared" si="10"/>
        <v>0.89513990572660618</v>
      </c>
      <c r="AJ6" s="14">
        <f ca="1" t="shared" si="10"/>
        <v>682500.75</v>
      </c>
      <c r="AK6" s="14">
        <f ca="1" t="shared" si="10"/>
        <v>0.64356260613286587</v>
      </c>
      <c r="AL6" s="14">
        <f ca="1" t="shared" si="11" ref="AL6:AV11">IF(AL$12&gt;0,IF($B6="",AVERAGE(INDIRECT(AL$3)),PERCENTILE(INDIRECT(AL$3),$B6)),0)</f>
        <v>618686.610736</v>
      </c>
      <c r="AM6" s="14">
        <f ca="1" t="shared" si="11"/>
        <v>0.5724924316682779</v>
      </c>
      <c r="AN6" s="14">
        <f ca="1" t="shared" si="11"/>
        <v>2977944.8794859964</v>
      </c>
      <c r="AO6" s="14">
        <f ca="1" t="shared" si="11"/>
        <v>2470165.8732360001</v>
      </c>
      <c r="AP6" s="14">
        <f ca="1" t="shared" si="11"/>
        <v>52002</v>
      </c>
      <c r="AQ6" s="14">
        <f ca="1" t="shared" si="11"/>
        <v>26912.50</v>
      </c>
      <c r="AR6" s="14">
        <f ca="1" t="shared" si="11"/>
        <v>216000</v>
      </c>
      <c r="AS6" s="14">
        <f ca="1" t="shared" si="11"/>
        <v>2400</v>
      </c>
      <c r="AT6" s="14">
        <f ca="1" t="shared" si="11"/>
        <v>0</v>
      </c>
      <c r="AU6" s="14">
        <f ca="1" t="shared" si="11"/>
        <v>55926</v>
      </c>
      <c r="AV6" s="14">
        <f ca="1" t="shared" si="11"/>
        <v>0.041531176006314126</v>
      </c>
      <c r="AW6" s="14">
        <f ca="1" t="shared" si="12" ref="AW6:BK11">IF(AW$12&gt;0,IF($B6="",AVERAGE(INDIRECT(AW$3)),PERCENTILE(INDIRECT(AW$3),$B6)),0)</f>
        <v>2982307.3794859964</v>
      </c>
      <c r="AX6" s="14">
        <f ca="1" t="shared" si="12"/>
        <v>2486659.6232360033</v>
      </c>
      <c r="AY6" s="14">
        <f ca="1" t="shared" si="12"/>
        <v>7654.50</v>
      </c>
      <c r="AZ6" s="14">
        <f ca="1" t="shared" si="12"/>
        <v>0</v>
      </c>
      <c r="BA6" s="14">
        <f ca="1" t="shared" si="12"/>
        <v>7654.50</v>
      </c>
      <c r="BB6" s="14">
        <f ca="1" t="shared" si="12"/>
        <v>0.0058199286287684065</v>
      </c>
      <c r="BC6" s="14">
        <f ca="1" t="shared" si="12"/>
        <v>2993943.1294860002</v>
      </c>
      <c r="BD6" s="14">
        <f ca="1" t="shared" si="12"/>
        <v>2500259.6232360033</v>
      </c>
      <c r="BE6" s="14">
        <f ca="1" t="shared" si="12"/>
        <v>92382.50</v>
      </c>
      <c r="BF6" s="14">
        <f ca="1" t="shared" si="12"/>
        <v>1171137.605</v>
      </c>
      <c r="BG6" s="14">
        <f ca="1" t="shared" si="13" ref="BG6:BK10">IF(BG$12&gt;0,IF($B6="",AVERAGE(INDIRECT(BG$3)),PERCENTILE(INDIRECT(BG$3),$B6)),0)</f>
        <v>1184737.605</v>
      </c>
      <c r="BH6" s="14">
        <f ca="1" t="shared" si="13"/>
        <v>2138572.03125</v>
      </c>
      <c r="BI6" s="14">
        <f ca="1" t="shared" si="13"/>
        <v>2152172.03125</v>
      </c>
      <c r="BJ6" s="14">
        <f ca="1" t="shared" si="13"/>
        <v>61.50</v>
      </c>
      <c r="BK6" s="14">
        <f ca="1" t="shared" si="13"/>
        <v>9.75</v>
      </c>
    </row>
    <row r="7" spans="1:63" ht="13.2">
      <c r="A7" s="3" t="s">
        <v>5</v>
      </c>
      <c r="B7" s="79">
        <f t="shared" si="7"/>
        <v>0.50</v>
      </c>
      <c r="C7" s="14">
        <f ca="1" t="shared" si="4"/>
        <v>89015.922499999971</v>
      </c>
      <c r="D7" s="78">
        <f ca="1" t="shared" si="14" ref="D7:D11">IF(D$12&gt;0,IF($B7="",AVERAGE(INDIRECT(D$3)),PERCENTILE(INDIRECT(D$3),ROUND($B7,2))),0)</f>
        <v>13</v>
      </c>
      <c r="E7" s="14">
        <f ca="1" t="shared" si="15" ref="E7:Q11">IF(E$12&gt;0,IF($B7="",AVERAGE(INDIRECT(E$3)),PERCENTILE(INDIRECT(E$3),$B7)),0)</f>
        <v>1109420.07</v>
      </c>
      <c r="F7" s="14">
        <f ca="1" t="shared" si="15"/>
        <v>89280</v>
      </c>
      <c r="G7" s="14">
        <f ca="1" t="shared" si="15"/>
        <v>1199231.07</v>
      </c>
      <c r="H7" s="14">
        <f ca="1" t="shared" si="15"/>
        <v>0</v>
      </c>
      <c r="I7" s="14">
        <f ca="1" t="shared" si="15"/>
        <v>0</v>
      </c>
      <c r="J7" s="14">
        <f ca="1" t="shared" si="15"/>
        <v>1196312.3425000017</v>
      </c>
      <c r="K7" s="14">
        <f ca="1" t="shared" si="15"/>
        <v>1.0801034931197147</v>
      </c>
      <c r="L7" s="14">
        <f ca="1" t="shared" si="15"/>
        <v>401206</v>
      </c>
      <c r="M7" s="14">
        <f ca="1" t="shared" si="15"/>
        <v>0.40237288135593308</v>
      </c>
      <c r="N7" s="14">
        <f ca="1" t="shared" si="15"/>
        <v>1196312.3425000017</v>
      </c>
      <c r="O7" s="14">
        <f ca="1" t="shared" si="15"/>
        <v>1.0801034931197147</v>
      </c>
      <c r="P7" s="14">
        <f ca="1" t="shared" si="15"/>
        <v>2398972.4124999959</v>
      </c>
      <c r="Q7" s="14">
        <f ca="1" t="shared" si="15"/>
        <v>2305732.4124999959</v>
      </c>
      <c r="R7" s="14">
        <f ca="1" t="shared" si="9"/>
        <v>0</v>
      </c>
      <c r="S7" s="14">
        <f ca="1" t="shared" si="9"/>
        <v>0</v>
      </c>
      <c r="T7" s="14">
        <f ca="1" t="shared" si="9"/>
        <v>766395.10499999882</v>
      </c>
      <c r="U7" s="14">
        <f ca="1" t="shared" si="9"/>
        <v>0.79950677223679656</v>
      </c>
      <c r="V7" s="14">
        <f ca="1" t="shared" si="9"/>
        <v>0</v>
      </c>
      <c r="W7" s="14">
        <f ca="1" t="shared" si="9"/>
        <v>0</v>
      </c>
      <c r="X7" s="14">
        <f ca="1" t="shared" si="9"/>
        <v>766395.10499999882</v>
      </c>
      <c r="Y7" s="14">
        <f ca="1" t="shared" si="9"/>
        <v>0.79950677223679656</v>
      </c>
      <c r="Z7" s="14">
        <f ca="1" t="shared" si="9"/>
        <v>1785987.675</v>
      </c>
      <c r="AA7" s="14">
        <f ca="1" t="shared" si="9"/>
        <v>1744587.675</v>
      </c>
      <c r="AB7" s="14">
        <f ca="1" t="shared" si="10"/>
        <v>360413.17804800003</v>
      </c>
      <c r="AC7" s="14">
        <f ca="1" t="shared" si="10"/>
        <v>0.34117689461126255</v>
      </c>
      <c r="AD7" s="14">
        <f ca="1" t="shared" si="10"/>
        <v>0</v>
      </c>
      <c r="AE7" s="14">
        <f ca="1" t="shared" si="10"/>
        <v>0</v>
      </c>
      <c r="AF7" s="14">
        <f ca="1" t="shared" si="10"/>
        <v>615024.48479999881</v>
      </c>
      <c r="AG7" s="14">
        <f ca="1" t="shared" si="10"/>
        <v>0.60946377887790704</v>
      </c>
      <c r="AH7" s="14">
        <f ca="1" t="shared" si="10"/>
        <v>892544</v>
      </c>
      <c r="AI7" s="14">
        <f ca="1" t="shared" si="10"/>
        <v>0.89513990572660618</v>
      </c>
      <c r="AJ7" s="14">
        <f ca="1" t="shared" si="10"/>
        <v>755001.50</v>
      </c>
      <c r="AK7" s="14">
        <f ca="1" t="shared" si="10"/>
        <v>0.76237507075524447</v>
      </c>
      <c r="AL7" s="14">
        <f ca="1" t="shared" si="11"/>
        <v>760792.57382400043</v>
      </c>
      <c r="AM7" s="14">
        <f ca="1" t="shared" si="11"/>
        <v>0.79420326419376885</v>
      </c>
      <c r="AN7" s="14">
        <f ca="1" t="shared" si="11"/>
        <v>3298840.35</v>
      </c>
      <c r="AO7" s="14">
        <f ca="1" t="shared" si="11"/>
        <v>2875141.50</v>
      </c>
      <c r="AP7" s="14">
        <f ca="1" t="shared" si="11"/>
        <v>54000</v>
      </c>
      <c r="AQ7" s="14">
        <f ca="1" t="shared" si="11"/>
        <v>38775</v>
      </c>
      <c r="AR7" s="14">
        <f ca="1" t="shared" si="11"/>
        <v>216000</v>
      </c>
      <c r="AS7" s="14">
        <f ca="1" t="shared" si="11"/>
        <v>2406</v>
      </c>
      <c r="AT7" s="14">
        <f ca="1" t="shared" si="11"/>
        <v>0</v>
      </c>
      <c r="AU7" s="14">
        <f ca="1" t="shared" si="11"/>
        <v>65975</v>
      </c>
      <c r="AV7" s="14">
        <f ca="1" t="shared" si="11"/>
        <v>0.047800000000000002</v>
      </c>
      <c r="AW7" s="14">
        <f ca="1" t="shared" si="12"/>
        <v>3335528.35</v>
      </c>
      <c r="AX7" s="14">
        <f ca="1" t="shared" si="12"/>
        <v>3043081</v>
      </c>
      <c r="AY7" s="14">
        <f ca="1" t="shared" si="12"/>
        <v>11537</v>
      </c>
      <c r="AZ7" s="14">
        <f ca="1" t="shared" si="12"/>
        <v>0</v>
      </c>
      <c r="BA7" s="14">
        <f ca="1" t="shared" si="12"/>
        <v>11537</v>
      </c>
      <c r="BB7" s="14">
        <f ca="1" t="shared" si="12"/>
        <v>0.0094490303386341647</v>
      </c>
      <c r="BC7" s="14">
        <f ca="1" t="shared" si="12"/>
        <v>3341923.85</v>
      </c>
      <c r="BD7" s="14">
        <f ca="1" t="shared" si="12"/>
        <v>3056681</v>
      </c>
      <c r="BE7" s="14">
        <f ca="1" t="shared" si="12"/>
        <v>133168</v>
      </c>
      <c r="BF7" s="14">
        <f ca="1" t="shared" si="12"/>
        <v>1275296</v>
      </c>
      <c r="BG7" s="14">
        <f ca="1" t="shared" si="13"/>
        <v>1284967.50</v>
      </c>
      <c r="BH7" s="14">
        <f ca="1" t="shared" si="13"/>
        <v>2407697.4124999959</v>
      </c>
      <c r="BI7" s="14">
        <f ca="1" t="shared" si="13"/>
        <v>2417368.9124999959</v>
      </c>
      <c r="BJ7" s="14">
        <f ca="1" t="shared" si="13"/>
        <v>63</v>
      </c>
      <c r="BK7" s="14">
        <f ca="1" t="shared" si="13"/>
        <v>12.50</v>
      </c>
    </row>
    <row r="8" spans="1:63" ht="13.2">
      <c r="A8" s="3" t="s">
        <v>6</v>
      </c>
      <c r="B8" s="79">
        <f t="shared" si="7"/>
        <v>0.60</v>
      </c>
      <c r="C8" s="14">
        <f ca="1" t="shared" si="4"/>
        <v>90000</v>
      </c>
      <c r="D8" s="78">
        <f ca="1" t="shared" si="14"/>
        <v>13</v>
      </c>
      <c r="E8" s="14">
        <f ca="1" t="shared" si="15"/>
        <v>1162458</v>
      </c>
      <c r="F8" s="14">
        <f ca="1" t="shared" si="15"/>
        <v>89280</v>
      </c>
      <c r="G8" s="14">
        <f ca="1" t="shared" si="15"/>
        <v>1259280</v>
      </c>
      <c r="H8" s="14">
        <f ca="1" t="shared" si="15"/>
        <v>0</v>
      </c>
      <c r="I8" s="14">
        <f ca="1" t="shared" si="15"/>
        <v>0</v>
      </c>
      <c r="J8" s="14">
        <f ca="1" t="shared" si="15"/>
        <v>1212262.70</v>
      </c>
      <c r="K8" s="14">
        <f ca="1" t="shared" si="15"/>
        <v>1.1173626856281378</v>
      </c>
      <c r="L8" s="14">
        <f ca="1" t="shared" si="15"/>
        <v>401206</v>
      </c>
      <c r="M8" s="14">
        <f ca="1" t="shared" si="15"/>
        <v>0.40237288135593308</v>
      </c>
      <c r="N8" s="14">
        <f ca="1" t="shared" si="15"/>
        <v>1212262.70</v>
      </c>
      <c r="O8" s="14">
        <f ca="1" t="shared" si="15"/>
        <v>1.1173626856281378</v>
      </c>
      <c r="P8" s="14">
        <f ca="1" t="shared" si="15"/>
        <v>2478400.7000000002</v>
      </c>
      <c r="Q8" s="14">
        <f ca="1" t="shared" si="15"/>
        <v>2374720.7000000002</v>
      </c>
      <c r="R8" s="14">
        <f ca="1" t="shared" si="9"/>
        <v>0</v>
      </c>
      <c r="S8" s="14">
        <f ca="1" t="shared" si="9"/>
        <v>0</v>
      </c>
      <c r="T8" s="14">
        <f ca="1" t="shared" si="9"/>
        <v>900003</v>
      </c>
      <c r="U8" s="14">
        <f ca="1" t="shared" si="9"/>
        <v>1</v>
      </c>
      <c r="V8" s="14">
        <f ca="1" t="shared" si="9"/>
        <v>0</v>
      </c>
      <c r="W8" s="14">
        <f ca="1" t="shared" si="9"/>
        <v>0</v>
      </c>
      <c r="X8" s="14">
        <f ca="1" t="shared" si="9"/>
        <v>900003</v>
      </c>
      <c r="Y8" s="14">
        <f ca="1" t="shared" si="9"/>
        <v>1</v>
      </c>
      <c r="Z8" s="14">
        <f ca="1" t="shared" si="9"/>
        <v>1800006</v>
      </c>
      <c r="AA8" s="14">
        <f ca="1" t="shared" si="9"/>
        <v>1800006</v>
      </c>
      <c r="AB8" s="14">
        <f ca="1" t="shared" si="10"/>
        <v>360413.17804800003</v>
      </c>
      <c r="AC8" s="14">
        <f ca="1" t="shared" si="10"/>
        <v>0.34117689461126255</v>
      </c>
      <c r="AD8" s="14">
        <f ca="1" t="shared" si="10"/>
        <v>0</v>
      </c>
      <c r="AE8" s="14">
        <f ca="1" t="shared" si="10"/>
        <v>0</v>
      </c>
      <c r="AF8" s="14">
        <f ca="1" t="shared" si="10"/>
        <v>685795.58783999924</v>
      </c>
      <c r="AG8" s="14">
        <f ca="1" t="shared" si="10"/>
        <v>0.68191060789823454</v>
      </c>
      <c r="AH8" s="14">
        <f ca="1" t="shared" si="10"/>
        <v>892544</v>
      </c>
      <c r="AI8" s="14">
        <f ca="1" t="shared" si="10"/>
        <v>0.89513990572660618</v>
      </c>
      <c r="AJ8" s="14">
        <f ca="1" t="shared" si="10"/>
        <v>784001.80</v>
      </c>
      <c r="AK8" s="14">
        <f ca="1" t="shared" si="10"/>
        <v>0.8099000566041975</v>
      </c>
      <c r="AL8" s="14">
        <f ca="1" t="shared" si="11"/>
        <v>844318.82952959999</v>
      </c>
      <c r="AM8" s="14">
        <f ca="1" t="shared" si="11"/>
        <v>0.91768130567750794</v>
      </c>
      <c r="AN8" s="14">
        <f ca="1" t="shared" si="11"/>
        <v>3509280</v>
      </c>
      <c r="AO8" s="14">
        <f ca="1" t="shared" si="11"/>
        <v>3050274</v>
      </c>
      <c r="AP8" s="14">
        <f ca="1" t="shared" si="11"/>
        <v>56400</v>
      </c>
      <c r="AQ8" s="14">
        <f ca="1" t="shared" si="11"/>
        <v>43520</v>
      </c>
      <c r="AR8" s="14">
        <f ca="1" t="shared" si="11"/>
        <v>216000</v>
      </c>
      <c r="AS8" s="14">
        <f ca="1" t="shared" si="11"/>
        <v>2833.60</v>
      </c>
      <c r="AT8" s="14">
        <f ca="1" t="shared" si="11"/>
        <v>0</v>
      </c>
      <c r="AU8" s="14">
        <f ca="1" t="shared" si="11"/>
        <v>66947.399999999994</v>
      </c>
      <c r="AV8" s="14">
        <f ca="1" t="shared" si="11"/>
        <v>0.058002124481807311</v>
      </c>
      <c r="AW8" s="14">
        <f ca="1" t="shared" si="12"/>
        <v>3565206</v>
      </c>
      <c r="AX8" s="14">
        <f ca="1" t="shared" si="12"/>
        <v>3320178</v>
      </c>
      <c r="AY8" s="14">
        <f ca="1" t="shared" si="12"/>
        <v>13600</v>
      </c>
      <c r="AZ8" s="14">
        <f ca="1" t="shared" si="12"/>
        <v>0</v>
      </c>
      <c r="BA8" s="14">
        <f ca="1" t="shared" si="12"/>
        <v>13600</v>
      </c>
      <c r="BB8" s="14">
        <f ca="1" t="shared" si="12"/>
        <v>0.012874129053336725</v>
      </c>
      <c r="BC8" s="14">
        <f ca="1" t="shared" si="12"/>
        <v>3572254</v>
      </c>
      <c r="BD8" s="14">
        <f ca="1" t="shared" si="12"/>
        <v>3333778</v>
      </c>
      <c r="BE8" s="14">
        <f ca="1" t="shared" si="12"/>
        <v>145206</v>
      </c>
      <c r="BF8" s="14">
        <f ca="1" t="shared" si="12"/>
        <v>1283588</v>
      </c>
      <c r="BG8" s="14">
        <f ca="1" t="shared" si="13"/>
        <v>1289331</v>
      </c>
      <c r="BH8" s="14">
        <f ca="1" t="shared" si="13"/>
        <v>2495850.7000000002</v>
      </c>
      <c r="BI8" s="14">
        <f ca="1" t="shared" si="13"/>
        <v>2501593.7000000002</v>
      </c>
      <c r="BJ8" s="14">
        <f ca="1" t="shared" si="13"/>
        <v>63</v>
      </c>
      <c r="BK8" s="14">
        <f ca="1" t="shared" si="13"/>
        <v>13</v>
      </c>
    </row>
    <row r="9" spans="1:63" ht="13.2">
      <c r="A9" s="3" t="s">
        <v>7</v>
      </c>
      <c r="B9" s="79">
        <f t="shared" si="7"/>
        <v>0.75</v>
      </c>
      <c r="C9" s="14">
        <f ca="1" t="shared" si="4"/>
        <v>95153.625000000087</v>
      </c>
      <c r="D9" s="78">
        <f ca="1" t="shared" si="14"/>
        <v>13</v>
      </c>
      <c r="E9" s="14">
        <f ca="1" t="shared" si="15"/>
        <v>1168114.50</v>
      </c>
      <c r="F9" s="14">
        <f ca="1" t="shared" si="15"/>
        <v>92880</v>
      </c>
      <c r="G9" s="14">
        <f ca="1" t="shared" si="15"/>
        <v>1264423.50</v>
      </c>
      <c r="H9" s="14">
        <f ca="1" t="shared" si="15"/>
        <v>0</v>
      </c>
      <c r="I9" s="14">
        <f ca="1" t="shared" si="15"/>
        <v>0</v>
      </c>
      <c r="J9" s="14">
        <f ca="1" t="shared" si="15"/>
        <v>1990565.675</v>
      </c>
      <c r="K9" s="14">
        <f ca="1" t="shared" si="15"/>
        <v>1.7216483637147268</v>
      </c>
      <c r="L9" s="14">
        <f ca="1" t="shared" si="15"/>
        <v>401206</v>
      </c>
      <c r="M9" s="14">
        <f ca="1" t="shared" si="15"/>
        <v>0.40237288135593308</v>
      </c>
      <c r="N9" s="14">
        <f ca="1" t="shared" si="15"/>
        <v>1990565.675</v>
      </c>
      <c r="O9" s="14">
        <f ca="1" t="shared" si="15"/>
        <v>1.7216483637147268</v>
      </c>
      <c r="P9" s="14">
        <f ca="1" t="shared" si="15"/>
        <v>3251560.1749999998</v>
      </c>
      <c r="Q9" s="14">
        <f ca="1" t="shared" si="15"/>
        <v>3158680.1749999998</v>
      </c>
      <c r="R9" s="14">
        <f ca="1" t="shared" si="9"/>
        <v>0</v>
      </c>
      <c r="S9" s="14">
        <f ca="1" t="shared" si="9"/>
        <v>0</v>
      </c>
      <c r="T9" s="14">
        <f ca="1" t="shared" si="9"/>
        <v>1912500.75</v>
      </c>
      <c r="U9" s="14">
        <f ca="1" t="shared" si="9"/>
        <v>1.6923076923076918</v>
      </c>
      <c r="V9" s="14">
        <f ca="1" t="shared" si="9"/>
        <v>0</v>
      </c>
      <c r="W9" s="14">
        <f ca="1" t="shared" si="9"/>
        <v>0</v>
      </c>
      <c r="X9" s="14">
        <f ca="1" t="shared" si="9"/>
        <v>1912500.75</v>
      </c>
      <c r="Y9" s="14">
        <f ca="1" t="shared" si="9"/>
        <v>1.6923076923076918</v>
      </c>
      <c r="Z9" s="14">
        <f ca="1" t="shared" si="9"/>
        <v>3081961.50</v>
      </c>
      <c r="AA9" s="14">
        <f ca="1" t="shared" si="9"/>
        <v>3015001.50</v>
      </c>
      <c r="AB9" s="14">
        <f ca="1" t="shared" si="10"/>
        <v>360413.17804800003</v>
      </c>
      <c r="AC9" s="14">
        <f ca="1" t="shared" si="10"/>
        <v>0.34117689461126255</v>
      </c>
      <c r="AD9" s="14">
        <f ca="1" t="shared" si="10"/>
        <v>0</v>
      </c>
      <c r="AE9" s="14">
        <f ca="1" t="shared" si="10"/>
        <v>0</v>
      </c>
      <c r="AF9" s="14">
        <f ca="1" t="shared" si="10"/>
        <v>791952.24239999894</v>
      </c>
      <c r="AG9" s="14">
        <f ca="1" t="shared" si="10"/>
        <v>0.79058085142872458</v>
      </c>
      <c r="AH9" s="14">
        <f ca="1" t="shared" si="10"/>
        <v>892544</v>
      </c>
      <c r="AI9" s="14">
        <f ca="1" t="shared" si="10"/>
        <v>0.89513990572660618</v>
      </c>
      <c r="AJ9" s="14">
        <f ca="1" t="shared" si="10"/>
        <v>827502.25</v>
      </c>
      <c r="AK9" s="14">
        <f ca="1" t="shared" si="10"/>
        <v>0.88118753537762118</v>
      </c>
      <c r="AL9" s="14">
        <f ca="1" t="shared" si="11"/>
        <v>1140358.25</v>
      </c>
      <c r="AM9" s="14">
        <f ca="1" t="shared" si="11"/>
        <v>1.2167094574265358</v>
      </c>
      <c r="AN9" s="14">
        <f ca="1" t="shared" si="11"/>
        <v>3629646</v>
      </c>
      <c r="AO9" s="14">
        <f ca="1" t="shared" si="11"/>
        <v>3394528.50</v>
      </c>
      <c r="AP9" s="14">
        <f ca="1" t="shared" si="11"/>
        <v>60000</v>
      </c>
      <c r="AQ9" s="14">
        <f ca="1" t="shared" si="11"/>
        <v>50637.50</v>
      </c>
      <c r="AR9" s="14">
        <f ca="1" t="shared" si="11"/>
        <v>216000</v>
      </c>
      <c r="AS9" s="14">
        <f ca="1" t="shared" si="11"/>
        <v>3475</v>
      </c>
      <c r="AT9" s="14">
        <f ca="1" t="shared" si="11"/>
        <v>0</v>
      </c>
      <c r="AU9" s="14">
        <f ca="1" t="shared" si="11"/>
        <v>68406</v>
      </c>
      <c r="AV9" s="14">
        <f ca="1" t="shared" si="11"/>
        <v>0.073305311204518178</v>
      </c>
      <c r="AW9" s="14">
        <f ca="1" t="shared" si="12"/>
        <v>3846055.50</v>
      </c>
      <c r="AX9" s="14">
        <f ca="1" t="shared" si="12"/>
        <v>3503949</v>
      </c>
      <c r="AY9" s="14">
        <f ca="1" t="shared" si="12"/>
        <v>13600</v>
      </c>
      <c r="AZ9" s="14">
        <f ca="1" t="shared" si="12"/>
        <v>0</v>
      </c>
      <c r="BA9" s="14">
        <f ca="1" t="shared" si="12"/>
        <v>13600</v>
      </c>
      <c r="BB9" s="14">
        <f ca="1" t="shared" si="12"/>
        <v>0.013448198294825488</v>
      </c>
      <c r="BC9" s="14">
        <f ca="1" t="shared" si="12"/>
        <v>3858017.50</v>
      </c>
      <c r="BD9" s="14">
        <f ca="1" t="shared" si="12"/>
        <v>3512635</v>
      </c>
      <c r="BE9" s="14">
        <f ca="1" t="shared" si="12"/>
        <v>154566</v>
      </c>
      <c r="BF9" s="14">
        <f ca="1" t="shared" si="12"/>
        <v>1307301.50</v>
      </c>
      <c r="BG9" s="14">
        <f ca="1" t="shared" si="13"/>
        <v>1314023.25</v>
      </c>
      <c r="BH9" s="14">
        <f ca="1" t="shared" si="13"/>
        <v>3297867.1749999998</v>
      </c>
      <c r="BI9" s="14">
        <f ca="1" t="shared" si="13"/>
        <v>3304588.9249999998</v>
      </c>
      <c r="BJ9" s="14">
        <f ca="1" t="shared" si="13"/>
        <v>63.75</v>
      </c>
      <c r="BK9" s="14">
        <f ca="1" t="shared" si="13"/>
        <v>24.25</v>
      </c>
    </row>
    <row r="10" spans="1:63" ht="13.2">
      <c r="A10" s="3" t="s">
        <v>8</v>
      </c>
      <c r="B10" s="79">
        <f t="shared" si="7"/>
        <v>0.90</v>
      </c>
      <c r="C10" s="14">
        <f ca="1" t="shared" si="4"/>
        <v>111785.75</v>
      </c>
      <c r="D10" s="78">
        <f ca="1" t="shared" si="14"/>
        <v>13</v>
      </c>
      <c r="E10" s="14">
        <f ca="1" t="shared" si="15"/>
        <v>1408550</v>
      </c>
      <c r="F10" s="14">
        <f ca="1" t="shared" si="15"/>
        <v>99360</v>
      </c>
      <c r="G10" s="14">
        <f ca="1" t="shared" si="15"/>
        <v>1501259</v>
      </c>
      <c r="H10" s="14">
        <f ca="1" t="shared" si="15"/>
        <v>0</v>
      </c>
      <c r="I10" s="14">
        <f ca="1" t="shared" si="15"/>
        <v>0</v>
      </c>
      <c r="J10" s="14">
        <f ca="1" t="shared" si="15"/>
        <v>2725000</v>
      </c>
      <c r="K10" s="14">
        <f ca="1" t="shared" si="15"/>
        <v>1.9329427478598735</v>
      </c>
      <c r="L10" s="14">
        <f ca="1" t="shared" si="15"/>
        <v>401206</v>
      </c>
      <c r="M10" s="14">
        <f ca="1" t="shared" si="15"/>
        <v>0.40237288135593308</v>
      </c>
      <c r="N10" s="14">
        <f ca="1" t="shared" si="15"/>
        <v>2725000</v>
      </c>
      <c r="O10" s="14">
        <f ca="1" t="shared" si="15"/>
        <v>1.9329427478598735</v>
      </c>
      <c r="P10" s="14">
        <f ca="1" t="shared" si="15"/>
        <v>4222830</v>
      </c>
      <c r="Q10" s="14">
        <f ca="1" t="shared" si="15"/>
        <v>4133550</v>
      </c>
      <c r="R10" s="14">
        <f ca="1" t="shared" si="9"/>
        <v>0</v>
      </c>
      <c r="S10" s="14">
        <f ca="1" t="shared" si="9"/>
        <v>0</v>
      </c>
      <c r="T10" s="14">
        <f ca="1" t="shared" si="9"/>
        <v>2725000</v>
      </c>
      <c r="U10" s="14">
        <f ca="1" t="shared" si="9"/>
        <v>1.9329427478598735</v>
      </c>
      <c r="V10" s="14">
        <f ca="1" t="shared" si="9"/>
        <v>0</v>
      </c>
      <c r="W10" s="14">
        <f ca="1" t="shared" si="9"/>
        <v>0</v>
      </c>
      <c r="X10" s="14">
        <f ca="1" t="shared" si="9"/>
        <v>2725000</v>
      </c>
      <c r="Y10" s="14">
        <f ca="1" t="shared" si="9"/>
        <v>1.9329427478598735</v>
      </c>
      <c r="Z10" s="14">
        <f ca="1" t="shared" si="9"/>
        <v>4222830</v>
      </c>
      <c r="AA10" s="14">
        <f ca="1" t="shared" si="9"/>
        <v>4133550</v>
      </c>
      <c r="AB10" s="14">
        <f ca="1" t="shared" si="10"/>
        <v>360413.17804800003</v>
      </c>
      <c r="AC10" s="14">
        <f ca="1" t="shared" si="10"/>
        <v>0.34117689461126255</v>
      </c>
      <c r="AD10" s="14">
        <f ca="1" t="shared" si="10"/>
        <v>0</v>
      </c>
      <c r="AE10" s="14">
        <f ca="1" t="shared" si="10"/>
        <v>0</v>
      </c>
      <c r="AF10" s="14">
        <f ca="1" t="shared" si="10"/>
        <v>898108.89695999993</v>
      </c>
      <c r="AG10" s="14">
        <f ca="1" t="shared" si="10"/>
        <v>0.89925109495921429</v>
      </c>
      <c r="AH10" s="14">
        <f ca="1" t="shared" si="10"/>
        <v>892544</v>
      </c>
      <c r="AI10" s="14">
        <f ca="1" t="shared" si="10"/>
        <v>0.89513990572660618</v>
      </c>
      <c r="AJ10" s="14">
        <f ca="1" t="shared" si="10"/>
        <v>871002.70</v>
      </c>
      <c r="AK10" s="14">
        <f ca="1" t="shared" si="10"/>
        <v>0.95247501415104885</v>
      </c>
      <c r="AL10" s="14">
        <f ca="1" t="shared" si="11"/>
        <v>1572997.7000000002</v>
      </c>
      <c r="AM10" s="14">
        <f ca="1" t="shared" si="11"/>
        <v>1.6067864807943035</v>
      </c>
      <c r="AN10" s="14">
        <f ca="1" t="shared" si="11"/>
        <v>4303074</v>
      </c>
      <c r="AO10" s="14">
        <f ca="1" t="shared" si="11"/>
        <v>4222830</v>
      </c>
      <c r="AP10" s="14">
        <f ca="1" t="shared" si="11"/>
        <v>63600</v>
      </c>
      <c r="AQ10" s="14">
        <f ca="1" t="shared" si="11"/>
        <v>57754.999999999993</v>
      </c>
      <c r="AR10" s="14">
        <f ca="1" t="shared" si="11"/>
        <v>216000</v>
      </c>
      <c r="AS10" s="14">
        <f ca="1" t="shared" si="11"/>
        <v>3730</v>
      </c>
      <c r="AT10" s="14">
        <f ca="1" t="shared" si="11"/>
        <v>0</v>
      </c>
      <c r="AU10" s="14">
        <f ca="1" t="shared" si="11"/>
        <v>189304.79999999993</v>
      </c>
      <c r="AV10" s="14">
        <f ca="1" t="shared" si="11"/>
        <v>0.19173552333849159</v>
      </c>
      <c r="AW10" s="14">
        <f ca="1" t="shared" si="12"/>
        <v>4472229</v>
      </c>
      <c r="AX10" s="14">
        <f ca="1" t="shared" si="12"/>
        <v>4284996</v>
      </c>
      <c r="AY10" s="14">
        <f ca="1" t="shared" si="12"/>
        <v>13600</v>
      </c>
      <c r="AZ10" s="14">
        <f ca="1" t="shared" si="12"/>
        <v>0</v>
      </c>
      <c r="BA10" s="14">
        <f ca="1" t="shared" si="12"/>
        <v>13600</v>
      </c>
      <c r="BB10" s="14">
        <f ca="1" t="shared" si="12"/>
        <v>0.01437530772478187</v>
      </c>
      <c r="BC10" s="14">
        <f ca="1" t="shared" si="12"/>
        <v>4483766</v>
      </c>
      <c r="BD10" s="14">
        <f ca="1" t="shared" si="12"/>
        <v>4293257</v>
      </c>
      <c r="BE10" s="14">
        <f ca="1" t="shared" si="12"/>
        <v>213795</v>
      </c>
      <c r="BF10" s="14">
        <f ca="1" t="shared" si="12"/>
        <v>1559996</v>
      </c>
      <c r="BG10" s="14">
        <f ca="1" t="shared" si="13"/>
        <v>1568257</v>
      </c>
      <c r="BH10" s="14">
        <f ca="1" t="shared" si="12"/>
        <v>4284996</v>
      </c>
      <c r="BI10" s="14">
        <f ca="1" t="shared" si="12"/>
        <v>4293257</v>
      </c>
      <c r="BJ10" s="14">
        <f ca="1" t="shared" si="12"/>
        <v>64</v>
      </c>
      <c r="BK10" s="14">
        <f ca="1" t="shared" si="12"/>
        <v>32.50</v>
      </c>
    </row>
    <row r="11" spans="1:63" ht="13.2">
      <c r="A11" s="3" t="s">
        <v>9</v>
      </c>
      <c r="B11" s="79" t="str">
        <f t="shared" si="7"/>
        <v/>
      </c>
      <c r="C11" s="14">
        <f ca="1" t="shared" si="4"/>
        <v>91255.724166666667</v>
      </c>
      <c r="D11" s="78">
        <f ca="1" t="shared" si="14"/>
        <v>12.66666666666668</v>
      </c>
      <c r="E11" s="14">
        <f ca="1" t="shared" si="15"/>
        <v>1155507.1900000011</v>
      </c>
      <c r="F11" s="14">
        <f ca="1" t="shared" si="15"/>
        <v>91260</v>
      </c>
      <c r="G11" s="14">
        <f ca="1" t="shared" si="15"/>
        <v>1216347.1900000011</v>
      </c>
      <c r="H11" s="14">
        <f ca="1" t="shared" si="15"/>
        <v>0</v>
      </c>
      <c r="I11" s="14">
        <f ca="1" t="shared" si="15"/>
        <v>0</v>
      </c>
      <c r="J11" s="14">
        <f ca="1" t="shared" si="15"/>
        <v>1525443.7808333335</v>
      </c>
      <c r="K11" s="14">
        <f ca="1" t="shared" si="15"/>
        <v>1.2395532862143384</v>
      </c>
      <c r="L11" s="14">
        <f ca="1" t="shared" si="15"/>
        <v>401206</v>
      </c>
      <c r="M11" s="14">
        <f ca="1" t="shared" si="15"/>
        <v>0.40237288135593308</v>
      </c>
      <c r="N11" s="14">
        <f ca="1" t="shared" si="15"/>
        <v>1592311.4475</v>
      </c>
      <c r="O11" s="14">
        <f ca="1" t="shared" si="15"/>
        <v>1.3066154331069961</v>
      </c>
      <c r="P11" s="14">
        <f ca="1" t="shared" si="15"/>
        <v>2808658.6374999997</v>
      </c>
      <c r="Q11" s="14">
        <f ca="1" t="shared" si="15"/>
        <v>2747818.6374999997</v>
      </c>
      <c r="R11" s="14">
        <f ca="1" t="shared" si="9"/>
        <v>0</v>
      </c>
      <c r="S11" s="14">
        <f ca="1" t="shared" si="9"/>
        <v>0</v>
      </c>
      <c r="T11" s="14">
        <f ca="1" t="shared" si="9"/>
        <v>1273818.2016666667</v>
      </c>
      <c r="U11" s="14">
        <f ca="1" t="shared" si="9"/>
        <v>1.0100198923100432</v>
      </c>
      <c r="V11" s="14">
        <f ca="1" t="shared" si="9"/>
        <v>0</v>
      </c>
      <c r="W11" s="14">
        <f ca="1" t="shared" si="9"/>
        <v>0</v>
      </c>
      <c r="X11" s="14">
        <f ca="1" t="shared" si="9"/>
        <v>1273818.2016666667</v>
      </c>
      <c r="Y11" s="14">
        <f ca="1" t="shared" si="9"/>
        <v>1.0100198923100432</v>
      </c>
      <c r="Z11" s="14">
        <f ca="1" t="shared" si="9"/>
        <v>2490165.3916666657</v>
      </c>
      <c r="AA11" s="14">
        <f ca="1" t="shared" si="9"/>
        <v>2429325.3916666657</v>
      </c>
      <c r="AB11" s="14">
        <f ca="1" t="shared" si="10"/>
        <v>360413.17804800003</v>
      </c>
      <c r="AC11" s="14">
        <f ca="1" t="shared" si="10"/>
        <v>0.34117689461126255</v>
      </c>
      <c r="AD11" s="14">
        <f ca="1" t="shared" si="10"/>
        <v>0</v>
      </c>
      <c r="AE11" s="14">
        <f ca="1" t="shared" si="10"/>
        <v>0</v>
      </c>
      <c r="AF11" s="14">
        <f ca="1" t="shared" si="10"/>
        <v>615024.48479999881</v>
      </c>
      <c r="AG11" s="14">
        <f ca="1" t="shared" si="10"/>
        <v>0.60946377887790704</v>
      </c>
      <c r="AH11" s="14">
        <f ca="1" t="shared" si="10"/>
        <v>892544</v>
      </c>
      <c r="AI11" s="14">
        <f ca="1" t="shared" si="10"/>
        <v>0.89513990572660618</v>
      </c>
      <c r="AJ11" s="14">
        <f ca="1" t="shared" si="10"/>
        <v>755001.50</v>
      </c>
      <c r="AK11" s="14">
        <f ca="1" t="shared" si="10"/>
        <v>0.76237507075524447</v>
      </c>
      <c r="AL11" s="14">
        <f ca="1" t="shared" si="11"/>
        <v>998252.28691199922</v>
      </c>
      <c r="AM11" s="14">
        <f ca="1" t="shared" si="11"/>
        <v>0.99499862490104407</v>
      </c>
      <c r="AN11" s="14">
        <f ca="1" t="shared" si="11"/>
        <v>3474160.1621079966</v>
      </c>
      <c r="AO11" s="14">
        <f ca="1" t="shared" si="11"/>
        <v>3155666.9162746668</v>
      </c>
      <c r="AP11" s="14">
        <f ca="1" t="shared" si="11"/>
        <v>56668</v>
      </c>
      <c r="AQ11" s="14">
        <f ca="1" t="shared" si="11"/>
        <v>38775</v>
      </c>
      <c r="AR11" s="14">
        <f ca="1" t="shared" si="11"/>
        <v>216000</v>
      </c>
      <c r="AS11" s="14">
        <f ca="1" t="shared" si="11"/>
        <v>2821.40</v>
      </c>
      <c r="AT11" s="14">
        <f ca="1" t="shared" si="11"/>
        <v>0</v>
      </c>
      <c r="AU11" s="14">
        <f ca="1" t="shared" si="11"/>
        <v>95532.20</v>
      </c>
      <c r="AV11" s="14">
        <f ca="1" t="shared" si="11"/>
        <v>0.089667356067408041</v>
      </c>
      <c r="AW11" s="14">
        <f ca="1" t="shared" si="12"/>
        <v>3553770.3287746664</v>
      </c>
      <c r="AX11" s="14">
        <f ca="1" t="shared" si="12"/>
        <v>3235277.0829413272</v>
      </c>
      <c r="AY11" s="14">
        <f ca="1" t="shared" si="12"/>
        <v>10510.833333333327</v>
      </c>
      <c r="AZ11" s="14">
        <f ca="1" t="shared" si="12"/>
        <v>0</v>
      </c>
      <c r="BA11" s="14">
        <f ca="1" t="shared" si="12"/>
        <v>10510.833333333327</v>
      </c>
      <c r="BB11" s="14">
        <f ca="1" t="shared" si="12"/>
        <v>0.0097234995504356294</v>
      </c>
      <c r="BC11" s="14">
        <f ca="1" t="shared" si="12"/>
        <v>3564281.1621079966</v>
      </c>
      <c r="BD11" s="14">
        <f ca="1" t="shared" si="12"/>
        <v>3245787.9162746668</v>
      </c>
      <c r="BE11" s="14">
        <f ca="1" t="shared" si="12"/>
        <v>140450.16666666666</v>
      </c>
      <c r="BF11" s="14">
        <f ca="1" t="shared" si="12"/>
        <v>1295957.3566666681</v>
      </c>
      <c r="BG11" s="14">
        <f ca="1" t="shared" si="12"/>
        <v>1306468.1900000011</v>
      </c>
      <c r="BH11" s="14">
        <f ca="1" t="shared" si="12"/>
        <v>2888268.8041666667</v>
      </c>
      <c r="BI11" s="14">
        <f ca="1" t="shared" si="12"/>
        <v>2898779.6374999997</v>
      </c>
      <c r="BJ11" s="14">
        <f ca="1" t="shared" si="12"/>
        <v>62.333333333333336</v>
      </c>
      <c r="BK11" s="14">
        <f ca="1" t="shared" si="12"/>
        <v>17.666666666666668</v>
      </c>
    </row>
    <row r="12" spans="1:63" ht="13.2">
      <c r="A12" s="3" t="s">
        <v>10</v>
      </c>
      <c r="B12" s="3"/>
      <c r="C12" s="14">
        <f ca="1">COUNTIF(INDIRECT(C$3),"&gt;0")</f>
        <v>6</v>
      </c>
      <c r="D12" s="14">
        <f ca="1">COUNTIF(INDIRECT(D$3),"&gt;0")</f>
        <v>6</v>
      </c>
      <c r="E12" s="14">
        <f ca="1">COUNTIF(INDIRECT(E$3),"&gt;0")</f>
        <v>6</v>
      </c>
      <c r="F12" s="14">
        <f ca="1">COUNTIF(INDIRECT(F$3),"&gt;0")</f>
        <v>4</v>
      </c>
      <c r="G12" s="14">
        <f ca="1">COUNTIF(INDIRECT(G$3),"&gt;0")</f>
        <v>6</v>
      </c>
      <c r="H12" s="26">
        <f ca="1" t="shared" si="16" ref="H12:O12">COUNTIF(INDIRECT(H$3),"&gt;=0")</f>
        <v>0</v>
      </c>
      <c r="I12" s="26">
        <f ca="1" t="shared" si="16"/>
        <v>0</v>
      </c>
      <c r="J12" s="26">
        <f ca="1" t="shared" si="16"/>
        <v>6</v>
      </c>
      <c r="K12" s="26">
        <f ca="1" t="shared" si="16"/>
        <v>6</v>
      </c>
      <c r="L12" s="26">
        <f ca="1" t="shared" si="16"/>
        <v>1</v>
      </c>
      <c r="M12" s="26">
        <f ca="1" t="shared" si="16"/>
        <v>1</v>
      </c>
      <c r="N12" s="26">
        <f ca="1" t="shared" si="16"/>
        <v>6</v>
      </c>
      <c r="O12" s="26">
        <f ca="1" t="shared" si="16"/>
        <v>6</v>
      </c>
      <c r="P12" s="14">
        <f ca="1" t="shared" si="17" ref="P12:BK12">COUNTIF(INDIRECT(P$3),"&gt;0")</f>
        <v>6</v>
      </c>
      <c r="Q12" s="14">
        <f ca="1" t="shared" si="17"/>
        <v>6</v>
      </c>
      <c r="R12" s="14">
        <f ca="1" t="shared" si="17"/>
        <v>0</v>
      </c>
      <c r="S12" s="14">
        <f ca="1" t="shared" si="17"/>
        <v>0</v>
      </c>
      <c r="T12" s="14">
        <f ca="1" t="shared" si="17"/>
        <v>6</v>
      </c>
      <c r="U12" s="14">
        <f ca="1" t="shared" si="17"/>
        <v>6</v>
      </c>
      <c r="V12" s="14">
        <f ca="1" t="shared" si="17"/>
        <v>0</v>
      </c>
      <c r="W12" s="14">
        <f ca="1" t="shared" si="17"/>
        <v>0</v>
      </c>
      <c r="X12" s="14">
        <f ca="1" t="shared" si="17"/>
        <v>6</v>
      </c>
      <c r="Y12" s="14">
        <f ca="1" t="shared" si="17"/>
        <v>6</v>
      </c>
      <c r="Z12" s="14">
        <f ca="1" t="shared" si="17"/>
        <v>6</v>
      </c>
      <c r="AA12" s="14">
        <f ca="1" t="shared" si="17"/>
        <v>6</v>
      </c>
      <c r="AB12" s="14">
        <f ca="1" t="shared" si="17"/>
        <v>1</v>
      </c>
      <c r="AC12" s="14">
        <f ca="1" t="shared" si="17"/>
        <v>1</v>
      </c>
      <c r="AD12" s="14">
        <f ca="1" t="shared" si="17"/>
        <v>0</v>
      </c>
      <c r="AE12" s="14">
        <f ca="1" t="shared" si="17"/>
        <v>0</v>
      </c>
      <c r="AF12" s="14">
        <f ca="1" t="shared" si="17"/>
        <v>2</v>
      </c>
      <c r="AG12" s="14">
        <f ca="1" t="shared" si="17"/>
        <v>2</v>
      </c>
      <c r="AH12" s="14">
        <f ca="1" t="shared" si="17"/>
        <v>1</v>
      </c>
      <c r="AI12" s="14">
        <f ca="1" t="shared" si="17"/>
        <v>1</v>
      </c>
      <c r="AJ12" s="14">
        <f ca="1" t="shared" si="17"/>
        <v>2</v>
      </c>
      <c r="AK12" s="14">
        <f ca="1" t="shared" si="17"/>
        <v>2</v>
      </c>
      <c r="AL12" s="14">
        <f ca="1" t="shared" si="17"/>
        <v>4</v>
      </c>
      <c r="AM12" s="14">
        <f ca="1" t="shared" si="17"/>
        <v>4</v>
      </c>
      <c r="AN12" s="14">
        <f ca="1" t="shared" si="17"/>
        <v>6</v>
      </c>
      <c r="AO12" s="14">
        <f ca="1" t="shared" si="17"/>
        <v>6</v>
      </c>
      <c r="AP12" s="14">
        <f ca="1" t="shared" si="17"/>
        <v>3</v>
      </c>
      <c r="AQ12" s="14">
        <f ca="1" t="shared" si="17"/>
        <v>2</v>
      </c>
      <c r="AR12" s="14">
        <f ca="1" t="shared" si="17"/>
        <v>1</v>
      </c>
      <c r="AS12" s="14">
        <f ca="1" t="shared" si="17"/>
        <v>5</v>
      </c>
      <c r="AT12" s="14">
        <f ca="1" t="shared" si="17"/>
        <v>0</v>
      </c>
      <c r="AU12" s="14">
        <f ca="1" t="shared" si="17"/>
        <v>5</v>
      </c>
      <c r="AV12" s="14">
        <f ca="1" t="shared" si="17"/>
        <v>5</v>
      </c>
      <c r="AW12" s="14">
        <f ca="1" t="shared" si="17"/>
        <v>6</v>
      </c>
      <c r="AX12" s="14">
        <f ca="1" t="shared" si="17"/>
        <v>6</v>
      </c>
      <c r="AY12" s="14">
        <f ca="1" t="shared" si="17"/>
        <v>6</v>
      </c>
      <c r="AZ12" s="14">
        <f ca="1" t="shared" si="17"/>
        <v>0</v>
      </c>
      <c r="BA12" s="14">
        <f ca="1" t="shared" si="17"/>
        <v>6</v>
      </c>
      <c r="BB12" s="14">
        <f ca="1" t="shared" si="17"/>
        <v>6</v>
      </c>
      <c r="BC12" s="14">
        <f ca="1" t="shared" si="17"/>
        <v>6</v>
      </c>
      <c r="BD12" s="14">
        <f ca="1" t="shared" si="17"/>
        <v>6</v>
      </c>
      <c r="BE12" s="14">
        <f ca="1" t="shared" si="17"/>
        <v>6</v>
      </c>
      <c r="BF12" s="14">
        <f ca="1" t="shared" si="17"/>
        <v>6</v>
      </c>
      <c r="BG12" s="14">
        <f ca="1" t="shared" si="17"/>
        <v>6</v>
      </c>
      <c r="BH12" s="14">
        <f ca="1" t="shared" si="17"/>
        <v>6</v>
      </c>
      <c r="BI12" s="14">
        <f ca="1" t="shared" si="17"/>
        <v>6</v>
      </c>
      <c r="BJ12" s="14">
        <f ca="1" t="shared" si="17"/>
        <v>6</v>
      </c>
      <c r="BK12" s="14">
        <f ca="1" t="shared" si="17"/>
        <v>6</v>
      </c>
    </row>
    <row r="13" spans="1:63" ht="13.2">
      <c r="A13" s="3" t="s">
        <v>348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3.2">
      <c r="A14" s="3" t="str">
        <f>A5</f>
        <v>P10</v>
      </c>
      <c r="B14" s="3">
        <f t="shared" si="18" ref="B14:B20">IF(OR(A14="P50",A14="Mean"),0,4)</f>
        <v>4</v>
      </c>
      <c r="C14" s="14">
        <f t="shared" si="19" ref="C14:C20">IF(C$12&gt;$B14,C5,"")</f>
        <v>72965.50</v>
      </c>
      <c r="D14" s="14">
        <f t="shared" si="20" ref="D14:AI14">IF(D$12&gt;$B14,D5,"")</f>
        <v>12</v>
      </c>
      <c r="E14" s="14">
        <f t="shared" si="20"/>
        <v>948551.50</v>
      </c>
      <c r="F14" s="14" t="str">
        <f t="shared" si="20"/>
        <v/>
      </c>
      <c r="G14" s="14">
        <f t="shared" si="20"/>
        <v>948551.50</v>
      </c>
      <c r="H14" s="14" t="str">
        <f t="shared" si="20"/>
        <v/>
      </c>
      <c r="I14" s="14" t="str">
        <f t="shared" si="20"/>
        <v/>
      </c>
      <c r="J14" s="14">
        <f t="shared" si="20"/>
        <v>655019</v>
      </c>
      <c r="K14" s="14">
        <f t="shared" si="20"/>
        <v>0.70561361766343089</v>
      </c>
      <c r="L14" s="14" t="str">
        <f t="shared" si="20"/>
        <v/>
      </c>
      <c r="M14" s="14" t="str">
        <f t="shared" si="20"/>
        <v/>
      </c>
      <c r="N14" s="14">
        <f t="shared" si="20"/>
        <v>855622</v>
      </c>
      <c r="O14" s="14">
        <f t="shared" si="20"/>
        <v>0.90680005834139665</v>
      </c>
      <c r="P14" s="14">
        <f t="shared" si="20"/>
        <v>1804173.50</v>
      </c>
      <c r="Q14" s="14">
        <f t="shared" si="20"/>
        <v>1804173.50</v>
      </c>
      <c r="R14" s="14" t="str">
        <f t="shared" si="20"/>
        <v/>
      </c>
      <c r="S14" s="14" t="str">
        <f t="shared" si="20"/>
        <v/>
      </c>
      <c r="T14" s="14">
        <f t="shared" si="20"/>
        <v>330059.50</v>
      </c>
      <c r="U14" s="14">
        <f t="shared" si="20"/>
        <v>0.29761015683345782</v>
      </c>
      <c r="V14" s="14" t="str">
        <f t="shared" si="20"/>
        <v/>
      </c>
      <c r="W14" s="14" t="str">
        <f t="shared" si="20"/>
        <v/>
      </c>
      <c r="X14" s="14">
        <f t="shared" si="20"/>
        <v>330059.50</v>
      </c>
      <c r="Y14" s="14">
        <f t="shared" si="20"/>
        <v>0.29761015683345782</v>
      </c>
      <c r="Z14" s="14">
        <f t="shared" si="20"/>
        <v>1461678.50</v>
      </c>
      <c r="AA14" s="14">
        <f t="shared" si="20"/>
        <v>1409838.50</v>
      </c>
      <c r="AB14" s="14" t="str">
        <f t="shared" si="20"/>
        <v/>
      </c>
      <c r="AC14" s="14" t="str">
        <f t="shared" si="20"/>
        <v/>
      </c>
      <c r="AD14" s="14" t="str">
        <f t="shared" si="20"/>
        <v/>
      </c>
      <c r="AE14" s="14" t="str">
        <f t="shared" si="20"/>
        <v/>
      </c>
      <c r="AF14" s="14" t="str">
        <f t="shared" si="20"/>
        <v/>
      </c>
      <c r="AG14" s="14" t="str">
        <f t="shared" si="20"/>
        <v/>
      </c>
      <c r="AH14" s="14" t="str">
        <f t="shared" si="20"/>
        <v/>
      </c>
      <c r="AI14" s="14" t="str">
        <f t="shared" si="20"/>
        <v/>
      </c>
      <c r="AJ14" s="14" t="str">
        <f t="shared" si="21" ref="AJ14:AO14">IF(AJ$12&gt;$B14,AJ5,"")</f>
        <v/>
      </c>
      <c r="AK14" s="14" t="str">
        <f t="shared" si="21"/>
        <v/>
      </c>
      <c r="AL14" s="14" t="str">
        <f t="shared" si="21"/>
        <v/>
      </c>
      <c r="AM14" s="14" t="str">
        <f t="shared" si="21"/>
        <v/>
      </c>
      <c r="AN14" s="14">
        <f t="shared" si="21"/>
        <v>2820566.1363240001</v>
      </c>
      <c r="AO14" s="14">
        <f t="shared" si="21"/>
        <v>2369029.2488240022</v>
      </c>
      <c r="AP14" s="14" t="str">
        <f t="shared" si="22" ref="AP14:AX14">IF(AP$12&gt;$B14,AP5,"")</f>
        <v/>
      </c>
      <c r="AQ14" s="14" t="str">
        <f t="shared" si="22"/>
        <v/>
      </c>
      <c r="AR14" s="14" t="str">
        <f t="shared" si="22"/>
        <v/>
      </c>
      <c r="AS14" s="14">
        <f t="shared" si="22"/>
        <v>2115.60</v>
      </c>
      <c r="AT14" s="14" t="str">
        <f t="shared" si="22"/>
        <v/>
      </c>
      <c r="AU14" s="14">
        <f t="shared" si="22"/>
        <v>32840.40</v>
      </c>
      <c r="AV14" s="14">
        <f t="shared" si="22"/>
        <v>0.02561924742156629</v>
      </c>
      <c r="AW14" s="14">
        <f t="shared" si="22"/>
        <v>2853553.6363240001</v>
      </c>
      <c r="AX14" s="14">
        <f t="shared" si="22"/>
        <v>2377754.2488240022</v>
      </c>
      <c r="AY14" s="14">
        <f t="shared" si="23" ref="AY14:BD14">IF(AY$12&gt;$B14,AY5,"")</f>
        <v>6395.50</v>
      </c>
      <c r="AZ14" s="14" t="str">
        <f t="shared" si="23"/>
        <v/>
      </c>
      <c r="BA14" s="14">
        <f t="shared" si="23"/>
        <v>6395.50</v>
      </c>
      <c r="BB14" s="14">
        <f t="shared" si="23"/>
        <v>0.0053461605878909399</v>
      </c>
      <c r="BC14" s="14">
        <f t="shared" si="23"/>
        <v>2867153.6363240001</v>
      </c>
      <c r="BD14" s="14">
        <f t="shared" si="23"/>
        <v>2387425.7488240022</v>
      </c>
      <c r="BE14" s="14">
        <f t="shared" si="24" ref="BE14:BF14">IF(BE$12&gt;$B14,BE5,"")</f>
        <v>74387.50</v>
      </c>
      <c r="BF14" s="14">
        <f t="shared" si="24"/>
        <v>1052580.07</v>
      </c>
      <c r="BG14" s="14">
        <f t="shared" si="25" ref="BG14:BK14">IF(BG$12&gt;$B14,BG5,"")</f>
        <v>1066180.07</v>
      </c>
      <c r="BH14" s="14">
        <f t="shared" si="25"/>
        <v>1972113</v>
      </c>
      <c r="BI14" s="14">
        <f t="shared" si="25"/>
        <v>1985713</v>
      </c>
      <c r="BJ14" s="14">
        <f t="shared" si="25"/>
        <v>60</v>
      </c>
      <c r="BK14" s="14">
        <f t="shared" si="25"/>
        <v>8</v>
      </c>
    </row>
    <row r="15" spans="1:63" ht="13.2">
      <c r="A15" s="3" t="str">
        <f t="shared" si="26" ref="A15:A20">A6</f>
        <v>P25</v>
      </c>
      <c r="B15" s="3">
        <f t="shared" si="18"/>
        <v>4</v>
      </c>
      <c r="C15" s="14">
        <f t="shared" si="19"/>
        <v>79532.961249999978</v>
      </c>
      <c r="D15" s="14">
        <f t="shared" si="27" ref="D15:AI15">IF(D$12&gt;$B15,D6,"")</f>
        <v>12.25</v>
      </c>
      <c r="E15" s="14">
        <f t="shared" si="27"/>
        <v>1011920.535</v>
      </c>
      <c r="F15" s="14" t="str">
        <f t="shared" si="27"/>
        <v/>
      </c>
      <c r="G15" s="14">
        <f t="shared" si="27"/>
        <v>1032620.535</v>
      </c>
      <c r="H15" s="14" t="str">
        <f t="shared" si="27"/>
        <v/>
      </c>
      <c r="I15" s="14" t="str">
        <f t="shared" si="27"/>
        <v/>
      </c>
      <c r="J15" s="14">
        <f t="shared" si="27"/>
        <v>970090.49625000043</v>
      </c>
      <c r="K15" s="14">
        <f t="shared" si="27"/>
        <v>1.010708575161156</v>
      </c>
      <c r="L15" s="14" t="str">
        <f t="shared" si="27"/>
        <v/>
      </c>
      <c r="M15" s="14" t="str">
        <f t="shared" si="27"/>
        <v/>
      </c>
      <c r="N15" s="14">
        <f t="shared" si="27"/>
        <v>970090.49625000043</v>
      </c>
      <c r="O15" s="14">
        <f t="shared" si="27"/>
        <v>1.010708575161156</v>
      </c>
      <c r="P15" s="14">
        <f t="shared" si="27"/>
        <v>1936144.0312499998</v>
      </c>
      <c r="Q15" s="14">
        <f t="shared" si="27"/>
        <v>1915444.0312499998</v>
      </c>
      <c r="R15" s="14" t="str">
        <f t="shared" si="27"/>
        <v/>
      </c>
      <c r="S15" s="14" t="str">
        <f t="shared" si="27"/>
        <v/>
      </c>
      <c r="T15" s="14">
        <f t="shared" si="27"/>
        <v>509473.55249999999</v>
      </c>
      <c r="U15" s="14">
        <f t="shared" si="27"/>
        <v>0.45193785213781584</v>
      </c>
      <c r="V15" s="14" t="str">
        <f t="shared" si="27"/>
        <v/>
      </c>
      <c r="W15" s="14" t="str">
        <f t="shared" si="27"/>
        <v/>
      </c>
      <c r="X15" s="14">
        <f t="shared" si="27"/>
        <v>509473.55249999999</v>
      </c>
      <c r="Y15" s="14">
        <f t="shared" si="27"/>
        <v>0.45193785213781584</v>
      </c>
      <c r="Z15" s="14">
        <f t="shared" si="27"/>
        <v>1743872.5875000001</v>
      </c>
      <c r="AA15" s="14">
        <f t="shared" si="27"/>
        <v>1645412.5875000001</v>
      </c>
      <c r="AB15" s="14" t="str">
        <f t="shared" si="27"/>
        <v/>
      </c>
      <c r="AC15" s="14" t="str">
        <f t="shared" si="27"/>
        <v/>
      </c>
      <c r="AD15" s="14" t="str">
        <f t="shared" si="27"/>
        <v/>
      </c>
      <c r="AE15" s="14" t="str">
        <f t="shared" si="27"/>
        <v/>
      </c>
      <c r="AF15" s="14" t="str">
        <f t="shared" si="27"/>
        <v/>
      </c>
      <c r="AG15" s="14" t="str">
        <f t="shared" si="27"/>
        <v/>
      </c>
      <c r="AH15" s="14" t="str">
        <f t="shared" si="27"/>
        <v/>
      </c>
      <c r="AI15" s="14" t="str">
        <f t="shared" si="27"/>
        <v/>
      </c>
      <c r="AJ15" s="14" t="str">
        <f t="shared" si="28" ref="AJ15:AO15">IF(AJ$12&gt;$B15,AJ6,"")</f>
        <v/>
      </c>
      <c r="AK15" s="14" t="str">
        <f t="shared" si="28"/>
        <v/>
      </c>
      <c r="AL15" s="14" t="str">
        <f t="shared" si="28"/>
        <v/>
      </c>
      <c r="AM15" s="14" t="str">
        <f t="shared" si="28"/>
        <v/>
      </c>
      <c r="AN15" s="14">
        <f t="shared" si="28"/>
        <v>2977944.8794859964</v>
      </c>
      <c r="AO15" s="14">
        <f t="shared" si="28"/>
        <v>2470165.8732360001</v>
      </c>
      <c r="AP15" s="14" t="str">
        <f t="shared" si="29" ref="AP15:AX15">IF(AP$12&gt;$B15,AP6,"")</f>
        <v/>
      </c>
      <c r="AQ15" s="14" t="str">
        <f t="shared" si="29"/>
        <v/>
      </c>
      <c r="AR15" s="14" t="str">
        <f t="shared" si="29"/>
        <v/>
      </c>
      <c r="AS15" s="14">
        <f t="shared" si="29"/>
        <v>2400</v>
      </c>
      <c r="AT15" s="14" t="str">
        <f t="shared" si="29"/>
        <v/>
      </c>
      <c r="AU15" s="14">
        <f t="shared" si="29"/>
        <v>55926</v>
      </c>
      <c r="AV15" s="14">
        <f t="shared" si="29"/>
        <v>0.041531176006314126</v>
      </c>
      <c r="AW15" s="14">
        <f t="shared" si="29"/>
        <v>2982307.3794859964</v>
      </c>
      <c r="AX15" s="14">
        <f t="shared" si="29"/>
        <v>2486659.6232360033</v>
      </c>
      <c r="AY15" s="14">
        <f t="shared" si="30" ref="AY15:BD15">IF(AY$12&gt;$B15,AY6,"")</f>
        <v>7654.50</v>
      </c>
      <c r="AZ15" s="14" t="str">
        <f t="shared" si="30"/>
        <v/>
      </c>
      <c r="BA15" s="14">
        <f t="shared" si="30"/>
        <v>7654.50</v>
      </c>
      <c r="BB15" s="14">
        <f t="shared" si="30"/>
        <v>0.0058199286287684065</v>
      </c>
      <c r="BC15" s="14">
        <f t="shared" si="30"/>
        <v>2993943.1294860002</v>
      </c>
      <c r="BD15" s="14">
        <f t="shared" si="30"/>
        <v>2500259.6232360033</v>
      </c>
      <c r="BE15" s="14">
        <f t="shared" si="31" ref="BE15:BF15">IF(BE$12&gt;$B15,BE6,"")</f>
        <v>92382.50</v>
      </c>
      <c r="BF15" s="14">
        <f t="shared" si="31"/>
        <v>1171137.605</v>
      </c>
      <c r="BG15" s="14">
        <f t="shared" si="32" ref="BG15:BK15">IF(BG$12&gt;$B15,BG6,"")</f>
        <v>1184737.605</v>
      </c>
      <c r="BH15" s="14">
        <f t="shared" si="32"/>
        <v>2138572.03125</v>
      </c>
      <c r="BI15" s="14">
        <f t="shared" si="32"/>
        <v>2152172.03125</v>
      </c>
      <c r="BJ15" s="14">
        <f t="shared" si="32"/>
        <v>61.50</v>
      </c>
      <c r="BK15" s="14">
        <f t="shared" si="32"/>
        <v>9.75</v>
      </c>
    </row>
    <row r="16" spans="1:63" ht="13.2">
      <c r="A16" s="3" t="str">
        <f t="shared" si="26"/>
        <v>P50</v>
      </c>
      <c r="B16" s="3">
        <f t="shared" si="18"/>
        <v>0</v>
      </c>
      <c r="C16" s="14">
        <f t="shared" si="19"/>
        <v>89015.922499999971</v>
      </c>
      <c r="D16" s="14">
        <f t="shared" si="33" ref="D16:AI16">IF(D$12&gt;$B16,D7,"")</f>
        <v>13</v>
      </c>
      <c r="E16" s="14">
        <f t="shared" si="33"/>
        <v>1109420.07</v>
      </c>
      <c r="F16" s="14">
        <f t="shared" si="33"/>
        <v>89280</v>
      </c>
      <c r="G16" s="14">
        <f t="shared" si="33"/>
        <v>1199231.07</v>
      </c>
      <c r="H16" s="14" t="str">
        <f t="shared" si="33"/>
        <v/>
      </c>
      <c r="I16" s="14" t="str">
        <f t="shared" si="33"/>
        <v/>
      </c>
      <c r="J16" s="14">
        <f t="shared" si="33"/>
        <v>1196312.3425000017</v>
      </c>
      <c r="K16" s="14">
        <f t="shared" si="33"/>
        <v>1.0801034931197147</v>
      </c>
      <c r="L16" s="14">
        <f t="shared" si="33"/>
        <v>401206</v>
      </c>
      <c r="M16" s="14">
        <f t="shared" si="33"/>
        <v>0.40237288135593308</v>
      </c>
      <c r="N16" s="14">
        <f t="shared" si="33"/>
        <v>1196312.3425000017</v>
      </c>
      <c r="O16" s="14">
        <f t="shared" si="33"/>
        <v>1.0801034931197147</v>
      </c>
      <c r="P16" s="14">
        <f t="shared" si="33"/>
        <v>2398972.4124999959</v>
      </c>
      <c r="Q16" s="14">
        <f t="shared" si="33"/>
        <v>2305732.4124999959</v>
      </c>
      <c r="R16" s="14" t="str">
        <f t="shared" si="33"/>
        <v/>
      </c>
      <c r="S16" s="14" t="str">
        <f t="shared" si="33"/>
        <v/>
      </c>
      <c r="T16" s="14">
        <f t="shared" si="33"/>
        <v>766395.10499999882</v>
      </c>
      <c r="U16" s="14">
        <f t="shared" si="33"/>
        <v>0.79950677223679656</v>
      </c>
      <c r="V16" s="14" t="str">
        <f t="shared" si="33"/>
        <v/>
      </c>
      <c r="W16" s="14" t="str">
        <f t="shared" si="33"/>
        <v/>
      </c>
      <c r="X16" s="14">
        <f t="shared" si="33"/>
        <v>766395.10499999882</v>
      </c>
      <c r="Y16" s="14">
        <f t="shared" si="33"/>
        <v>0.79950677223679656</v>
      </c>
      <c r="Z16" s="14">
        <f t="shared" si="33"/>
        <v>1785987.675</v>
      </c>
      <c r="AA16" s="14">
        <f t="shared" si="33"/>
        <v>1744587.675</v>
      </c>
      <c r="AB16" s="14">
        <f t="shared" si="33"/>
        <v>360413.17804800003</v>
      </c>
      <c r="AC16" s="14">
        <f t="shared" si="33"/>
        <v>0.34117689461126255</v>
      </c>
      <c r="AD16" s="14" t="str">
        <f t="shared" si="33"/>
        <v/>
      </c>
      <c r="AE16" s="14" t="str">
        <f t="shared" si="33"/>
        <v/>
      </c>
      <c r="AF16" s="14">
        <f t="shared" si="33"/>
        <v>615024.48479999881</v>
      </c>
      <c r="AG16" s="14">
        <f t="shared" si="33"/>
        <v>0.60946377887790704</v>
      </c>
      <c r="AH16" s="14">
        <f t="shared" si="33"/>
        <v>892544</v>
      </c>
      <c r="AI16" s="14">
        <f t="shared" si="33"/>
        <v>0.89513990572660618</v>
      </c>
      <c r="AJ16" s="14">
        <f t="shared" si="34" ref="AJ16:AO16">IF(AJ$12&gt;$B16,AJ7,"")</f>
        <v>755001.50</v>
      </c>
      <c r="AK16" s="14">
        <f t="shared" si="34"/>
        <v>0.76237507075524447</v>
      </c>
      <c r="AL16" s="14">
        <f t="shared" si="34"/>
        <v>760792.57382400043</v>
      </c>
      <c r="AM16" s="14">
        <f t="shared" si="34"/>
        <v>0.79420326419376885</v>
      </c>
      <c r="AN16" s="14">
        <f t="shared" si="34"/>
        <v>3298840.35</v>
      </c>
      <c r="AO16" s="14">
        <f t="shared" si="34"/>
        <v>2875141.50</v>
      </c>
      <c r="AP16" s="14">
        <f t="shared" si="35" ref="AP16:AX16">IF(AP$12&gt;$B16,AP7,"")</f>
        <v>54000</v>
      </c>
      <c r="AQ16" s="14">
        <f t="shared" si="35"/>
        <v>38775</v>
      </c>
      <c r="AR16" s="14">
        <f t="shared" si="35"/>
        <v>216000</v>
      </c>
      <c r="AS16" s="14">
        <f t="shared" si="35"/>
        <v>2406</v>
      </c>
      <c r="AT16" s="14" t="str">
        <f t="shared" si="35"/>
        <v/>
      </c>
      <c r="AU16" s="14">
        <f t="shared" si="35"/>
        <v>65975</v>
      </c>
      <c r="AV16" s="14">
        <f t="shared" si="35"/>
        <v>0.047800000000000002</v>
      </c>
      <c r="AW16" s="14">
        <f t="shared" si="35"/>
        <v>3335528.35</v>
      </c>
      <c r="AX16" s="14">
        <f t="shared" si="35"/>
        <v>3043081</v>
      </c>
      <c r="AY16" s="14">
        <f t="shared" si="36" ref="AY16:BD16">IF(AY$12&gt;$B16,AY7,"")</f>
        <v>11537</v>
      </c>
      <c r="AZ16" s="14" t="str">
        <f t="shared" si="36"/>
        <v/>
      </c>
      <c r="BA16" s="14">
        <f t="shared" si="36"/>
        <v>11537</v>
      </c>
      <c r="BB16" s="14">
        <f t="shared" si="36"/>
        <v>0.0094490303386341647</v>
      </c>
      <c r="BC16" s="14">
        <f t="shared" si="36"/>
        <v>3341923.85</v>
      </c>
      <c r="BD16" s="14">
        <f t="shared" si="36"/>
        <v>3056681</v>
      </c>
      <c r="BE16" s="14">
        <f t="shared" si="37" ref="BE16:BF16">IF(BE$12&gt;$B16,BE7,"")</f>
        <v>133168</v>
      </c>
      <c r="BF16" s="14">
        <f t="shared" si="37"/>
        <v>1275296</v>
      </c>
      <c r="BG16" s="14">
        <f t="shared" si="38" ref="BG16:BK16">IF(BG$12&gt;$B16,BG7,"")</f>
        <v>1284967.50</v>
      </c>
      <c r="BH16" s="14">
        <f t="shared" si="38"/>
        <v>2407697.4124999959</v>
      </c>
      <c r="BI16" s="14">
        <f t="shared" si="38"/>
        <v>2417368.9124999959</v>
      </c>
      <c r="BJ16" s="14">
        <f t="shared" si="38"/>
        <v>63</v>
      </c>
      <c r="BK16" s="14">
        <f t="shared" si="38"/>
        <v>12.50</v>
      </c>
    </row>
    <row r="17" spans="1:63" ht="13.2">
      <c r="A17" s="3" t="str">
        <f t="shared" si="26"/>
        <v>P60</v>
      </c>
      <c r="B17" s="3">
        <f t="shared" si="18"/>
        <v>4</v>
      </c>
      <c r="C17" s="14">
        <f t="shared" si="19"/>
        <v>90000</v>
      </c>
      <c r="D17" s="14">
        <f t="shared" si="39" ref="D17:AI17">IF(D$12&gt;$B17,D8,"")</f>
        <v>13</v>
      </c>
      <c r="E17" s="14">
        <f t="shared" si="39"/>
        <v>1162458</v>
      </c>
      <c r="F17" s="14" t="str">
        <f t="shared" si="39"/>
        <v/>
      </c>
      <c r="G17" s="14">
        <f t="shared" si="39"/>
        <v>1259280</v>
      </c>
      <c r="H17" s="14" t="str">
        <f t="shared" si="39"/>
        <v/>
      </c>
      <c r="I17" s="14" t="str">
        <f t="shared" si="39"/>
        <v/>
      </c>
      <c r="J17" s="14">
        <f t="shared" si="39"/>
        <v>1212262.70</v>
      </c>
      <c r="K17" s="14">
        <f t="shared" si="39"/>
        <v>1.1173626856281378</v>
      </c>
      <c r="L17" s="14" t="str">
        <f t="shared" si="39"/>
        <v/>
      </c>
      <c r="M17" s="14" t="str">
        <f t="shared" si="39"/>
        <v/>
      </c>
      <c r="N17" s="14">
        <f t="shared" si="39"/>
        <v>1212262.70</v>
      </c>
      <c r="O17" s="14">
        <f t="shared" si="39"/>
        <v>1.1173626856281378</v>
      </c>
      <c r="P17" s="14">
        <f t="shared" si="39"/>
        <v>2478400.7000000002</v>
      </c>
      <c r="Q17" s="14">
        <f t="shared" si="39"/>
        <v>2374720.7000000002</v>
      </c>
      <c r="R17" s="14" t="str">
        <f t="shared" si="39"/>
        <v/>
      </c>
      <c r="S17" s="14" t="str">
        <f t="shared" si="39"/>
        <v/>
      </c>
      <c r="T17" s="14">
        <f t="shared" si="39"/>
        <v>900003</v>
      </c>
      <c r="U17" s="14">
        <f t="shared" si="39"/>
        <v>1</v>
      </c>
      <c r="V17" s="14" t="str">
        <f t="shared" si="39"/>
        <v/>
      </c>
      <c r="W17" s="14" t="str">
        <f t="shared" si="39"/>
        <v/>
      </c>
      <c r="X17" s="14">
        <f t="shared" si="39"/>
        <v>900003</v>
      </c>
      <c r="Y17" s="14">
        <f t="shared" si="39"/>
        <v>1</v>
      </c>
      <c r="Z17" s="14">
        <f t="shared" si="39"/>
        <v>1800006</v>
      </c>
      <c r="AA17" s="14">
        <f t="shared" si="39"/>
        <v>1800006</v>
      </c>
      <c r="AB17" s="14" t="str">
        <f t="shared" si="39"/>
        <v/>
      </c>
      <c r="AC17" s="14" t="str">
        <f t="shared" si="39"/>
        <v/>
      </c>
      <c r="AD17" s="14" t="str">
        <f t="shared" si="39"/>
        <v/>
      </c>
      <c r="AE17" s="14" t="str">
        <f t="shared" si="39"/>
        <v/>
      </c>
      <c r="AF17" s="14" t="str">
        <f t="shared" si="39"/>
        <v/>
      </c>
      <c r="AG17" s="14" t="str">
        <f t="shared" si="39"/>
        <v/>
      </c>
      <c r="AH17" s="14" t="str">
        <f t="shared" si="39"/>
        <v/>
      </c>
      <c r="AI17" s="14" t="str">
        <f t="shared" si="39"/>
        <v/>
      </c>
      <c r="AJ17" s="14" t="str">
        <f t="shared" si="40" ref="AJ17:AO17">IF(AJ$12&gt;$B17,AJ8,"")</f>
        <v/>
      </c>
      <c r="AK17" s="14" t="str">
        <f t="shared" si="40"/>
        <v/>
      </c>
      <c r="AL17" s="14" t="str">
        <f t="shared" si="40"/>
        <v/>
      </c>
      <c r="AM17" s="14" t="str">
        <f t="shared" si="40"/>
        <v/>
      </c>
      <c r="AN17" s="14">
        <f t="shared" si="40"/>
        <v>3509280</v>
      </c>
      <c r="AO17" s="14">
        <f t="shared" si="40"/>
        <v>3050274</v>
      </c>
      <c r="AP17" s="14" t="str">
        <f t="shared" si="41" ref="AP17:AX17">IF(AP$12&gt;$B17,AP8,"")</f>
        <v/>
      </c>
      <c r="AQ17" s="14" t="str">
        <f t="shared" si="41"/>
        <v/>
      </c>
      <c r="AR17" s="14" t="str">
        <f t="shared" si="41"/>
        <v/>
      </c>
      <c r="AS17" s="14">
        <f t="shared" si="41"/>
        <v>2833.60</v>
      </c>
      <c r="AT17" s="14" t="str">
        <f t="shared" si="41"/>
        <v/>
      </c>
      <c r="AU17" s="14">
        <f t="shared" si="41"/>
        <v>66947.399999999994</v>
      </c>
      <c r="AV17" s="14">
        <f t="shared" si="41"/>
        <v>0.058002124481807311</v>
      </c>
      <c r="AW17" s="14">
        <f t="shared" si="41"/>
        <v>3565206</v>
      </c>
      <c r="AX17" s="14">
        <f t="shared" si="41"/>
        <v>3320178</v>
      </c>
      <c r="AY17" s="14">
        <f t="shared" si="42" ref="AY17:BD17">IF(AY$12&gt;$B17,AY8,"")</f>
        <v>13600</v>
      </c>
      <c r="AZ17" s="14" t="str">
        <f t="shared" si="42"/>
        <v/>
      </c>
      <c r="BA17" s="14">
        <f t="shared" si="42"/>
        <v>13600</v>
      </c>
      <c r="BB17" s="14">
        <f t="shared" si="42"/>
        <v>0.012874129053336725</v>
      </c>
      <c r="BC17" s="14">
        <f t="shared" si="42"/>
        <v>3572254</v>
      </c>
      <c r="BD17" s="14">
        <f t="shared" si="42"/>
        <v>3333778</v>
      </c>
      <c r="BE17" s="14">
        <f t="shared" si="43" ref="BE17:BF17">IF(BE$12&gt;$B17,BE8,"")</f>
        <v>145206</v>
      </c>
      <c r="BF17" s="14">
        <f t="shared" si="43"/>
        <v>1283588</v>
      </c>
      <c r="BG17" s="14">
        <f t="shared" si="44" ref="BG17:BK17">IF(BG$12&gt;$B17,BG8,"")</f>
        <v>1289331</v>
      </c>
      <c r="BH17" s="14">
        <f t="shared" si="44"/>
        <v>2495850.7000000002</v>
      </c>
      <c r="BI17" s="14">
        <f t="shared" si="44"/>
        <v>2501593.7000000002</v>
      </c>
      <c r="BJ17" s="14">
        <f t="shared" si="44"/>
        <v>63</v>
      </c>
      <c r="BK17" s="14">
        <f t="shared" si="44"/>
        <v>13</v>
      </c>
    </row>
    <row r="18" spans="1:63" ht="13.2">
      <c r="A18" s="3" t="str">
        <f t="shared" si="26"/>
        <v>P75</v>
      </c>
      <c r="B18" s="3">
        <f t="shared" si="18"/>
        <v>4</v>
      </c>
      <c r="C18" s="14">
        <f t="shared" si="19"/>
        <v>95153.625000000087</v>
      </c>
      <c r="D18" s="14">
        <f t="shared" si="45" ref="D18:AI18">IF(D$12&gt;$B18,D9,"")</f>
        <v>13</v>
      </c>
      <c r="E18" s="14">
        <f t="shared" si="45"/>
        <v>1168114.50</v>
      </c>
      <c r="F18" s="14" t="str">
        <f t="shared" si="45"/>
        <v/>
      </c>
      <c r="G18" s="14">
        <f t="shared" si="45"/>
        <v>1264423.50</v>
      </c>
      <c r="H18" s="14" t="str">
        <f t="shared" si="45"/>
        <v/>
      </c>
      <c r="I18" s="14" t="str">
        <f t="shared" si="45"/>
        <v/>
      </c>
      <c r="J18" s="14">
        <f t="shared" si="45"/>
        <v>1990565.675</v>
      </c>
      <c r="K18" s="14">
        <f t="shared" si="45"/>
        <v>1.7216483637147268</v>
      </c>
      <c r="L18" s="14" t="str">
        <f t="shared" si="45"/>
        <v/>
      </c>
      <c r="M18" s="14" t="str">
        <f t="shared" si="45"/>
        <v/>
      </c>
      <c r="N18" s="14">
        <f t="shared" si="45"/>
        <v>1990565.675</v>
      </c>
      <c r="O18" s="14">
        <f t="shared" si="45"/>
        <v>1.7216483637147268</v>
      </c>
      <c r="P18" s="14">
        <f t="shared" si="45"/>
        <v>3251560.1749999998</v>
      </c>
      <c r="Q18" s="14">
        <f t="shared" si="45"/>
        <v>3158680.1749999998</v>
      </c>
      <c r="R18" s="14" t="str">
        <f t="shared" si="45"/>
        <v/>
      </c>
      <c r="S18" s="14" t="str">
        <f t="shared" si="45"/>
        <v/>
      </c>
      <c r="T18" s="14">
        <f t="shared" si="45"/>
        <v>1912500.75</v>
      </c>
      <c r="U18" s="14">
        <f t="shared" si="45"/>
        <v>1.6923076923076918</v>
      </c>
      <c r="V18" s="14" t="str">
        <f t="shared" si="45"/>
        <v/>
      </c>
      <c r="W18" s="14" t="str">
        <f t="shared" si="45"/>
        <v/>
      </c>
      <c r="X18" s="14">
        <f t="shared" si="45"/>
        <v>1912500.75</v>
      </c>
      <c r="Y18" s="14">
        <f t="shared" si="45"/>
        <v>1.6923076923076918</v>
      </c>
      <c r="Z18" s="14">
        <f t="shared" si="45"/>
        <v>3081961.50</v>
      </c>
      <c r="AA18" s="14">
        <f t="shared" si="45"/>
        <v>3015001.50</v>
      </c>
      <c r="AB18" s="14" t="str">
        <f t="shared" si="45"/>
        <v/>
      </c>
      <c r="AC18" s="14" t="str">
        <f t="shared" si="45"/>
        <v/>
      </c>
      <c r="AD18" s="14" t="str">
        <f t="shared" si="45"/>
        <v/>
      </c>
      <c r="AE18" s="14" t="str">
        <f t="shared" si="45"/>
        <v/>
      </c>
      <c r="AF18" s="14" t="str">
        <f t="shared" si="45"/>
        <v/>
      </c>
      <c r="AG18" s="14" t="str">
        <f t="shared" si="45"/>
        <v/>
      </c>
      <c r="AH18" s="14" t="str">
        <f t="shared" si="45"/>
        <v/>
      </c>
      <c r="AI18" s="14" t="str">
        <f t="shared" si="45"/>
        <v/>
      </c>
      <c r="AJ18" s="14" t="str">
        <f t="shared" si="46" ref="AJ18:AO18">IF(AJ$12&gt;$B18,AJ9,"")</f>
        <v/>
      </c>
      <c r="AK18" s="14" t="str">
        <f t="shared" si="46"/>
        <v/>
      </c>
      <c r="AL18" s="14" t="str">
        <f t="shared" si="46"/>
        <v/>
      </c>
      <c r="AM18" s="14" t="str">
        <f t="shared" si="46"/>
        <v/>
      </c>
      <c r="AN18" s="14">
        <f t="shared" si="46"/>
        <v>3629646</v>
      </c>
      <c r="AO18" s="14">
        <f t="shared" si="46"/>
        <v>3394528.50</v>
      </c>
      <c r="AP18" s="14" t="str">
        <f t="shared" si="47" ref="AP18:AX18">IF(AP$12&gt;$B18,AP9,"")</f>
        <v/>
      </c>
      <c r="AQ18" s="14" t="str">
        <f t="shared" si="47"/>
        <v/>
      </c>
      <c r="AR18" s="14" t="str">
        <f t="shared" si="47"/>
        <v/>
      </c>
      <c r="AS18" s="14">
        <f t="shared" si="47"/>
        <v>3475</v>
      </c>
      <c r="AT18" s="14" t="str">
        <f t="shared" si="47"/>
        <v/>
      </c>
      <c r="AU18" s="14">
        <f t="shared" si="47"/>
        <v>68406</v>
      </c>
      <c r="AV18" s="14">
        <f t="shared" si="47"/>
        <v>0.073305311204518178</v>
      </c>
      <c r="AW18" s="14">
        <f t="shared" si="47"/>
        <v>3846055.50</v>
      </c>
      <c r="AX18" s="14">
        <f t="shared" si="47"/>
        <v>3503949</v>
      </c>
      <c r="AY18" s="14">
        <f t="shared" si="48" ref="AY18:BD18">IF(AY$12&gt;$B18,AY9,"")</f>
        <v>13600</v>
      </c>
      <c r="AZ18" s="14" t="str">
        <f t="shared" si="48"/>
        <v/>
      </c>
      <c r="BA18" s="14">
        <f t="shared" si="48"/>
        <v>13600</v>
      </c>
      <c r="BB18" s="14">
        <f t="shared" si="48"/>
        <v>0.013448198294825488</v>
      </c>
      <c r="BC18" s="14">
        <f t="shared" si="48"/>
        <v>3858017.50</v>
      </c>
      <c r="BD18" s="14">
        <f t="shared" si="48"/>
        <v>3512635</v>
      </c>
      <c r="BE18" s="14">
        <f t="shared" si="49" ref="BE18:BF18">IF(BE$12&gt;$B18,BE9,"")</f>
        <v>154566</v>
      </c>
      <c r="BF18" s="14">
        <f t="shared" si="49"/>
        <v>1307301.50</v>
      </c>
      <c r="BG18" s="14">
        <f t="shared" si="50" ref="BG18:BK18">IF(BG$12&gt;$B18,BG9,"")</f>
        <v>1314023.25</v>
      </c>
      <c r="BH18" s="14">
        <f t="shared" si="50"/>
        <v>3297867.1749999998</v>
      </c>
      <c r="BI18" s="14">
        <f t="shared" si="50"/>
        <v>3304588.9249999998</v>
      </c>
      <c r="BJ18" s="14">
        <f t="shared" si="50"/>
        <v>63.75</v>
      </c>
      <c r="BK18" s="14">
        <f t="shared" si="50"/>
        <v>24.25</v>
      </c>
    </row>
    <row r="19" spans="1:63" ht="13.2">
      <c r="A19" s="3" t="str">
        <f t="shared" si="26"/>
        <v>P90</v>
      </c>
      <c r="B19" s="3">
        <f t="shared" si="18"/>
        <v>4</v>
      </c>
      <c r="C19" s="14">
        <f t="shared" si="19"/>
        <v>111785.75</v>
      </c>
      <c r="D19" s="14">
        <f t="shared" si="51" ref="D19:AI19">IF(D$12&gt;$B19,D10,"")</f>
        <v>13</v>
      </c>
      <c r="E19" s="14">
        <f t="shared" si="51"/>
        <v>1408550</v>
      </c>
      <c r="F19" s="14" t="str">
        <f t="shared" si="51"/>
        <v/>
      </c>
      <c r="G19" s="14">
        <f t="shared" si="51"/>
        <v>1501259</v>
      </c>
      <c r="H19" s="14" t="str">
        <f t="shared" si="51"/>
        <v/>
      </c>
      <c r="I19" s="14" t="str">
        <f t="shared" si="51"/>
        <v/>
      </c>
      <c r="J19" s="14">
        <f t="shared" si="51"/>
        <v>2725000</v>
      </c>
      <c r="K19" s="14">
        <f t="shared" si="51"/>
        <v>1.9329427478598735</v>
      </c>
      <c r="L19" s="14" t="str">
        <f t="shared" si="51"/>
        <v/>
      </c>
      <c r="M19" s="14" t="str">
        <f t="shared" si="51"/>
        <v/>
      </c>
      <c r="N19" s="14">
        <f t="shared" si="51"/>
        <v>2725000</v>
      </c>
      <c r="O19" s="14">
        <f t="shared" si="51"/>
        <v>1.9329427478598735</v>
      </c>
      <c r="P19" s="14">
        <f t="shared" si="51"/>
        <v>4222830</v>
      </c>
      <c r="Q19" s="14">
        <f t="shared" si="51"/>
        <v>4133550</v>
      </c>
      <c r="R19" s="14" t="str">
        <f t="shared" si="51"/>
        <v/>
      </c>
      <c r="S19" s="14" t="str">
        <f t="shared" si="51"/>
        <v/>
      </c>
      <c r="T19" s="14">
        <f t="shared" si="51"/>
        <v>2725000</v>
      </c>
      <c r="U19" s="14">
        <f t="shared" si="51"/>
        <v>1.9329427478598735</v>
      </c>
      <c r="V19" s="14" t="str">
        <f t="shared" si="51"/>
        <v/>
      </c>
      <c r="W19" s="14" t="str">
        <f t="shared" si="51"/>
        <v/>
      </c>
      <c r="X19" s="14">
        <f t="shared" si="51"/>
        <v>2725000</v>
      </c>
      <c r="Y19" s="14">
        <f t="shared" si="51"/>
        <v>1.9329427478598735</v>
      </c>
      <c r="Z19" s="14">
        <f t="shared" si="51"/>
        <v>4222830</v>
      </c>
      <c r="AA19" s="14">
        <f t="shared" si="51"/>
        <v>4133550</v>
      </c>
      <c r="AB19" s="14" t="str">
        <f t="shared" si="51"/>
        <v/>
      </c>
      <c r="AC19" s="14" t="str">
        <f t="shared" si="51"/>
        <v/>
      </c>
      <c r="AD19" s="14" t="str">
        <f t="shared" si="51"/>
        <v/>
      </c>
      <c r="AE19" s="14" t="str">
        <f t="shared" si="51"/>
        <v/>
      </c>
      <c r="AF19" s="14" t="str">
        <f t="shared" si="51"/>
        <v/>
      </c>
      <c r="AG19" s="14" t="str">
        <f t="shared" si="51"/>
        <v/>
      </c>
      <c r="AH19" s="14" t="str">
        <f t="shared" si="51"/>
        <v/>
      </c>
      <c r="AI19" s="14" t="str">
        <f t="shared" si="51"/>
        <v/>
      </c>
      <c r="AJ19" s="14" t="str">
        <f t="shared" si="52" ref="AJ19:AO19">IF(AJ$12&gt;$B19,AJ10,"")</f>
        <v/>
      </c>
      <c r="AK19" s="14" t="str">
        <f t="shared" si="52"/>
        <v/>
      </c>
      <c r="AL19" s="14" t="str">
        <f t="shared" si="52"/>
        <v/>
      </c>
      <c r="AM19" s="14" t="str">
        <f t="shared" si="52"/>
        <v/>
      </c>
      <c r="AN19" s="14">
        <f t="shared" si="52"/>
        <v>4303074</v>
      </c>
      <c r="AO19" s="14">
        <f t="shared" si="52"/>
        <v>4222830</v>
      </c>
      <c r="AP19" s="14" t="str">
        <f t="shared" si="53" ref="AP19:AX19">IF(AP$12&gt;$B19,AP10,"")</f>
        <v/>
      </c>
      <c r="AQ19" s="14" t="str">
        <f t="shared" si="53"/>
        <v/>
      </c>
      <c r="AR19" s="14" t="str">
        <f t="shared" si="53"/>
        <v/>
      </c>
      <c r="AS19" s="14">
        <f t="shared" si="53"/>
        <v>3730</v>
      </c>
      <c r="AT19" s="14" t="str">
        <f t="shared" si="53"/>
        <v/>
      </c>
      <c r="AU19" s="14">
        <f t="shared" si="53"/>
        <v>189304.79999999993</v>
      </c>
      <c r="AV19" s="14">
        <f t="shared" si="53"/>
        <v>0.19173552333849159</v>
      </c>
      <c r="AW19" s="14">
        <f t="shared" si="53"/>
        <v>4472229</v>
      </c>
      <c r="AX19" s="14">
        <f t="shared" si="53"/>
        <v>4284996</v>
      </c>
      <c r="AY19" s="14">
        <f t="shared" si="54" ref="AY19:BD19">IF(AY$12&gt;$B19,AY10,"")</f>
        <v>13600</v>
      </c>
      <c r="AZ19" s="14" t="str">
        <f t="shared" si="54"/>
        <v/>
      </c>
      <c r="BA19" s="14">
        <f t="shared" si="54"/>
        <v>13600</v>
      </c>
      <c r="BB19" s="14">
        <f t="shared" si="54"/>
        <v>0.01437530772478187</v>
      </c>
      <c r="BC19" s="14">
        <f t="shared" si="54"/>
        <v>4483766</v>
      </c>
      <c r="BD19" s="14">
        <f t="shared" si="54"/>
        <v>4293257</v>
      </c>
      <c r="BE19" s="14">
        <f t="shared" si="55" ref="BE19:BF19">IF(BE$12&gt;$B19,BE10,"")</f>
        <v>213795</v>
      </c>
      <c r="BF19" s="14">
        <f t="shared" si="55"/>
        <v>1559996</v>
      </c>
      <c r="BG19" s="14">
        <f t="shared" si="56" ref="BG19:BK19">IF(BG$12&gt;$B19,BG10,"")</f>
        <v>1568257</v>
      </c>
      <c r="BH19" s="14">
        <f t="shared" si="56"/>
        <v>4284996</v>
      </c>
      <c r="BI19" s="14">
        <f t="shared" si="56"/>
        <v>4293257</v>
      </c>
      <c r="BJ19" s="14">
        <f t="shared" si="56"/>
        <v>64</v>
      </c>
      <c r="BK19" s="14">
        <f t="shared" si="56"/>
        <v>32.50</v>
      </c>
    </row>
    <row r="20" spans="1:63" ht="13.2">
      <c r="A20" s="3" t="str">
        <f t="shared" si="26"/>
        <v>Mean</v>
      </c>
      <c r="B20" s="3">
        <f t="shared" si="18"/>
        <v>0</v>
      </c>
      <c r="C20" s="14">
        <f t="shared" si="19"/>
        <v>91255.724166666667</v>
      </c>
      <c r="D20" s="14">
        <f t="shared" si="57" ref="D20:AI20">IF(D$12&gt;$B20,D11,"")</f>
        <v>12.66666666666668</v>
      </c>
      <c r="E20" s="14">
        <f t="shared" si="57"/>
        <v>1155507.1900000011</v>
      </c>
      <c r="F20" s="14">
        <f t="shared" si="57"/>
        <v>91260</v>
      </c>
      <c r="G20" s="14">
        <f t="shared" si="57"/>
        <v>1216347.1900000011</v>
      </c>
      <c r="H20" s="14" t="str">
        <f t="shared" si="57"/>
        <v/>
      </c>
      <c r="I20" s="14" t="str">
        <f t="shared" si="57"/>
        <v/>
      </c>
      <c r="J20" s="14">
        <f t="shared" si="57"/>
        <v>1525443.7808333335</v>
      </c>
      <c r="K20" s="14">
        <f t="shared" si="57"/>
        <v>1.2395532862143384</v>
      </c>
      <c r="L20" s="14">
        <f t="shared" si="57"/>
        <v>401206</v>
      </c>
      <c r="M20" s="14">
        <f t="shared" si="57"/>
        <v>0.40237288135593308</v>
      </c>
      <c r="N20" s="14">
        <f t="shared" si="57"/>
        <v>1592311.4475</v>
      </c>
      <c r="O20" s="14">
        <f t="shared" si="57"/>
        <v>1.3066154331069961</v>
      </c>
      <c r="P20" s="14">
        <f t="shared" si="57"/>
        <v>2808658.6374999997</v>
      </c>
      <c r="Q20" s="14">
        <f t="shared" si="57"/>
        <v>2747818.6374999997</v>
      </c>
      <c r="R20" s="14" t="str">
        <f t="shared" si="57"/>
        <v/>
      </c>
      <c r="S20" s="14" t="str">
        <f t="shared" si="57"/>
        <v/>
      </c>
      <c r="T20" s="14">
        <f t="shared" si="57"/>
        <v>1273818.2016666667</v>
      </c>
      <c r="U20" s="14">
        <f t="shared" si="57"/>
        <v>1.0100198923100432</v>
      </c>
      <c r="V20" s="14" t="str">
        <f t="shared" si="57"/>
        <v/>
      </c>
      <c r="W20" s="14" t="str">
        <f t="shared" si="57"/>
        <v/>
      </c>
      <c r="X20" s="14">
        <f t="shared" si="57"/>
        <v>1273818.2016666667</v>
      </c>
      <c r="Y20" s="14">
        <f t="shared" si="57"/>
        <v>1.0100198923100432</v>
      </c>
      <c r="Z20" s="14">
        <f t="shared" si="57"/>
        <v>2490165.3916666657</v>
      </c>
      <c r="AA20" s="14">
        <f t="shared" si="57"/>
        <v>2429325.3916666657</v>
      </c>
      <c r="AB20" s="14">
        <f t="shared" si="57"/>
        <v>360413.17804800003</v>
      </c>
      <c r="AC20" s="14">
        <f t="shared" si="57"/>
        <v>0.34117689461126255</v>
      </c>
      <c r="AD20" s="14" t="str">
        <f t="shared" si="57"/>
        <v/>
      </c>
      <c r="AE20" s="14" t="str">
        <f t="shared" si="57"/>
        <v/>
      </c>
      <c r="AF20" s="14">
        <f t="shared" si="57"/>
        <v>615024.48479999881</v>
      </c>
      <c r="AG20" s="14">
        <f t="shared" si="57"/>
        <v>0.60946377887790704</v>
      </c>
      <c r="AH20" s="14">
        <f t="shared" si="57"/>
        <v>892544</v>
      </c>
      <c r="AI20" s="14">
        <f t="shared" si="57"/>
        <v>0.89513990572660618</v>
      </c>
      <c r="AJ20" s="14">
        <f t="shared" si="58" ref="AJ20:AO20">IF(AJ$12&gt;$B20,AJ11,"")</f>
        <v>755001.50</v>
      </c>
      <c r="AK20" s="14">
        <f t="shared" si="58"/>
        <v>0.76237507075524447</v>
      </c>
      <c r="AL20" s="14">
        <f t="shared" si="58"/>
        <v>998252.28691199922</v>
      </c>
      <c r="AM20" s="14">
        <f t="shared" si="58"/>
        <v>0.99499862490104407</v>
      </c>
      <c r="AN20" s="14">
        <f t="shared" si="58"/>
        <v>3474160.1621079966</v>
      </c>
      <c r="AO20" s="14">
        <f t="shared" si="58"/>
        <v>3155666.9162746668</v>
      </c>
      <c r="AP20" s="14">
        <f t="shared" si="59" ref="AP20:AX20">IF(AP$12&gt;$B20,AP11,"")</f>
        <v>56668</v>
      </c>
      <c r="AQ20" s="14">
        <f t="shared" si="59"/>
        <v>38775</v>
      </c>
      <c r="AR20" s="14">
        <f t="shared" si="59"/>
        <v>216000</v>
      </c>
      <c r="AS20" s="14">
        <f t="shared" si="59"/>
        <v>2821.40</v>
      </c>
      <c r="AT20" s="14" t="str">
        <f t="shared" si="59"/>
        <v/>
      </c>
      <c r="AU20" s="14">
        <f t="shared" si="59"/>
        <v>95532.20</v>
      </c>
      <c r="AV20" s="14">
        <f t="shared" si="59"/>
        <v>0.089667356067408041</v>
      </c>
      <c r="AW20" s="14">
        <f t="shared" si="59"/>
        <v>3553770.3287746664</v>
      </c>
      <c r="AX20" s="14">
        <f t="shared" si="59"/>
        <v>3235277.0829413272</v>
      </c>
      <c r="AY20" s="14">
        <f t="shared" si="60" ref="AY20:BD20">IF(AY$12&gt;$B20,AY11,"")</f>
        <v>10510.833333333327</v>
      </c>
      <c r="AZ20" s="14" t="str">
        <f t="shared" si="60"/>
        <v/>
      </c>
      <c r="BA20" s="14">
        <f t="shared" si="60"/>
        <v>10510.833333333327</v>
      </c>
      <c r="BB20" s="14">
        <f t="shared" si="60"/>
        <v>0.0097234995504356294</v>
      </c>
      <c r="BC20" s="14">
        <f t="shared" si="60"/>
        <v>3564281.1621079966</v>
      </c>
      <c r="BD20" s="14">
        <f t="shared" si="60"/>
        <v>3245787.9162746668</v>
      </c>
      <c r="BE20" s="14">
        <f t="shared" si="61" ref="BE20:BF20">IF(BE$12&gt;$B20,BE11,"")</f>
        <v>140450.16666666666</v>
      </c>
      <c r="BF20" s="14">
        <f t="shared" si="61"/>
        <v>1295957.3566666681</v>
      </c>
      <c r="BG20" s="14">
        <f t="shared" si="62" ref="BG20:BK20">IF(BG$12&gt;$B20,BG11,"")</f>
        <v>1306468.1900000011</v>
      </c>
      <c r="BH20" s="14">
        <f t="shared" si="62"/>
        <v>2888268.8041666667</v>
      </c>
      <c r="BI20" s="14">
        <f t="shared" si="62"/>
        <v>2898779.6374999997</v>
      </c>
      <c r="BJ20" s="14">
        <f t="shared" si="62"/>
        <v>62.333333333333336</v>
      </c>
      <c r="BK20" s="14">
        <f t="shared" si="62"/>
        <v>17.666666666666668</v>
      </c>
    </row>
    <row r="22" spans="1:29" ht="50.1" customHeight="1">
      <c r="A22" s="15" t="s">
        <v>11</v>
      </c>
      <c r="B22" s="15" t="str">
        <f>"Rec Data Count Col "&amp;SUBSTITUTE(ADDRESS(1,COLUMN(CommonCo_Col),4),"1","")</f>
        <v>Rec Data Count Col CV</v>
      </c>
      <c r="C22" s="19">
        <f>SUM($B$23:$B$1000)</f>
        <v>6</v>
      </c>
      <c r="D22" s="15" t="str">
        <f>CONCATENATE("Company Sample Size (max ",COUNTA($A$23:$A$1000),")")</f>
        <v>Company Sample Size (max 6)</v>
      </c>
      <c r="E22" s="16">
        <f>COUNTIF($B$23:$B$1000,"&gt;0")</f>
        <v>6</v>
      </c>
      <c r="F22" s="15" t="s">
        <v>12</v>
      </c>
      <c r="G22" s="16">
        <f>COUNTIF($C$23:$C$1000,"&gt;40")</f>
        <v>0</v>
      </c>
      <c r="H22" s="17" t="str">
        <f>IF($C$22&lt;&gt;COUNTA(Working!$Z:$Z)-1,"Error in Datapoints",IF(AND(OR(LEFT($Q$23,1)="E",LEFT($Q$23,1)="F"),$C$22&lt;&gt;SUM($L$23:$L$45)),"Error in Nationality Count",""))</f>
        <v/>
      </c>
      <c r="K22" s="15" t="str">
        <f>CONCATENATE("Nationality = ",COUNTA($K$23:$K$45))</f>
        <v>Nationality = 23</v>
      </c>
      <c r="L22" s="15" t="s">
        <v>399</v>
      </c>
      <c r="M22" s="15" t="s">
        <v>28</v>
      </c>
      <c r="N22" s="7" t="s">
        <v>29</v>
      </c>
      <c r="O22" s="7" t="s">
        <v>111</v>
      </c>
      <c r="P22" s="7" t="s">
        <v>61</v>
      </c>
      <c r="Q22" s="7" t="s">
        <v>30</v>
      </c>
      <c r="R22" s="7" t="s">
        <v>89</v>
      </c>
      <c r="S22" s="7" t="s">
        <v>31</v>
      </c>
      <c r="T22" s="7" t="s">
        <v>32</v>
      </c>
      <c r="U22" s="7" t="s">
        <v>33</v>
      </c>
      <c r="V22" s="7" t="s">
        <v>34</v>
      </c>
      <c r="W22" s="7" t="s">
        <v>35</v>
      </c>
      <c r="X22" s="7" t="s">
        <v>36</v>
      </c>
      <c r="Y22" s="9" t="s">
        <v>230</v>
      </c>
      <c r="Z22" s="7" t="s">
        <v>37</v>
      </c>
      <c r="AA22" s="7" t="s">
        <v>43</v>
      </c>
      <c r="AB22" s="7" t="s">
        <v>206</v>
      </c>
      <c r="AC22" s="9" t="s">
        <v>207</v>
      </c>
    </row>
    <row r="23" spans="1:29" ht="13.2">
      <c r="A23" s="34" t="s">
        <v>445</v>
      </c>
      <c r="B23" s="18">
        <f t="shared" si="63" ref="B23:B86">COUNTIF(CommonCo_Col,A23)</f>
        <v>1</v>
      </c>
      <c r="C23" s="14">
        <f t="shared" si="64" ref="C23:C86">IF(AND($B23&gt;0,$C$22&gt;0),$B23/$C$22*100,0)</f>
        <v>16.666666666666664</v>
      </c>
      <c r="K23" s="6" t="s">
        <v>269</v>
      </c>
      <c r="L23" s="6">
        <f>COUNTIF(Working!$W:$W,$K23)</f>
        <v>0</v>
      </c>
      <c r="M23" s="6" t="s">
        <v>278</v>
      </c>
      <c r="N23" t="s">
        <v>445</v>
      </c>
      <c r="O23" t="s">
        <v>446</v>
      </c>
      <c r="P23" t="s">
        <v>447</v>
      </c>
      <c r="Q23" t="s">
        <v>448</v>
      </c>
      <c r="R23" t="s">
        <v>297</v>
      </c>
      <c r="S23" t="s">
        <v>150</v>
      </c>
      <c r="T23" t="s">
        <v>449</v>
      </c>
      <c r="U23" t="s">
        <v>450</v>
      </c>
      <c r="V23" t="s">
        <v>450</v>
      </c>
      <c r="W23" t="s">
        <v>451</v>
      </c>
      <c r="X23" t="s">
        <v>451</v>
      </c>
      <c r="Y23" t="s">
        <v>452</v>
      </c>
      <c r="Z23" t="s">
        <v>453</v>
      </c>
      <c r="AA23" s="31">
        <v>41091</v>
      </c>
      <c r="AB23" s="32" t="str">
        <f>TEXT($AA$23,"d-mmm-yy")&amp;" "&amp;$AB$24&amp;" "&amp;$AB$25&amp;" "&amp;$AB$26&amp;" "&amp;$AB$27&amp;$AB$28&amp;" "&amp;TEXT($AB$29,"d-mmm-yy")</f>
        <v>1-Jul-12     </v>
      </c>
      <c r="AC23" s="32" t="str">
        <f>IF(ISERROR(MATCH($S$23,Cal2_MoneyCode,0)),IF(ISERROR(MATCH($S$23,Cal2_MoneyEPS,0)),"",$S$23),INDEX(Cal2_MoneyEPS,MATCH($S$23,Cal2_MoneyCode,0)))</f>
        <v>Singapore Dollars (SGD)</v>
      </c>
    </row>
    <row r="24" spans="1:28" ht="13.2">
      <c r="A24" s="34" t="s">
        <v>446</v>
      </c>
      <c r="B24" s="18">
        <f t="shared" si="63"/>
        <v>1</v>
      </c>
      <c r="C24" s="14">
        <f t="shared" si="64"/>
        <v>16.666666666666664</v>
      </c>
      <c r="K24" s="6" t="s">
        <v>15</v>
      </c>
      <c r="L24" s="6">
        <f>COUNTIF(Working!$W:$W,$K24)</f>
        <v>0</v>
      </c>
      <c r="M24" s="6" t="s">
        <v>278</v>
      </c>
      <c r="R24" s="12" t="s">
        <v>119</v>
      </c>
      <c r="S24" s="20">
        <f>IF(ISERROR(MATCH($S$23,Cal2_MoneyEPS,0)),IF(ISERROR(MATCH($S$23,Cal2_MoneyCode,0)),1,INDEX(Cal2_MoneyRate,MATCH($S$23,Cal2_MoneyCode,0))),INDEX(Cal2_MoneyRate,MATCH($S$23,Cal2_MoneyEPS,0)))</f>
        <v>1.2510999999999985</v>
      </c>
      <c r="AB24" s="10" t="str">
        <f>IF($AB$25="","","aged by")</f>
        <v/>
      </c>
    </row>
    <row r="25" spans="1:28" ht="13.2">
      <c r="A25" s="34" t="s">
        <v>447</v>
      </c>
      <c r="B25" s="18">
        <f t="shared" si="63"/>
        <v>1</v>
      </c>
      <c r="C25" s="14">
        <f t="shared" si="64"/>
        <v>16.666666666666664</v>
      </c>
      <c r="F25" s="15" t="s">
        <v>120</v>
      </c>
      <c r="G25" s="15" t="s">
        <v>121</v>
      </c>
      <c r="H25" s="15" t="s">
        <v>122</v>
      </c>
      <c r="I25" s="15" t="s">
        <v>162</v>
      </c>
      <c r="J25" s="15" t="s">
        <v>283</v>
      </c>
      <c r="K25" s="6" t="s">
        <v>267</v>
      </c>
      <c r="L25" s="6">
        <f>COUNTIF(Working!$W:$W,$K25)</f>
        <v>0</v>
      </c>
      <c r="M25" s="6" t="s">
        <v>282</v>
      </c>
      <c r="Q25" s="12" t="s">
        <v>31</v>
      </c>
      <c r="R25" s="20" t="str">
        <f>IF(OR(LEFT($Q$23,1)="E",LEFT($Q$23,1)="F"),"USD",IF(ISERROR(FIND("-",$R$23,1)-1),(IF(ISERROR(MATCH($R$23,Cal2_MoneyCtryCode,0)),"USD",INDEX(Cal2_MoneyCode,MATCH($R$23,Cal2_MoneyCtryCode,0)))),(IF(ISERROR(MATCH(LEFT($R$23,FIND("-",$R$23)-1),Cal2_MoneyCtryCode,0)),"USD",INDEX(Cal2_MoneyCode,MATCH(LEFT($R$23,FIND("-",$R$23)-1),Cal2_MoneyCtryCode,0))))))</f>
        <v>SGD</v>
      </c>
      <c r="S25" s="20" t="str">
        <f>IF(ISERROR(MATCH($S$23,Cal2_MoneyEPS,0)),IF(ISERROR(MATCH($S$23,Cal2_MoneyCode,0)),"USD",INDEX(Cal2_MoneyCode,MATCH($S$23,Cal2_MoneyCode,0))),INDEX(Cal2_MoneyCode,MATCH($S$23,Cal2_MoneyEPS,0)))</f>
        <v>SGD</v>
      </c>
      <c r="T25" s="20" t="str">
        <f>IF(R25=S25,"",S25&amp;" 1 = "&amp;R25&amp;" "&amp;ROUND(INDEX(Cal2_MoneyRate,MATCH(R25,Cal2_MoneyCode,0))/Cal2_TargetRate,4))</f>
        <v/>
      </c>
      <c r="AB25" s="10" t="str">
        <f>IF($AB$30,Cal2_AgeMths,"")</f>
        <v/>
      </c>
    </row>
    <row r="26" spans="1:28" ht="13.2">
      <c r="A26" s="34" t="s">
        <v>448</v>
      </c>
      <c r="B26" s="18">
        <f t="shared" si="63"/>
        <v>1</v>
      </c>
      <c r="C26" s="14">
        <f t="shared" si="64"/>
        <v>16.666666666666664</v>
      </c>
      <c r="F26" s="6" t="s">
        <v>123</v>
      </c>
      <c r="G26" s="8">
        <v>0.96860000000000002</v>
      </c>
      <c r="H26" s="6" t="s">
        <v>124</v>
      </c>
      <c r="I26" s="6" t="s">
        <v>163</v>
      </c>
      <c r="J26" s="6" t="s">
        <v>284</v>
      </c>
      <c r="K26" s="6" t="s">
        <v>14</v>
      </c>
      <c r="L26" s="6">
        <f>COUNTIF(Working!$W:$W,$K26)</f>
        <v>0</v>
      </c>
      <c r="M26" s="6" t="s">
        <v>16</v>
      </c>
      <c r="R26" t="s">
        <v>425</v>
      </c>
      <c r="AB26" s="10" t="str">
        <f>IF($AB$25="","","mths at")</f>
        <v/>
      </c>
    </row>
    <row r="27" spans="1:28" ht="13.2">
      <c r="A27" s="34" t="s">
        <v>449</v>
      </c>
      <c r="B27" s="18">
        <f t="shared" si="63"/>
        <v>1</v>
      </c>
      <c r="C27" s="14">
        <f t="shared" si="64"/>
        <v>16.666666666666664</v>
      </c>
      <c r="F27" s="6" t="s">
        <v>125</v>
      </c>
      <c r="G27" s="8">
        <v>81.6999</v>
      </c>
      <c r="H27" s="6" t="s">
        <v>126</v>
      </c>
      <c r="I27" s="6" t="s">
        <v>164</v>
      </c>
      <c r="J27" s="6" t="s">
        <v>285</v>
      </c>
      <c r="K27" s="6" t="s">
        <v>16</v>
      </c>
      <c r="L27" s="6">
        <f>COUNTIF(Working!$W:$W,$K27)</f>
        <v>0</v>
      </c>
      <c r="M27" s="6" t="s">
        <v>16</v>
      </c>
      <c r="R27" t="s">
        <v>426</v>
      </c>
      <c r="AB27" s="10" t="str">
        <f>IF($AB$30,Cal2_AgePcts,"")</f>
        <v/>
      </c>
    </row>
    <row r="28" spans="1:28" ht="13.2">
      <c r="A28" s="34" t="s">
        <v>450</v>
      </c>
      <c r="B28" s="18">
        <f t="shared" si="63"/>
        <v>1</v>
      </c>
      <c r="C28" s="14">
        <f t="shared" si="64"/>
        <v>16.666666666666664</v>
      </c>
      <c r="F28" s="6" t="s">
        <v>367</v>
      </c>
      <c r="G28" s="8">
        <v>3995</v>
      </c>
      <c r="H28" s="6" t="s">
        <v>229</v>
      </c>
      <c r="I28" s="6" t="s">
        <v>165</v>
      </c>
      <c r="J28" s="6" t="s">
        <v>286</v>
      </c>
      <c r="K28" s="6" t="s">
        <v>13</v>
      </c>
      <c r="L28" s="6">
        <f>COUNTIF(Working!$W:$W,$K28)</f>
        <v>0</v>
      </c>
      <c r="M28" s="6" t="s">
        <v>277</v>
      </c>
      <c r="R28" t="s">
        <v>427</v>
      </c>
      <c r="AB28" s="10" t="str">
        <f>IF($AB$27="","","% to")</f>
        <v/>
      </c>
    </row>
    <row r="29" spans="1:28" ht="13.2">
      <c r="A29" s="34"/>
      <c r="B29" s="18">
        <f t="shared" si="63"/>
        <v>0</v>
      </c>
      <c r="C29" s="14">
        <f t="shared" si="64"/>
        <v>0</v>
      </c>
      <c r="F29" s="6" t="s">
        <v>127</v>
      </c>
      <c r="G29" s="8">
        <v>6.3190999999999997</v>
      </c>
      <c r="H29" s="6" t="s">
        <v>128</v>
      </c>
      <c r="I29" s="6" t="s">
        <v>166</v>
      </c>
      <c r="J29" s="6" t="s">
        <v>287</v>
      </c>
      <c r="K29" s="6" t="s">
        <v>23</v>
      </c>
      <c r="L29" s="6">
        <f>COUNTIF(Working!$W:$W,$K29)</f>
        <v>0</v>
      </c>
      <c r="M29" s="6" t="s">
        <v>277</v>
      </c>
      <c r="R29" t="s">
        <v>428</v>
      </c>
      <c r="AB29" s="33" t="str">
        <f>IF($AB$25="","",DATE(YEAR($AA$23),MONTH($AA$23)+$AB$25,DAY($AA$23)))</f>
        <v/>
      </c>
    </row>
    <row r="30" spans="1:28" ht="13.2">
      <c r="A30" s="34"/>
      <c r="B30" s="18">
        <f t="shared" si="63"/>
        <v>0</v>
      </c>
      <c r="C30" s="14">
        <f t="shared" si="64"/>
        <v>0</v>
      </c>
      <c r="F30" s="6" t="s">
        <v>130</v>
      </c>
      <c r="G30" s="8">
        <v>7.7575</v>
      </c>
      <c r="H30" s="6" t="s">
        <v>131</v>
      </c>
      <c r="I30" s="6" t="s">
        <v>167</v>
      </c>
      <c r="J30" s="6" t="s">
        <v>288</v>
      </c>
      <c r="K30" s="6" t="s">
        <v>17</v>
      </c>
      <c r="L30" s="6">
        <f>COUNTIF(Working!$W:$W,$K30)</f>
        <v>0</v>
      </c>
      <c r="M30" s="6" t="s">
        <v>279</v>
      </c>
      <c r="AB30" s="10" t="b">
        <f>IF(OR(LEN(Cal2_AgePcts)=0,VALUE(Cal2_AgePcts)=0),FALSE,IF(OR(LEN(Cal2_AgeMths)=0,VALUE(Cal2_AgeMths)=0),FALSE,TRUE))</f>
        <v>0</v>
      </c>
    </row>
    <row r="31" spans="1:13" ht="13.2">
      <c r="A31" s="34"/>
      <c r="B31" s="18">
        <f t="shared" si="63"/>
        <v>0</v>
      </c>
      <c r="C31" s="14">
        <f t="shared" si="64"/>
        <v>0</v>
      </c>
      <c r="E31" s="15" t="s">
        <v>204</v>
      </c>
      <c r="F31" s="6" t="s">
        <v>132</v>
      </c>
      <c r="G31" s="8">
        <v>51.33</v>
      </c>
      <c r="H31" s="6" t="s">
        <v>133</v>
      </c>
      <c r="I31" s="6" t="s">
        <v>168</v>
      </c>
      <c r="J31" s="6" t="s">
        <v>289</v>
      </c>
      <c r="K31" s="6" t="s">
        <v>109</v>
      </c>
      <c r="L31" s="6">
        <f>COUNTIF(Working!$W:$W,$K31)</f>
        <v>0</v>
      </c>
      <c r="M31" s="6" t="s">
        <v>279</v>
      </c>
    </row>
    <row r="32" spans="1:13" ht="13.2">
      <c r="A32" s="34"/>
      <c r="B32" s="18">
        <f t="shared" si="63"/>
        <v>0</v>
      </c>
      <c r="C32" s="14">
        <f t="shared" si="64"/>
        <v>0</v>
      </c>
      <c r="E32" s="14"/>
      <c r="F32" s="6" t="s">
        <v>134</v>
      </c>
      <c r="G32" s="8">
        <v>9160</v>
      </c>
      <c r="H32" s="6" t="s">
        <v>135</v>
      </c>
      <c r="I32" s="6" t="s">
        <v>169</v>
      </c>
      <c r="J32" s="6" t="s">
        <v>290</v>
      </c>
      <c r="K32" s="6" t="s">
        <v>18</v>
      </c>
      <c r="L32" s="6">
        <f>COUNTIF(Working!$W:$W,$K32)</f>
        <v>0</v>
      </c>
      <c r="M32" s="6" t="s">
        <v>279</v>
      </c>
    </row>
    <row r="33" spans="1:13" ht="13.2">
      <c r="A33" s="34"/>
      <c r="B33" s="18">
        <f t="shared" si="63"/>
        <v>0</v>
      </c>
      <c r="C33" s="14">
        <f t="shared" si="64"/>
        <v>0</v>
      </c>
      <c r="E33" s="15" t="s">
        <v>205</v>
      </c>
      <c r="F33" s="6" t="s">
        <v>136</v>
      </c>
      <c r="G33" s="8">
        <v>80.91</v>
      </c>
      <c r="H33" s="6" t="s">
        <v>137</v>
      </c>
      <c r="I33" s="6" t="s">
        <v>170</v>
      </c>
      <c r="J33" s="6" t="s">
        <v>291</v>
      </c>
      <c r="K33" s="6" t="s">
        <v>19</v>
      </c>
      <c r="L33" s="6">
        <f>COUNTIF(Working!$W:$W,$K33)</f>
        <v>0</v>
      </c>
      <c r="M33" s="6" t="s">
        <v>279</v>
      </c>
    </row>
    <row r="34" spans="1:13" ht="13.2">
      <c r="A34" s="34"/>
      <c r="B34" s="18">
        <f t="shared" si="63"/>
        <v>0</v>
      </c>
      <c r="C34" s="14">
        <f t="shared" si="64"/>
        <v>0</v>
      </c>
      <c r="E34" s="14"/>
      <c r="F34" s="6" t="s">
        <v>138</v>
      </c>
      <c r="G34" s="8">
        <v>1137</v>
      </c>
      <c r="H34" s="6" t="s">
        <v>139</v>
      </c>
      <c r="I34" s="6" t="s">
        <v>171</v>
      </c>
      <c r="J34" s="6" t="s">
        <v>292</v>
      </c>
      <c r="K34" s="6" t="s">
        <v>20</v>
      </c>
      <c r="L34" s="6">
        <f>COUNTIF(Working!$W:$W,$K34)</f>
        <v>0</v>
      </c>
      <c r="M34" s="6" t="s">
        <v>279</v>
      </c>
    </row>
    <row r="35" spans="1:13" ht="13.2">
      <c r="A35" s="34"/>
      <c r="B35" s="18">
        <f t="shared" si="63"/>
        <v>0</v>
      </c>
      <c r="C35" s="14">
        <f t="shared" si="64"/>
        <v>0</v>
      </c>
      <c r="E35" s="15" t="s">
        <v>402</v>
      </c>
      <c r="F35" s="6" t="s">
        <v>141</v>
      </c>
      <c r="G35" s="8">
        <v>3.0640000000000001</v>
      </c>
      <c r="H35" s="6" t="s">
        <v>142</v>
      </c>
      <c r="I35" s="6" t="s">
        <v>172</v>
      </c>
      <c r="J35" s="6" t="s">
        <v>293</v>
      </c>
      <c r="K35" s="6" t="s">
        <v>21</v>
      </c>
      <c r="L35" s="6">
        <f>COUNTIF(Working!$W:$W,$K35)</f>
        <v>0</v>
      </c>
      <c r="M35" s="6" t="s">
        <v>279</v>
      </c>
    </row>
    <row r="36" spans="1:13" ht="13.2">
      <c r="A36" s="34"/>
      <c r="B36" s="18">
        <f t="shared" si="63"/>
        <v>0</v>
      </c>
      <c r="C36" s="14">
        <f t="shared" si="64"/>
        <v>0</v>
      </c>
      <c r="E36" s="18" t="b">
        <v>0</v>
      </c>
      <c r="F36" s="6" t="s">
        <v>143</v>
      </c>
      <c r="G36" s="8">
        <v>1.2185999999999984</v>
      </c>
      <c r="H36" s="6" t="s">
        <v>144</v>
      </c>
      <c r="I36" s="6" t="s">
        <v>173</v>
      </c>
      <c r="J36" s="6" t="s">
        <v>294</v>
      </c>
      <c r="K36" s="6" t="s">
        <v>22</v>
      </c>
      <c r="L36" s="6">
        <f>COUNTIF(Working!$W:$W,$K36)</f>
        <v>0</v>
      </c>
      <c r="M36" s="6" t="s">
        <v>279</v>
      </c>
    </row>
    <row r="37" spans="1:13" ht="13.2">
      <c r="A37" s="34"/>
      <c r="B37" s="18">
        <f t="shared" si="63"/>
        <v>0</v>
      </c>
      <c r="C37" s="14">
        <f t="shared" si="64"/>
        <v>0</v>
      </c>
      <c r="E37" s="15" t="s">
        <v>401</v>
      </c>
      <c r="F37" s="6" t="s">
        <v>145</v>
      </c>
      <c r="G37" s="8">
        <v>90.50</v>
      </c>
      <c r="H37" s="6" t="s">
        <v>146</v>
      </c>
      <c r="I37" s="6" t="s">
        <v>174</v>
      </c>
      <c r="J37" s="6" t="s">
        <v>295</v>
      </c>
      <c r="K37" s="6" t="s">
        <v>25</v>
      </c>
      <c r="L37" s="6">
        <f>COUNTIF(Working!$W:$W,$K37)</f>
        <v>0</v>
      </c>
      <c r="M37" s="6" t="s">
        <v>279</v>
      </c>
    </row>
    <row r="38" spans="1:13" ht="13.2">
      <c r="A38" s="34"/>
      <c r="B38" s="18">
        <f t="shared" si="63"/>
        <v>0</v>
      </c>
      <c r="C38" s="14">
        <f t="shared" si="64"/>
        <v>0</v>
      </c>
      <c r="E38" s="18" t="b">
        <v>1</v>
      </c>
      <c r="F38" s="6" t="s">
        <v>147</v>
      </c>
      <c r="G38" s="8">
        <v>42.72</v>
      </c>
      <c r="H38" s="6" t="s">
        <v>148</v>
      </c>
      <c r="I38" s="6" t="s">
        <v>175</v>
      </c>
      <c r="J38" s="6" t="s">
        <v>296</v>
      </c>
      <c r="K38" s="6" t="s">
        <v>26</v>
      </c>
      <c r="L38" s="6">
        <f>COUNTIF(Working!$W:$W,$K38)</f>
        <v>0</v>
      </c>
      <c r="M38" s="6" t="s">
        <v>279</v>
      </c>
    </row>
    <row r="39" spans="1:13" ht="13.2">
      <c r="A39" s="34"/>
      <c r="B39" s="18">
        <f t="shared" si="63"/>
        <v>0</v>
      </c>
      <c r="C39" s="14">
        <f t="shared" si="64"/>
        <v>0</v>
      </c>
      <c r="E39" s="15" t="s">
        <v>403</v>
      </c>
      <c r="F39" s="6" t="s">
        <v>149</v>
      </c>
      <c r="G39" s="8">
        <v>1.2510999999999985</v>
      </c>
      <c r="H39" s="6" t="s">
        <v>150</v>
      </c>
      <c r="I39" s="6" t="s">
        <v>176</v>
      </c>
      <c r="J39" s="6" t="s">
        <v>297</v>
      </c>
      <c r="K39" s="6" t="s">
        <v>268</v>
      </c>
      <c r="L39" s="6">
        <f>COUNTIF(Working!$W:$W,$K39)</f>
        <v>0</v>
      </c>
      <c r="M39" s="6" t="s">
        <v>279</v>
      </c>
    </row>
    <row r="40" spans="1:13" ht="13.2">
      <c r="A40" s="34"/>
      <c r="B40" s="18">
        <f t="shared" si="63"/>
        <v>0</v>
      </c>
      <c r="C40" s="14">
        <f t="shared" si="64"/>
        <v>0</v>
      </c>
      <c r="E40" s="18" t="str">
        <f>UPPER(LEFT(MID(CELL("filename"),SEARCH("[",CELL("filename"))+1,SEARCH("]",CELL("filename"))-SEARCH("[",CELL("filename"))-1),2))</f>
        <v>SG</v>
      </c>
      <c r="F40" s="6" t="s">
        <v>151</v>
      </c>
      <c r="G40" s="8">
        <v>128.65</v>
      </c>
      <c r="H40" s="6" t="s">
        <v>152</v>
      </c>
      <c r="I40" s="6" t="s">
        <v>177</v>
      </c>
      <c r="J40" s="6" t="s">
        <v>298</v>
      </c>
      <c r="K40" s="6" t="s">
        <v>110</v>
      </c>
      <c r="L40" s="6">
        <f>COUNTIF(Working!$W:$W,$K40)</f>
        <v>0</v>
      </c>
      <c r="M40" s="6" t="s">
        <v>279</v>
      </c>
    </row>
    <row r="41" spans="1:13" ht="13.2">
      <c r="A41" s="34"/>
      <c r="B41" s="18">
        <f t="shared" si="63"/>
        <v>0</v>
      </c>
      <c r="C41" s="14">
        <f t="shared" si="64"/>
        <v>0</v>
      </c>
      <c r="E41" s="15" t="s">
        <v>400</v>
      </c>
      <c r="F41" s="6" t="s">
        <v>155</v>
      </c>
      <c r="G41" s="8">
        <v>29.51</v>
      </c>
      <c r="H41" s="6" t="s">
        <v>156</v>
      </c>
      <c r="I41" s="6" t="s">
        <v>178</v>
      </c>
      <c r="J41" s="6" t="s">
        <v>299</v>
      </c>
      <c r="K41" s="6" t="s">
        <v>27</v>
      </c>
      <c r="L41" s="6">
        <f>COUNTIF(Working!$W:$W,$K41)</f>
        <v>0</v>
      </c>
      <c r="M41" s="6" t="s">
        <v>279</v>
      </c>
    </row>
    <row r="42" spans="1:13" ht="13.2">
      <c r="A42" s="34"/>
      <c r="B42" s="18">
        <f t="shared" si="63"/>
        <v>0</v>
      </c>
      <c r="C42" s="14">
        <f t="shared" si="64"/>
        <v>0</v>
      </c>
      <c r="E42" s="14" t="b">
        <f>IF(E36,TRUE,IF(NOT(E38),FALSE,IF(ISERROR(SEARCH("["&amp;E40&amp;"]","[IN][BD][LK][PK]",1)),FALSE,TRUE)))</f>
        <v>0</v>
      </c>
      <c r="F42" s="6" t="s">
        <v>157</v>
      </c>
      <c r="G42" s="8">
        <v>30.83</v>
      </c>
      <c r="H42" s="6" t="s">
        <v>158</v>
      </c>
      <c r="I42" s="6" t="s">
        <v>179</v>
      </c>
      <c r="J42" s="6" t="s">
        <v>300</v>
      </c>
      <c r="K42" s="6" t="s">
        <v>114</v>
      </c>
      <c r="L42" s="6">
        <f>COUNTIF(Working!$W:$W,$K42)</f>
        <v>0</v>
      </c>
      <c r="M42" s="6" t="s">
        <v>279</v>
      </c>
    </row>
    <row r="43" spans="1:13" ht="13.2">
      <c r="A43" s="34"/>
      <c r="B43" s="18">
        <f t="shared" si="63"/>
        <v>0</v>
      </c>
      <c r="C43" s="14">
        <f t="shared" si="64"/>
        <v>0</v>
      </c>
      <c r="F43" s="6" t="s">
        <v>159</v>
      </c>
      <c r="G43" s="8">
        <v>20745</v>
      </c>
      <c r="H43" s="6" t="s">
        <v>160</v>
      </c>
      <c r="I43" s="6" t="s">
        <v>180</v>
      </c>
      <c r="J43" s="6" t="s">
        <v>301</v>
      </c>
      <c r="K43" s="6" t="s">
        <v>24</v>
      </c>
      <c r="L43" s="6">
        <f>COUNTIF(Working!$W:$W,$K43)</f>
        <v>0</v>
      </c>
      <c r="M43" s="6" t="s">
        <v>24</v>
      </c>
    </row>
    <row r="44" spans="1:13" ht="13.2">
      <c r="A44" s="34"/>
      <c r="B44" s="18">
        <f t="shared" si="63"/>
        <v>0</v>
      </c>
      <c r="C44" s="14">
        <f t="shared" si="64"/>
        <v>0</v>
      </c>
      <c r="F44" s="6" t="s">
        <v>213</v>
      </c>
      <c r="G44" s="8">
        <v>13.185600000000004</v>
      </c>
      <c r="H44" s="6" t="s">
        <v>182</v>
      </c>
      <c r="I44" s="6" t="s">
        <v>183</v>
      </c>
      <c r="J44" s="6" t="s">
        <v>354</v>
      </c>
      <c r="K44" s="6" t="s">
        <v>266</v>
      </c>
      <c r="L44" s="6">
        <f>COUNTIF(Working!$W:$W,$K44)</f>
        <v>0</v>
      </c>
      <c r="M44" s="6" t="s">
        <v>281</v>
      </c>
    </row>
    <row r="45" spans="1:13" ht="13.2">
      <c r="A45" s="34"/>
      <c r="B45" s="18">
        <f t="shared" si="63"/>
        <v>0</v>
      </c>
      <c r="C45" s="14">
        <f t="shared" si="64"/>
        <v>0</v>
      </c>
      <c r="F45" s="6" t="s">
        <v>129</v>
      </c>
      <c r="G45" s="8">
        <v>5.7131999999999996</v>
      </c>
      <c r="H45" s="6" t="s">
        <v>184</v>
      </c>
      <c r="I45" s="6" t="s">
        <v>185</v>
      </c>
      <c r="J45" s="6" t="s">
        <v>351</v>
      </c>
      <c r="K45" s="6" t="s">
        <v>265</v>
      </c>
      <c r="L45" s="6">
        <f>COUNTIF(Working!$W:$W,$K45)</f>
        <v>0</v>
      </c>
      <c r="M45" s="6" t="s">
        <v>280</v>
      </c>
    </row>
    <row r="46" spans="1:10" ht="13.2">
      <c r="A46" s="34"/>
      <c r="B46" s="18">
        <f t="shared" si="63"/>
        <v>0</v>
      </c>
      <c r="C46" s="14">
        <f t="shared" si="64"/>
        <v>0</v>
      </c>
      <c r="F46" s="6" t="s">
        <v>208</v>
      </c>
      <c r="G46" s="8">
        <v>0.63180000000000003</v>
      </c>
      <c r="H46" s="6" t="s">
        <v>186</v>
      </c>
      <c r="I46" s="6" t="s">
        <v>187</v>
      </c>
      <c r="J46" s="6" t="s">
        <v>349</v>
      </c>
    </row>
    <row r="47" spans="1:10" ht="13.2">
      <c r="A47" s="34"/>
      <c r="B47" s="18">
        <f t="shared" si="63"/>
        <v>0</v>
      </c>
      <c r="C47" s="14">
        <f t="shared" si="64"/>
        <v>0</v>
      </c>
      <c r="F47" s="6" t="s">
        <v>209</v>
      </c>
      <c r="G47" s="8">
        <v>0.99960000000000004</v>
      </c>
      <c r="H47" s="6" t="s">
        <v>398</v>
      </c>
      <c r="I47" s="6" t="s">
        <v>396</v>
      </c>
      <c r="J47" s="6" t="s">
        <v>350</v>
      </c>
    </row>
    <row r="48" spans="1:10" ht="13.2">
      <c r="A48" s="34"/>
      <c r="B48" s="18">
        <f t="shared" si="63"/>
        <v>0</v>
      </c>
      <c r="C48" s="14">
        <f t="shared" si="64"/>
        <v>0</v>
      </c>
      <c r="F48" s="6" t="s">
        <v>211</v>
      </c>
      <c r="G48" s="8">
        <v>0.76790000000000003</v>
      </c>
      <c r="H48" s="6" t="s">
        <v>188</v>
      </c>
      <c r="I48" s="6" t="s">
        <v>189</v>
      </c>
      <c r="J48" s="6"/>
    </row>
    <row r="49" spans="1:10" ht="13.2">
      <c r="A49" s="34"/>
      <c r="B49" s="18">
        <f t="shared" si="63"/>
        <v>0</v>
      </c>
      <c r="C49" s="14">
        <f t="shared" si="64"/>
        <v>0</v>
      </c>
      <c r="F49" s="6" t="s">
        <v>215</v>
      </c>
      <c r="G49" s="8">
        <v>6.8197999999999999</v>
      </c>
      <c r="H49" s="6" t="s">
        <v>190</v>
      </c>
      <c r="I49" s="6" t="s">
        <v>191</v>
      </c>
      <c r="J49" s="6" t="s">
        <v>357</v>
      </c>
    </row>
    <row r="50" spans="1:10" ht="13.2">
      <c r="A50" s="34"/>
      <c r="B50" s="18">
        <f t="shared" si="63"/>
        <v>0</v>
      </c>
      <c r="C50" s="14">
        <f t="shared" si="64"/>
        <v>0</v>
      </c>
      <c r="F50" s="6" t="s">
        <v>153</v>
      </c>
      <c r="G50" s="8">
        <v>0.92300000000000004</v>
      </c>
      <c r="H50" s="6" t="s">
        <v>192</v>
      </c>
      <c r="I50" s="6" t="s">
        <v>193</v>
      </c>
      <c r="J50" s="6" t="s">
        <v>358</v>
      </c>
    </row>
    <row r="51" spans="1:10" ht="13.2">
      <c r="A51" s="34"/>
      <c r="B51" s="18">
        <f t="shared" si="63"/>
        <v>0</v>
      </c>
      <c r="C51" s="14">
        <f t="shared" si="64"/>
        <v>0</v>
      </c>
      <c r="F51" s="6" t="s">
        <v>140</v>
      </c>
      <c r="G51" s="8">
        <v>7.9922000000000004</v>
      </c>
      <c r="H51" s="6" t="s">
        <v>194</v>
      </c>
      <c r="I51" s="6" t="s">
        <v>195</v>
      </c>
      <c r="J51" s="6" t="s">
        <v>353</v>
      </c>
    </row>
    <row r="52" spans="1:10" ht="13.2">
      <c r="A52" s="34"/>
      <c r="B52" s="18">
        <f t="shared" si="63"/>
        <v>0</v>
      </c>
      <c r="C52" s="14">
        <f t="shared" si="64"/>
        <v>0</v>
      </c>
      <c r="F52" s="6" t="s">
        <v>154</v>
      </c>
      <c r="G52" s="8">
        <v>7.9767000000000072</v>
      </c>
      <c r="H52" s="6" t="s">
        <v>196</v>
      </c>
      <c r="I52" s="6" t="s">
        <v>197</v>
      </c>
      <c r="J52" s="6" t="s">
        <v>356</v>
      </c>
    </row>
    <row r="53" spans="1:10" ht="13.2">
      <c r="A53" s="34"/>
      <c r="B53" s="18">
        <f t="shared" si="63"/>
        <v>0</v>
      </c>
      <c r="C53" s="14">
        <f t="shared" si="64"/>
        <v>0</v>
      </c>
      <c r="F53" s="6" t="s">
        <v>210</v>
      </c>
      <c r="G53" s="8">
        <v>6.0359999999999996</v>
      </c>
      <c r="H53" s="6" t="s">
        <v>198</v>
      </c>
      <c r="I53" s="6" t="s">
        <v>199</v>
      </c>
      <c r="J53" s="6" t="s">
        <v>302</v>
      </c>
    </row>
    <row r="54" spans="1:10" ht="13.2">
      <c r="A54" s="34"/>
      <c r="B54" s="18">
        <f t="shared" si="63"/>
        <v>0</v>
      </c>
      <c r="C54" s="14">
        <f t="shared" si="64"/>
        <v>0</v>
      </c>
      <c r="F54" s="6" t="s">
        <v>212</v>
      </c>
      <c r="G54" s="8">
        <v>7.7284999999999995</v>
      </c>
      <c r="H54" s="6" t="s">
        <v>200</v>
      </c>
      <c r="I54" s="6" t="s">
        <v>201</v>
      </c>
      <c r="J54" s="6" t="s">
        <v>352</v>
      </c>
    </row>
    <row r="55" spans="1:10" ht="13.2">
      <c r="A55" s="34"/>
      <c r="B55" s="18">
        <f t="shared" si="63"/>
        <v>0</v>
      </c>
      <c r="C55" s="14">
        <f t="shared" si="64"/>
        <v>0</v>
      </c>
      <c r="F55" s="6" t="s">
        <v>216</v>
      </c>
      <c r="G55" s="8">
        <v>1.7965</v>
      </c>
      <c r="H55" s="6" t="s">
        <v>202</v>
      </c>
      <c r="I55" s="6" t="s">
        <v>203</v>
      </c>
      <c r="J55" s="6" t="s">
        <v>303</v>
      </c>
    </row>
    <row r="56" spans="1:10" ht="13.2">
      <c r="A56" s="34"/>
      <c r="B56" s="18">
        <f t="shared" si="63"/>
        <v>0</v>
      </c>
      <c r="C56" s="14">
        <f t="shared" si="64"/>
        <v>0</v>
      </c>
      <c r="F56" s="6" t="s">
        <v>214</v>
      </c>
      <c r="G56" s="8">
        <v>29.58899999999997</v>
      </c>
      <c r="H56" s="6" t="s">
        <v>217</v>
      </c>
      <c r="I56" s="6" t="s">
        <v>218</v>
      </c>
      <c r="J56" s="6" t="s">
        <v>355</v>
      </c>
    </row>
    <row r="57" spans="1:10" ht="13.2">
      <c r="A57" s="34"/>
      <c r="B57" s="18">
        <f t="shared" si="63"/>
        <v>0</v>
      </c>
      <c r="C57" s="14">
        <f t="shared" si="64"/>
        <v>0</v>
      </c>
      <c r="F57" s="6" t="s">
        <v>330</v>
      </c>
      <c r="G57" s="8">
        <v>1.2482</v>
      </c>
      <c r="H57" s="6" t="s">
        <v>331</v>
      </c>
      <c r="I57" s="6" t="s">
        <v>332</v>
      </c>
      <c r="J57" s="6" t="s">
        <v>333</v>
      </c>
    </row>
    <row r="58" spans="1:10" ht="13.2">
      <c r="A58" s="34"/>
      <c r="B58" s="18">
        <f t="shared" si="63"/>
        <v>0</v>
      </c>
      <c r="C58" s="14">
        <f t="shared" si="64"/>
        <v>0</v>
      </c>
      <c r="F58" s="6" t="s">
        <v>334</v>
      </c>
      <c r="G58" s="8">
        <v>7967.50</v>
      </c>
      <c r="H58" s="6" t="s">
        <v>335</v>
      </c>
      <c r="I58" s="6" t="s">
        <v>336</v>
      </c>
      <c r="J58" s="6" t="s">
        <v>337</v>
      </c>
    </row>
    <row r="59" spans="1:10" ht="13.2">
      <c r="A59" s="34"/>
      <c r="B59" s="18">
        <f t="shared" si="63"/>
        <v>0</v>
      </c>
      <c r="C59" s="14">
        <f t="shared" si="64"/>
        <v>0</v>
      </c>
      <c r="F59" s="6" t="s">
        <v>338</v>
      </c>
      <c r="G59" s="8">
        <v>822.50</v>
      </c>
      <c r="H59" s="6" t="s">
        <v>339</v>
      </c>
      <c r="I59" s="6" t="s">
        <v>340</v>
      </c>
      <c r="J59" s="6" t="s">
        <v>341</v>
      </c>
    </row>
    <row r="60" spans="1:10" ht="13.2">
      <c r="A60" s="34"/>
      <c r="B60" s="18">
        <f t="shared" si="63"/>
        <v>0</v>
      </c>
      <c r="C60" s="14">
        <f t="shared" si="64"/>
        <v>0</v>
      </c>
      <c r="F60" s="6" t="s">
        <v>359</v>
      </c>
      <c r="G60" s="8">
        <v>3.7488999999999999</v>
      </c>
      <c r="H60" s="6" t="s">
        <v>360</v>
      </c>
      <c r="I60" s="6" t="s">
        <v>361</v>
      </c>
      <c r="J60" s="6" t="s">
        <v>362</v>
      </c>
    </row>
    <row r="61" spans="1:10" ht="13.2">
      <c r="A61" s="34"/>
      <c r="B61" s="18">
        <f t="shared" si="63"/>
        <v>0</v>
      </c>
      <c r="C61" s="14">
        <f t="shared" si="64"/>
        <v>0</v>
      </c>
      <c r="F61" s="6" t="s">
        <v>363</v>
      </c>
      <c r="G61" s="8">
        <v>3.673</v>
      </c>
      <c r="H61" s="6" t="s">
        <v>364</v>
      </c>
      <c r="I61" s="6" t="s">
        <v>365</v>
      </c>
      <c r="J61" s="6" t="s">
        <v>366</v>
      </c>
    </row>
    <row r="62" spans="1:10" ht="13.2">
      <c r="A62" s="34"/>
      <c r="B62" s="18">
        <f t="shared" si="63"/>
        <v>0</v>
      </c>
      <c r="C62" s="14">
        <f t="shared" si="64"/>
        <v>0</v>
      </c>
      <c r="F62" s="6"/>
      <c r="G62" s="8">
        <v>1</v>
      </c>
      <c r="H62" s="6" t="s">
        <v>161</v>
      </c>
      <c r="I62" s="6" t="s">
        <v>181</v>
      </c>
      <c r="J62" s="6" t="s">
        <v>397</v>
      </c>
    </row>
    <row r="63" spans="1:3" ht="13.2">
      <c r="A63" s="34"/>
      <c r="B63" s="18">
        <f t="shared" si="63"/>
        <v>0</v>
      </c>
      <c r="C63" s="14">
        <f t="shared" si="64"/>
        <v>0</v>
      </c>
    </row>
    <row r="64" spans="1:3" ht="13.2">
      <c r="A64" s="34"/>
      <c r="B64" s="18">
        <f t="shared" si="63"/>
        <v>0</v>
      </c>
      <c r="C64" s="14">
        <f t="shared" si="64"/>
        <v>0</v>
      </c>
    </row>
    <row r="65" spans="1:3" ht="13.2">
      <c r="A65" s="34"/>
      <c r="B65" s="18">
        <f t="shared" si="63"/>
        <v>0</v>
      </c>
      <c r="C65" s="14">
        <f t="shared" si="64"/>
        <v>0</v>
      </c>
    </row>
    <row r="66" spans="1:3" ht="13.2">
      <c r="A66" s="34"/>
      <c r="B66" s="18">
        <f t="shared" si="63"/>
        <v>0</v>
      </c>
      <c r="C66" s="14">
        <f t="shared" si="64"/>
        <v>0</v>
      </c>
    </row>
    <row r="67" spans="1:3" ht="13.2">
      <c r="A67" s="34"/>
      <c r="B67" s="18">
        <f t="shared" si="63"/>
        <v>0</v>
      </c>
      <c r="C67" s="14">
        <f t="shared" si="64"/>
        <v>0</v>
      </c>
    </row>
    <row r="68" spans="1:3" ht="13.2">
      <c r="A68" s="34"/>
      <c r="B68" s="18">
        <f t="shared" si="63"/>
        <v>0</v>
      </c>
      <c r="C68" s="14">
        <f t="shared" si="64"/>
        <v>0</v>
      </c>
    </row>
    <row r="69" spans="1:3" ht="13.2">
      <c r="A69" s="34"/>
      <c r="B69" s="18">
        <f t="shared" si="63"/>
        <v>0</v>
      </c>
      <c r="C69" s="14">
        <f t="shared" si="64"/>
        <v>0</v>
      </c>
    </row>
    <row r="70" spans="1:3" ht="13.2">
      <c r="A70" s="34"/>
      <c r="B70" s="18">
        <f t="shared" si="63"/>
        <v>0</v>
      </c>
      <c r="C70" s="14">
        <f t="shared" si="64"/>
        <v>0</v>
      </c>
    </row>
    <row r="71" spans="1:3" ht="13.2">
      <c r="A71" s="34"/>
      <c r="B71" s="18">
        <f t="shared" si="63"/>
        <v>0</v>
      </c>
      <c r="C71" s="14">
        <f t="shared" si="64"/>
        <v>0</v>
      </c>
    </row>
    <row r="72" spans="1:3" ht="13.2">
      <c r="A72" s="34"/>
      <c r="B72" s="18">
        <f t="shared" si="63"/>
        <v>0</v>
      </c>
      <c r="C72" s="14">
        <f t="shared" si="64"/>
        <v>0</v>
      </c>
    </row>
    <row r="73" spans="1:3" ht="13.2">
      <c r="A73" s="34"/>
      <c r="B73" s="18">
        <f t="shared" si="63"/>
        <v>0</v>
      </c>
      <c r="C73" s="14">
        <f t="shared" si="64"/>
        <v>0</v>
      </c>
    </row>
    <row r="74" spans="1:3" ht="13.2">
      <c r="A74" s="34"/>
      <c r="B74" s="18">
        <f t="shared" si="63"/>
        <v>0</v>
      </c>
      <c r="C74" s="14">
        <f t="shared" si="64"/>
        <v>0</v>
      </c>
    </row>
    <row r="75" spans="1:3" ht="13.2">
      <c r="A75" s="34"/>
      <c r="B75" s="18">
        <f t="shared" si="63"/>
        <v>0</v>
      </c>
      <c r="C75" s="14">
        <f t="shared" si="64"/>
        <v>0</v>
      </c>
    </row>
    <row r="76" spans="1:3" ht="13.2">
      <c r="A76" s="34"/>
      <c r="B76" s="18">
        <f t="shared" si="63"/>
        <v>0</v>
      </c>
      <c r="C76" s="14">
        <f t="shared" si="64"/>
        <v>0</v>
      </c>
    </row>
    <row r="77" spans="1:3" ht="13.2">
      <c r="A77" s="34"/>
      <c r="B77" s="18">
        <f t="shared" si="63"/>
        <v>0</v>
      </c>
      <c r="C77" s="14">
        <f t="shared" si="64"/>
        <v>0</v>
      </c>
    </row>
    <row r="78" spans="1:3" ht="13.2">
      <c r="A78" s="34"/>
      <c r="B78" s="18">
        <f t="shared" si="63"/>
        <v>0</v>
      </c>
      <c r="C78" s="14">
        <f t="shared" si="64"/>
        <v>0</v>
      </c>
    </row>
    <row r="79" spans="1:3" ht="13.2">
      <c r="A79" s="34"/>
      <c r="B79" s="18">
        <f t="shared" si="63"/>
        <v>0</v>
      </c>
      <c r="C79" s="14">
        <f t="shared" si="64"/>
        <v>0</v>
      </c>
    </row>
    <row r="80" spans="1:3" ht="13.2">
      <c r="A80" s="34"/>
      <c r="B80" s="18">
        <f t="shared" si="63"/>
        <v>0</v>
      </c>
      <c r="C80" s="14">
        <f t="shared" si="64"/>
        <v>0</v>
      </c>
    </row>
    <row r="81" spans="1:3" ht="13.2">
      <c r="A81" s="34"/>
      <c r="B81" s="18">
        <f t="shared" si="63"/>
        <v>0</v>
      </c>
      <c r="C81" s="14">
        <f t="shared" si="64"/>
        <v>0</v>
      </c>
    </row>
    <row r="82" spans="1:3" ht="13.2">
      <c r="A82" s="34"/>
      <c r="B82" s="18">
        <f t="shared" si="63"/>
        <v>0</v>
      </c>
      <c r="C82" s="14">
        <f t="shared" si="64"/>
        <v>0</v>
      </c>
    </row>
    <row r="83" spans="1:3" ht="13.2">
      <c r="A83" s="34"/>
      <c r="B83" s="18">
        <f t="shared" si="63"/>
        <v>0</v>
      </c>
      <c r="C83" s="14">
        <f t="shared" si="64"/>
        <v>0</v>
      </c>
    </row>
    <row r="84" spans="1:3" ht="13.2">
      <c r="A84" s="34"/>
      <c r="B84" s="18">
        <f t="shared" si="63"/>
        <v>0</v>
      </c>
      <c r="C84" s="14">
        <f t="shared" si="64"/>
        <v>0</v>
      </c>
    </row>
    <row r="85" spans="1:3" ht="13.2">
      <c r="A85" s="34"/>
      <c r="B85" s="18">
        <f t="shared" si="63"/>
        <v>0</v>
      </c>
      <c r="C85" s="14">
        <f t="shared" si="64"/>
        <v>0</v>
      </c>
    </row>
    <row r="86" spans="1:3" ht="13.2">
      <c r="A86" s="34"/>
      <c r="B86" s="18">
        <f t="shared" si="63"/>
        <v>0</v>
      </c>
      <c r="C86" s="14">
        <f t="shared" si="64"/>
        <v>0</v>
      </c>
    </row>
    <row r="87" spans="1:3" ht="13.2">
      <c r="A87" s="34"/>
      <c r="B87" s="18">
        <f t="shared" si="65" ref="B87:B150">COUNTIF(CommonCo_Col,A87)</f>
        <v>0</v>
      </c>
      <c r="C87" s="14">
        <f t="shared" si="66" ref="C87:C150">IF(AND($B87&gt;0,$C$22&gt;0),$B87/$C$22*100,0)</f>
        <v>0</v>
      </c>
    </row>
    <row r="88" spans="1:3" ht="13.2">
      <c r="A88" s="34"/>
      <c r="B88" s="18">
        <f t="shared" si="65"/>
        <v>0</v>
      </c>
      <c r="C88" s="14">
        <f t="shared" si="66"/>
        <v>0</v>
      </c>
    </row>
    <row r="89" spans="1:3" ht="13.2">
      <c r="A89" s="34"/>
      <c r="B89" s="18">
        <f t="shared" si="65"/>
        <v>0</v>
      </c>
      <c r="C89" s="14">
        <f t="shared" si="66"/>
        <v>0</v>
      </c>
    </row>
    <row r="90" spans="1:3" ht="13.2">
      <c r="A90" s="34"/>
      <c r="B90" s="18">
        <f t="shared" si="65"/>
        <v>0</v>
      </c>
      <c r="C90" s="14">
        <f t="shared" si="66"/>
        <v>0</v>
      </c>
    </row>
    <row r="91" spans="1:3" ht="13.2">
      <c r="A91" s="34"/>
      <c r="B91" s="18">
        <f t="shared" si="65"/>
        <v>0</v>
      </c>
      <c r="C91" s="14">
        <f t="shared" si="66"/>
        <v>0</v>
      </c>
    </row>
    <row r="92" spans="1:3" ht="13.2">
      <c r="A92" s="34"/>
      <c r="B92" s="18">
        <f t="shared" si="65"/>
        <v>0</v>
      </c>
      <c r="C92" s="14">
        <f t="shared" si="66"/>
        <v>0</v>
      </c>
    </row>
    <row r="93" spans="1:3" ht="13.2">
      <c r="A93" s="34"/>
      <c r="B93" s="18">
        <f t="shared" si="65"/>
        <v>0</v>
      </c>
      <c r="C93" s="14">
        <f t="shared" si="66"/>
        <v>0</v>
      </c>
    </row>
    <row r="94" spans="1:3" ht="13.2">
      <c r="A94" s="34"/>
      <c r="B94" s="18">
        <f t="shared" si="65"/>
        <v>0</v>
      </c>
      <c r="C94" s="14">
        <f t="shared" si="66"/>
        <v>0</v>
      </c>
    </row>
    <row r="95" spans="1:3" ht="13.2">
      <c r="A95" s="34"/>
      <c r="B95" s="18">
        <f t="shared" si="65"/>
        <v>0</v>
      </c>
      <c r="C95" s="14">
        <f t="shared" si="66"/>
        <v>0</v>
      </c>
    </row>
    <row r="96" spans="1:3" ht="13.2">
      <c r="A96" s="34"/>
      <c r="B96" s="18">
        <f t="shared" si="65"/>
        <v>0</v>
      </c>
      <c r="C96" s="14">
        <f t="shared" si="66"/>
        <v>0</v>
      </c>
    </row>
    <row r="97" spans="1:3" ht="13.2">
      <c r="A97" s="34"/>
      <c r="B97" s="18">
        <f t="shared" si="65"/>
        <v>0</v>
      </c>
      <c r="C97" s="14">
        <f t="shared" si="66"/>
        <v>0</v>
      </c>
    </row>
    <row r="98" spans="1:3" ht="13.2">
      <c r="A98" s="34"/>
      <c r="B98" s="18">
        <f t="shared" si="65"/>
        <v>0</v>
      </c>
      <c r="C98" s="14">
        <f t="shared" si="66"/>
        <v>0</v>
      </c>
    </row>
    <row r="99" spans="1:3" ht="13.2">
      <c r="A99" s="34"/>
      <c r="B99" s="18">
        <f t="shared" si="65"/>
        <v>0</v>
      </c>
      <c r="C99" s="14">
        <f t="shared" si="66"/>
        <v>0</v>
      </c>
    </row>
    <row r="100" spans="1:3" ht="13.2">
      <c r="A100" s="34"/>
      <c r="B100" s="18">
        <f t="shared" si="65"/>
        <v>0</v>
      </c>
      <c r="C100" s="14">
        <f t="shared" si="66"/>
        <v>0</v>
      </c>
    </row>
    <row r="101" spans="1:3" ht="13.2">
      <c r="A101" s="34"/>
      <c r="B101" s="18">
        <f t="shared" si="65"/>
        <v>0</v>
      </c>
      <c r="C101" s="14">
        <f t="shared" si="66"/>
        <v>0</v>
      </c>
    </row>
    <row r="102" spans="1:3" ht="13.2">
      <c r="A102" s="34"/>
      <c r="B102" s="18">
        <f t="shared" si="65"/>
        <v>0</v>
      </c>
      <c r="C102" s="14">
        <f t="shared" si="66"/>
        <v>0</v>
      </c>
    </row>
    <row r="103" spans="1:3" ht="13.2">
      <c r="A103" s="34"/>
      <c r="B103" s="18">
        <f t="shared" si="65"/>
        <v>0</v>
      </c>
      <c r="C103" s="14">
        <f t="shared" si="66"/>
        <v>0</v>
      </c>
    </row>
    <row r="104" spans="1:3" ht="13.2">
      <c r="A104" s="34"/>
      <c r="B104" s="18">
        <f t="shared" si="65"/>
        <v>0</v>
      </c>
      <c r="C104" s="14">
        <f t="shared" si="66"/>
        <v>0</v>
      </c>
    </row>
    <row r="105" spans="1:3" ht="13.2">
      <c r="A105" s="34"/>
      <c r="B105" s="18">
        <f t="shared" si="65"/>
        <v>0</v>
      </c>
      <c r="C105" s="14">
        <f t="shared" si="66"/>
        <v>0</v>
      </c>
    </row>
    <row r="106" spans="1:3" ht="13.2">
      <c r="A106" s="34"/>
      <c r="B106" s="18">
        <f t="shared" si="65"/>
        <v>0</v>
      </c>
      <c r="C106" s="14">
        <f t="shared" si="66"/>
        <v>0</v>
      </c>
    </row>
    <row r="107" spans="1:3" ht="13.2">
      <c r="A107" s="34"/>
      <c r="B107" s="18">
        <f t="shared" si="65"/>
        <v>0</v>
      </c>
      <c r="C107" s="14">
        <f t="shared" si="66"/>
        <v>0</v>
      </c>
    </row>
    <row r="108" spans="1:3" ht="13.2">
      <c r="A108" s="34"/>
      <c r="B108" s="18">
        <f t="shared" si="65"/>
        <v>0</v>
      </c>
      <c r="C108" s="14">
        <f t="shared" si="66"/>
        <v>0</v>
      </c>
    </row>
    <row r="109" spans="1:3" ht="13.2">
      <c r="A109" s="34"/>
      <c r="B109" s="18">
        <f t="shared" si="65"/>
        <v>0</v>
      </c>
      <c r="C109" s="14">
        <f t="shared" si="66"/>
        <v>0</v>
      </c>
    </row>
    <row r="110" spans="1:3" ht="13.2">
      <c r="A110" s="34"/>
      <c r="B110" s="18">
        <f t="shared" si="65"/>
        <v>0</v>
      </c>
      <c r="C110" s="14">
        <f t="shared" si="66"/>
        <v>0</v>
      </c>
    </row>
    <row r="111" spans="1:3" ht="13.2">
      <c r="A111" s="34"/>
      <c r="B111" s="18">
        <f t="shared" si="65"/>
        <v>0</v>
      </c>
      <c r="C111" s="14">
        <f t="shared" si="66"/>
        <v>0</v>
      </c>
    </row>
    <row r="112" spans="1:3" ht="13.2">
      <c r="A112" s="34"/>
      <c r="B112" s="18">
        <f t="shared" si="65"/>
        <v>0</v>
      </c>
      <c r="C112" s="14">
        <f t="shared" si="66"/>
        <v>0</v>
      </c>
    </row>
    <row r="113" spans="1:3" ht="13.2">
      <c r="A113" s="34"/>
      <c r="B113" s="18">
        <f t="shared" si="65"/>
        <v>0</v>
      </c>
      <c r="C113" s="14">
        <f t="shared" si="66"/>
        <v>0</v>
      </c>
    </row>
    <row r="114" spans="1:3" ht="13.2">
      <c r="A114" s="34"/>
      <c r="B114" s="18">
        <f t="shared" si="65"/>
        <v>0</v>
      </c>
      <c r="C114" s="14">
        <f t="shared" si="66"/>
        <v>0</v>
      </c>
    </row>
    <row r="115" spans="1:3" ht="13.2">
      <c r="A115" s="34"/>
      <c r="B115" s="18">
        <f t="shared" si="65"/>
        <v>0</v>
      </c>
      <c r="C115" s="14">
        <f t="shared" si="66"/>
        <v>0</v>
      </c>
    </row>
    <row r="116" spans="1:3" ht="13.2">
      <c r="A116" s="34"/>
      <c r="B116" s="18">
        <f t="shared" si="65"/>
        <v>0</v>
      </c>
      <c r="C116" s="14">
        <f t="shared" si="66"/>
        <v>0</v>
      </c>
    </row>
    <row r="117" spans="1:3" ht="13.2">
      <c r="A117" s="34"/>
      <c r="B117" s="18">
        <f t="shared" si="65"/>
        <v>0</v>
      </c>
      <c r="C117" s="14">
        <f t="shared" si="66"/>
        <v>0</v>
      </c>
    </row>
    <row r="118" spans="1:3" ht="13.2">
      <c r="A118" s="34"/>
      <c r="B118" s="18">
        <f t="shared" si="65"/>
        <v>0</v>
      </c>
      <c r="C118" s="14">
        <f t="shared" si="66"/>
        <v>0</v>
      </c>
    </row>
    <row r="119" spans="1:3" ht="13.2">
      <c r="A119" s="34"/>
      <c r="B119" s="18">
        <f t="shared" si="65"/>
        <v>0</v>
      </c>
      <c r="C119" s="14">
        <f t="shared" si="66"/>
        <v>0</v>
      </c>
    </row>
    <row r="120" spans="1:3" ht="13.2">
      <c r="A120" s="34"/>
      <c r="B120" s="18">
        <f t="shared" si="65"/>
        <v>0</v>
      </c>
      <c r="C120" s="14">
        <f t="shared" si="66"/>
        <v>0</v>
      </c>
    </row>
    <row r="121" spans="1:3" ht="13.2">
      <c r="A121" s="34"/>
      <c r="B121" s="18">
        <f t="shared" si="65"/>
        <v>0</v>
      </c>
      <c r="C121" s="14">
        <f t="shared" si="66"/>
        <v>0</v>
      </c>
    </row>
    <row r="122" spans="1:3" ht="13.2">
      <c r="A122" s="34"/>
      <c r="B122" s="18">
        <f t="shared" si="65"/>
        <v>0</v>
      </c>
      <c r="C122" s="14">
        <f t="shared" si="66"/>
        <v>0</v>
      </c>
    </row>
    <row r="123" spans="1:3" ht="13.2">
      <c r="A123" s="34"/>
      <c r="B123" s="18">
        <f t="shared" si="65"/>
        <v>0</v>
      </c>
      <c r="C123" s="14">
        <f t="shared" si="66"/>
        <v>0</v>
      </c>
    </row>
    <row r="124" spans="1:3" ht="13.2">
      <c r="A124" s="34"/>
      <c r="B124" s="18">
        <f t="shared" si="65"/>
        <v>0</v>
      </c>
      <c r="C124" s="14">
        <f t="shared" si="66"/>
        <v>0</v>
      </c>
    </row>
    <row r="125" spans="1:3" ht="13.2">
      <c r="A125" s="34"/>
      <c r="B125" s="18">
        <f t="shared" si="65"/>
        <v>0</v>
      </c>
      <c r="C125" s="14">
        <f t="shared" si="66"/>
        <v>0</v>
      </c>
    </row>
    <row r="126" spans="1:3" ht="13.2">
      <c r="A126" s="34"/>
      <c r="B126" s="18">
        <f t="shared" si="65"/>
        <v>0</v>
      </c>
      <c r="C126" s="14">
        <f t="shared" si="66"/>
        <v>0</v>
      </c>
    </row>
    <row r="127" spans="1:3" ht="13.2">
      <c r="A127" s="34"/>
      <c r="B127" s="18">
        <f t="shared" si="65"/>
        <v>0</v>
      </c>
      <c r="C127" s="14">
        <f t="shared" si="66"/>
        <v>0</v>
      </c>
    </row>
    <row r="128" spans="1:3" ht="13.2">
      <c r="A128" s="34"/>
      <c r="B128" s="18">
        <f t="shared" si="65"/>
        <v>0</v>
      </c>
      <c r="C128" s="14">
        <f t="shared" si="66"/>
        <v>0</v>
      </c>
    </row>
    <row r="129" spans="1:3" ht="13.2">
      <c r="A129" s="34"/>
      <c r="B129" s="18">
        <f t="shared" si="65"/>
        <v>0</v>
      </c>
      <c r="C129" s="14">
        <f t="shared" si="66"/>
        <v>0</v>
      </c>
    </row>
    <row r="130" spans="1:3" ht="13.2">
      <c r="A130" s="34"/>
      <c r="B130" s="18">
        <f t="shared" si="65"/>
        <v>0</v>
      </c>
      <c r="C130" s="14">
        <f t="shared" si="66"/>
        <v>0</v>
      </c>
    </row>
    <row r="131" spans="1:3" ht="13.2">
      <c r="A131" s="34"/>
      <c r="B131" s="18">
        <f t="shared" si="65"/>
        <v>0</v>
      </c>
      <c r="C131" s="14">
        <f t="shared" si="66"/>
        <v>0</v>
      </c>
    </row>
    <row r="132" spans="1:3" ht="13.2">
      <c r="A132" s="34"/>
      <c r="B132" s="18">
        <f t="shared" si="65"/>
        <v>0</v>
      </c>
      <c r="C132" s="14">
        <f t="shared" si="66"/>
        <v>0</v>
      </c>
    </row>
    <row r="133" spans="1:3" ht="13.2">
      <c r="A133" s="34"/>
      <c r="B133" s="18">
        <f t="shared" si="65"/>
        <v>0</v>
      </c>
      <c r="C133" s="14">
        <f t="shared" si="66"/>
        <v>0</v>
      </c>
    </row>
    <row r="134" spans="1:3" ht="13.2">
      <c r="A134" s="34"/>
      <c r="B134" s="18">
        <f t="shared" si="65"/>
        <v>0</v>
      </c>
      <c r="C134" s="14">
        <f t="shared" si="66"/>
        <v>0</v>
      </c>
    </row>
    <row r="135" spans="1:3" ht="13.2">
      <c r="A135" s="34"/>
      <c r="B135" s="18">
        <f t="shared" si="65"/>
        <v>0</v>
      </c>
      <c r="C135" s="14">
        <f t="shared" si="66"/>
        <v>0</v>
      </c>
    </row>
    <row r="136" spans="1:3" ht="13.2">
      <c r="A136" s="34"/>
      <c r="B136" s="18">
        <f t="shared" si="65"/>
        <v>0</v>
      </c>
      <c r="C136" s="14">
        <f t="shared" si="66"/>
        <v>0</v>
      </c>
    </row>
    <row r="137" spans="1:3" ht="13.2">
      <c r="A137" s="34"/>
      <c r="B137" s="18">
        <f t="shared" si="65"/>
        <v>0</v>
      </c>
      <c r="C137" s="14">
        <f t="shared" si="66"/>
        <v>0</v>
      </c>
    </row>
    <row r="138" spans="1:3" ht="13.2">
      <c r="A138" s="34"/>
      <c r="B138" s="18">
        <f t="shared" si="65"/>
        <v>0</v>
      </c>
      <c r="C138" s="14">
        <f t="shared" si="66"/>
        <v>0</v>
      </c>
    </row>
    <row r="139" spans="1:3" ht="13.2">
      <c r="A139" s="34"/>
      <c r="B139" s="18">
        <f t="shared" si="65"/>
        <v>0</v>
      </c>
      <c r="C139" s="14">
        <f t="shared" si="66"/>
        <v>0</v>
      </c>
    </row>
    <row r="140" spans="1:3" ht="13.2">
      <c r="A140" s="34"/>
      <c r="B140" s="18">
        <f t="shared" si="65"/>
        <v>0</v>
      </c>
      <c r="C140" s="14">
        <f t="shared" si="66"/>
        <v>0</v>
      </c>
    </row>
    <row r="141" spans="1:3" ht="13.2">
      <c r="A141" s="34"/>
      <c r="B141" s="18">
        <f t="shared" si="65"/>
        <v>0</v>
      </c>
      <c r="C141" s="14">
        <f t="shared" si="66"/>
        <v>0</v>
      </c>
    </row>
    <row r="142" spans="1:3" ht="13.2">
      <c r="A142" s="34"/>
      <c r="B142" s="18">
        <f t="shared" si="65"/>
        <v>0</v>
      </c>
      <c r="C142" s="14">
        <f t="shared" si="66"/>
        <v>0</v>
      </c>
    </row>
    <row r="143" spans="1:3" ht="13.2">
      <c r="A143" s="34"/>
      <c r="B143" s="18">
        <f t="shared" si="65"/>
        <v>0</v>
      </c>
      <c r="C143" s="14">
        <f t="shared" si="66"/>
        <v>0</v>
      </c>
    </row>
    <row r="144" spans="1:3" ht="13.2">
      <c r="A144" s="34"/>
      <c r="B144" s="18">
        <f t="shared" si="65"/>
        <v>0</v>
      </c>
      <c r="C144" s="14">
        <f t="shared" si="66"/>
        <v>0</v>
      </c>
    </row>
    <row r="145" spans="1:3" ht="13.2">
      <c r="A145" s="34"/>
      <c r="B145" s="18">
        <f t="shared" si="65"/>
        <v>0</v>
      </c>
      <c r="C145" s="14">
        <f t="shared" si="66"/>
        <v>0</v>
      </c>
    </row>
    <row r="146" spans="1:3" ht="13.2">
      <c r="A146" s="34"/>
      <c r="B146" s="18">
        <f t="shared" si="65"/>
        <v>0</v>
      </c>
      <c r="C146" s="14">
        <f t="shared" si="66"/>
        <v>0</v>
      </c>
    </row>
    <row r="147" spans="1:3" ht="13.2">
      <c r="A147" s="34"/>
      <c r="B147" s="18">
        <f t="shared" si="65"/>
        <v>0</v>
      </c>
      <c r="C147" s="14">
        <f t="shared" si="66"/>
        <v>0</v>
      </c>
    </row>
    <row r="148" spans="1:3" ht="13.2">
      <c r="A148" s="34"/>
      <c r="B148" s="18">
        <f t="shared" si="65"/>
        <v>0</v>
      </c>
      <c r="C148" s="14">
        <f t="shared" si="66"/>
        <v>0</v>
      </c>
    </row>
    <row r="149" spans="1:3" ht="13.2">
      <c r="A149" s="34"/>
      <c r="B149" s="18">
        <f t="shared" si="65"/>
        <v>0</v>
      </c>
      <c r="C149" s="14">
        <f t="shared" si="66"/>
        <v>0</v>
      </c>
    </row>
    <row r="150" spans="1:3" ht="13.2">
      <c r="A150" s="34"/>
      <c r="B150" s="18">
        <f t="shared" si="65"/>
        <v>0</v>
      </c>
      <c r="C150" s="14">
        <f t="shared" si="66"/>
        <v>0</v>
      </c>
    </row>
    <row r="151" spans="1:3" ht="13.2">
      <c r="A151" s="34"/>
      <c r="B151" s="18">
        <f t="shared" si="67" ref="B151:B214">COUNTIF(CommonCo_Col,A151)</f>
        <v>0</v>
      </c>
      <c r="C151" s="14">
        <f t="shared" si="68" ref="C151:C214">IF(AND($B151&gt;0,$C$22&gt;0),$B151/$C$22*100,0)</f>
        <v>0</v>
      </c>
    </row>
    <row r="152" spans="1:3" ht="13.2">
      <c r="A152" s="34"/>
      <c r="B152" s="18">
        <f t="shared" si="67"/>
        <v>0</v>
      </c>
      <c r="C152" s="14">
        <f t="shared" si="68"/>
        <v>0</v>
      </c>
    </row>
    <row r="153" spans="1:3" ht="13.2">
      <c r="A153" s="34"/>
      <c r="B153" s="18">
        <f t="shared" si="67"/>
        <v>0</v>
      </c>
      <c r="C153" s="14">
        <f t="shared" si="68"/>
        <v>0</v>
      </c>
    </row>
    <row r="154" spans="1:3" ht="13.2">
      <c r="A154" s="34"/>
      <c r="B154" s="18">
        <f t="shared" si="67"/>
        <v>0</v>
      </c>
      <c r="C154" s="14">
        <f t="shared" si="68"/>
        <v>0</v>
      </c>
    </row>
    <row r="155" spans="1:3" ht="13.2">
      <c r="A155" s="34"/>
      <c r="B155" s="18">
        <f t="shared" si="67"/>
        <v>0</v>
      </c>
      <c r="C155" s="14">
        <f t="shared" si="68"/>
        <v>0</v>
      </c>
    </row>
    <row r="156" spans="1:3" ht="13.2">
      <c r="A156" s="34"/>
      <c r="B156" s="18">
        <f t="shared" si="67"/>
        <v>0</v>
      </c>
      <c r="C156" s="14">
        <f t="shared" si="68"/>
        <v>0</v>
      </c>
    </row>
    <row r="157" spans="1:3" ht="13.2">
      <c r="A157" s="34"/>
      <c r="B157" s="18">
        <f t="shared" si="67"/>
        <v>0</v>
      </c>
      <c r="C157" s="14">
        <f t="shared" si="68"/>
        <v>0</v>
      </c>
    </row>
    <row r="158" spans="1:3" ht="13.2">
      <c r="A158" s="34"/>
      <c r="B158" s="18">
        <f t="shared" si="67"/>
        <v>0</v>
      </c>
      <c r="C158" s="14">
        <f t="shared" si="68"/>
        <v>0</v>
      </c>
    </row>
    <row r="159" spans="1:3" ht="13.2">
      <c r="A159" s="34"/>
      <c r="B159" s="18">
        <f t="shared" si="67"/>
        <v>0</v>
      </c>
      <c r="C159" s="14">
        <f t="shared" si="68"/>
        <v>0</v>
      </c>
    </row>
    <row r="160" spans="1:3" ht="13.2">
      <c r="A160" s="34"/>
      <c r="B160" s="18">
        <f t="shared" si="67"/>
        <v>0</v>
      </c>
      <c r="C160" s="14">
        <f t="shared" si="68"/>
        <v>0</v>
      </c>
    </row>
    <row r="161" spans="1:3" ht="13.2">
      <c r="A161" s="34"/>
      <c r="B161" s="18">
        <f t="shared" si="67"/>
        <v>0</v>
      </c>
      <c r="C161" s="14">
        <f t="shared" si="68"/>
        <v>0</v>
      </c>
    </row>
    <row r="162" spans="1:3" ht="13.2">
      <c r="A162" s="34"/>
      <c r="B162" s="18">
        <f t="shared" si="67"/>
        <v>0</v>
      </c>
      <c r="C162" s="14">
        <f t="shared" si="68"/>
        <v>0</v>
      </c>
    </row>
    <row r="163" spans="1:3" ht="13.2">
      <c r="A163" s="34"/>
      <c r="B163" s="18">
        <f t="shared" si="67"/>
        <v>0</v>
      </c>
      <c r="C163" s="14">
        <f t="shared" si="68"/>
        <v>0</v>
      </c>
    </row>
    <row r="164" spans="1:3" ht="13.2">
      <c r="A164" s="34"/>
      <c r="B164" s="18">
        <f t="shared" si="67"/>
        <v>0</v>
      </c>
      <c r="C164" s="14">
        <f t="shared" si="68"/>
        <v>0</v>
      </c>
    </row>
    <row r="165" spans="1:3" ht="13.2">
      <c r="A165" s="34"/>
      <c r="B165" s="18">
        <f t="shared" si="67"/>
        <v>0</v>
      </c>
      <c r="C165" s="14">
        <f t="shared" si="68"/>
        <v>0</v>
      </c>
    </row>
    <row r="166" spans="1:3" ht="13.2">
      <c r="A166" s="34"/>
      <c r="B166" s="18">
        <f t="shared" si="67"/>
        <v>0</v>
      </c>
      <c r="C166" s="14">
        <f t="shared" si="68"/>
        <v>0</v>
      </c>
    </row>
    <row r="167" spans="1:3" ht="13.2">
      <c r="A167" s="34"/>
      <c r="B167" s="18">
        <f t="shared" si="67"/>
        <v>0</v>
      </c>
      <c r="C167" s="14">
        <f t="shared" si="68"/>
        <v>0</v>
      </c>
    </row>
    <row r="168" spans="1:3" ht="13.2">
      <c r="A168" s="34"/>
      <c r="B168" s="18">
        <f t="shared" si="67"/>
        <v>0</v>
      </c>
      <c r="C168" s="14">
        <f t="shared" si="68"/>
        <v>0</v>
      </c>
    </row>
    <row r="169" spans="1:3" ht="13.2">
      <c r="A169" s="34"/>
      <c r="B169" s="18">
        <f t="shared" si="67"/>
        <v>0</v>
      </c>
      <c r="C169" s="14">
        <f t="shared" si="68"/>
        <v>0</v>
      </c>
    </row>
    <row r="170" spans="1:3" ht="13.2">
      <c r="A170" s="34"/>
      <c r="B170" s="18">
        <f t="shared" si="67"/>
        <v>0</v>
      </c>
      <c r="C170" s="14">
        <f t="shared" si="68"/>
        <v>0</v>
      </c>
    </row>
    <row r="171" spans="1:3" ht="13.2">
      <c r="A171" s="34"/>
      <c r="B171" s="18">
        <f t="shared" si="67"/>
        <v>0</v>
      </c>
      <c r="C171" s="14">
        <f t="shared" si="68"/>
        <v>0</v>
      </c>
    </row>
    <row r="172" spans="1:3" ht="13.2">
      <c r="A172" s="34"/>
      <c r="B172" s="18">
        <f t="shared" si="67"/>
        <v>0</v>
      </c>
      <c r="C172" s="14">
        <f t="shared" si="68"/>
        <v>0</v>
      </c>
    </row>
    <row r="173" spans="1:3" ht="13.2">
      <c r="A173" s="34"/>
      <c r="B173" s="18">
        <f t="shared" si="67"/>
        <v>0</v>
      </c>
      <c r="C173" s="14">
        <f t="shared" si="68"/>
        <v>0</v>
      </c>
    </row>
    <row r="174" spans="1:3" ht="13.2">
      <c r="A174" s="34"/>
      <c r="B174" s="18">
        <f t="shared" si="67"/>
        <v>0</v>
      </c>
      <c r="C174" s="14">
        <f t="shared" si="68"/>
        <v>0</v>
      </c>
    </row>
    <row r="175" spans="1:3" ht="13.2">
      <c r="A175" s="34"/>
      <c r="B175" s="18">
        <f t="shared" si="67"/>
        <v>0</v>
      </c>
      <c r="C175" s="14">
        <f t="shared" si="68"/>
        <v>0</v>
      </c>
    </row>
    <row r="176" spans="1:3" ht="13.2">
      <c r="A176" s="34"/>
      <c r="B176" s="18">
        <f t="shared" si="67"/>
        <v>0</v>
      </c>
      <c r="C176" s="14">
        <f t="shared" si="68"/>
        <v>0</v>
      </c>
    </row>
    <row r="177" spans="1:3" ht="13.2">
      <c r="A177" s="34"/>
      <c r="B177" s="18">
        <f t="shared" si="67"/>
        <v>0</v>
      </c>
      <c r="C177" s="14">
        <f t="shared" si="68"/>
        <v>0</v>
      </c>
    </row>
    <row r="178" spans="1:3" ht="13.2">
      <c r="A178" s="34"/>
      <c r="B178" s="18">
        <f t="shared" si="67"/>
        <v>0</v>
      </c>
      <c r="C178" s="14">
        <f t="shared" si="68"/>
        <v>0</v>
      </c>
    </row>
    <row r="179" spans="1:3" ht="13.2">
      <c r="A179" s="34"/>
      <c r="B179" s="18">
        <f t="shared" si="67"/>
        <v>0</v>
      </c>
      <c r="C179" s="14">
        <f t="shared" si="68"/>
        <v>0</v>
      </c>
    </row>
    <row r="180" spans="1:3" ht="13.2">
      <c r="A180" s="34"/>
      <c r="B180" s="18">
        <f t="shared" si="67"/>
        <v>0</v>
      </c>
      <c r="C180" s="14">
        <f t="shared" si="68"/>
        <v>0</v>
      </c>
    </row>
    <row r="181" spans="1:3" ht="13.2">
      <c r="A181" s="34"/>
      <c r="B181" s="18">
        <f t="shared" si="67"/>
        <v>0</v>
      </c>
      <c r="C181" s="14">
        <f t="shared" si="68"/>
        <v>0</v>
      </c>
    </row>
    <row r="182" spans="1:3" ht="13.2">
      <c r="A182" s="34"/>
      <c r="B182" s="18">
        <f t="shared" si="67"/>
        <v>0</v>
      </c>
      <c r="C182" s="14">
        <f t="shared" si="68"/>
        <v>0</v>
      </c>
    </row>
    <row r="183" spans="1:3" ht="13.2">
      <c r="A183" s="34"/>
      <c r="B183" s="18">
        <f t="shared" si="67"/>
        <v>0</v>
      </c>
      <c r="C183" s="14">
        <f t="shared" si="68"/>
        <v>0</v>
      </c>
    </row>
    <row r="184" spans="1:3" ht="13.2">
      <c r="A184" s="34"/>
      <c r="B184" s="18">
        <f t="shared" si="67"/>
        <v>0</v>
      </c>
      <c r="C184" s="14">
        <f t="shared" si="68"/>
        <v>0</v>
      </c>
    </row>
    <row r="185" spans="1:3" ht="13.2">
      <c r="A185" s="34"/>
      <c r="B185" s="18">
        <f t="shared" si="67"/>
        <v>0</v>
      </c>
      <c r="C185" s="14">
        <f t="shared" si="68"/>
        <v>0</v>
      </c>
    </row>
    <row r="186" spans="1:3" ht="13.2">
      <c r="A186" s="34"/>
      <c r="B186" s="18">
        <f t="shared" si="67"/>
        <v>0</v>
      </c>
      <c r="C186" s="14">
        <f t="shared" si="68"/>
        <v>0</v>
      </c>
    </row>
    <row r="187" spans="1:3" ht="13.2">
      <c r="A187" s="34"/>
      <c r="B187" s="18">
        <f t="shared" si="67"/>
        <v>0</v>
      </c>
      <c r="C187" s="14">
        <f t="shared" si="68"/>
        <v>0</v>
      </c>
    </row>
    <row r="188" spans="1:3" ht="13.2">
      <c r="A188" s="34"/>
      <c r="B188" s="18">
        <f t="shared" si="67"/>
        <v>0</v>
      </c>
      <c r="C188" s="14">
        <f t="shared" si="68"/>
        <v>0</v>
      </c>
    </row>
    <row r="189" spans="1:3" ht="13.2">
      <c r="A189" s="34"/>
      <c r="B189" s="18">
        <f t="shared" si="67"/>
        <v>0</v>
      </c>
      <c r="C189" s="14">
        <f t="shared" si="68"/>
        <v>0</v>
      </c>
    </row>
    <row r="190" spans="1:3" ht="13.2">
      <c r="A190" s="34"/>
      <c r="B190" s="18">
        <f t="shared" si="67"/>
        <v>0</v>
      </c>
      <c r="C190" s="14">
        <f t="shared" si="68"/>
        <v>0</v>
      </c>
    </row>
    <row r="191" spans="1:3" ht="13.2">
      <c r="A191" s="34"/>
      <c r="B191" s="18">
        <f t="shared" si="67"/>
        <v>0</v>
      </c>
      <c r="C191" s="14">
        <f t="shared" si="68"/>
        <v>0</v>
      </c>
    </row>
    <row r="192" spans="1:3" ht="13.2">
      <c r="A192" s="34"/>
      <c r="B192" s="18">
        <f t="shared" si="67"/>
        <v>0</v>
      </c>
      <c r="C192" s="14">
        <f t="shared" si="68"/>
        <v>0</v>
      </c>
    </row>
    <row r="193" spans="1:3" ht="13.2">
      <c r="A193" s="34"/>
      <c r="B193" s="18">
        <f t="shared" si="67"/>
        <v>0</v>
      </c>
      <c r="C193" s="14">
        <f t="shared" si="68"/>
        <v>0</v>
      </c>
    </row>
    <row r="194" spans="1:3" ht="13.2">
      <c r="A194" s="34"/>
      <c r="B194" s="18">
        <f t="shared" si="67"/>
        <v>0</v>
      </c>
      <c r="C194" s="14">
        <f t="shared" si="68"/>
        <v>0</v>
      </c>
    </row>
    <row r="195" spans="1:3" ht="13.2">
      <c r="A195" s="34"/>
      <c r="B195" s="18">
        <f t="shared" si="67"/>
        <v>0</v>
      </c>
      <c r="C195" s="14">
        <f t="shared" si="68"/>
        <v>0</v>
      </c>
    </row>
    <row r="196" spans="1:3" ht="13.2">
      <c r="A196" s="34"/>
      <c r="B196" s="18">
        <f t="shared" si="67"/>
        <v>0</v>
      </c>
      <c r="C196" s="14">
        <f t="shared" si="68"/>
        <v>0</v>
      </c>
    </row>
    <row r="197" spans="1:3" ht="13.2">
      <c r="A197" s="34"/>
      <c r="B197" s="18">
        <f t="shared" si="67"/>
        <v>0</v>
      </c>
      <c r="C197" s="14">
        <f t="shared" si="68"/>
        <v>0</v>
      </c>
    </row>
    <row r="198" spans="1:3" ht="13.2">
      <c r="A198" s="34"/>
      <c r="B198" s="18">
        <f t="shared" si="67"/>
        <v>0</v>
      </c>
      <c r="C198" s="14">
        <f t="shared" si="68"/>
        <v>0</v>
      </c>
    </row>
    <row r="199" spans="1:3" ht="13.2">
      <c r="A199" s="34"/>
      <c r="B199" s="18">
        <f t="shared" si="67"/>
        <v>0</v>
      </c>
      <c r="C199" s="14">
        <f t="shared" si="68"/>
        <v>0</v>
      </c>
    </row>
    <row r="200" spans="1:3" ht="13.2">
      <c r="A200" s="34"/>
      <c r="B200" s="18">
        <f t="shared" si="67"/>
        <v>0</v>
      </c>
      <c r="C200" s="14">
        <f t="shared" si="68"/>
        <v>0</v>
      </c>
    </row>
    <row r="201" spans="1:3" ht="13.2">
      <c r="A201" s="34"/>
      <c r="B201" s="18">
        <f t="shared" si="67"/>
        <v>0</v>
      </c>
      <c r="C201" s="14">
        <f t="shared" si="68"/>
        <v>0</v>
      </c>
    </row>
    <row r="202" spans="1:3" ht="13.2">
      <c r="A202" s="34"/>
      <c r="B202" s="18">
        <f t="shared" si="67"/>
        <v>0</v>
      </c>
      <c r="C202" s="14">
        <f t="shared" si="68"/>
        <v>0</v>
      </c>
    </row>
    <row r="203" spans="1:3" ht="13.2">
      <c r="A203" s="34"/>
      <c r="B203" s="18">
        <f t="shared" si="67"/>
        <v>0</v>
      </c>
      <c r="C203" s="14">
        <f t="shared" si="68"/>
        <v>0</v>
      </c>
    </row>
    <row r="204" spans="1:3" ht="13.2">
      <c r="A204" s="34"/>
      <c r="B204" s="18">
        <f t="shared" si="67"/>
        <v>0</v>
      </c>
      <c r="C204" s="14">
        <f t="shared" si="68"/>
        <v>0</v>
      </c>
    </row>
    <row r="205" spans="1:3" ht="13.2">
      <c r="A205" s="34"/>
      <c r="B205" s="18">
        <f t="shared" si="67"/>
        <v>0</v>
      </c>
      <c r="C205" s="14">
        <f t="shared" si="68"/>
        <v>0</v>
      </c>
    </row>
    <row r="206" spans="1:3" ht="13.2">
      <c r="A206" s="34"/>
      <c r="B206" s="18">
        <f t="shared" si="67"/>
        <v>0</v>
      </c>
      <c r="C206" s="14">
        <f t="shared" si="68"/>
        <v>0</v>
      </c>
    </row>
    <row r="207" spans="1:3" ht="13.2">
      <c r="A207" s="34"/>
      <c r="B207" s="18">
        <f t="shared" si="67"/>
        <v>0</v>
      </c>
      <c r="C207" s="14">
        <f t="shared" si="68"/>
        <v>0</v>
      </c>
    </row>
    <row r="208" spans="1:3" ht="13.2">
      <c r="A208" s="34"/>
      <c r="B208" s="18">
        <f t="shared" si="67"/>
        <v>0</v>
      </c>
      <c r="C208" s="14">
        <f t="shared" si="68"/>
        <v>0</v>
      </c>
    </row>
    <row r="209" spans="1:3" ht="13.2">
      <c r="A209" s="34"/>
      <c r="B209" s="18">
        <f t="shared" si="67"/>
        <v>0</v>
      </c>
      <c r="C209" s="14">
        <f t="shared" si="68"/>
        <v>0</v>
      </c>
    </row>
    <row r="210" spans="1:3" ht="13.2">
      <c r="A210" s="34"/>
      <c r="B210" s="18">
        <f t="shared" si="67"/>
        <v>0</v>
      </c>
      <c r="C210" s="14">
        <f t="shared" si="68"/>
        <v>0</v>
      </c>
    </row>
    <row r="211" spans="1:3" ht="13.2">
      <c r="A211" s="34"/>
      <c r="B211" s="18">
        <f t="shared" si="67"/>
        <v>0</v>
      </c>
      <c r="C211" s="14">
        <f t="shared" si="68"/>
        <v>0</v>
      </c>
    </row>
    <row r="212" spans="1:3" ht="13.2">
      <c r="A212" s="34"/>
      <c r="B212" s="18">
        <f t="shared" si="67"/>
        <v>0</v>
      </c>
      <c r="C212" s="14">
        <f t="shared" si="68"/>
        <v>0</v>
      </c>
    </row>
    <row r="213" spans="1:3" ht="13.2">
      <c r="A213" s="34"/>
      <c r="B213" s="18">
        <f t="shared" si="67"/>
        <v>0</v>
      </c>
      <c r="C213" s="14">
        <f t="shared" si="68"/>
        <v>0</v>
      </c>
    </row>
    <row r="214" spans="1:3" ht="13.2">
      <c r="A214" s="34"/>
      <c r="B214" s="18">
        <f t="shared" si="67"/>
        <v>0</v>
      </c>
      <c r="C214" s="14">
        <f t="shared" si="68"/>
        <v>0</v>
      </c>
    </row>
    <row r="215" spans="1:3" ht="13.2">
      <c r="A215" s="34"/>
      <c r="B215" s="18">
        <f t="shared" si="69" ref="B215:B278">COUNTIF(CommonCo_Col,A215)</f>
        <v>0</v>
      </c>
      <c r="C215" s="14">
        <f t="shared" si="70" ref="C215:C278">IF(AND($B215&gt;0,$C$22&gt;0),$B215/$C$22*100,0)</f>
        <v>0</v>
      </c>
    </row>
    <row r="216" spans="1:3" ht="13.2">
      <c r="A216" s="34"/>
      <c r="B216" s="18">
        <f t="shared" si="69"/>
        <v>0</v>
      </c>
      <c r="C216" s="14">
        <f t="shared" si="70"/>
        <v>0</v>
      </c>
    </row>
    <row r="217" spans="1:3" ht="13.2">
      <c r="A217" s="34"/>
      <c r="B217" s="18">
        <f t="shared" si="69"/>
        <v>0</v>
      </c>
      <c r="C217" s="14">
        <f t="shared" si="70"/>
        <v>0</v>
      </c>
    </row>
    <row r="218" spans="1:3" ht="13.2">
      <c r="A218" s="34"/>
      <c r="B218" s="18">
        <f t="shared" si="69"/>
        <v>0</v>
      </c>
      <c r="C218" s="14">
        <f t="shared" si="70"/>
        <v>0</v>
      </c>
    </row>
    <row r="219" spans="1:3" ht="13.2">
      <c r="A219" s="34"/>
      <c r="B219" s="18">
        <f t="shared" si="69"/>
        <v>0</v>
      </c>
      <c r="C219" s="14">
        <f t="shared" si="70"/>
        <v>0</v>
      </c>
    </row>
    <row r="220" spans="1:3" ht="13.2">
      <c r="A220" s="34"/>
      <c r="B220" s="18">
        <f t="shared" si="69"/>
        <v>0</v>
      </c>
      <c r="C220" s="14">
        <f t="shared" si="70"/>
        <v>0</v>
      </c>
    </row>
    <row r="221" spans="1:3" ht="13.2">
      <c r="A221" s="34"/>
      <c r="B221" s="18">
        <f t="shared" si="69"/>
        <v>0</v>
      </c>
      <c r="C221" s="14">
        <f t="shared" si="70"/>
        <v>0</v>
      </c>
    </row>
    <row r="222" spans="1:3" ht="13.2">
      <c r="A222" s="34"/>
      <c r="B222" s="18">
        <f t="shared" si="69"/>
        <v>0</v>
      </c>
      <c r="C222" s="14">
        <f t="shared" si="70"/>
        <v>0</v>
      </c>
    </row>
    <row r="223" spans="1:3" ht="13.2">
      <c r="A223" s="34"/>
      <c r="B223" s="18">
        <f t="shared" si="69"/>
        <v>0</v>
      </c>
      <c r="C223" s="14">
        <f t="shared" si="70"/>
        <v>0</v>
      </c>
    </row>
    <row r="224" spans="1:3" ht="13.2">
      <c r="A224" s="34"/>
      <c r="B224" s="18">
        <f t="shared" si="69"/>
        <v>0</v>
      </c>
      <c r="C224" s="14">
        <f t="shared" si="70"/>
        <v>0</v>
      </c>
    </row>
    <row r="225" spans="1:3" ht="13.2">
      <c r="A225" s="34"/>
      <c r="B225" s="18">
        <f t="shared" si="69"/>
        <v>0</v>
      </c>
      <c r="C225" s="14">
        <f t="shared" si="70"/>
        <v>0</v>
      </c>
    </row>
    <row r="226" spans="1:3" ht="13.2">
      <c r="A226" s="34"/>
      <c r="B226" s="18">
        <f t="shared" si="69"/>
        <v>0</v>
      </c>
      <c r="C226" s="14">
        <f t="shared" si="70"/>
        <v>0</v>
      </c>
    </row>
    <row r="227" spans="1:3" ht="13.2">
      <c r="A227" s="34"/>
      <c r="B227" s="18">
        <f t="shared" si="69"/>
        <v>0</v>
      </c>
      <c r="C227" s="14">
        <f t="shared" si="70"/>
        <v>0</v>
      </c>
    </row>
    <row r="228" spans="1:3" ht="13.2">
      <c r="A228" s="34"/>
      <c r="B228" s="18">
        <f t="shared" si="69"/>
        <v>0</v>
      </c>
      <c r="C228" s="14">
        <f t="shared" si="70"/>
        <v>0</v>
      </c>
    </row>
    <row r="229" spans="1:3" ht="13.2">
      <c r="A229" s="34"/>
      <c r="B229" s="18">
        <f t="shared" si="69"/>
        <v>0</v>
      </c>
      <c r="C229" s="14">
        <f t="shared" si="70"/>
        <v>0</v>
      </c>
    </row>
    <row r="230" spans="1:3" ht="13.2">
      <c r="A230" s="34"/>
      <c r="B230" s="18">
        <f t="shared" si="69"/>
        <v>0</v>
      </c>
      <c r="C230" s="14">
        <f t="shared" si="70"/>
        <v>0</v>
      </c>
    </row>
    <row r="231" spans="1:3" ht="13.2">
      <c r="A231" s="34"/>
      <c r="B231" s="18">
        <f t="shared" si="69"/>
        <v>0</v>
      </c>
      <c r="C231" s="14">
        <f t="shared" si="70"/>
        <v>0</v>
      </c>
    </row>
    <row r="232" spans="1:3" ht="13.2">
      <c r="A232" s="34"/>
      <c r="B232" s="18">
        <f t="shared" si="69"/>
        <v>0</v>
      </c>
      <c r="C232" s="14">
        <f t="shared" si="70"/>
        <v>0</v>
      </c>
    </row>
    <row r="233" spans="1:3" ht="13.2">
      <c r="A233" s="34"/>
      <c r="B233" s="18">
        <f t="shared" si="69"/>
        <v>0</v>
      </c>
      <c r="C233" s="14">
        <f t="shared" si="70"/>
        <v>0</v>
      </c>
    </row>
    <row r="234" spans="1:3" ht="13.2">
      <c r="A234" s="34"/>
      <c r="B234" s="18">
        <f t="shared" si="69"/>
        <v>0</v>
      </c>
      <c r="C234" s="14">
        <f t="shared" si="70"/>
        <v>0</v>
      </c>
    </row>
    <row r="235" spans="1:3" ht="13.2">
      <c r="A235" s="34"/>
      <c r="B235" s="18">
        <f t="shared" si="69"/>
        <v>0</v>
      </c>
      <c r="C235" s="14">
        <f t="shared" si="70"/>
        <v>0</v>
      </c>
    </row>
    <row r="236" spans="1:3" ht="13.2">
      <c r="A236" s="34"/>
      <c r="B236" s="18">
        <f t="shared" si="69"/>
        <v>0</v>
      </c>
      <c r="C236" s="14">
        <f t="shared" si="70"/>
        <v>0</v>
      </c>
    </row>
    <row r="237" spans="1:3" ht="13.2">
      <c r="A237" s="34"/>
      <c r="B237" s="18">
        <f t="shared" si="69"/>
        <v>0</v>
      </c>
      <c r="C237" s="14">
        <f t="shared" si="70"/>
        <v>0</v>
      </c>
    </row>
    <row r="238" spans="1:3" ht="13.2">
      <c r="A238" s="34"/>
      <c r="B238" s="18">
        <f t="shared" si="69"/>
        <v>0</v>
      </c>
      <c r="C238" s="14">
        <f t="shared" si="70"/>
        <v>0</v>
      </c>
    </row>
    <row r="239" spans="1:3" ht="13.2">
      <c r="A239" s="34"/>
      <c r="B239" s="18">
        <f t="shared" si="69"/>
        <v>0</v>
      </c>
      <c r="C239" s="14">
        <f t="shared" si="70"/>
        <v>0</v>
      </c>
    </row>
    <row r="240" spans="1:3" ht="13.2">
      <c r="A240" s="34"/>
      <c r="B240" s="18">
        <f t="shared" si="69"/>
        <v>0</v>
      </c>
      <c r="C240" s="14">
        <f t="shared" si="70"/>
        <v>0</v>
      </c>
    </row>
    <row r="241" spans="1:3" ht="13.2">
      <c r="A241" s="34"/>
      <c r="B241" s="18">
        <f t="shared" si="69"/>
        <v>0</v>
      </c>
      <c r="C241" s="14">
        <f t="shared" si="70"/>
        <v>0</v>
      </c>
    </row>
    <row r="242" spans="1:3" ht="13.2">
      <c r="A242" s="34"/>
      <c r="B242" s="18">
        <f t="shared" si="69"/>
        <v>0</v>
      </c>
      <c r="C242" s="14">
        <f t="shared" si="70"/>
        <v>0</v>
      </c>
    </row>
    <row r="243" spans="1:3" ht="13.2">
      <c r="A243" s="34"/>
      <c r="B243" s="18">
        <f t="shared" si="69"/>
        <v>0</v>
      </c>
      <c r="C243" s="14">
        <f t="shared" si="70"/>
        <v>0</v>
      </c>
    </row>
    <row r="244" spans="1:3" ht="13.2">
      <c r="A244" s="34"/>
      <c r="B244" s="18">
        <f t="shared" si="69"/>
        <v>0</v>
      </c>
      <c r="C244" s="14">
        <f t="shared" si="70"/>
        <v>0</v>
      </c>
    </row>
    <row r="245" spans="1:3" ht="13.2">
      <c r="A245" s="34"/>
      <c r="B245" s="18">
        <f t="shared" si="69"/>
        <v>0</v>
      </c>
      <c r="C245" s="14">
        <f t="shared" si="70"/>
        <v>0</v>
      </c>
    </row>
    <row r="246" spans="1:3" ht="13.2">
      <c r="A246" s="34"/>
      <c r="B246" s="18">
        <f t="shared" si="69"/>
        <v>0</v>
      </c>
      <c r="C246" s="14">
        <f t="shared" si="70"/>
        <v>0</v>
      </c>
    </row>
    <row r="247" spans="1:3" ht="13.2">
      <c r="A247" s="34"/>
      <c r="B247" s="18">
        <f t="shared" si="69"/>
        <v>0</v>
      </c>
      <c r="C247" s="14">
        <f t="shared" si="70"/>
        <v>0</v>
      </c>
    </row>
    <row r="248" spans="1:3" ht="13.2">
      <c r="A248" s="34"/>
      <c r="B248" s="18">
        <f t="shared" si="69"/>
        <v>0</v>
      </c>
      <c r="C248" s="14">
        <f t="shared" si="70"/>
        <v>0</v>
      </c>
    </row>
    <row r="249" spans="1:3" ht="13.2">
      <c r="A249" s="34"/>
      <c r="B249" s="18">
        <f t="shared" si="69"/>
        <v>0</v>
      </c>
      <c r="C249" s="14">
        <f t="shared" si="70"/>
        <v>0</v>
      </c>
    </row>
    <row r="250" spans="1:3" ht="13.2">
      <c r="A250" s="34"/>
      <c r="B250" s="18">
        <f t="shared" si="69"/>
        <v>0</v>
      </c>
      <c r="C250" s="14">
        <f t="shared" si="70"/>
        <v>0</v>
      </c>
    </row>
    <row r="251" spans="1:3" ht="13.2">
      <c r="A251" s="34"/>
      <c r="B251" s="18">
        <f t="shared" si="69"/>
        <v>0</v>
      </c>
      <c r="C251" s="14">
        <f t="shared" si="70"/>
        <v>0</v>
      </c>
    </row>
    <row r="252" spans="1:3" ht="13.2">
      <c r="A252" s="34"/>
      <c r="B252" s="18">
        <f t="shared" si="69"/>
        <v>0</v>
      </c>
      <c r="C252" s="14">
        <f t="shared" si="70"/>
        <v>0</v>
      </c>
    </row>
    <row r="253" spans="1:3" ht="13.2">
      <c r="A253" s="34"/>
      <c r="B253" s="18">
        <f t="shared" si="69"/>
        <v>0</v>
      </c>
      <c r="C253" s="14">
        <f t="shared" si="70"/>
        <v>0</v>
      </c>
    </row>
    <row r="254" spans="1:3" ht="13.2">
      <c r="A254" s="34"/>
      <c r="B254" s="18">
        <f t="shared" si="69"/>
        <v>0</v>
      </c>
      <c r="C254" s="14">
        <f t="shared" si="70"/>
        <v>0</v>
      </c>
    </row>
    <row r="255" spans="1:3" ht="13.2">
      <c r="A255" s="34"/>
      <c r="B255" s="18">
        <f t="shared" si="69"/>
        <v>0</v>
      </c>
      <c r="C255" s="14">
        <f t="shared" si="70"/>
        <v>0</v>
      </c>
    </row>
    <row r="256" spans="1:3" ht="13.2">
      <c r="A256" s="34"/>
      <c r="B256" s="18">
        <f t="shared" si="69"/>
        <v>0</v>
      </c>
      <c r="C256" s="14">
        <f t="shared" si="70"/>
        <v>0</v>
      </c>
    </row>
    <row r="257" spans="1:3" ht="13.2">
      <c r="A257" s="34"/>
      <c r="B257" s="18">
        <f t="shared" si="69"/>
        <v>0</v>
      </c>
      <c r="C257" s="14">
        <f t="shared" si="70"/>
        <v>0</v>
      </c>
    </row>
    <row r="258" spans="1:3" ht="13.2">
      <c r="A258" s="34"/>
      <c r="B258" s="18">
        <f t="shared" si="69"/>
        <v>0</v>
      </c>
      <c r="C258" s="14">
        <f t="shared" si="70"/>
        <v>0</v>
      </c>
    </row>
    <row r="259" spans="1:3" ht="13.2">
      <c r="A259" s="34"/>
      <c r="B259" s="18">
        <f t="shared" si="69"/>
        <v>0</v>
      </c>
      <c r="C259" s="14">
        <f t="shared" si="70"/>
        <v>0</v>
      </c>
    </row>
    <row r="260" spans="1:3" ht="13.2">
      <c r="A260" s="34"/>
      <c r="B260" s="18">
        <f t="shared" si="69"/>
        <v>0</v>
      </c>
      <c r="C260" s="14">
        <f t="shared" si="70"/>
        <v>0</v>
      </c>
    </row>
    <row r="261" spans="1:3" ht="13.2">
      <c r="A261" s="34"/>
      <c r="B261" s="18">
        <f t="shared" si="69"/>
        <v>0</v>
      </c>
      <c r="C261" s="14">
        <f t="shared" si="70"/>
        <v>0</v>
      </c>
    </row>
    <row r="262" spans="1:3" ht="13.2">
      <c r="A262" s="34"/>
      <c r="B262" s="18">
        <f t="shared" si="69"/>
        <v>0</v>
      </c>
      <c r="C262" s="14">
        <f t="shared" si="70"/>
        <v>0</v>
      </c>
    </row>
    <row r="263" spans="1:3" ht="13.2">
      <c r="A263" s="34"/>
      <c r="B263" s="18">
        <f t="shared" si="69"/>
        <v>0</v>
      </c>
      <c r="C263" s="14">
        <f t="shared" si="70"/>
        <v>0</v>
      </c>
    </row>
    <row r="264" spans="1:3" ht="13.2">
      <c r="A264" s="34"/>
      <c r="B264" s="18">
        <f t="shared" si="69"/>
        <v>0</v>
      </c>
      <c r="C264" s="14">
        <f t="shared" si="70"/>
        <v>0</v>
      </c>
    </row>
    <row r="265" spans="1:3" ht="13.2">
      <c r="A265" s="34"/>
      <c r="B265" s="18">
        <f t="shared" si="69"/>
        <v>0</v>
      </c>
      <c r="C265" s="14">
        <f t="shared" si="70"/>
        <v>0</v>
      </c>
    </row>
    <row r="266" spans="1:3" ht="13.2">
      <c r="A266" s="34"/>
      <c r="B266" s="18">
        <f t="shared" si="69"/>
        <v>0</v>
      </c>
      <c r="C266" s="14">
        <f t="shared" si="70"/>
        <v>0</v>
      </c>
    </row>
    <row r="267" spans="1:3" ht="13.2">
      <c r="A267" s="34"/>
      <c r="B267" s="18">
        <f t="shared" si="69"/>
        <v>0</v>
      </c>
      <c r="C267" s="14">
        <f t="shared" si="70"/>
        <v>0</v>
      </c>
    </row>
    <row r="268" spans="1:3" ht="13.2">
      <c r="A268" s="34"/>
      <c r="B268" s="18">
        <f t="shared" si="69"/>
        <v>0</v>
      </c>
      <c r="C268" s="14">
        <f t="shared" si="70"/>
        <v>0</v>
      </c>
    </row>
    <row r="269" spans="1:3" ht="13.2">
      <c r="A269" s="34"/>
      <c r="B269" s="18">
        <f t="shared" si="69"/>
        <v>0</v>
      </c>
      <c r="C269" s="14">
        <f t="shared" si="70"/>
        <v>0</v>
      </c>
    </row>
    <row r="270" spans="1:3" ht="13.2">
      <c r="A270" s="34"/>
      <c r="B270" s="18">
        <f t="shared" si="69"/>
        <v>0</v>
      </c>
      <c r="C270" s="14">
        <f t="shared" si="70"/>
        <v>0</v>
      </c>
    </row>
    <row r="271" spans="1:3" ht="13.2">
      <c r="A271" s="34"/>
      <c r="B271" s="18">
        <f t="shared" si="69"/>
        <v>0</v>
      </c>
      <c r="C271" s="14">
        <f t="shared" si="70"/>
        <v>0</v>
      </c>
    </row>
    <row r="272" spans="1:3" ht="13.2">
      <c r="A272" s="34"/>
      <c r="B272" s="18">
        <f t="shared" si="69"/>
        <v>0</v>
      </c>
      <c r="C272" s="14">
        <f t="shared" si="70"/>
        <v>0</v>
      </c>
    </row>
    <row r="273" spans="1:3" ht="13.2">
      <c r="A273" s="34"/>
      <c r="B273" s="18">
        <f t="shared" si="69"/>
        <v>0</v>
      </c>
      <c r="C273" s="14">
        <f t="shared" si="70"/>
        <v>0</v>
      </c>
    </row>
    <row r="274" spans="1:3" ht="13.2">
      <c r="A274" s="34"/>
      <c r="B274" s="18">
        <f t="shared" si="69"/>
        <v>0</v>
      </c>
      <c r="C274" s="14">
        <f t="shared" si="70"/>
        <v>0</v>
      </c>
    </row>
    <row r="275" spans="1:3" ht="13.2">
      <c r="A275" s="34"/>
      <c r="B275" s="18">
        <f t="shared" si="69"/>
        <v>0</v>
      </c>
      <c r="C275" s="14">
        <f t="shared" si="70"/>
        <v>0</v>
      </c>
    </row>
    <row r="276" spans="1:3" ht="13.2">
      <c r="A276" s="34"/>
      <c r="B276" s="18">
        <f t="shared" si="69"/>
        <v>0</v>
      </c>
      <c r="C276" s="14">
        <f t="shared" si="70"/>
        <v>0</v>
      </c>
    </row>
    <row r="277" spans="1:3" ht="13.2">
      <c r="A277" s="34"/>
      <c r="B277" s="18">
        <f t="shared" si="69"/>
        <v>0</v>
      </c>
      <c r="C277" s="14">
        <f t="shared" si="70"/>
        <v>0</v>
      </c>
    </row>
    <row r="278" spans="1:3" ht="13.2">
      <c r="A278" s="34"/>
      <c r="B278" s="18">
        <f t="shared" si="69"/>
        <v>0</v>
      </c>
      <c r="C278" s="14">
        <f t="shared" si="70"/>
        <v>0</v>
      </c>
    </row>
    <row r="279" spans="1:3" ht="13.2">
      <c r="A279" s="34"/>
      <c r="B279" s="18">
        <f t="shared" si="71" ref="B279:B342">COUNTIF(CommonCo_Col,A279)</f>
        <v>0</v>
      </c>
      <c r="C279" s="14">
        <f t="shared" si="72" ref="C279:C342">IF(AND($B279&gt;0,$C$22&gt;0),$B279/$C$22*100,0)</f>
        <v>0</v>
      </c>
    </row>
    <row r="280" spans="1:3" ht="13.2">
      <c r="A280" s="34"/>
      <c r="B280" s="18">
        <f t="shared" si="71"/>
        <v>0</v>
      </c>
      <c r="C280" s="14">
        <f t="shared" si="72"/>
        <v>0</v>
      </c>
    </row>
    <row r="281" spans="1:3" ht="13.2">
      <c r="A281" s="34"/>
      <c r="B281" s="18">
        <f t="shared" si="71"/>
        <v>0</v>
      </c>
      <c r="C281" s="14">
        <f t="shared" si="72"/>
        <v>0</v>
      </c>
    </row>
    <row r="282" spans="1:3" ht="13.2">
      <c r="A282" s="34"/>
      <c r="B282" s="18">
        <f t="shared" si="71"/>
        <v>0</v>
      </c>
      <c r="C282" s="14">
        <f t="shared" si="72"/>
        <v>0</v>
      </c>
    </row>
    <row r="283" spans="1:3" ht="13.2">
      <c r="A283" s="34"/>
      <c r="B283" s="18">
        <f t="shared" si="71"/>
        <v>0</v>
      </c>
      <c r="C283" s="14">
        <f t="shared" si="72"/>
        <v>0</v>
      </c>
    </row>
    <row r="284" spans="1:3" ht="13.2">
      <c r="A284" s="34"/>
      <c r="B284" s="18">
        <f t="shared" si="71"/>
        <v>0</v>
      </c>
      <c r="C284" s="14">
        <f t="shared" si="72"/>
        <v>0</v>
      </c>
    </row>
    <row r="285" spans="1:3" ht="13.2">
      <c r="A285" s="34"/>
      <c r="B285" s="18">
        <f t="shared" si="71"/>
        <v>0</v>
      </c>
      <c r="C285" s="14">
        <f t="shared" si="72"/>
        <v>0</v>
      </c>
    </row>
    <row r="286" spans="1:3" ht="13.2">
      <c r="A286" s="34"/>
      <c r="B286" s="18">
        <f t="shared" si="71"/>
        <v>0</v>
      </c>
      <c r="C286" s="14">
        <f t="shared" si="72"/>
        <v>0</v>
      </c>
    </row>
    <row r="287" spans="1:3" ht="13.2">
      <c r="A287" s="34"/>
      <c r="B287" s="18">
        <f t="shared" si="71"/>
        <v>0</v>
      </c>
      <c r="C287" s="14">
        <f t="shared" si="72"/>
        <v>0</v>
      </c>
    </row>
    <row r="288" spans="1:3" ht="13.2">
      <c r="A288" s="34"/>
      <c r="B288" s="18">
        <f t="shared" si="71"/>
        <v>0</v>
      </c>
      <c r="C288" s="14">
        <f t="shared" si="72"/>
        <v>0</v>
      </c>
    </row>
    <row r="289" spans="1:3" ht="13.2">
      <c r="A289" s="34"/>
      <c r="B289" s="18">
        <f t="shared" si="71"/>
        <v>0</v>
      </c>
      <c r="C289" s="14">
        <f t="shared" si="72"/>
        <v>0</v>
      </c>
    </row>
    <row r="290" spans="1:3" ht="13.2">
      <c r="A290" s="34"/>
      <c r="B290" s="18">
        <f t="shared" si="71"/>
        <v>0</v>
      </c>
      <c r="C290" s="14">
        <f t="shared" si="72"/>
        <v>0</v>
      </c>
    </row>
    <row r="291" spans="1:3" ht="13.2">
      <c r="A291" s="34"/>
      <c r="B291" s="18">
        <f t="shared" si="71"/>
        <v>0</v>
      </c>
      <c r="C291" s="14">
        <f t="shared" si="72"/>
        <v>0</v>
      </c>
    </row>
    <row r="292" spans="1:3" ht="13.2">
      <c r="A292" s="34"/>
      <c r="B292" s="18">
        <f t="shared" si="71"/>
        <v>0</v>
      </c>
      <c r="C292" s="14">
        <f t="shared" si="72"/>
        <v>0</v>
      </c>
    </row>
    <row r="293" spans="1:3" ht="13.2">
      <c r="A293" s="34"/>
      <c r="B293" s="18">
        <f t="shared" si="71"/>
        <v>0</v>
      </c>
      <c r="C293" s="14">
        <f t="shared" si="72"/>
        <v>0</v>
      </c>
    </row>
    <row r="294" spans="1:3" ht="13.2">
      <c r="A294" s="34"/>
      <c r="B294" s="18">
        <f t="shared" si="71"/>
        <v>0</v>
      </c>
      <c r="C294" s="14">
        <f t="shared" si="72"/>
        <v>0</v>
      </c>
    </row>
    <row r="295" spans="1:3" ht="13.2">
      <c r="A295" s="34"/>
      <c r="B295" s="18">
        <f t="shared" si="71"/>
        <v>0</v>
      </c>
      <c r="C295" s="14">
        <f t="shared" si="72"/>
        <v>0</v>
      </c>
    </row>
    <row r="296" spans="1:3" ht="13.2">
      <c r="A296" s="34"/>
      <c r="B296" s="18">
        <f t="shared" si="71"/>
        <v>0</v>
      </c>
      <c r="C296" s="14">
        <f t="shared" si="72"/>
        <v>0</v>
      </c>
    </row>
    <row r="297" spans="1:3" ht="13.2">
      <c r="A297" s="34"/>
      <c r="B297" s="18">
        <f t="shared" si="71"/>
        <v>0</v>
      </c>
      <c r="C297" s="14">
        <f t="shared" si="72"/>
        <v>0</v>
      </c>
    </row>
    <row r="298" spans="1:3" ht="13.2">
      <c r="A298" s="34"/>
      <c r="B298" s="18">
        <f t="shared" si="71"/>
        <v>0</v>
      </c>
      <c r="C298" s="14">
        <f t="shared" si="72"/>
        <v>0</v>
      </c>
    </row>
    <row r="299" spans="1:3" ht="13.2">
      <c r="A299" s="34"/>
      <c r="B299" s="18">
        <f t="shared" si="71"/>
        <v>0</v>
      </c>
      <c r="C299" s="14">
        <f t="shared" si="72"/>
        <v>0</v>
      </c>
    </row>
    <row r="300" spans="1:3" ht="13.2">
      <c r="A300" s="34"/>
      <c r="B300" s="18">
        <f t="shared" si="71"/>
        <v>0</v>
      </c>
      <c r="C300" s="14">
        <f t="shared" si="72"/>
        <v>0</v>
      </c>
    </row>
    <row r="301" spans="1:3" ht="13.2">
      <c r="A301" s="34"/>
      <c r="B301" s="18">
        <f t="shared" si="71"/>
        <v>0</v>
      </c>
      <c r="C301" s="14">
        <f t="shared" si="72"/>
        <v>0</v>
      </c>
    </row>
    <row r="302" spans="1:3" ht="13.2">
      <c r="A302" s="34"/>
      <c r="B302" s="18">
        <f t="shared" si="71"/>
        <v>0</v>
      </c>
      <c r="C302" s="14">
        <f t="shared" si="72"/>
        <v>0</v>
      </c>
    </row>
    <row r="303" spans="1:3" ht="13.2">
      <c r="A303" s="34"/>
      <c r="B303" s="18">
        <f t="shared" si="71"/>
        <v>0</v>
      </c>
      <c r="C303" s="14">
        <f t="shared" si="72"/>
        <v>0</v>
      </c>
    </row>
    <row r="304" spans="1:3" ht="13.2">
      <c r="A304" s="34"/>
      <c r="B304" s="18">
        <f t="shared" si="71"/>
        <v>0</v>
      </c>
      <c r="C304" s="14">
        <f t="shared" si="72"/>
        <v>0</v>
      </c>
    </row>
    <row r="305" spans="1:3" ht="13.2">
      <c r="A305" s="34"/>
      <c r="B305" s="18">
        <f t="shared" si="71"/>
        <v>0</v>
      </c>
      <c r="C305" s="14">
        <f t="shared" si="72"/>
        <v>0</v>
      </c>
    </row>
    <row r="306" spans="1:3" ht="13.2">
      <c r="A306" s="34"/>
      <c r="B306" s="18">
        <f t="shared" si="71"/>
        <v>0</v>
      </c>
      <c r="C306" s="14">
        <f t="shared" si="72"/>
        <v>0</v>
      </c>
    </row>
    <row r="307" spans="1:3" ht="13.2">
      <c r="A307" s="34"/>
      <c r="B307" s="18">
        <f t="shared" si="71"/>
        <v>0</v>
      </c>
      <c r="C307" s="14">
        <f t="shared" si="72"/>
        <v>0</v>
      </c>
    </row>
    <row r="308" spans="1:3" ht="13.2">
      <c r="A308" s="34"/>
      <c r="B308" s="18">
        <f t="shared" si="71"/>
        <v>0</v>
      </c>
      <c r="C308" s="14">
        <f t="shared" si="72"/>
        <v>0</v>
      </c>
    </row>
    <row r="309" spans="1:3" ht="13.2">
      <c r="A309" s="34"/>
      <c r="B309" s="18">
        <f t="shared" si="71"/>
        <v>0</v>
      </c>
      <c r="C309" s="14">
        <f t="shared" si="72"/>
        <v>0</v>
      </c>
    </row>
    <row r="310" spans="1:3" ht="13.2">
      <c r="A310" s="34"/>
      <c r="B310" s="18">
        <f t="shared" si="71"/>
        <v>0</v>
      </c>
      <c r="C310" s="14">
        <f t="shared" si="72"/>
        <v>0</v>
      </c>
    </row>
    <row r="311" spans="1:3" ht="13.2">
      <c r="A311" s="34"/>
      <c r="B311" s="18">
        <f t="shared" si="71"/>
        <v>0</v>
      </c>
      <c r="C311" s="14">
        <f t="shared" si="72"/>
        <v>0</v>
      </c>
    </row>
    <row r="312" spans="1:3" ht="13.2">
      <c r="A312" s="34"/>
      <c r="B312" s="18">
        <f t="shared" si="71"/>
        <v>0</v>
      </c>
      <c r="C312" s="14">
        <f t="shared" si="72"/>
        <v>0</v>
      </c>
    </row>
    <row r="313" spans="1:3" ht="13.2">
      <c r="A313" s="34"/>
      <c r="B313" s="18">
        <f t="shared" si="71"/>
        <v>0</v>
      </c>
      <c r="C313" s="14">
        <f t="shared" si="72"/>
        <v>0</v>
      </c>
    </row>
    <row r="314" spans="1:3" ht="13.2">
      <c r="A314" s="34"/>
      <c r="B314" s="18">
        <f t="shared" si="71"/>
        <v>0</v>
      </c>
      <c r="C314" s="14">
        <f t="shared" si="72"/>
        <v>0</v>
      </c>
    </row>
    <row r="315" spans="1:3" ht="13.2">
      <c r="A315" s="34"/>
      <c r="B315" s="18">
        <f t="shared" si="71"/>
        <v>0</v>
      </c>
      <c r="C315" s="14">
        <f t="shared" si="72"/>
        <v>0</v>
      </c>
    </row>
    <row r="316" spans="1:3" ht="13.2">
      <c r="A316" s="34"/>
      <c r="B316" s="18">
        <f t="shared" si="71"/>
        <v>0</v>
      </c>
      <c r="C316" s="14">
        <f t="shared" si="72"/>
        <v>0</v>
      </c>
    </row>
    <row r="317" spans="1:3" ht="13.2">
      <c r="A317" s="34"/>
      <c r="B317" s="18">
        <f t="shared" si="71"/>
        <v>0</v>
      </c>
      <c r="C317" s="14">
        <f t="shared" si="72"/>
        <v>0</v>
      </c>
    </row>
    <row r="318" spans="1:3" ht="13.2">
      <c r="A318" s="34"/>
      <c r="B318" s="18">
        <f t="shared" si="71"/>
        <v>0</v>
      </c>
      <c r="C318" s="14">
        <f t="shared" si="72"/>
        <v>0</v>
      </c>
    </row>
    <row r="319" spans="1:3" ht="13.2">
      <c r="A319" s="34"/>
      <c r="B319" s="18">
        <f t="shared" si="71"/>
        <v>0</v>
      </c>
      <c r="C319" s="14">
        <f t="shared" si="72"/>
        <v>0</v>
      </c>
    </row>
    <row r="320" spans="1:3" ht="13.2">
      <c r="A320" s="34"/>
      <c r="B320" s="18">
        <f t="shared" si="71"/>
        <v>0</v>
      </c>
      <c r="C320" s="14">
        <f t="shared" si="72"/>
        <v>0</v>
      </c>
    </row>
    <row r="321" spans="1:3" ht="13.2">
      <c r="A321" s="34"/>
      <c r="B321" s="18">
        <f t="shared" si="71"/>
        <v>0</v>
      </c>
      <c r="C321" s="14">
        <f t="shared" si="72"/>
        <v>0</v>
      </c>
    </row>
    <row r="322" spans="1:3" ht="13.2">
      <c r="A322" s="34"/>
      <c r="B322" s="18">
        <f t="shared" si="71"/>
        <v>0</v>
      </c>
      <c r="C322" s="14">
        <f t="shared" si="72"/>
        <v>0</v>
      </c>
    </row>
    <row r="323" spans="1:3" ht="13.2">
      <c r="A323" s="34"/>
      <c r="B323" s="18">
        <f t="shared" si="71"/>
        <v>0</v>
      </c>
      <c r="C323" s="14">
        <f t="shared" si="72"/>
        <v>0</v>
      </c>
    </row>
    <row r="324" spans="1:3" ht="13.2">
      <c r="A324" s="34"/>
      <c r="B324" s="18">
        <f t="shared" si="71"/>
        <v>0</v>
      </c>
      <c r="C324" s="14">
        <f t="shared" si="72"/>
        <v>0</v>
      </c>
    </row>
    <row r="325" spans="1:3" ht="13.2">
      <c r="A325" s="34"/>
      <c r="B325" s="18">
        <f t="shared" si="71"/>
        <v>0</v>
      </c>
      <c r="C325" s="14">
        <f t="shared" si="72"/>
        <v>0</v>
      </c>
    </row>
    <row r="326" spans="1:3" ht="13.2">
      <c r="A326" s="34"/>
      <c r="B326" s="18">
        <f t="shared" si="71"/>
        <v>0</v>
      </c>
      <c r="C326" s="14">
        <f t="shared" si="72"/>
        <v>0</v>
      </c>
    </row>
    <row r="327" spans="1:3" ht="13.2">
      <c r="A327" s="34"/>
      <c r="B327" s="18">
        <f t="shared" si="71"/>
        <v>0</v>
      </c>
      <c r="C327" s="14">
        <f t="shared" si="72"/>
        <v>0</v>
      </c>
    </row>
    <row r="328" spans="1:3" ht="13.2">
      <c r="A328" s="34"/>
      <c r="B328" s="18">
        <f t="shared" si="71"/>
        <v>0</v>
      </c>
      <c r="C328" s="14">
        <f t="shared" si="72"/>
        <v>0</v>
      </c>
    </row>
    <row r="329" spans="1:3" ht="13.2">
      <c r="A329" s="34"/>
      <c r="B329" s="18">
        <f t="shared" si="71"/>
        <v>0</v>
      </c>
      <c r="C329" s="14">
        <f t="shared" si="72"/>
        <v>0</v>
      </c>
    </row>
    <row r="330" spans="1:3" ht="13.2">
      <c r="A330" s="34"/>
      <c r="B330" s="18">
        <f t="shared" si="71"/>
        <v>0</v>
      </c>
      <c r="C330" s="14">
        <f t="shared" si="72"/>
        <v>0</v>
      </c>
    </row>
    <row r="331" spans="1:3" ht="13.2">
      <c r="A331" s="34"/>
      <c r="B331" s="18">
        <f t="shared" si="71"/>
        <v>0</v>
      </c>
      <c r="C331" s="14">
        <f t="shared" si="72"/>
        <v>0</v>
      </c>
    </row>
    <row r="332" spans="1:3" ht="13.2">
      <c r="A332" s="34"/>
      <c r="B332" s="18">
        <f t="shared" si="71"/>
        <v>0</v>
      </c>
      <c r="C332" s="14">
        <f t="shared" si="72"/>
        <v>0</v>
      </c>
    </row>
    <row r="333" spans="1:3" ht="13.2">
      <c r="A333" s="34"/>
      <c r="B333" s="18">
        <f t="shared" si="71"/>
        <v>0</v>
      </c>
      <c r="C333" s="14">
        <f t="shared" si="72"/>
        <v>0</v>
      </c>
    </row>
    <row r="334" spans="1:3" ht="13.2">
      <c r="A334" s="34"/>
      <c r="B334" s="18">
        <f t="shared" si="71"/>
        <v>0</v>
      </c>
      <c r="C334" s="14">
        <f t="shared" si="72"/>
        <v>0</v>
      </c>
    </row>
    <row r="335" spans="1:3" ht="13.2">
      <c r="A335" s="34"/>
      <c r="B335" s="18">
        <f t="shared" si="71"/>
        <v>0</v>
      </c>
      <c r="C335" s="14">
        <f t="shared" si="72"/>
        <v>0</v>
      </c>
    </row>
    <row r="336" spans="1:3" ht="13.2">
      <c r="A336" s="34"/>
      <c r="B336" s="18">
        <f t="shared" si="71"/>
        <v>0</v>
      </c>
      <c r="C336" s="14">
        <f t="shared" si="72"/>
        <v>0</v>
      </c>
    </row>
    <row r="337" spans="1:3" ht="13.2">
      <c r="A337" s="34"/>
      <c r="B337" s="18">
        <f t="shared" si="71"/>
        <v>0</v>
      </c>
      <c r="C337" s="14">
        <f t="shared" si="72"/>
        <v>0</v>
      </c>
    </row>
    <row r="338" spans="1:3" ht="13.2">
      <c r="A338" s="34"/>
      <c r="B338" s="18">
        <f t="shared" si="71"/>
        <v>0</v>
      </c>
      <c r="C338" s="14">
        <f t="shared" si="72"/>
        <v>0</v>
      </c>
    </row>
    <row r="339" spans="1:3" ht="13.2">
      <c r="A339" s="34"/>
      <c r="B339" s="18">
        <f t="shared" si="71"/>
        <v>0</v>
      </c>
      <c r="C339" s="14">
        <f t="shared" si="72"/>
        <v>0</v>
      </c>
    </row>
    <row r="340" spans="1:3" ht="13.2">
      <c r="A340" s="34"/>
      <c r="B340" s="18">
        <f t="shared" si="71"/>
        <v>0</v>
      </c>
      <c r="C340" s="14">
        <f t="shared" si="72"/>
        <v>0</v>
      </c>
    </row>
    <row r="341" spans="1:3" ht="13.2">
      <c r="A341" s="34"/>
      <c r="B341" s="18">
        <f t="shared" si="71"/>
        <v>0</v>
      </c>
      <c r="C341" s="14">
        <f t="shared" si="72"/>
        <v>0</v>
      </c>
    </row>
    <row r="342" spans="1:3" ht="13.2">
      <c r="A342" s="34"/>
      <c r="B342" s="18">
        <f t="shared" si="71"/>
        <v>0</v>
      </c>
      <c r="C342" s="14">
        <f t="shared" si="72"/>
        <v>0</v>
      </c>
    </row>
    <row r="343" spans="1:3" ht="13.2">
      <c r="A343" s="34"/>
      <c r="B343" s="18">
        <f t="shared" si="73" ref="B343:B406">COUNTIF(CommonCo_Col,A343)</f>
        <v>0</v>
      </c>
      <c r="C343" s="14">
        <f t="shared" si="74" ref="C343:C406">IF(AND($B343&gt;0,$C$22&gt;0),$B343/$C$22*100,0)</f>
        <v>0</v>
      </c>
    </row>
    <row r="344" spans="1:3" ht="13.2">
      <c r="A344" s="34"/>
      <c r="B344" s="18">
        <f t="shared" si="73"/>
        <v>0</v>
      </c>
      <c r="C344" s="14">
        <f t="shared" si="74"/>
        <v>0</v>
      </c>
    </row>
    <row r="345" spans="1:3" ht="13.2">
      <c r="A345" s="34"/>
      <c r="B345" s="18">
        <f t="shared" si="73"/>
        <v>0</v>
      </c>
      <c r="C345" s="14">
        <f t="shared" si="74"/>
        <v>0</v>
      </c>
    </row>
    <row r="346" spans="1:3" ht="13.2">
      <c r="A346" s="34"/>
      <c r="B346" s="18">
        <f t="shared" si="73"/>
        <v>0</v>
      </c>
      <c r="C346" s="14">
        <f t="shared" si="74"/>
        <v>0</v>
      </c>
    </row>
    <row r="347" spans="1:3" ht="13.2">
      <c r="A347" s="34"/>
      <c r="B347" s="18">
        <f t="shared" si="73"/>
        <v>0</v>
      </c>
      <c r="C347" s="14">
        <f t="shared" si="74"/>
        <v>0</v>
      </c>
    </row>
    <row r="348" spans="1:3" ht="13.2">
      <c r="A348" s="34"/>
      <c r="B348" s="18">
        <f t="shared" si="73"/>
        <v>0</v>
      </c>
      <c r="C348" s="14">
        <f t="shared" si="74"/>
        <v>0</v>
      </c>
    </row>
    <row r="349" spans="1:3" ht="13.2">
      <c r="A349" s="34"/>
      <c r="B349" s="18">
        <f t="shared" si="73"/>
        <v>0</v>
      </c>
      <c r="C349" s="14">
        <f t="shared" si="74"/>
        <v>0</v>
      </c>
    </row>
    <row r="350" spans="1:3" ht="13.2">
      <c r="A350" s="34"/>
      <c r="B350" s="18">
        <f t="shared" si="73"/>
        <v>0</v>
      </c>
      <c r="C350" s="14">
        <f t="shared" si="74"/>
        <v>0</v>
      </c>
    </row>
    <row r="351" spans="1:3" ht="13.2">
      <c r="A351" s="34"/>
      <c r="B351" s="18">
        <f t="shared" si="73"/>
        <v>0</v>
      </c>
      <c r="C351" s="14">
        <f t="shared" si="74"/>
        <v>0</v>
      </c>
    </row>
    <row r="352" spans="1:3" ht="13.2">
      <c r="A352" s="34"/>
      <c r="B352" s="18">
        <f t="shared" si="73"/>
        <v>0</v>
      </c>
      <c r="C352" s="14">
        <f t="shared" si="74"/>
        <v>0</v>
      </c>
    </row>
    <row r="353" spans="1:3" ht="13.2">
      <c r="A353" s="34"/>
      <c r="B353" s="18">
        <f t="shared" si="73"/>
        <v>0</v>
      </c>
      <c r="C353" s="14">
        <f t="shared" si="74"/>
        <v>0</v>
      </c>
    </row>
    <row r="354" spans="1:3" ht="13.2">
      <c r="A354" s="34"/>
      <c r="B354" s="18">
        <f t="shared" si="73"/>
        <v>0</v>
      </c>
      <c r="C354" s="14">
        <f t="shared" si="74"/>
        <v>0</v>
      </c>
    </row>
    <row r="355" spans="1:3" ht="13.2">
      <c r="A355" s="34"/>
      <c r="B355" s="18">
        <f t="shared" si="73"/>
        <v>0</v>
      </c>
      <c r="C355" s="14">
        <f t="shared" si="74"/>
        <v>0</v>
      </c>
    </row>
    <row r="356" spans="1:3" ht="13.2">
      <c r="A356" s="34"/>
      <c r="B356" s="18">
        <f t="shared" si="73"/>
        <v>0</v>
      </c>
      <c r="C356" s="14">
        <f t="shared" si="74"/>
        <v>0</v>
      </c>
    </row>
    <row r="357" spans="1:3" ht="13.2">
      <c r="A357" s="34"/>
      <c r="B357" s="18">
        <f t="shared" si="73"/>
        <v>0</v>
      </c>
      <c r="C357" s="14">
        <f t="shared" si="74"/>
        <v>0</v>
      </c>
    </row>
    <row r="358" spans="1:3" ht="13.2">
      <c r="A358" s="34"/>
      <c r="B358" s="18">
        <f t="shared" si="73"/>
        <v>0</v>
      </c>
      <c r="C358" s="14">
        <f t="shared" si="74"/>
        <v>0</v>
      </c>
    </row>
    <row r="359" spans="1:3" ht="13.2">
      <c r="A359" s="34"/>
      <c r="B359" s="18">
        <f t="shared" si="73"/>
        <v>0</v>
      </c>
      <c r="C359" s="14">
        <f t="shared" si="74"/>
        <v>0</v>
      </c>
    </row>
    <row r="360" spans="1:3" ht="13.2">
      <c r="A360" s="34"/>
      <c r="B360" s="18">
        <f t="shared" si="73"/>
        <v>0</v>
      </c>
      <c r="C360" s="14">
        <f t="shared" si="74"/>
        <v>0</v>
      </c>
    </row>
    <row r="361" spans="1:3" ht="13.2">
      <c r="A361" s="34"/>
      <c r="B361" s="18">
        <f t="shared" si="73"/>
        <v>0</v>
      </c>
      <c r="C361" s="14">
        <f t="shared" si="74"/>
        <v>0</v>
      </c>
    </row>
    <row r="362" spans="1:3" ht="13.2">
      <c r="A362" s="34"/>
      <c r="B362" s="18">
        <f t="shared" si="73"/>
        <v>0</v>
      </c>
      <c r="C362" s="14">
        <f t="shared" si="74"/>
        <v>0</v>
      </c>
    </row>
    <row r="363" spans="1:3" ht="13.2">
      <c r="A363" s="34"/>
      <c r="B363" s="18">
        <f t="shared" si="73"/>
        <v>0</v>
      </c>
      <c r="C363" s="14">
        <f t="shared" si="74"/>
        <v>0</v>
      </c>
    </row>
    <row r="364" spans="1:3" ht="13.2">
      <c r="A364" s="34"/>
      <c r="B364" s="18">
        <f t="shared" si="73"/>
        <v>0</v>
      </c>
      <c r="C364" s="14">
        <f t="shared" si="74"/>
        <v>0</v>
      </c>
    </row>
    <row r="365" spans="1:3" ht="13.2">
      <c r="A365" s="34"/>
      <c r="B365" s="18">
        <f t="shared" si="73"/>
        <v>0</v>
      </c>
      <c r="C365" s="14">
        <f t="shared" si="74"/>
        <v>0</v>
      </c>
    </row>
    <row r="366" spans="1:3" ht="13.2">
      <c r="A366" s="34"/>
      <c r="B366" s="18">
        <f t="shared" si="73"/>
        <v>0</v>
      </c>
      <c r="C366" s="14">
        <f t="shared" si="74"/>
        <v>0</v>
      </c>
    </row>
    <row r="367" spans="1:3" ht="13.2">
      <c r="A367" s="34"/>
      <c r="B367" s="18">
        <f t="shared" si="73"/>
        <v>0</v>
      </c>
      <c r="C367" s="14">
        <f t="shared" si="74"/>
        <v>0</v>
      </c>
    </row>
    <row r="368" spans="1:3" ht="13.2">
      <c r="A368" s="34"/>
      <c r="B368" s="18">
        <f t="shared" si="73"/>
        <v>0</v>
      </c>
      <c r="C368" s="14">
        <f t="shared" si="74"/>
        <v>0</v>
      </c>
    </row>
    <row r="369" spans="1:3" ht="13.2">
      <c r="A369" s="34"/>
      <c r="B369" s="18">
        <f t="shared" si="73"/>
        <v>0</v>
      </c>
      <c r="C369" s="14">
        <f t="shared" si="74"/>
        <v>0</v>
      </c>
    </row>
    <row r="370" spans="1:3" ht="13.2">
      <c r="A370" s="34"/>
      <c r="B370" s="18">
        <f t="shared" si="73"/>
        <v>0</v>
      </c>
      <c r="C370" s="14">
        <f t="shared" si="74"/>
        <v>0</v>
      </c>
    </row>
    <row r="371" spans="1:3" ht="13.2">
      <c r="A371" s="34"/>
      <c r="B371" s="18">
        <f t="shared" si="73"/>
        <v>0</v>
      </c>
      <c r="C371" s="14">
        <f t="shared" si="74"/>
        <v>0</v>
      </c>
    </row>
    <row r="372" spans="1:3" ht="13.2">
      <c r="A372" s="34"/>
      <c r="B372" s="18">
        <f t="shared" si="73"/>
        <v>0</v>
      </c>
      <c r="C372" s="14">
        <f t="shared" si="74"/>
        <v>0</v>
      </c>
    </row>
    <row r="373" spans="1:3" ht="13.2">
      <c r="A373" s="34"/>
      <c r="B373" s="18">
        <f t="shared" si="73"/>
        <v>0</v>
      </c>
      <c r="C373" s="14">
        <f t="shared" si="74"/>
        <v>0</v>
      </c>
    </row>
    <row r="374" spans="1:3" ht="13.2">
      <c r="A374" s="34"/>
      <c r="B374" s="18">
        <f t="shared" si="73"/>
        <v>0</v>
      </c>
      <c r="C374" s="14">
        <f t="shared" si="74"/>
        <v>0</v>
      </c>
    </row>
    <row r="375" spans="1:3" ht="13.2">
      <c r="A375" s="34"/>
      <c r="B375" s="18">
        <f t="shared" si="73"/>
        <v>0</v>
      </c>
      <c r="C375" s="14">
        <f t="shared" si="74"/>
        <v>0</v>
      </c>
    </row>
    <row r="376" spans="1:3" ht="13.2">
      <c r="A376" s="34"/>
      <c r="B376" s="18">
        <f t="shared" si="73"/>
        <v>0</v>
      </c>
      <c r="C376" s="14">
        <f t="shared" si="74"/>
        <v>0</v>
      </c>
    </row>
    <row r="377" spans="1:3" ht="13.2">
      <c r="A377" s="34"/>
      <c r="B377" s="18">
        <f t="shared" si="73"/>
        <v>0</v>
      </c>
      <c r="C377" s="14">
        <f t="shared" si="74"/>
        <v>0</v>
      </c>
    </row>
    <row r="378" spans="1:3" ht="13.2">
      <c r="A378" s="34"/>
      <c r="B378" s="18">
        <f t="shared" si="73"/>
        <v>0</v>
      </c>
      <c r="C378" s="14">
        <f t="shared" si="74"/>
        <v>0</v>
      </c>
    </row>
    <row r="379" spans="1:3" ht="13.2">
      <c r="A379" s="34"/>
      <c r="B379" s="18">
        <f t="shared" si="73"/>
        <v>0</v>
      </c>
      <c r="C379" s="14">
        <f t="shared" si="74"/>
        <v>0</v>
      </c>
    </row>
    <row r="380" spans="1:3" ht="13.2">
      <c r="A380" s="34"/>
      <c r="B380" s="18">
        <f t="shared" si="73"/>
        <v>0</v>
      </c>
      <c r="C380" s="14">
        <f t="shared" si="74"/>
        <v>0</v>
      </c>
    </row>
    <row r="381" spans="1:3" ht="13.2">
      <c r="A381" s="34"/>
      <c r="B381" s="18">
        <f t="shared" si="73"/>
        <v>0</v>
      </c>
      <c r="C381" s="14">
        <f t="shared" si="74"/>
        <v>0</v>
      </c>
    </row>
    <row r="382" spans="1:3" ht="13.2">
      <c r="A382" s="34"/>
      <c r="B382" s="18">
        <f t="shared" si="73"/>
        <v>0</v>
      </c>
      <c r="C382" s="14">
        <f t="shared" si="74"/>
        <v>0</v>
      </c>
    </row>
    <row r="383" spans="1:3" ht="13.2">
      <c r="A383" s="34"/>
      <c r="B383" s="18">
        <f t="shared" si="73"/>
        <v>0</v>
      </c>
      <c r="C383" s="14">
        <f t="shared" si="74"/>
        <v>0</v>
      </c>
    </row>
    <row r="384" spans="1:3" ht="13.2">
      <c r="A384" s="34"/>
      <c r="B384" s="18">
        <f t="shared" si="73"/>
        <v>0</v>
      </c>
      <c r="C384" s="14">
        <f t="shared" si="74"/>
        <v>0</v>
      </c>
    </row>
    <row r="385" spans="1:3" ht="13.2">
      <c r="A385" s="34"/>
      <c r="B385" s="18">
        <f t="shared" si="73"/>
        <v>0</v>
      </c>
      <c r="C385" s="14">
        <f t="shared" si="74"/>
        <v>0</v>
      </c>
    </row>
    <row r="386" spans="1:3" ht="13.2">
      <c r="A386" s="34"/>
      <c r="B386" s="18">
        <f t="shared" si="73"/>
        <v>0</v>
      </c>
      <c r="C386" s="14">
        <f t="shared" si="74"/>
        <v>0</v>
      </c>
    </row>
    <row r="387" spans="1:3" ht="13.2">
      <c r="A387" s="34"/>
      <c r="B387" s="18">
        <f t="shared" si="73"/>
        <v>0</v>
      </c>
      <c r="C387" s="14">
        <f t="shared" si="74"/>
        <v>0</v>
      </c>
    </row>
    <row r="388" spans="1:3" ht="13.2">
      <c r="A388" s="34"/>
      <c r="B388" s="18">
        <f t="shared" si="73"/>
        <v>0</v>
      </c>
      <c r="C388" s="14">
        <f t="shared" si="74"/>
        <v>0</v>
      </c>
    </row>
    <row r="389" spans="1:3" ht="13.2">
      <c r="A389" s="34"/>
      <c r="B389" s="18">
        <f t="shared" si="73"/>
        <v>0</v>
      </c>
      <c r="C389" s="14">
        <f t="shared" si="74"/>
        <v>0</v>
      </c>
    </row>
    <row r="390" spans="1:3" ht="13.2">
      <c r="A390" s="34"/>
      <c r="B390" s="18">
        <f t="shared" si="73"/>
        <v>0</v>
      </c>
      <c r="C390" s="14">
        <f t="shared" si="74"/>
        <v>0</v>
      </c>
    </row>
    <row r="391" spans="1:3" ht="13.2">
      <c r="A391" s="34"/>
      <c r="B391" s="18">
        <f t="shared" si="73"/>
        <v>0</v>
      </c>
      <c r="C391" s="14">
        <f t="shared" si="74"/>
        <v>0</v>
      </c>
    </row>
    <row r="392" spans="1:3" ht="13.2">
      <c r="A392" s="34"/>
      <c r="B392" s="18">
        <f t="shared" si="73"/>
        <v>0</v>
      </c>
      <c r="C392" s="14">
        <f t="shared" si="74"/>
        <v>0</v>
      </c>
    </row>
    <row r="393" spans="1:3" ht="13.2">
      <c r="A393" s="34"/>
      <c r="B393" s="18">
        <f t="shared" si="73"/>
        <v>0</v>
      </c>
      <c r="C393" s="14">
        <f t="shared" si="74"/>
        <v>0</v>
      </c>
    </row>
    <row r="394" spans="1:3" ht="13.2">
      <c r="A394" s="34"/>
      <c r="B394" s="18">
        <f t="shared" si="73"/>
        <v>0</v>
      </c>
      <c r="C394" s="14">
        <f t="shared" si="74"/>
        <v>0</v>
      </c>
    </row>
    <row r="395" spans="1:3" ht="13.2">
      <c r="A395" s="34"/>
      <c r="B395" s="18">
        <f t="shared" si="73"/>
        <v>0</v>
      </c>
      <c r="C395" s="14">
        <f t="shared" si="74"/>
        <v>0</v>
      </c>
    </row>
    <row r="396" spans="1:3" ht="13.2">
      <c r="A396" s="34"/>
      <c r="B396" s="18">
        <f t="shared" si="73"/>
        <v>0</v>
      </c>
      <c r="C396" s="14">
        <f t="shared" si="74"/>
        <v>0</v>
      </c>
    </row>
    <row r="397" spans="1:3" ht="13.2">
      <c r="A397" s="34"/>
      <c r="B397" s="18">
        <f t="shared" si="73"/>
        <v>0</v>
      </c>
      <c r="C397" s="14">
        <f t="shared" si="74"/>
        <v>0</v>
      </c>
    </row>
    <row r="398" spans="1:3" ht="13.2">
      <c r="A398" s="34"/>
      <c r="B398" s="18">
        <f t="shared" si="73"/>
        <v>0</v>
      </c>
      <c r="C398" s="14">
        <f t="shared" si="74"/>
        <v>0</v>
      </c>
    </row>
    <row r="399" spans="1:3" ht="13.2">
      <c r="A399" s="34"/>
      <c r="B399" s="18">
        <f t="shared" si="73"/>
        <v>0</v>
      </c>
      <c r="C399" s="14">
        <f t="shared" si="74"/>
        <v>0</v>
      </c>
    </row>
    <row r="400" spans="1:3" ht="13.2">
      <c r="A400" s="34"/>
      <c r="B400" s="18">
        <f t="shared" si="73"/>
        <v>0</v>
      </c>
      <c r="C400" s="14">
        <f t="shared" si="74"/>
        <v>0</v>
      </c>
    </row>
    <row r="401" spans="1:3" ht="13.2">
      <c r="A401" s="34"/>
      <c r="B401" s="18">
        <f t="shared" si="73"/>
        <v>0</v>
      </c>
      <c r="C401" s="14">
        <f t="shared" si="74"/>
        <v>0</v>
      </c>
    </row>
    <row r="402" spans="1:3" ht="13.2">
      <c r="A402" s="34"/>
      <c r="B402" s="18">
        <f t="shared" si="73"/>
        <v>0</v>
      </c>
      <c r="C402" s="14">
        <f t="shared" si="74"/>
        <v>0</v>
      </c>
    </row>
    <row r="403" spans="1:3" ht="13.2">
      <c r="A403" s="34"/>
      <c r="B403" s="18">
        <f t="shared" si="73"/>
        <v>0</v>
      </c>
      <c r="C403" s="14">
        <f t="shared" si="74"/>
        <v>0</v>
      </c>
    </row>
    <row r="404" spans="1:3" ht="13.2">
      <c r="A404" s="34"/>
      <c r="B404" s="18">
        <f t="shared" si="73"/>
        <v>0</v>
      </c>
      <c r="C404" s="14">
        <f t="shared" si="74"/>
        <v>0</v>
      </c>
    </row>
    <row r="405" spans="1:3" ht="13.2">
      <c r="A405" s="34"/>
      <c r="B405" s="18">
        <f t="shared" si="73"/>
        <v>0</v>
      </c>
      <c r="C405" s="14">
        <f t="shared" si="74"/>
        <v>0</v>
      </c>
    </row>
    <row r="406" spans="1:3" ht="13.2">
      <c r="A406" s="34"/>
      <c r="B406" s="18">
        <f t="shared" si="73"/>
        <v>0</v>
      </c>
      <c r="C406" s="14">
        <f t="shared" si="74"/>
        <v>0</v>
      </c>
    </row>
    <row r="407" spans="1:3" ht="13.2">
      <c r="A407" s="34"/>
      <c r="B407" s="18">
        <f t="shared" si="75" ref="B407:B470">COUNTIF(CommonCo_Col,A407)</f>
        <v>0</v>
      </c>
      <c r="C407" s="14">
        <f t="shared" si="76" ref="C407:C470">IF(AND($B407&gt;0,$C$22&gt;0),$B407/$C$22*100,0)</f>
        <v>0</v>
      </c>
    </row>
    <row r="408" spans="1:3" ht="13.2">
      <c r="A408" s="34"/>
      <c r="B408" s="18">
        <f t="shared" si="75"/>
        <v>0</v>
      </c>
      <c r="C408" s="14">
        <f t="shared" si="76"/>
        <v>0</v>
      </c>
    </row>
    <row r="409" spans="1:3" ht="13.2">
      <c r="A409" s="34"/>
      <c r="B409" s="18">
        <f t="shared" si="75"/>
        <v>0</v>
      </c>
      <c r="C409" s="14">
        <f t="shared" si="76"/>
        <v>0</v>
      </c>
    </row>
    <row r="410" spans="1:3" ht="13.2">
      <c r="A410" s="34"/>
      <c r="B410" s="18">
        <f t="shared" si="75"/>
        <v>0</v>
      </c>
      <c r="C410" s="14">
        <f t="shared" si="76"/>
        <v>0</v>
      </c>
    </row>
    <row r="411" spans="1:3" ht="13.2">
      <c r="A411" s="34"/>
      <c r="B411" s="18">
        <f t="shared" si="75"/>
        <v>0</v>
      </c>
      <c r="C411" s="14">
        <f t="shared" si="76"/>
        <v>0</v>
      </c>
    </row>
    <row r="412" spans="1:3" ht="13.2">
      <c r="A412" s="34"/>
      <c r="B412" s="18">
        <f t="shared" si="75"/>
        <v>0</v>
      </c>
      <c r="C412" s="14">
        <f t="shared" si="76"/>
        <v>0</v>
      </c>
    </row>
    <row r="413" spans="1:3" ht="13.2">
      <c r="A413" s="34"/>
      <c r="B413" s="18">
        <f t="shared" si="75"/>
        <v>0</v>
      </c>
      <c r="C413" s="14">
        <f t="shared" si="76"/>
        <v>0</v>
      </c>
    </row>
    <row r="414" spans="1:3" ht="13.2">
      <c r="A414" s="34"/>
      <c r="B414" s="18">
        <f t="shared" si="75"/>
        <v>0</v>
      </c>
      <c r="C414" s="14">
        <f t="shared" si="76"/>
        <v>0</v>
      </c>
    </row>
    <row r="415" spans="1:3" ht="13.2">
      <c r="A415" s="34"/>
      <c r="B415" s="18">
        <f t="shared" si="75"/>
        <v>0</v>
      </c>
      <c r="C415" s="14">
        <f t="shared" si="76"/>
        <v>0</v>
      </c>
    </row>
    <row r="416" spans="1:3" ht="13.2">
      <c r="A416" s="34"/>
      <c r="B416" s="18">
        <f t="shared" si="75"/>
        <v>0</v>
      </c>
      <c r="C416" s="14">
        <f t="shared" si="76"/>
        <v>0</v>
      </c>
    </row>
    <row r="417" spans="1:3" ht="13.2">
      <c r="A417" s="34"/>
      <c r="B417" s="18">
        <f t="shared" si="75"/>
        <v>0</v>
      </c>
      <c r="C417" s="14">
        <f t="shared" si="76"/>
        <v>0</v>
      </c>
    </row>
    <row r="418" spans="1:3" ht="13.2">
      <c r="A418" s="34"/>
      <c r="B418" s="18">
        <f t="shared" si="75"/>
        <v>0</v>
      </c>
      <c r="C418" s="14">
        <f t="shared" si="76"/>
        <v>0</v>
      </c>
    </row>
    <row r="419" spans="1:3" ht="13.2">
      <c r="A419" s="34"/>
      <c r="B419" s="18">
        <f t="shared" si="75"/>
        <v>0</v>
      </c>
      <c r="C419" s="14">
        <f t="shared" si="76"/>
        <v>0</v>
      </c>
    </row>
    <row r="420" spans="1:3" ht="13.2">
      <c r="A420" s="34"/>
      <c r="B420" s="18">
        <f t="shared" si="75"/>
        <v>0</v>
      </c>
      <c r="C420" s="14">
        <f t="shared" si="76"/>
        <v>0</v>
      </c>
    </row>
    <row r="421" spans="1:3" ht="13.2">
      <c r="A421" s="34"/>
      <c r="B421" s="18">
        <f t="shared" si="75"/>
        <v>0</v>
      </c>
      <c r="C421" s="14">
        <f t="shared" si="76"/>
        <v>0</v>
      </c>
    </row>
    <row r="422" spans="1:3" ht="13.2">
      <c r="A422" s="34"/>
      <c r="B422" s="18">
        <f t="shared" si="75"/>
        <v>0</v>
      </c>
      <c r="C422" s="14">
        <f t="shared" si="76"/>
        <v>0</v>
      </c>
    </row>
    <row r="423" spans="1:3" ht="13.2">
      <c r="A423" s="34"/>
      <c r="B423" s="18">
        <f t="shared" si="75"/>
        <v>0</v>
      </c>
      <c r="C423" s="14">
        <f t="shared" si="76"/>
        <v>0</v>
      </c>
    </row>
    <row r="424" spans="1:3" ht="13.2">
      <c r="A424" s="34"/>
      <c r="B424" s="18">
        <f t="shared" si="75"/>
        <v>0</v>
      </c>
      <c r="C424" s="14">
        <f t="shared" si="76"/>
        <v>0</v>
      </c>
    </row>
    <row r="425" spans="1:3" ht="13.2">
      <c r="A425" s="34"/>
      <c r="B425" s="18">
        <f t="shared" si="75"/>
        <v>0</v>
      </c>
      <c r="C425" s="14">
        <f t="shared" si="76"/>
        <v>0</v>
      </c>
    </row>
    <row r="426" spans="1:3" ht="13.2">
      <c r="A426" s="34"/>
      <c r="B426" s="18">
        <f t="shared" si="75"/>
        <v>0</v>
      </c>
      <c r="C426" s="14">
        <f t="shared" si="76"/>
        <v>0</v>
      </c>
    </row>
    <row r="427" spans="1:3" ht="13.2">
      <c r="A427" s="34"/>
      <c r="B427" s="18">
        <f t="shared" si="75"/>
        <v>0</v>
      </c>
      <c r="C427" s="14">
        <f t="shared" si="76"/>
        <v>0</v>
      </c>
    </row>
    <row r="428" spans="1:3" ht="13.2">
      <c r="A428" s="34"/>
      <c r="B428" s="18">
        <f t="shared" si="75"/>
        <v>0</v>
      </c>
      <c r="C428" s="14">
        <f t="shared" si="76"/>
        <v>0</v>
      </c>
    </row>
    <row r="429" spans="1:3" ht="13.2">
      <c r="A429" s="34"/>
      <c r="B429" s="18">
        <f t="shared" si="75"/>
        <v>0</v>
      </c>
      <c r="C429" s="14">
        <f t="shared" si="76"/>
        <v>0</v>
      </c>
    </row>
    <row r="430" spans="1:3" ht="13.2">
      <c r="A430" s="34"/>
      <c r="B430" s="18">
        <f t="shared" si="75"/>
        <v>0</v>
      </c>
      <c r="C430" s="14">
        <f t="shared" si="76"/>
        <v>0</v>
      </c>
    </row>
    <row r="431" spans="1:3" ht="13.2">
      <c r="A431" s="34"/>
      <c r="B431" s="18">
        <f t="shared" si="75"/>
        <v>0</v>
      </c>
      <c r="C431" s="14">
        <f t="shared" si="76"/>
        <v>0</v>
      </c>
    </row>
    <row r="432" spans="1:3" ht="13.2">
      <c r="A432" s="34"/>
      <c r="B432" s="18">
        <f t="shared" si="75"/>
        <v>0</v>
      </c>
      <c r="C432" s="14">
        <f t="shared" si="76"/>
        <v>0</v>
      </c>
    </row>
    <row r="433" spans="1:3" ht="13.2">
      <c r="A433" s="34"/>
      <c r="B433" s="18">
        <f t="shared" si="75"/>
        <v>0</v>
      </c>
      <c r="C433" s="14">
        <f t="shared" si="76"/>
        <v>0</v>
      </c>
    </row>
    <row r="434" spans="1:3" ht="13.2">
      <c r="A434" s="34"/>
      <c r="B434" s="18">
        <f t="shared" si="75"/>
        <v>0</v>
      </c>
      <c r="C434" s="14">
        <f t="shared" si="76"/>
        <v>0</v>
      </c>
    </row>
    <row r="435" spans="1:3" ht="13.2">
      <c r="A435" s="34"/>
      <c r="B435" s="18">
        <f t="shared" si="75"/>
        <v>0</v>
      </c>
      <c r="C435" s="14">
        <f t="shared" si="76"/>
        <v>0</v>
      </c>
    </row>
    <row r="436" spans="1:3" ht="13.2">
      <c r="A436" s="34"/>
      <c r="B436" s="18">
        <f t="shared" si="75"/>
        <v>0</v>
      </c>
      <c r="C436" s="14">
        <f t="shared" si="76"/>
        <v>0</v>
      </c>
    </row>
    <row r="437" spans="1:3" ht="13.2">
      <c r="A437" s="34"/>
      <c r="B437" s="18">
        <f t="shared" si="75"/>
        <v>0</v>
      </c>
      <c r="C437" s="14">
        <f t="shared" si="76"/>
        <v>0</v>
      </c>
    </row>
    <row r="438" spans="1:3" ht="13.2">
      <c r="A438" s="34"/>
      <c r="B438" s="18">
        <f t="shared" si="75"/>
        <v>0</v>
      </c>
      <c r="C438" s="14">
        <f t="shared" si="76"/>
        <v>0</v>
      </c>
    </row>
    <row r="439" spans="1:3" ht="13.2">
      <c r="A439" s="34"/>
      <c r="B439" s="18">
        <f t="shared" si="75"/>
        <v>0</v>
      </c>
      <c r="C439" s="14">
        <f t="shared" si="76"/>
        <v>0</v>
      </c>
    </row>
    <row r="440" spans="1:3" ht="13.2">
      <c r="A440" s="34"/>
      <c r="B440" s="18">
        <f t="shared" si="75"/>
        <v>0</v>
      </c>
      <c r="C440" s="14">
        <f t="shared" si="76"/>
        <v>0</v>
      </c>
    </row>
    <row r="441" spans="1:3" ht="13.2">
      <c r="A441" s="34"/>
      <c r="B441" s="18">
        <f t="shared" si="75"/>
        <v>0</v>
      </c>
      <c r="C441" s="14">
        <f t="shared" si="76"/>
        <v>0</v>
      </c>
    </row>
    <row r="442" spans="1:3" ht="13.2">
      <c r="A442" s="34"/>
      <c r="B442" s="18">
        <f t="shared" si="75"/>
        <v>0</v>
      </c>
      <c r="C442" s="14">
        <f t="shared" si="76"/>
        <v>0</v>
      </c>
    </row>
    <row r="443" spans="1:3" ht="13.2">
      <c r="A443" s="34"/>
      <c r="B443" s="18">
        <f t="shared" si="75"/>
        <v>0</v>
      </c>
      <c r="C443" s="14">
        <f t="shared" si="76"/>
        <v>0</v>
      </c>
    </row>
    <row r="444" spans="1:3" ht="13.2">
      <c r="A444" s="34"/>
      <c r="B444" s="18">
        <f t="shared" si="75"/>
        <v>0</v>
      </c>
      <c r="C444" s="14">
        <f t="shared" si="76"/>
        <v>0</v>
      </c>
    </row>
    <row r="445" spans="1:3" ht="13.2">
      <c r="A445" s="34"/>
      <c r="B445" s="18">
        <f t="shared" si="75"/>
        <v>0</v>
      </c>
      <c r="C445" s="14">
        <f t="shared" si="76"/>
        <v>0</v>
      </c>
    </row>
    <row r="446" spans="1:3" ht="13.2">
      <c r="A446" s="34"/>
      <c r="B446" s="18">
        <f t="shared" si="75"/>
        <v>0</v>
      </c>
      <c r="C446" s="14">
        <f t="shared" si="76"/>
        <v>0</v>
      </c>
    </row>
    <row r="447" spans="1:3" ht="13.2">
      <c r="A447" s="34"/>
      <c r="B447" s="18">
        <f t="shared" si="75"/>
        <v>0</v>
      </c>
      <c r="C447" s="14">
        <f t="shared" si="76"/>
        <v>0</v>
      </c>
    </row>
    <row r="448" spans="1:3" ht="13.2">
      <c r="A448" s="34"/>
      <c r="B448" s="18">
        <f t="shared" si="75"/>
        <v>0</v>
      </c>
      <c r="C448" s="14">
        <f t="shared" si="76"/>
        <v>0</v>
      </c>
    </row>
    <row r="449" spans="1:3" ht="13.2">
      <c r="A449" s="34"/>
      <c r="B449" s="18">
        <f t="shared" si="75"/>
        <v>0</v>
      </c>
      <c r="C449" s="14">
        <f t="shared" si="76"/>
        <v>0</v>
      </c>
    </row>
    <row r="450" spans="1:3" ht="13.2">
      <c r="A450" s="34"/>
      <c r="B450" s="18">
        <f t="shared" si="75"/>
        <v>0</v>
      </c>
      <c r="C450" s="14">
        <f t="shared" si="76"/>
        <v>0</v>
      </c>
    </row>
    <row r="451" spans="1:3" ht="13.2">
      <c r="A451" s="34"/>
      <c r="B451" s="18">
        <f t="shared" si="75"/>
        <v>0</v>
      </c>
      <c r="C451" s="14">
        <f t="shared" si="76"/>
        <v>0</v>
      </c>
    </row>
    <row r="452" spans="1:3" ht="13.2">
      <c r="A452" s="34"/>
      <c r="B452" s="18">
        <f t="shared" si="75"/>
        <v>0</v>
      </c>
      <c r="C452" s="14">
        <f t="shared" si="76"/>
        <v>0</v>
      </c>
    </row>
    <row r="453" spans="1:3" ht="13.2">
      <c r="A453" s="34"/>
      <c r="B453" s="18">
        <f t="shared" si="75"/>
        <v>0</v>
      </c>
      <c r="C453" s="14">
        <f t="shared" si="76"/>
        <v>0</v>
      </c>
    </row>
    <row r="454" spans="1:3" ht="13.2">
      <c r="A454" s="34"/>
      <c r="B454" s="18">
        <f t="shared" si="75"/>
        <v>0</v>
      </c>
      <c r="C454" s="14">
        <f t="shared" si="76"/>
        <v>0</v>
      </c>
    </row>
    <row r="455" spans="1:3" ht="13.2">
      <c r="A455" s="34"/>
      <c r="B455" s="18">
        <f t="shared" si="75"/>
        <v>0</v>
      </c>
      <c r="C455" s="14">
        <f t="shared" si="76"/>
        <v>0</v>
      </c>
    </row>
    <row r="456" spans="1:3" ht="13.2">
      <c r="A456" s="34"/>
      <c r="B456" s="18">
        <f t="shared" si="75"/>
        <v>0</v>
      </c>
      <c r="C456" s="14">
        <f t="shared" si="76"/>
        <v>0</v>
      </c>
    </row>
    <row r="457" spans="1:3" ht="13.2">
      <c r="A457" s="34"/>
      <c r="B457" s="18">
        <f t="shared" si="75"/>
        <v>0</v>
      </c>
      <c r="C457" s="14">
        <f t="shared" si="76"/>
        <v>0</v>
      </c>
    </row>
    <row r="458" spans="1:3" ht="13.2">
      <c r="A458" s="34"/>
      <c r="B458" s="18">
        <f t="shared" si="75"/>
        <v>0</v>
      </c>
      <c r="C458" s="14">
        <f t="shared" si="76"/>
        <v>0</v>
      </c>
    </row>
    <row r="459" spans="1:3" ht="13.2">
      <c r="A459" s="34"/>
      <c r="B459" s="18">
        <f t="shared" si="75"/>
        <v>0</v>
      </c>
      <c r="C459" s="14">
        <f t="shared" si="76"/>
        <v>0</v>
      </c>
    </row>
    <row r="460" spans="1:3" ht="13.2">
      <c r="A460" s="34"/>
      <c r="B460" s="18">
        <f t="shared" si="75"/>
        <v>0</v>
      </c>
      <c r="C460" s="14">
        <f t="shared" si="76"/>
        <v>0</v>
      </c>
    </row>
    <row r="461" spans="1:3" ht="13.2">
      <c r="A461" s="34"/>
      <c r="B461" s="18">
        <f t="shared" si="75"/>
        <v>0</v>
      </c>
      <c r="C461" s="14">
        <f t="shared" si="76"/>
        <v>0</v>
      </c>
    </row>
    <row r="462" spans="1:3" ht="13.2">
      <c r="A462" s="34"/>
      <c r="B462" s="18">
        <f t="shared" si="75"/>
        <v>0</v>
      </c>
      <c r="C462" s="14">
        <f t="shared" si="76"/>
        <v>0</v>
      </c>
    </row>
    <row r="463" spans="1:3" ht="13.2">
      <c r="A463" s="34"/>
      <c r="B463" s="18">
        <f t="shared" si="75"/>
        <v>0</v>
      </c>
      <c r="C463" s="14">
        <f t="shared" si="76"/>
        <v>0</v>
      </c>
    </row>
    <row r="464" spans="1:3" ht="13.2">
      <c r="A464" s="34"/>
      <c r="B464" s="18">
        <f t="shared" si="75"/>
        <v>0</v>
      </c>
      <c r="C464" s="14">
        <f t="shared" si="76"/>
        <v>0</v>
      </c>
    </row>
    <row r="465" spans="1:3" ht="13.2">
      <c r="A465" s="34"/>
      <c r="B465" s="18">
        <f t="shared" si="75"/>
        <v>0</v>
      </c>
      <c r="C465" s="14">
        <f t="shared" si="76"/>
        <v>0</v>
      </c>
    </row>
    <row r="466" spans="1:3" ht="13.2">
      <c r="A466" s="34"/>
      <c r="B466" s="18">
        <f t="shared" si="75"/>
        <v>0</v>
      </c>
      <c r="C466" s="14">
        <f t="shared" si="76"/>
        <v>0</v>
      </c>
    </row>
    <row r="467" spans="1:3" ht="13.2">
      <c r="A467" s="34"/>
      <c r="B467" s="18">
        <f t="shared" si="75"/>
        <v>0</v>
      </c>
      <c r="C467" s="14">
        <f t="shared" si="76"/>
        <v>0</v>
      </c>
    </row>
    <row r="468" spans="1:3" ht="13.2">
      <c r="A468" s="34"/>
      <c r="B468" s="18">
        <f t="shared" si="75"/>
        <v>0</v>
      </c>
      <c r="C468" s="14">
        <f t="shared" si="76"/>
        <v>0</v>
      </c>
    </row>
    <row r="469" spans="1:3" ht="13.2">
      <c r="A469" s="34"/>
      <c r="B469" s="18">
        <f t="shared" si="75"/>
        <v>0</v>
      </c>
      <c r="C469" s="14">
        <f t="shared" si="76"/>
        <v>0</v>
      </c>
    </row>
    <row r="470" spans="1:3" ht="13.2">
      <c r="A470" s="34"/>
      <c r="B470" s="18">
        <f t="shared" si="75"/>
        <v>0</v>
      </c>
      <c r="C470" s="14">
        <f t="shared" si="76"/>
        <v>0</v>
      </c>
    </row>
    <row r="471" spans="1:3" ht="13.2">
      <c r="A471" s="34"/>
      <c r="B471" s="18">
        <f t="shared" si="77" ref="B471:B534">COUNTIF(CommonCo_Col,A471)</f>
        <v>0</v>
      </c>
      <c r="C471" s="14">
        <f t="shared" si="78" ref="C471:C534">IF(AND($B471&gt;0,$C$22&gt;0),$B471/$C$22*100,0)</f>
        <v>0</v>
      </c>
    </row>
    <row r="472" spans="1:3" ht="13.2">
      <c r="A472" s="34"/>
      <c r="B472" s="18">
        <f t="shared" si="77"/>
        <v>0</v>
      </c>
      <c r="C472" s="14">
        <f t="shared" si="78"/>
        <v>0</v>
      </c>
    </row>
    <row r="473" spans="1:3" ht="13.2">
      <c r="A473" s="34"/>
      <c r="B473" s="18">
        <f t="shared" si="77"/>
        <v>0</v>
      </c>
      <c r="C473" s="14">
        <f t="shared" si="78"/>
        <v>0</v>
      </c>
    </row>
    <row r="474" spans="1:3" ht="13.2">
      <c r="A474" s="34"/>
      <c r="B474" s="18">
        <f t="shared" si="77"/>
        <v>0</v>
      </c>
      <c r="C474" s="14">
        <f t="shared" si="78"/>
        <v>0</v>
      </c>
    </row>
    <row r="475" spans="1:3" ht="13.2">
      <c r="A475" s="34"/>
      <c r="B475" s="18">
        <f t="shared" si="77"/>
        <v>0</v>
      </c>
      <c r="C475" s="14">
        <f t="shared" si="78"/>
        <v>0</v>
      </c>
    </row>
    <row r="476" spans="1:3" ht="13.2">
      <c r="A476" s="34"/>
      <c r="B476" s="18">
        <f t="shared" si="77"/>
        <v>0</v>
      </c>
      <c r="C476" s="14">
        <f t="shared" si="78"/>
        <v>0</v>
      </c>
    </row>
    <row r="477" spans="1:3" ht="13.2">
      <c r="A477" s="34"/>
      <c r="B477" s="18">
        <f t="shared" si="77"/>
        <v>0</v>
      </c>
      <c r="C477" s="14">
        <f t="shared" si="78"/>
        <v>0</v>
      </c>
    </row>
    <row r="478" spans="1:3" ht="13.2">
      <c r="A478" s="34"/>
      <c r="B478" s="18">
        <f t="shared" si="77"/>
        <v>0</v>
      </c>
      <c r="C478" s="14">
        <f t="shared" si="78"/>
        <v>0</v>
      </c>
    </row>
    <row r="479" spans="1:3" ht="13.2">
      <c r="A479" s="34"/>
      <c r="B479" s="18">
        <f t="shared" si="77"/>
        <v>0</v>
      </c>
      <c r="C479" s="14">
        <f t="shared" si="78"/>
        <v>0</v>
      </c>
    </row>
    <row r="480" spans="1:3" ht="13.2">
      <c r="A480" s="34"/>
      <c r="B480" s="18">
        <f t="shared" si="77"/>
        <v>0</v>
      </c>
      <c r="C480" s="14">
        <f t="shared" si="78"/>
        <v>0</v>
      </c>
    </row>
    <row r="481" spans="1:3" ht="13.2">
      <c r="A481" s="34"/>
      <c r="B481" s="18">
        <f t="shared" si="77"/>
        <v>0</v>
      </c>
      <c r="C481" s="14">
        <f t="shared" si="78"/>
        <v>0</v>
      </c>
    </row>
    <row r="482" spans="1:3" ht="13.2">
      <c r="A482" s="34"/>
      <c r="B482" s="18">
        <f t="shared" si="77"/>
        <v>0</v>
      </c>
      <c r="C482" s="14">
        <f t="shared" si="78"/>
        <v>0</v>
      </c>
    </row>
    <row r="483" spans="1:3" ht="13.2">
      <c r="A483" s="34"/>
      <c r="B483" s="18">
        <f t="shared" si="77"/>
        <v>0</v>
      </c>
      <c r="C483" s="14">
        <f t="shared" si="78"/>
        <v>0</v>
      </c>
    </row>
    <row r="484" spans="1:3" ht="13.2">
      <c r="A484" s="34"/>
      <c r="B484" s="18">
        <f t="shared" si="77"/>
        <v>0</v>
      </c>
      <c r="C484" s="14">
        <f t="shared" si="78"/>
        <v>0</v>
      </c>
    </row>
    <row r="485" spans="1:3" ht="13.2">
      <c r="A485" s="34"/>
      <c r="B485" s="18">
        <f t="shared" si="77"/>
        <v>0</v>
      </c>
      <c r="C485" s="14">
        <f t="shared" si="78"/>
        <v>0</v>
      </c>
    </row>
    <row r="486" spans="1:3" ht="13.2">
      <c r="A486" s="34"/>
      <c r="B486" s="18">
        <f t="shared" si="77"/>
        <v>0</v>
      </c>
      <c r="C486" s="14">
        <f t="shared" si="78"/>
        <v>0</v>
      </c>
    </row>
    <row r="487" spans="1:3" ht="13.2">
      <c r="A487" s="34"/>
      <c r="B487" s="18">
        <f t="shared" si="77"/>
        <v>0</v>
      </c>
      <c r="C487" s="14">
        <f t="shared" si="78"/>
        <v>0</v>
      </c>
    </row>
    <row r="488" spans="1:3" ht="13.2">
      <c r="A488" s="34"/>
      <c r="B488" s="18">
        <f t="shared" si="77"/>
        <v>0</v>
      </c>
      <c r="C488" s="14">
        <f t="shared" si="78"/>
        <v>0</v>
      </c>
    </row>
    <row r="489" spans="1:3" ht="13.2">
      <c r="A489" s="34"/>
      <c r="B489" s="18">
        <f t="shared" si="77"/>
        <v>0</v>
      </c>
      <c r="C489" s="14">
        <f t="shared" si="78"/>
        <v>0</v>
      </c>
    </row>
    <row r="490" spans="1:3" ht="13.2">
      <c r="A490" s="34"/>
      <c r="B490" s="18">
        <f t="shared" si="77"/>
        <v>0</v>
      </c>
      <c r="C490" s="14">
        <f t="shared" si="78"/>
        <v>0</v>
      </c>
    </row>
    <row r="491" spans="1:3" ht="13.2">
      <c r="A491" s="34"/>
      <c r="B491" s="18">
        <f t="shared" si="77"/>
        <v>0</v>
      </c>
      <c r="C491" s="14">
        <f t="shared" si="78"/>
        <v>0</v>
      </c>
    </row>
    <row r="492" spans="1:3" ht="13.2">
      <c r="A492" s="34"/>
      <c r="B492" s="18">
        <f t="shared" si="77"/>
        <v>0</v>
      </c>
      <c r="C492" s="14">
        <f t="shared" si="78"/>
        <v>0</v>
      </c>
    </row>
    <row r="493" spans="1:3" ht="13.2">
      <c r="A493" s="34"/>
      <c r="B493" s="18">
        <f t="shared" si="77"/>
        <v>0</v>
      </c>
      <c r="C493" s="14">
        <f t="shared" si="78"/>
        <v>0</v>
      </c>
    </row>
    <row r="494" spans="1:3" ht="13.2">
      <c r="A494" s="34"/>
      <c r="B494" s="18">
        <f t="shared" si="77"/>
        <v>0</v>
      </c>
      <c r="C494" s="14">
        <f t="shared" si="78"/>
        <v>0</v>
      </c>
    </row>
    <row r="495" spans="1:3" ht="13.2">
      <c r="A495" s="34"/>
      <c r="B495" s="18">
        <f t="shared" si="77"/>
        <v>0</v>
      </c>
      <c r="C495" s="14">
        <f t="shared" si="78"/>
        <v>0</v>
      </c>
    </row>
    <row r="496" spans="1:3" ht="13.2">
      <c r="A496" s="34"/>
      <c r="B496" s="18">
        <f t="shared" si="77"/>
        <v>0</v>
      </c>
      <c r="C496" s="14">
        <f t="shared" si="78"/>
        <v>0</v>
      </c>
    </row>
    <row r="497" spans="1:3" ht="13.2">
      <c r="A497" s="34"/>
      <c r="B497" s="18">
        <f t="shared" si="77"/>
        <v>0</v>
      </c>
      <c r="C497" s="14">
        <f t="shared" si="78"/>
        <v>0</v>
      </c>
    </row>
    <row r="498" spans="1:3" ht="13.2">
      <c r="A498" s="34"/>
      <c r="B498" s="18">
        <f t="shared" si="77"/>
        <v>0</v>
      </c>
      <c r="C498" s="14">
        <f t="shared" si="78"/>
        <v>0</v>
      </c>
    </row>
    <row r="499" spans="1:3" ht="13.2">
      <c r="A499" s="34"/>
      <c r="B499" s="18">
        <f t="shared" si="77"/>
        <v>0</v>
      </c>
      <c r="C499" s="14">
        <f t="shared" si="78"/>
        <v>0</v>
      </c>
    </row>
    <row r="500" spans="1:3" ht="13.2">
      <c r="A500" s="34"/>
      <c r="B500" s="18">
        <f t="shared" si="77"/>
        <v>0</v>
      </c>
      <c r="C500" s="14">
        <f t="shared" si="78"/>
        <v>0</v>
      </c>
    </row>
    <row r="501" spans="1:3" ht="13.2">
      <c r="A501" s="34"/>
      <c r="B501" s="18">
        <f t="shared" si="77"/>
        <v>0</v>
      </c>
      <c r="C501" s="14">
        <f t="shared" si="78"/>
        <v>0</v>
      </c>
    </row>
    <row r="502" spans="1:3" ht="13.2">
      <c r="A502" s="34"/>
      <c r="B502" s="18">
        <f t="shared" si="77"/>
        <v>0</v>
      </c>
      <c r="C502" s="14">
        <f t="shared" si="78"/>
        <v>0</v>
      </c>
    </row>
    <row r="503" spans="1:3" ht="13.2">
      <c r="A503" s="34"/>
      <c r="B503" s="18">
        <f t="shared" si="77"/>
        <v>0</v>
      </c>
      <c r="C503" s="14">
        <f t="shared" si="78"/>
        <v>0</v>
      </c>
    </row>
    <row r="504" spans="1:3" ht="13.2">
      <c r="A504" s="34"/>
      <c r="B504" s="18">
        <f t="shared" si="77"/>
        <v>0</v>
      </c>
      <c r="C504" s="14">
        <f t="shared" si="78"/>
        <v>0</v>
      </c>
    </row>
    <row r="505" spans="1:3" ht="13.2">
      <c r="A505" s="34"/>
      <c r="B505" s="18">
        <f t="shared" si="77"/>
        <v>0</v>
      </c>
      <c r="C505" s="14">
        <f t="shared" si="78"/>
        <v>0</v>
      </c>
    </row>
    <row r="506" spans="1:3" ht="13.2">
      <c r="A506" s="34"/>
      <c r="B506" s="18">
        <f t="shared" si="77"/>
        <v>0</v>
      </c>
      <c r="C506" s="14">
        <f t="shared" si="78"/>
        <v>0</v>
      </c>
    </row>
    <row r="507" spans="1:3" ht="13.2">
      <c r="A507" s="34"/>
      <c r="B507" s="18">
        <f t="shared" si="77"/>
        <v>0</v>
      </c>
      <c r="C507" s="14">
        <f t="shared" si="78"/>
        <v>0</v>
      </c>
    </row>
    <row r="508" spans="1:3" ht="13.2">
      <c r="A508" s="34"/>
      <c r="B508" s="18">
        <f t="shared" si="77"/>
        <v>0</v>
      </c>
      <c r="C508" s="14">
        <f t="shared" si="78"/>
        <v>0</v>
      </c>
    </row>
    <row r="509" spans="1:3" ht="13.2">
      <c r="A509" s="34"/>
      <c r="B509" s="18">
        <f t="shared" si="77"/>
        <v>0</v>
      </c>
      <c r="C509" s="14">
        <f t="shared" si="78"/>
        <v>0</v>
      </c>
    </row>
    <row r="510" spans="1:3" ht="13.2">
      <c r="A510" s="34"/>
      <c r="B510" s="18">
        <f t="shared" si="77"/>
        <v>0</v>
      </c>
      <c r="C510" s="14">
        <f t="shared" si="78"/>
        <v>0</v>
      </c>
    </row>
    <row r="511" spans="1:3" ht="13.2">
      <c r="A511" s="34"/>
      <c r="B511" s="18">
        <f t="shared" si="77"/>
        <v>0</v>
      </c>
      <c r="C511" s="14">
        <f t="shared" si="78"/>
        <v>0</v>
      </c>
    </row>
    <row r="512" spans="1:3" ht="13.2">
      <c r="A512" s="34"/>
      <c r="B512" s="18">
        <f t="shared" si="77"/>
        <v>0</v>
      </c>
      <c r="C512" s="14">
        <f t="shared" si="78"/>
        <v>0</v>
      </c>
    </row>
    <row r="513" spans="1:3" ht="13.2">
      <c r="A513" s="34"/>
      <c r="B513" s="18">
        <f t="shared" si="77"/>
        <v>0</v>
      </c>
      <c r="C513" s="14">
        <f t="shared" si="78"/>
        <v>0</v>
      </c>
    </row>
    <row r="514" spans="1:3" ht="13.2">
      <c r="A514" s="34"/>
      <c r="B514" s="18">
        <f t="shared" si="77"/>
        <v>0</v>
      </c>
      <c r="C514" s="14">
        <f t="shared" si="78"/>
        <v>0</v>
      </c>
    </row>
    <row r="515" spans="1:3" ht="13.2">
      <c r="A515" s="34"/>
      <c r="B515" s="18">
        <f t="shared" si="77"/>
        <v>0</v>
      </c>
      <c r="C515" s="14">
        <f t="shared" si="78"/>
        <v>0</v>
      </c>
    </row>
    <row r="516" spans="1:3" ht="13.2">
      <c r="A516" s="34"/>
      <c r="B516" s="18">
        <f t="shared" si="77"/>
        <v>0</v>
      </c>
      <c r="C516" s="14">
        <f t="shared" si="78"/>
        <v>0</v>
      </c>
    </row>
    <row r="517" spans="1:3" ht="13.2">
      <c r="A517" s="34"/>
      <c r="B517" s="18">
        <f t="shared" si="77"/>
        <v>0</v>
      </c>
      <c r="C517" s="14">
        <f t="shared" si="78"/>
        <v>0</v>
      </c>
    </row>
    <row r="518" spans="1:3" ht="13.2">
      <c r="A518" s="34"/>
      <c r="B518" s="18">
        <f t="shared" si="77"/>
        <v>0</v>
      </c>
      <c r="C518" s="14">
        <f t="shared" si="78"/>
        <v>0</v>
      </c>
    </row>
    <row r="519" spans="1:3" ht="13.2">
      <c r="A519" s="34"/>
      <c r="B519" s="18">
        <f t="shared" si="77"/>
        <v>0</v>
      </c>
      <c r="C519" s="14">
        <f t="shared" si="78"/>
        <v>0</v>
      </c>
    </row>
    <row r="520" spans="1:3" ht="13.2">
      <c r="A520" s="34"/>
      <c r="B520" s="18">
        <f t="shared" si="77"/>
        <v>0</v>
      </c>
      <c r="C520" s="14">
        <f t="shared" si="78"/>
        <v>0</v>
      </c>
    </row>
    <row r="521" spans="1:3" ht="13.2">
      <c r="A521" s="34"/>
      <c r="B521" s="18">
        <f t="shared" si="77"/>
        <v>0</v>
      </c>
      <c r="C521" s="14">
        <f t="shared" si="78"/>
        <v>0</v>
      </c>
    </row>
    <row r="522" spans="1:3" ht="13.2">
      <c r="A522" s="34"/>
      <c r="B522" s="18">
        <f t="shared" si="77"/>
        <v>0</v>
      </c>
      <c r="C522" s="14">
        <f t="shared" si="78"/>
        <v>0</v>
      </c>
    </row>
    <row r="523" spans="1:3" ht="13.2">
      <c r="A523" s="34"/>
      <c r="B523" s="18">
        <f t="shared" si="77"/>
        <v>0</v>
      </c>
      <c r="C523" s="14">
        <f t="shared" si="78"/>
        <v>0</v>
      </c>
    </row>
    <row r="524" spans="1:3" ht="13.2">
      <c r="A524" s="34"/>
      <c r="B524" s="18">
        <f t="shared" si="77"/>
        <v>0</v>
      </c>
      <c r="C524" s="14">
        <f t="shared" si="78"/>
        <v>0</v>
      </c>
    </row>
    <row r="525" spans="1:3" ht="13.2">
      <c r="A525" s="34"/>
      <c r="B525" s="18">
        <f t="shared" si="77"/>
        <v>0</v>
      </c>
      <c r="C525" s="14">
        <f t="shared" si="78"/>
        <v>0</v>
      </c>
    </row>
    <row r="526" spans="1:3" ht="13.2">
      <c r="A526" s="34"/>
      <c r="B526" s="18">
        <f t="shared" si="77"/>
        <v>0</v>
      </c>
      <c r="C526" s="14">
        <f t="shared" si="78"/>
        <v>0</v>
      </c>
    </row>
    <row r="527" spans="1:3" ht="13.2">
      <c r="A527" s="34"/>
      <c r="B527" s="18">
        <f t="shared" si="77"/>
        <v>0</v>
      </c>
      <c r="C527" s="14">
        <f t="shared" si="78"/>
        <v>0</v>
      </c>
    </row>
    <row r="528" spans="1:3" ht="13.2">
      <c r="A528" s="34"/>
      <c r="B528" s="18">
        <f t="shared" si="77"/>
        <v>0</v>
      </c>
      <c r="C528" s="14">
        <f t="shared" si="78"/>
        <v>0</v>
      </c>
    </row>
    <row r="529" spans="1:3" ht="13.2">
      <c r="A529" s="34"/>
      <c r="B529" s="18">
        <f t="shared" si="77"/>
        <v>0</v>
      </c>
      <c r="C529" s="14">
        <f t="shared" si="78"/>
        <v>0</v>
      </c>
    </row>
    <row r="530" spans="1:3" ht="13.2">
      <c r="A530" s="34"/>
      <c r="B530" s="18">
        <f t="shared" si="77"/>
        <v>0</v>
      </c>
      <c r="C530" s="14">
        <f t="shared" si="78"/>
        <v>0</v>
      </c>
    </row>
    <row r="531" spans="1:3" ht="13.2">
      <c r="A531" s="34"/>
      <c r="B531" s="18">
        <f t="shared" si="77"/>
        <v>0</v>
      </c>
      <c r="C531" s="14">
        <f t="shared" si="78"/>
        <v>0</v>
      </c>
    </row>
    <row r="532" spans="1:3" ht="13.2">
      <c r="A532" s="34"/>
      <c r="B532" s="18">
        <f t="shared" si="77"/>
        <v>0</v>
      </c>
      <c r="C532" s="14">
        <f t="shared" si="78"/>
        <v>0</v>
      </c>
    </row>
    <row r="533" spans="1:3" ht="13.2">
      <c r="A533" s="34"/>
      <c r="B533" s="18">
        <f t="shared" si="77"/>
        <v>0</v>
      </c>
      <c r="C533" s="14">
        <f t="shared" si="78"/>
        <v>0</v>
      </c>
    </row>
    <row r="534" spans="1:3" ht="13.2">
      <c r="A534" s="34"/>
      <c r="B534" s="18">
        <f t="shared" si="77"/>
        <v>0</v>
      </c>
      <c r="C534" s="14">
        <f t="shared" si="78"/>
        <v>0</v>
      </c>
    </row>
    <row r="535" spans="1:3" ht="13.2">
      <c r="A535" s="34"/>
      <c r="B535" s="18">
        <f t="shared" si="79" ref="B535:B598">COUNTIF(CommonCo_Col,A535)</f>
        <v>0</v>
      </c>
      <c r="C535" s="14">
        <f t="shared" si="80" ref="C535:C598">IF(AND($B535&gt;0,$C$22&gt;0),$B535/$C$22*100,0)</f>
        <v>0</v>
      </c>
    </row>
    <row r="536" spans="1:3" ht="13.2">
      <c r="A536" s="34"/>
      <c r="B536" s="18">
        <f t="shared" si="79"/>
        <v>0</v>
      </c>
      <c r="C536" s="14">
        <f t="shared" si="80"/>
        <v>0</v>
      </c>
    </row>
    <row r="537" spans="1:3" ht="13.2">
      <c r="A537" s="34"/>
      <c r="B537" s="18">
        <f t="shared" si="79"/>
        <v>0</v>
      </c>
      <c r="C537" s="14">
        <f t="shared" si="80"/>
        <v>0</v>
      </c>
    </row>
    <row r="538" spans="1:3" ht="13.2">
      <c r="A538" s="34"/>
      <c r="B538" s="18">
        <f t="shared" si="79"/>
        <v>0</v>
      </c>
      <c r="C538" s="14">
        <f t="shared" si="80"/>
        <v>0</v>
      </c>
    </row>
    <row r="539" spans="1:3" ht="13.2">
      <c r="A539" s="34"/>
      <c r="B539" s="18">
        <f t="shared" si="79"/>
        <v>0</v>
      </c>
      <c r="C539" s="14">
        <f t="shared" si="80"/>
        <v>0</v>
      </c>
    </row>
    <row r="540" spans="1:3" ht="13.2">
      <c r="A540" s="34"/>
      <c r="B540" s="18">
        <f t="shared" si="79"/>
        <v>0</v>
      </c>
      <c r="C540" s="14">
        <f t="shared" si="80"/>
        <v>0</v>
      </c>
    </row>
    <row r="541" spans="1:3" ht="13.2">
      <c r="A541" s="34"/>
      <c r="B541" s="18">
        <f t="shared" si="79"/>
        <v>0</v>
      </c>
      <c r="C541" s="14">
        <f t="shared" si="80"/>
        <v>0</v>
      </c>
    </row>
    <row r="542" spans="1:3" ht="13.2">
      <c r="A542" s="34"/>
      <c r="B542" s="18">
        <f t="shared" si="79"/>
        <v>0</v>
      </c>
      <c r="C542" s="14">
        <f t="shared" si="80"/>
        <v>0</v>
      </c>
    </row>
    <row r="543" spans="1:3" ht="13.2">
      <c r="A543" s="34"/>
      <c r="B543" s="18">
        <f t="shared" si="79"/>
        <v>0</v>
      </c>
      <c r="C543" s="14">
        <f t="shared" si="80"/>
        <v>0</v>
      </c>
    </row>
    <row r="544" spans="1:3" ht="13.2">
      <c r="A544" s="34"/>
      <c r="B544" s="18">
        <f t="shared" si="79"/>
        <v>0</v>
      </c>
      <c r="C544" s="14">
        <f t="shared" si="80"/>
        <v>0</v>
      </c>
    </row>
    <row r="545" spans="1:3" ht="13.2">
      <c r="A545" s="34"/>
      <c r="B545" s="18">
        <f t="shared" si="79"/>
        <v>0</v>
      </c>
      <c r="C545" s="14">
        <f t="shared" si="80"/>
        <v>0</v>
      </c>
    </row>
    <row r="546" spans="1:3" ht="13.2">
      <c r="A546" s="34"/>
      <c r="B546" s="18">
        <f t="shared" si="79"/>
        <v>0</v>
      </c>
      <c r="C546" s="14">
        <f t="shared" si="80"/>
        <v>0</v>
      </c>
    </row>
    <row r="547" spans="1:3" ht="13.2">
      <c r="A547" s="34"/>
      <c r="B547" s="18">
        <f t="shared" si="79"/>
        <v>0</v>
      </c>
      <c r="C547" s="14">
        <f t="shared" si="80"/>
        <v>0</v>
      </c>
    </row>
    <row r="548" spans="1:3" ht="13.2">
      <c r="A548" s="34"/>
      <c r="B548" s="18">
        <f t="shared" si="79"/>
        <v>0</v>
      </c>
      <c r="C548" s="14">
        <f t="shared" si="80"/>
        <v>0</v>
      </c>
    </row>
    <row r="549" spans="1:3" ht="13.2">
      <c r="A549" s="34"/>
      <c r="B549" s="18">
        <f t="shared" si="79"/>
        <v>0</v>
      </c>
      <c r="C549" s="14">
        <f t="shared" si="80"/>
        <v>0</v>
      </c>
    </row>
    <row r="550" spans="1:3" ht="13.2">
      <c r="A550" s="34"/>
      <c r="B550" s="18">
        <f t="shared" si="79"/>
        <v>0</v>
      </c>
      <c r="C550" s="14">
        <f t="shared" si="80"/>
        <v>0</v>
      </c>
    </row>
    <row r="551" spans="1:3" ht="13.2">
      <c r="A551" s="34"/>
      <c r="B551" s="18">
        <f t="shared" si="79"/>
        <v>0</v>
      </c>
      <c r="C551" s="14">
        <f t="shared" si="80"/>
        <v>0</v>
      </c>
    </row>
    <row r="552" spans="1:3" ht="13.2">
      <c r="A552" s="34"/>
      <c r="B552" s="18">
        <f t="shared" si="79"/>
        <v>0</v>
      </c>
      <c r="C552" s="14">
        <f t="shared" si="80"/>
        <v>0</v>
      </c>
    </row>
    <row r="553" spans="1:3" ht="13.2">
      <c r="A553" s="34"/>
      <c r="B553" s="18">
        <f t="shared" si="79"/>
        <v>0</v>
      </c>
      <c r="C553" s="14">
        <f t="shared" si="80"/>
        <v>0</v>
      </c>
    </row>
    <row r="554" spans="1:3" ht="13.2">
      <c r="A554" s="34"/>
      <c r="B554" s="18">
        <f t="shared" si="79"/>
        <v>0</v>
      </c>
      <c r="C554" s="14">
        <f t="shared" si="80"/>
        <v>0</v>
      </c>
    </row>
    <row r="555" spans="1:3" ht="13.2">
      <c r="A555" s="34"/>
      <c r="B555" s="18">
        <f t="shared" si="79"/>
        <v>0</v>
      </c>
      <c r="C555" s="14">
        <f t="shared" si="80"/>
        <v>0</v>
      </c>
    </row>
    <row r="556" spans="1:3" ht="13.2">
      <c r="A556" s="34"/>
      <c r="B556" s="18">
        <f t="shared" si="79"/>
        <v>0</v>
      </c>
      <c r="C556" s="14">
        <f t="shared" si="80"/>
        <v>0</v>
      </c>
    </row>
    <row r="557" spans="1:3" ht="13.2">
      <c r="A557" s="34"/>
      <c r="B557" s="18">
        <f t="shared" si="79"/>
        <v>0</v>
      </c>
      <c r="C557" s="14">
        <f t="shared" si="80"/>
        <v>0</v>
      </c>
    </row>
    <row r="558" spans="1:3" ht="13.2">
      <c r="A558" s="34"/>
      <c r="B558" s="18">
        <f t="shared" si="79"/>
        <v>0</v>
      </c>
      <c r="C558" s="14">
        <f t="shared" si="80"/>
        <v>0</v>
      </c>
    </row>
    <row r="559" spans="1:3" ht="13.2">
      <c r="A559" s="34"/>
      <c r="B559" s="18">
        <f t="shared" si="79"/>
        <v>0</v>
      </c>
      <c r="C559" s="14">
        <f t="shared" si="80"/>
        <v>0</v>
      </c>
    </row>
    <row r="560" spans="1:3" ht="13.2">
      <c r="A560" s="34"/>
      <c r="B560" s="18">
        <f t="shared" si="79"/>
        <v>0</v>
      </c>
      <c r="C560" s="14">
        <f t="shared" si="80"/>
        <v>0</v>
      </c>
    </row>
    <row r="561" spans="1:3" ht="13.2">
      <c r="A561" s="34"/>
      <c r="B561" s="18">
        <f t="shared" si="79"/>
        <v>0</v>
      </c>
      <c r="C561" s="14">
        <f t="shared" si="80"/>
        <v>0</v>
      </c>
    </row>
    <row r="562" spans="1:3" ht="13.2">
      <c r="A562" s="34"/>
      <c r="B562" s="18">
        <f t="shared" si="79"/>
        <v>0</v>
      </c>
      <c r="C562" s="14">
        <f t="shared" si="80"/>
        <v>0</v>
      </c>
    </row>
    <row r="563" spans="1:3" ht="13.2">
      <c r="A563" s="34"/>
      <c r="B563" s="18">
        <f t="shared" si="79"/>
        <v>0</v>
      </c>
      <c r="C563" s="14">
        <f t="shared" si="80"/>
        <v>0</v>
      </c>
    </row>
    <row r="564" spans="1:3" ht="13.2">
      <c r="A564" s="34"/>
      <c r="B564" s="18">
        <f t="shared" si="79"/>
        <v>0</v>
      </c>
      <c r="C564" s="14">
        <f t="shared" si="80"/>
        <v>0</v>
      </c>
    </row>
    <row r="565" spans="1:3" ht="13.2">
      <c r="A565" s="34"/>
      <c r="B565" s="18">
        <f t="shared" si="79"/>
        <v>0</v>
      </c>
      <c r="C565" s="14">
        <f t="shared" si="80"/>
        <v>0</v>
      </c>
    </row>
    <row r="566" spans="1:3" ht="13.2">
      <c r="A566" s="34"/>
      <c r="B566" s="18">
        <f t="shared" si="79"/>
        <v>0</v>
      </c>
      <c r="C566" s="14">
        <f t="shared" si="80"/>
        <v>0</v>
      </c>
    </row>
    <row r="567" spans="1:3" ht="13.2">
      <c r="A567" s="34"/>
      <c r="B567" s="18">
        <f t="shared" si="79"/>
        <v>0</v>
      </c>
      <c r="C567" s="14">
        <f t="shared" si="80"/>
        <v>0</v>
      </c>
    </row>
    <row r="568" spans="1:3" ht="13.2">
      <c r="A568" s="34"/>
      <c r="B568" s="18">
        <f t="shared" si="79"/>
        <v>0</v>
      </c>
      <c r="C568" s="14">
        <f t="shared" si="80"/>
        <v>0</v>
      </c>
    </row>
    <row r="569" spans="1:3" ht="13.2">
      <c r="A569" s="34"/>
      <c r="B569" s="18">
        <f t="shared" si="79"/>
        <v>0</v>
      </c>
      <c r="C569" s="14">
        <f t="shared" si="80"/>
        <v>0</v>
      </c>
    </row>
    <row r="570" spans="1:3" ht="13.2">
      <c r="A570" s="34"/>
      <c r="B570" s="18">
        <f t="shared" si="79"/>
        <v>0</v>
      </c>
      <c r="C570" s="14">
        <f t="shared" si="80"/>
        <v>0</v>
      </c>
    </row>
    <row r="571" spans="1:3" ht="13.2">
      <c r="A571" s="34"/>
      <c r="B571" s="18">
        <f t="shared" si="79"/>
        <v>0</v>
      </c>
      <c r="C571" s="14">
        <f t="shared" si="80"/>
        <v>0</v>
      </c>
    </row>
    <row r="572" spans="1:3" ht="13.2">
      <c r="A572" s="34"/>
      <c r="B572" s="18">
        <f t="shared" si="79"/>
        <v>0</v>
      </c>
      <c r="C572" s="14">
        <f t="shared" si="80"/>
        <v>0</v>
      </c>
    </row>
    <row r="573" spans="1:3" ht="13.2">
      <c r="A573" s="34"/>
      <c r="B573" s="18">
        <f t="shared" si="79"/>
        <v>0</v>
      </c>
      <c r="C573" s="14">
        <f t="shared" si="80"/>
        <v>0</v>
      </c>
    </row>
    <row r="574" spans="1:3" ht="13.2">
      <c r="A574" s="34"/>
      <c r="B574" s="18">
        <f t="shared" si="79"/>
        <v>0</v>
      </c>
      <c r="C574" s="14">
        <f t="shared" si="80"/>
        <v>0</v>
      </c>
    </row>
    <row r="575" spans="1:3" ht="13.2">
      <c r="A575" s="34"/>
      <c r="B575" s="18">
        <f t="shared" si="79"/>
        <v>0</v>
      </c>
      <c r="C575" s="14">
        <f t="shared" si="80"/>
        <v>0</v>
      </c>
    </row>
    <row r="576" spans="1:3" ht="13.2">
      <c r="A576" s="34"/>
      <c r="B576" s="18">
        <f t="shared" si="79"/>
        <v>0</v>
      </c>
      <c r="C576" s="14">
        <f t="shared" si="80"/>
        <v>0</v>
      </c>
    </row>
    <row r="577" spans="1:3" ht="13.2">
      <c r="A577" s="34"/>
      <c r="B577" s="18">
        <f t="shared" si="79"/>
        <v>0</v>
      </c>
      <c r="C577" s="14">
        <f t="shared" si="80"/>
        <v>0</v>
      </c>
    </row>
    <row r="578" spans="1:3" ht="13.2">
      <c r="A578" s="34"/>
      <c r="B578" s="18">
        <f t="shared" si="79"/>
        <v>0</v>
      </c>
      <c r="C578" s="14">
        <f t="shared" si="80"/>
        <v>0</v>
      </c>
    </row>
    <row r="579" spans="1:3" ht="13.2">
      <c r="A579" s="34"/>
      <c r="B579" s="18">
        <f t="shared" si="79"/>
        <v>0</v>
      </c>
      <c r="C579" s="14">
        <f t="shared" si="80"/>
        <v>0</v>
      </c>
    </row>
    <row r="580" spans="1:3" ht="13.2">
      <c r="A580" s="34"/>
      <c r="B580" s="18">
        <f t="shared" si="79"/>
        <v>0</v>
      </c>
      <c r="C580" s="14">
        <f t="shared" si="80"/>
        <v>0</v>
      </c>
    </row>
    <row r="581" spans="1:3" ht="13.2">
      <c r="A581" s="34"/>
      <c r="B581" s="18">
        <f t="shared" si="79"/>
        <v>0</v>
      </c>
      <c r="C581" s="14">
        <f t="shared" si="80"/>
        <v>0</v>
      </c>
    </row>
    <row r="582" spans="1:3" ht="13.2">
      <c r="A582" s="34"/>
      <c r="B582" s="18">
        <f t="shared" si="79"/>
        <v>0</v>
      </c>
      <c r="C582" s="14">
        <f t="shared" si="80"/>
        <v>0</v>
      </c>
    </row>
    <row r="583" spans="1:3" ht="13.2">
      <c r="A583" s="34"/>
      <c r="B583" s="18">
        <f t="shared" si="79"/>
        <v>0</v>
      </c>
      <c r="C583" s="14">
        <f t="shared" si="80"/>
        <v>0</v>
      </c>
    </row>
    <row r="584" spans="1:3" ht="13.2">
      <c r="A584" s="34"/>
      <c r="B584" s="18">
        <f t="shared" si="79"/>
        <v>0</v>
      </c>
      <c r="C584" s="14">
        <f t="shared" si="80"/>
        <v>0</v>
      </c>
    </row>
    <row r="585" spans="1:3" ht="13.2">
      <c r="A585" s="34"/>
      <c r="B585" s="18">
        <f t="shared" si="79"/>
        <v>0</v>
      </c>
      <c r="C585" s="14">
        <f t="shared" si="80"/>
        <v>0</v>
      </c>
    </row>
    <row r="586" spans="1:3" ht="13.2">
      <c r="A586" s="34"/>
      <c r="B586" s="18">
        <f t="shared" si="79"/>
        <v>0</v>
      </c>
      <c r="C586" s="14">
        <f t="shared" si="80"/>
        <v>0</v>
      </c>
    </row>
    <row r="587" spans="1:3" ht="13.2">
      <c r="A587" s="34"/>
      <c r="B587" s="18">
        <f t="shared" si="79"/>
        <v>0</v>
      </c>
      <c r="C587" s="14">
        <f t="shared" si="80"/>
        <v>0</v>
      </c>
    </row>
    <row r="588" spans="1:3" ht="13.2">
      <c r="A588" s="34"/>
      <c r="B588" s="18">
        <f t="shared" si="79"/>
        <v>0</v>
      </c>
      <c r="C588" s="14">
        <f t="shared" si="80"/>
        <v>0</v>
      </c>
    </row>
    <row r="589" spans="1:3" ht="13.2">
      <c r="A589" s="34"/>
      <c r="B589" s="18">
        <f t="shared" si="79"/>
        <v>0</v>
      </c>
      <c r="C589" s="14">
        <f t="shared" si="80"/>
        <v>0</v>
      </c>
    </row>
    <row r="590" spans="1:3" ht="13.2">
      <c r="A590" s="34"/>
      <c r="B590" s="18">
        <f t="shared" si="79"/>
        <v>0</v>
      </c>
      <c r="C590" s="14">
        <f t="shared" si="80"/>
        <v>0</v>
      </c>
    </row>
    <row r="591" spans="1:3" ht="13.2">
      <c r="A591" s="34"/>
      <c r="B591" s="18">
        <f t="shared" si="79"/>
        <v>0</v>
      </c>
      <c r="C591" s="14">
        <f t="shared" si="80"/>
        <v>0</v>
      </c>
    </row>
    <row r="592" spans="1:3" ht="13.2">
      <c r="A592" s="34"/>
      <c r="B592" s="18">
        <f t="shared" si="79"/>
        <v>0</v>
      </c>
      <c r="C592" s="14">
        <f t="shared" si="80"/>
        <v>0</v>
      </c>
    </row>
    <row r="593" spans="1:3" ht="13.2">
      <c r="A593" s="34"/>
      <c r="B593" s="18">
        <f t="shared" si="79"/>
        <v>0</v>
      </c>
      <c r="C593" s="14">
        <f t="shared" si="80"/>
        <v>0</v>
      </c>
    </row>
    <row r="594" spans="1:3" ht="13.2">
      <c r="A594" s="34"/>
      <c r="B594" s="18">
        <f t="shared" si="79"/>
        <v>0</v>
      </c>
      <c r="C594" s="14">
        <f t="shared" si="80"/>
        <v>0</v>
      </c>
    </row>
    <row r="595" spans="1:3" ht="13.2">
      <c r="A595" s="34"/>
      <c r="B595" s="18">
        <f t="shared" si="79"/>
        <v>0</v>
      </c>
      <c r="C595" s="14">
        <f t="shared" si="80"/>
        <v>0</v>
      </c>
    </row>
    <row r="596" spans="1:3" ht="13.2">
      <c r="A596" s="34"/>
      <c r="B596" s="18">
        <f t="shared" si="79"/>
        <v>0</v>
      </c>
      <c r="C596" s="14">
        <f t="shared" si="80"/>
        <v>0</v>
      </c>
    </row>
    <row r="597" spans="1:3" ht="13.2">
      <c r="A597" s="34"/>
      <c r="B597" s="18">
        <f t="shared" si="79"/>
        <v>0</v>
      </c>
      <c r="C597" s="14">
        <f t="shared" si="80"/>
        <v>0</v>
      </c>
    </row>
    <row r="598" spans="1:3" ht="13.2">
      <c r="A598" s="34"/>
      <c r="B598" s="18">
        <f t="shared" si="79"/>
        <v>0</v>
      </c>
      <c r="C598" s="14">
        <f t="shared" si="80"/>
        <v>0</v>
      </c>
    </row>
    <row r="599" spans="1:3" ht="13.2">
      <c r="A599" s="34"/>
      <c r="B599" s="18">
        <f t="shared" si="81" ref="B599:B662">COUNTIF(CommonCo_Col,A599)</f>
        <v>0</v>
      </c>
      <c r="C599" s="14">
        <f t="shared" si="82" ref="C599:C662">IF(AND($B599&gt;0,$C$22&gt;0),$B599/$C$22*100,0)</f>
        <v>0</v>
      </c>
    </row>
    <row r="600" spans="1:3" ht="13.2">
      <c r="A600" s="34"/>
      <c r="B600" s="18">
        <f t="shared" si="81"/>
        <v>0</v>
      </c>
      <c r="C600" s="14">
        <f t="shared" si="82"/>
        <v>0</v>
      </c>
    </row>
    <row r="601" spans="1:3" ht="13.2">
      <c r="A601" s="34"/>
      <c r="B601" s="18">
        <f t="shared" si="81"/>
        <v>0</v>
      </c>
      <c r="C601" s="14">
        <f t="shared" si="82"/>
        <v>0</v>
      </c>
    </row>
    <row r="602" spans="1:3" ht="13.2">
      <c r="A602" s="34"/>
      <c r="B602" s="18">
        <f t="shared" si="81"/>
        <v>0</v>
      </c>
      <c r="C602" s="14">
        <f t="shared" si="82"/>
        <v>0</v>
      </c>
    </row>
    <row r="603" spans="1:3" ht="13.2">
      <c r="A603" s="34"/>
      <c r="B603" s="18">
        <f t="shared" si="81"/>
        <v>0</v>
      </c>
      <c r="C603" s="14">
        <f t="shared" si="82"/>
        <v>0</v>
      </c>
    </row>
    <row r="604" spans="1:3" ht="13.2">
      <c r="A604" s="34"/>
      <c r="B604" s="18">
        <f t="shared" si="81"/>
        <v>0</v>
      </c>
      <c r="C604" s="14">
        <f t="shared" si="82"/>
        <v>0</v>
      </c>
    </row>
    <row r="605" spans="1:3" ht="13.2">
      <c r="A605" s="34"/>
      <c r="B605" s="18">
        <f t="shared" si="81"/>
        <v>0</v>
      </c>
      <c r="C605" s="14">
        <f t="shared" si="82"/>
        <v>0</v>
      </c>
    </row>
    <row r="606" spans="1:3" ht="13.2">
      <c r="A606" s="34"/>
      <c r="B606" s="18">
        <f t="shared" si="81"/>
        <v>0</v>
      </c>
      <c r="C606" s="14">
        <f t="shared" si="82"/>
        <v>0</v>
      </c>
    </row>
    <row r="607" spans="1:3" ht="13.2">
      <c r="A607" s="34"/>
      <c r="B607" s="18">
        <f t="shared" si="81"/>
        <v>0</v>
      </c>
      <c r="C607" s="14">
        <f t="shared" si="82"/>
        <v>0</v>
      </c>
    </row>
    <row r="608" spans="1:3" ht="13.2">
      <c r="A608" s="34"/>
      <c r="B608" s="18">
        <f t="shared" si="81"/>
        <v>0</v>
      </c>
      <c r="C608" s="14">
        <f t="shared" si="82"/>
        <v>0</v>
      </c>
    </row>
    <row r="609" spans="1:3" ht="13.2">
      <c r="A609" s="34"/>
      <c r="B609" s="18">
        <f t="shared" si="81"/>
        <v>0</v>
      </c>
      <c r="C609" s="14">
        <f t="shared" si="82"/>
        <v>0</v>
      </c>
    </row>
    <row r="610" spans="1:3" ht="13.2">
      <c r="A610" s="34"/>
      <c r="B610" s="18">
        <f t="shared" si="81"/>
        <v>0</v>
      </c>
      <c r="C610" s="14">
        <f t="shared" si="82"/>
        <v>0</v>
      </c>
    </row>
    <row r="611" spans="1:3" ht="13.2">
      <c r="A611" s="34"/>
      <c r="B611" s="18">
        <f t="shared" si="81"/>
        <v>0</v>
      </c>
      <c r="C611" s="14">
        <f t="shared" si="82"/>
        <v>0</v>
      </c>
    </row>
    <row r="612" spans="1:3" ht="13.2">
      <c r="A612" s="34"/>
      <c r="B612" s="18">
        <f t="shared" si="81"/>
        <v>0</v>
      </c>
      <c r="C612" s="14">
        <f t="shared" si="82"/>
        <v>0</v>
      </c>
    </row>
    <row r="613" spans="1:3" ht="13.2">
      <c r="A613" s="34"/>
      <c r="B613" s="18">
        <f t="shared" si="81"/>
        <v>0</v>
      </c>
      <c r="C613" s="14">
        <f t="shared" si="82"/>
        <v>0</v>
      </c>
    </row>
    <row r="614" spans="1:3" ht="13.2">
      <c r="A614" s="34"/>
      <c r="B614" s="18">
        <f t="shared" si="81"/>
        <v>0</v>
      </c>
      <c r="C614" s="14">
        <f t="shared" si="82"/>
        <v>0</v>
      </c>
    </row>
    <row r="615" spans="1:3" ht="13.2">
      <c r="A615" s="34"/>
      <c r="B615" s="18">
        <f t="shared" si="81"/>
        <v>0</v>
      </c>
      <c r="C615" s="14">
        <f t="shared" si="82"/>
        <v>0</v>
      </c>
    </row>
    <row r="616" spans="1:3" ht="13.2">
      <c r="A616" s="34"/>
      <c r="B616" s="18">
        <f t="shared" si="81"/>
        <v>0</v>
      </c>
      <c r="C616" s="14">
        <f t="shared" si="82"/>
        <v>0</v>
      </c>
    </row>
    <row r="617" spans="1:3" ht="13.2">
      <c r="A617" s="34"/>
      <c r="B617" s="18">
        <f t="shared" si="81"/>
        <v>0</v>
      </c>
      <c r="C617" s="14">
        <f t="shared" si="82"/>
        <v>0</v>
      </c>
    </row>
    <row r="618" spans="1:3" ht="13.2">
      <c r="A618" s="34"/>
      <c r="B618" s="18">
        <f t="shared" si="81"/>
        <v>0</v>
      </c>
      <c r="C618" s="14">
        <f t="shared" si="82"/>
        <v>0</v>
      </c>
    </row>
    <row r="619" spans="1:3" ht="13.2">
      <c r="A619" s="34"/>
      <c r="B619" s="18">
        <f t="shared" si="81"/>
        <v>0</v>
      </c>
      <c r="C619" s="14">
        <f t="shared" si="82"/>
        <v>0</v>
      </c>
    </row>
    <row r="620" spans="1:3" ht="13.2">
      <c r="A620" s="34"/>
      <c r="B620" s="18">
        <f t="shared" si="81"/>
        <v>0</v>
      </c>
      <c r="C620" s="14">
        <f t="shared" si="82"/>
        <v>0</v>
      </c>
    </row>
    <row r="621" spans="1:3" ht="13.2">
      <c r="A621" s="34"/>
      <c r="B621" s="18">
        <f t="shared" si="81"/>
        <v>0</v>
      </c>
      <c r="C621" s="14">
        <f t="shared" si="82"/>
        <v>0</v>
      </c>
    </row>
    <row r="622" spans="1:3" ht="13.2">
      <c r="A622" s="34"/>
      <c r="B622" s="18">
        <f t="shared" si="81"/>
        <v>0</v>
      </c>
      <c r="C622" s="14">
        <f t="shared" si="82"/>
        <v>0</v>
      </c>
    </row>
    <row r="623" spans="1:3" ht="13.2">
      <c r="A623" s="34"/>
      <c r="B623" s="18">
        <f t="shared" si="81"/>
        <v>0</v>
      </c>
      <c r="C623" s="14">
        <f t="shared" si="82"/>
        <v>0</v>
      </c>
    </row>
    <row r="624" spans="1:3" ht="13.2">
      <c r="A624" s="34"/>
      <c r="B624" s="18">
        <f t="shared" si="81"/>
        <v>0</v>
      </c>
      <c r="C624" s="14">
        <f t="shared" si="82"/>
        <v>0</v>
      </c>
    </row>
    <row r="625" spans="1:3" ht="13.2">
      <c r="A625" s="34"/>
      <c r="B625" s="18">
        <f t="shared" si="81"/>
        <v>0</v>
      </c>
      <c r="C625" s="14">
        <f t="shared" si="82"/>
        <v>0</v>
      </c>
    </row>
    <row r="626" spans="1:3" ht="13.2">
      <c r="A626" s="34"/>
      <c r="B626" s="18">
        <f t="shared" si="81"/>
        <v>0</v>
      </c>
      <c r="C626" s="14">
        <f t="shared" si="82"/>
        <v>0</v>
      </c>
    </row>
    <row r="627" spans="1:3" ht="13.2">
      <c r="A627" s="34"/>
      <c r="B627" s="18">
        <f t="shared" si="81"/>
        <v>0</v>
      </c>
      <c r="C627" s="14">
        <f t="shared" si="82"/>
        <v>0</v>
      </c>
    </row>
    <row r="628" spans="1:3" ht="13.2">
      <c r="A628" s="34"/>
      <c r="B628" s="18">
        <f t="shared" si="81"/>
        <v>0</v>
      </c>
      <c r="C628" s="14">
        <f t="shared" si="82"/>
        <v>0</v>
      </c>
    </row>
    <row r="629" spans="1:3" ht="13.2">
      <c r="A629" s="34"/>
      <c r="B629" s="18">
        <f t="shared" si="81"/>
        <v>0</v>
      </c>
      <c r="C629" s="14">
        <f t="shared" si="82"/>
        <v>0</v>
      </c>
    </row>
    <row r="630" spans="1:3" ht="13.2">
      <c r="A630" s="34"/>
      <c r="B630" s="18">
        <f t="shared" si="81"/>
        <v>0</v>
      </c>
      <c r="C630" s="14">
        <f t="shared" si="82"/>
        <v>0</v>
      </c>
    </row>
    <row r="631" spans="1:3" ht="13.2">
      <c r="A631" s="34"/>
      <c r="B631" s="18">
        <f t="shared" si="81"/>
        <v>0</v>
      </c>
      <c r="C631" s="14">
        <f t="shared" si="82"/>
        <v>0</v>
      </c>
    </row>
    <row r="632" spans="1:3" ht="13.2">
      <c r="A632" s="34"/>
      <c r="B632" s="18">
        <f t="shared" si="81"/>
        <v>0</v>
      </c>
      <c r="C632" s="14">
        <f t="shared" si="82"/>
        <v>0</v>
      </c>
    </row>
    <row r="633" spans="1:3" ht="13.2">
      <c r="A633" s="34"/>
      <c r="B633" s="18">
        <f t="shared" si="81"/>
        <v>0</v>
      </c>
      <c r="C633" s="14">
        <f t="shared" si="82"/>
        <v>0</v>
      </c>
    </row>
    <row r="634" spans="1:3" ht="13.2">
      <c r="A634" s="34"/>
      <c r="B634" s="18">
        <f t="shared" si="81"/>
        <v>0</v>
      </c>
      <c r="C634" s="14">
        <f t="shared" si="82"/>
        <v>0</v>
      </c>
    </row>
    <row r="635" spans="1:3" ht="13.2">
      <c r="A635" s="34"/>
      <c r="B635" s="18">
        <f t="shared" si="81"/>
        <v>0</v>
      </c>
      <c r="C635" s="14">
        <f t="shared" si="82"/>
        <v>0</v>
      </c>
    </row>
    <row r="636" spans="1:3" ht="13.2">
      <c r="A636" s="34"/>
      <c r="B636" s="18">
        <f t="shared" si="81"/>
        <v>0</v>
      </c>
      <c r="C636" s="14">
        <f t="shared" si="82"/>
        <v>0</v>
      </c>
    </row>
    <row r="637" spans="1:3" ht="13.2">
      <c r="A637" s="34"/>
      <c r="B637" s="18">
        <f t="shared" si="81"/>
        <v>0</v>
      </c>
      <c r="C637" s="14">
        <f t="shared" si="82"/>
        <v>0</v>
      </c>
    </row>
    <row r="638" spans="1:3" ht="13.2">
      <c r="A638" s="34"/>
      <c r="B638" s="18">
        <f t="shared" si="81"/>
        <v>0</v>
      </c>
      <c r="C638" s="14">
        <f t="shared" si="82"/>
        <v>0</v>
      </c>
    </row>
    <row r="639" spans="1:3" ht="13.2">
      <c r="A639" s="34"/>
      <c r="B639" s="18">
        <f t="shared" si="81"/>
        <v>0</v>
      </c>
      <c r="C639" s="14">
        <f t="shared" si="82"/>
        <v>0</v>
      </c>
    </row>
    <row r="640" spans="1:3" ht="13.2">
      <c r="A640" s="34"/>
      <c r="B640" s="18">
        <f t="shared" si="81"/>
        <v>0</v>
      </c>
      <c r="C640" s="14">
        <f t="shared" si="82"/>
        <v>0</v>
      </c>
    </row>
    <row r="641" spans="1:3" ht="13.2">
      <c r="A641" s="34"/>
      <c r="B641" s="18">
        <f t="shared" si="81"/>
        <v>0</v>
      </c>
      <c r="C641" s="14">
        <f t="shared" si="82"/>
        <v>0</v>
      </c>
    </row>
    <row r="642" spans="1:3" ht="13.2">
      <c r="A642" s="34"/>
      <c r="B642" s="18">
        <f t="shared" si="81"/>
        <v>0</v>
      </c>
      <c r="C642" s="14">
        <f t="shared" si="82"/>
        <v>0</v>
      </c>
    </row>
    <row r="643" spans="1:3" ht="13.2">
      <c r="A643" s="34"/>
      <c r="B643" s="18">
        <f t="shared" si="81"/>
        <v>0</v>
      </c>
      <c r="C643" s="14">
        <f t="shared" si="82"/>
        <v>0</v>
      </c>
    </row>
    <row r="644" spans="1:3" ht="13.2">
      <c r="A644" s="34"/>
      <c r="B644" s="18">
        <f t="shared" si="81"/>
        <v>0</v>
      </c>
      <c r="C644" s="14">
        <f t="shared" si="82"/>
        <v>0</v>
      </c>
    </row>
    <row r="645" spans="1:3" ht="13.2">
      <c r="A645" s="34"/>
      <c r="B645" s="18">
        <f t="shared" si="81"/>
        <v>0</v>
      </c>
      <c r="C645" s="14">
        <f t="shared" si="82"/>
        <v>0</v>
      </c>
    </row>
    <row r="646" spans="1:3" ht="13.2">
      <c r="A646" s="34"/>
      <c r="B646" s="18">
        <f t="shared" si="81"/>
        <v>0</v>
      </c>
      <c r="C646" s="14">
        <f t="shared" si="82"/>
        <v>0</v>
      </c>
    </row>
    <row r="647" spans="1:3" ht="13.2">
      <c r="A647" s="34"/>
      <c r="B647" s="18">
        <f t="shared" si="81"/>
        <v>0</v>
      </c>
      <c r="C647" s="14">
        <f t="shared" si="82"/>
        <v>0</v>
      </c>
    </row>
    <row r="648" spans="1:3" ht="13.2">
      <c r="A648" s="34"/>
      <c r="B648" s="18">
        <f t="shared" si="81"/>
        <v>0</v>
      </c>
      <c r="C648" s="14">
        <f t="shared" si="82"/>
        <v>0</v>
      </c>
    </row>
    <row r="649" spans="1:3" ht="13.2">
      <c r="A649" s="34"/>
      <c r="B649" s="18">
        <f t="shared" si="81"/>
        <v>0</v>
      </c>
      <c r="C649" s="14">
        <f t="shared" si="82"/>
        <v>0</v>
      </c>
    </row>
    <row r="650" spans="1:3" ht="13.2">
      <c r="A650" s="34"/>
      <c r="B650" s="18">
        <f t="shared" si="81"/>
        <v>0</v>
      </c>
      <c r="C650" s="14">
        <f t="shared" si="82"/>
        <v>0</v>
      </c>
    </row>
    <row r="651" spans="1:3" ht="13.2">
      <c r="A651" s="34"/>
      <c r="B651" s="18">
        <f t="shared" si="81"/>
        <v>0</v>
      </c>
      <c r="C651" s="14">
        <f t="shared" si="82"/>
        <v>0</v>
      </c>
    </row>
    <row r="652" spans="1:3" ht="13.2">
      <c r="A652" s="34"/>
      <c r="B652" s="18">
        <f t="shared" si="81"/>
        <v>0</v>
      </c>
      <c r="C652" s="14">
        <f t="shared" si="82"/>
        <v>0</v>
      </c>
    </row>
    <row r="653" spans="1:3" ht="13.2">
      <c r="A653" s="34"/>
      <c r="B653" s="18">
        <f t="shared" si="81"/>
        <v>0</v>
      </c>
      <c r="C653" s="14">
        <f t="shared" si="82"/>
        <v>0</v>
      </c>
    </row>
    <row r="654" spans="1:3" ht="13.2">
      <c r="A654" s="34"/>
      <c r="B654" s="18">
        <f t="shared" si="81"/>
        <v>0</v>
      </c>
      <c r="C654" s="14">
        <f t="shared" si="82"/>
        <v>0</v>
      </c>
    </row>
    <row r="655" spans="1:3" ht="13.2">
      <c r="A655" s="34"/>
      <c r="B655" s="18">
        <f t="shared" si="81"/>
        <v>0</v>
      </c>
      <c r="C655" s="14">
        <f t="shared" si="82"/>
        <v>0</v>
      </c>
    </row>
    <row r="656" spans="1:3" ht="13.2">
      <c r="A656" s="34"/>
      <c r="B656" s="18">
        <f t="shared" si="81"/>
        <v>0</v>
      </c>
      <c r="C656" s="14">
        <f t="shared" si="82"/>
        <v>0</v>
      </c>
    </row>
    <row r="657" spans="1:3" ht="13.2">
      <c r="A657" s="34"/>
      <c r="B657" s="18">
        <f t="shared" si="81"/>
        <v>0</v>
      </c>
      <c r="C657" s="14">
        <f t="shared" si="82"/>
        <v>0</v>
      </c>
    </row>
    <row r="658" spans="1:3" ht="13.2">
      <c r="A658" s="34"/>
      <c r="B658" s="18">
        <f t="shared" si="81"/>
        <v>0</v>
      </c>
      <c r="C658" s="14">
        <f t="shared" si="82"/>
        <v>0</v>
      </c>
    </row>
    <row r="659" spans="1:3" ht="13.2">
      <c r="A659" s="34"/>
      <c r="B659" s="18">
        <f t="shared" si="81"/>
        <v>0</v>
      </c>
      <c r="C659" s="14">
        <f t="shared" si="82"/>
        <v>0</v>
      </c>
    </row>
    <row r="660" spans="1:3" ht="13.2">
      <c r="A660" s="34"/>
      <c r="B660" s="18">
        <f t="shared" si="81"/>
        <v>0</v>
      </c>
      <c r="C660" s="14">
        <f t="shared" si="82"/>
        <v>0</v>
      </c>
    </row>
    <row r="661" spans="1:3" ht="13.2">
      <c r="A661" s="34"/>
      <c r="B661" s="18">
        <f t="shared" si="81"/>
        <v>0</v>
      </c>
      <c r="C661" s="14">
        <f t="shared" si="82"/>
        <v>0</v>
      </c>
    </row>
    <row r="662" spans="1:3" ht="13.2">
      <c r="A662" s="34"/>
      <c r="B662" s="18">
        <f t="shared" si="81"/>
        <v>0</v>
      </c>
      <c r="C662" s="14">
        <f t="shared" si="82"/>
        <v>0</v>
      </c>
    </row>
    <row r="663" spans="1:3" ht="13.2">
      <c r="A663" s="34"/>
      <c r="B663" s="18">
        <f t="shared" si="83" ref="B663:B726">COUNTIF(CommonCo_Col,A663)</f>
        <v>0</v>
      </c>
      <c r="C663" s="14">
        <f t="shared" si="84" ref="C663:C726">IF(AND($B663&gt;0,$C$22&gt;0),$B663/$C$22*100,0)</f>
        <v>0</v>
      </c>
    </row>
    <row r="664" spans="1:3" ht="13.2">
      <c r="A664" s="34"/>
      <c r="B664" s="18">
        <f t="shared" si="83"/>
        <v>0</v>
      </c>
      <c r="C664" s="14">
        <f t="shared" si="84"/>
        <v>0</v>
      </c>
    </row>
    <row r="665" spans="1:3" ht="13.2">
      <c r="A665" s="34"/>
      <c r="B665" s="18">
        <f t="shared" si="83"/>
        <v>0</v>
      </c>
      <c r="C665" s="14">
        <f t="shared" si="84"/>
        <v>0</v>
      </c>
    </row>
    <row r="666" spans="1:3" ht="13.2">
      <c r="A666" s="34"/>
      <c r="B666" s="18">
        <f t="shared" si="83"/>
        <v>0</v>
      </c>
      <c r="C666" s="14">
        <f t="shared" si="84"/>
        <v>0</v>
      </c>
    </row>
    <row r="667" spans="1:3" ht="13.2">
      <c r="A667" s="34"/>
      <c r="B667" s="18">
        <f t="shared" si="83"/>
        <v>0</v>
      </c>
      <c r="C667" s="14">
        <f t="shared" si="84"/>
        <v>0</v>
      </c>
    </row>
    <row r="668" spans="1:3" ht="13.2">
      <c r="A668" s="34"/>
      <c r="B668" s="18">
        <f t="shared" si="83"/>
        <v>0</v>
      </c>
      <c r="C668" s="14">
        <f t="shared" si="84"/>
        <v>0</v>
      </c>
    </row>
    <row r="669" spans="1:3" ht="13.2">
      <c r="A669" s="34"/>
      <c r="B669" s="18">
        <f t="shared" si="83"/>
        <v>0</v>
      </c>
      <c r="C669" s="14">
        <f t="shared" si="84"/>
        <v>0</v>
      </c>
    </row>
    <row r="670" spans="1:3" ht="13.2">
      <c r="A670" s="34"/>
      <c r="B670" s="18">
        <f t="shared" si="83"/>
        <v>0</v>
      </c>
      <c r="C670" s="14">
        <f t="shared" si="84"/>
        <v>0</v>
      </c>
    </row>
    <row r="671" spans="1:3" ht="13.2">
      <c r="A671" s="34"/>
      <c r="B671" s="18">
        <f t="shared" si="83"/>
        <v>0</v>
      </c>
      <c r="C671" s="14">
        <f t="shared" si="84"/>
        <v>0</v>
      </c>
    </row>
    <row r="672" spans="1:3" ht="13.2">
      <c r="A672" s="34"/>
      <c r="B672" s="18">
        <f t="shared" si="83"/>
        <v>0</v>
      </c>
      <c r="C672" s="14">
        <f t="shared" si="84"/>
        <v>0</v>
      </c>
    </row>
    <row r="673" spans="1:3" ht="13.2">
      <c r="A673" s="34"/>
      <c r="B673" s="18">
        <f t="shared" si="83"/>
        <v>0</v>
      </c>
      <c r="C673" s="14">
        <f t="shared" si="84"/>
        <v>0</v>
      </c>
    </row>
    <row r="674" spans="1:3" ht="13.2">
      <c r="A674" s="34"/>
      <c r="B674" s="18">
        <f t="shared" si="83"/>
        <v>0</v>
      </c>
      <c r="C674" s="14">
        <f t="shared" si="84"/>
        <v>0</v>
      </c>
    </row>
    <row r="675" spans="1:3" ht="13.2">
      <c r="A675" s="34"/>
      <c r="B675" s="18">
        <f t="shared" si="83"/>
        <v>0</v>
      </c>
      <c r="C675" s="14">
        <f t="shared" si="84"/>
        <v>0</v>
      </c>
    </row>
    <row r="676" spans="1:3" ht="13.2">
      <c r="A676" s="34"/>
      <c r="B676" s="18">
        <f t="shared" si="83"/>
        <v>0</v>
      </c>
      <c r="C676" s="14">
        <f t="shared" si="84"/>
        <v>0</v>
      </c>
    </row>
    <row r="677" spans="1:3" ht="13.2">
      <c r="A677" s="34"/>
      <c r="B677" s="18">
        <f t="shared" si="83"/>
        <v>0</v>
      </c>
      <c r="C677" s="14">
        <f t="shared" si="84"/>
        <v>0</v>
      </c>
    </row>
    <row r="678" spans="1:3" ht="13.2">
      <c r="A678" s="34"/>
      <c r="B678" s="18">
        <f t="shared" si="83"/>
        <v>0</v>
      </c>
      <c r="C678" s="14">
        <f t="shared" si="84"/>
        <v>0</v>
      </c>
    </row>
    <row r="679" spans="1:3" ht="13.2">
      <c r="A679" s="34"/>
      <c r="B679" s="18">
        <f t="shared" si="83"/>
        <v>0</v>
      </c>
      <c r="C679" s="14">
        <f t="shared" si="84"/>
        <v>0</v>
      </c>
    </row>
    <row r="680" spans="1:3" ht="13.2">
      <c r="A680" s="34"/>
      <c r="B680" s="18">
        <f t="shared" si="83"/>
        <v>0</v>
      </c>
      <c r="C680" s="14">
        <f t="shared" si="84"/>
        <v>0</v>
      </c>
    </row>
    <row r="681" spans="1:3" ht="13.2">
      <c r="A681" s="34"/>
      <c r="B681" s="18">
        <f t="shared" si="83"/>
        <v>0</v>
      </c>
      <c r="C681" s="14">
        <f t="shared" si="84"/>
        <v>0</v>
      </c>
    </row>
    <row r="682" spans="1:3" ht="13.2">
      <c r="A682" s="34"/>
      <c r="B682" s="18">
        <f t="shared" si="83"/>
        <v>0</v>
      </c>
      <c r="C682" s="14">
        <f t="shared" si="84"/>
        <v>0</v>
      </c>
    </row>
    <row r="683" spans="1:3" ht="13.2">
      <c r="A683" s="34"/>
      <c r="B683" s="18">
        <f t="shared" si="83"/>
        <v>0</v>
      </c>
      <c r="C683" s="14">
        <f t="shared" si="84"/>
        <v>0</v>
      </c>
    </row>
    <row r="684" spans="1:3" ht="13.2">
      <c r="A684" s="34"/>
      <c r="B684" s="18">
        <f t="shared" si="83"/>
        <v>0</v>
      </c>
      <c r="C684" s="14">
        <f t="shared" si="84"/>
        <v>0</v>
      </c>
    </row>
    <row r="685" spans="1:3" ht="13.2">
      <c r="A685" s="34"/>
      <c r="B685" s="18">
        <f t="shared" si="83"/>
        <v>0</v>
      </c>
      <c r="C685" s="14">
        <f t="shared" si="84"/>
        <v>0</v>
      </c>
    </row>
    <row r="686" spans="1:3" ht="13.2">
      <c r="A686" s="34"/>
      <c r="B686" s="18">
        <f t="shared" si="83"/>
        <v>0</v>
      </c>
      <c r="C686" s="14">
        <f t="shared" si="84"/>
        <v>0</v>
      </c>
    </row>
    <row r="687" spans="1:3" ht="13.2">
      <c r="A687" s="34"/>
      <c r="B687" s="18">
        <f t="shared" si="83"/>
        <v>0</v>
      </c>
      <c r="C687" s="14">
        <f t="shared" si="84"/>
        <v>0</v>
      </c>
    </row>
    <row r="688" spans="1:3" ht="13.2">
      <c r="A688" s="34"/>
      <c r="B688" s="18">
        <f t="shared" si="83"/>
        <v>0</v>
      </c>
      <c r="C688" s="14">
        <f t="shared" si="84"/>
        <v>0</v>
      </c>
    </row>
    <row r="689" spans="1:3" ht="13.2">
      <c r="A689" s="34"/>
      <c r="B689" s="18">
        <f t="shared" si="83"/>
        <v>0</v>
      </c>
      <c r="C689" s="14">
        <f t="shared" si="84"/>
        <v>0</v>
      </c>
    </row>
    <row r="690" spans="1:3" ht="13.2">
      <c r="A690" s="34"/>
      <c r="B690" s="18">
        <f t="shared" si="83"/>
        <v>0</v>
      </c>
      <c r="C690" s="14">
        <f t="shared" si="84"/>
        <v>0</v>
      </c>
    </row>
    <row r="691" spans="1:3" ht="13.2">
      <c r="A691" s="34"/>
      <c r="B691" s="18">
        <f t="shared" si="83"/>
        <v>0</v>
      </c>
      <c r="C691" s="14">
        <f t="shared" si="84"/>
        <v>0</v>
      </c>
    </row>
    <row r="692" spans="1:3" ht="13.2">
      <c r="A692" s="34"/>
      <c r="B692" s="18">
        <f t="shared" si="83"/>
        <v>0</v>
      </c>
      <c r="C692" s="14">
        <f t="shared" si="84"/>
        <v>0</v>
      </c>
    </row>
    <row r="693" spans="1:3" ht="13.2">
      <c r="A693" s="34"/>
      <c r="B693" s="18">
        <f t="shared" si="83"/>
        <v>0</v>
      </c>
      <c r="C693" s="14">
        <f t="shared" si="84"/>
        <v>0</v>
      </c>
    </row>
    <row r="694" spans="1:3" ht="13.2">
      <c r="A694" s="34"/>
      <c r="B694" s="18">
        <f t="shared" si="83"/>
        <v>0</v>
      </c>
      <c r="C694" s="14">
        <f t="shared" si="84"/>
        <v>0</v>
      </c>
    </row>
    <row r="695" spans="1:3" ht="13.2">
      <c r="A695" s="34"/>
      <c r="B695" s="18">
        <f t="shared" si="83"/>
        <v>0</v>
      </c>
      <c r="C695" s="14">
        <f t="shared" si="84"/>
        <v>0</v>
      </c>
    </row>
    <row r="696" spans="1:3" ht="13.2">
      <c r="A696" s="34"/>
      <c r="B696" s="18">
        <f t="shared" si="83"/>
        <v>0</v>
      </c>
      <c r="C696" s="14">
        <f t="shared" si="84"/>
        <v>0</v>
      </c>
    </row>
    <row r="697" spans="1:3" ht="13.2">
      <c r="A697" s="34"/>
      <c r="B697" s="18">
        <f t="shared" si="83"/>
        <v>0</v>
      </c>
      <c r="C697" s="14">
        <f t="shared" si="84"/>
        <v>0</v>
      </c>
    </row>
    <row r="698" spans="1:3" ht="13.2">
      <c r="A698" s="34"/>
      <c r="B698" s="18">
        <f t="shared" si="83"/>
        <v>0</v>
      </c>
      <c r="C698" s="14">
        <f t="shared" si="84"/>
        <v>0</v>
      </c>
    </row>
    <row r="699" spans="1:3" ht="13.2">
      <c r="A699" s="34"/>
      <c r="B699" s="18">
        <f t="shared" si="83"/>
        <v>0</v>
      </c>
      <c r="C699" s="14">
        <f t="shared" si="84"/>
        <v>0</v>
      </c>
    </row>
    <row r="700" spans="1:3" ht="13.2">
      <c r="A700" s="34"/>
      <c r="B700" s="18">
        <f t="shared" si="83"/>
        <v>0</v>
      </c>
      <c r="C700" s="14">
        <f t="shared" si="84"/>
        <v>0</v>
      </c>
    </row>
    <row r="701" spans="1:3" ht="13.2">
      <c r="A701" s="34"/>
      <c r="B701" s="18">
        <f t="shared" si="83"/>
        <v>0</v>
      </c>
      <c r="C701" s="14">
        <f t="shared" si="84"/>
        <v>0</v>
      </c>
    </row>
    <row r="702" spans="1:3" ht="13.2">
      <c r="A702" s="34"/>
      <c r="B702" s="18">
        <f t="shared" si="83"/>
        <v>0</v>
      </c>
      <c r="C702" s="14">
        <f t="shared" si="84"/>
        <v>0</v>
      </c>
    </row>
    <row r="703" spans="1:3" ht="13.2">
      <c r="A703" s="34"/>
      <c r="B703" s="18">
        <f t="shared" si="83"/>
        <v>0</v>
      </c>
      <c r="C703" s="14">
        <f t="shared" si="84"/>
        <v>0</v>
      </c>
    </row>
    <row r="704" spans="1:3" ht="13.2">
      <c r="A704" s="34"/>
      <c r="B704" s="18">
        <f t="shared" si="83"/>
        <v>0</v>
      </c>
      <c r="C704" s="14">
        <f t="shared" si="84"/>
        <v>0</v>
      </c>
    </row>
    <row r="705" spans="1:3" ht="13.2">
      <c r="A705" s="34"/>
      <c r="B705" s="18">
        <f t="shared" si="83"/>
        <v>0</v>
      </c>
      <c r="C705" s="14">
        <f t="shared" si="84"/>
        <v>0</v>
      </c>
    </row>
    <row r="706" spans="1:3" ht="13.2">
      <c r="A706" s="34"/>
      <c r="B706" s="18">
        <f t="shared" si="83"/>
        <v>0</v>
      </c>
      <c r="C706" s="14">
        <f t="shared" si="84"/>
        <v>0</v>
      </c>
    </row>
    <row r="707" spans="1:3" ht="13.2">
      <c r="A707" s="34"/>
      <c r="B707" s="18">
        <f t="shared" si="83"/>
        <v>0</v>
      </c>
      <c r="C707" s="14">
        <f t="shared" si="84"/>
        <v>0</v>
      </c>
    </row>
    <row r="708" spans="1:3" ht="13.2">
      <c r="A708" s="34"/>
      <c r="B708" s="18">
        <f t="shared" si="83"/>
        <v>0</v>
      </c>
      <c r="C708" s="14">
        <f t="shared" si="84"/>
        <v>0</v>
      </c>
    </row>
    <row r="709" spans="1:3" ht="13.2">
      <c r="A709" s="34"/>
      <c r="B709" s="18">
        <f t="shared" si="83"/>
        <v>0</v>
      </c>
      <c r="C709" s="14">
        <f t="shared" si="84"/>
        <v>0</v>
      </c>
    </row>
    <row r="710" spans="1:3" ht="13.2">
      <c r="A710" s="34"/>
      <c r="B710" s="18">
        <f t="shared" si="83"/>
        <v>0</v>
      </c>
      <c r="C710" s="14">
        <f t="shared" si="84"/>
        <v>0</v>
      </c>
    </row>
    <row r="711" spans="1:3" ht="13.2">
      <c r="A711" s="34"/>
      <c r="B711" s="18">
        <f t="shared" si="83"/>
        <v>0</v>
      </c>
      <c r="C711" s="14">
        <f t="shared" si="84"/>
        <v>0</v>
      </c>
    </row>
    <row r="712" spans="1:3" ht="13.2">
      <c r="A712" s="34"/>
      <c r="B712" s="18">
        <f t="shared" si="83"/>
        <v>0</v>
      </c>
      <c r="C712" s="14">
        <f t="shared" si="84"/>
        <v>0</v>
      </c>
    </row>
    <row r="713" spans="1:3" ht="13.2">
      <c r="A713" s="34"/>
      <c r="B713" s="18">
        <f t="shared" si="83"/>
        <v>0</v>
      </c>
      <c r="C713" s="14">
        <f t="shared" si="84"/>
        <v>0</v>
      </c>
    </row>
    <row r="714" spans="1:3" ht="13.2">
      <c r="A714" s="34"/>
      <c r="B714" s="18">
        <f t="shared" si="83"/>
        <v>0</v>
      </c>
      <c r="C714" s="14">
        <f t="shared" si="84"/>
        <v>0</v>
      </c>
    </row>
    <row r="715" spans="1:3" ht="13.2">
      <c r="A715" s="34"/>
      <c r="B715" s="18">
        <f t="shared" si="83"/>
        <v>0</v>
      </c>
      <c r="C715" s="14">
        <f t="shared" si="84"/>
        <v>0</v>
      </c>
    </row>
    <row r="716" spans="1:3" ht="13.2">
      <c r="A716" s="34"/>
      <c r="B716" s="18">
        <f t="shared" si="83"/>
        <v>0</v>
      </c>
      <c r="C716" s="14">
        <f t="shared" si="84"/>
        <v>0</v>
      </c>
    </row>
    <row r="717" spans="1:3" ht="13.2">
      <c r="A717" s="34"/>
      <c r="B717" s="18">
        <f t="shared" si="83"/>
        <v>0</v>
      </c>
      <c r="C717" s="14">
        <f t="shared" si="84"/>
        <v>0</v>
      </c>
    </row>
    <row r="718" spans="1:3" ht="13.2">
      <c r="A718" s="34"/>
      <c r="B718" s="18">
        <f t="shared" si="83"/>
        <v>0</v>
      </c>
      <c r="C718" s="14">
        <f t="shared" si="84"/>
        <v>0</v>
      </c>
    </row>
    <row r="719" spans="1:3" ht="13.2">
      <c r="A719" s="34"/>
      <c r="B719" s="18">
        <f t="shared" si="83"/>
        <v>0</v>
      </c>
      <c r="C719" s="14">
        <f t="shared" si="84"/>
        <v>0</v>
      </c>
    </row>
    <row r="720" spans="1:3" ht="13.2">
      <c r="A720" s="34"/>
      <c r="B720" s="18">
        <f t="shared" si="83"/>
        <v>0</v>
      </c>
      <c r="C720" s="14">
        <f t="shared" si="84"/>
        <v>0</v>
      </c>
    </row>
    <row r="721" spans="1:3" ht="13.2">
      <c r="A721" s="34"/>
      <c r="B721" s="18">
        <f t="shared" si="83"/>
        <v>0</v>
      </c>
      <c r="C721" s="14">
        <f t="shared" si="84"/>
        <v>0</v>
      </c>
    </row>
    <row r="722" spans="1:3" ht="13.2">
      <c r="A722" s="34"/>
      <c r="B722" s="18">
        <f t="shared" si="83"/>
        <v>0</v>
      </c>
      <c r="C722" s="14">
        <f t="shared" si="84"/>
        <v>0</v>
      </c>
    </row>
    <row r="723" spans="1:3" ht="13.2">
      <c r="A723" s="34"/>
      <c r="B723" s="18">
        <f t="shared" si="83"/>
        <v>0</v>
      </c>
      <c r="C723" s="14">
        <f t="shared" si="84"/>
        <v>0</v>
      </c>
    </row>
    <row r="724" spans="1:3" ht="13.2">
      <c r="A724" s="34"/>
      <c r="B724" s="18">
        <f t="shared" si="83"/>
        <v>0</v>
      </c>
      <c r="C724" s="14">
        <f t="shared" si="84"/>
        <v>0</v>
      </c>
    </row>
    <row r="725" spans="1:3" ht="13.2">
      <c r="A725" s="34"/>
      <c r="B725" s="18">
        <f t="shared" si="83"/>
        <v>0</v>
      </c>
      <c r="C725" s="14">
        <f t="shared" si="84"/>
        <v>0</v>
      </c>
    </row>
    <row r="726" spans="1:3" ht="13.2">
      <c r="A726" s="34"/>
      <c r="B726" s="18">
        <f t="shared" si="83"/>
        <v>0</v>
      </c>
      <c r="C726" s="14">
        <f t="shared" si="84"/>
        <v>0</v>
      </c>
    </row>
    <row r="727" spans="1:3" ht="13.2">
      <c r="A727" s="34"/>
      <c r="B727" s="18">
        <f t="shared" si="85" ref="B727:B750">COUNTIF(CommonCo_Col,A727)</f>
        <v>0</v>
      </c>
      <c r="C727" s="14">
        <f t="shared" si="86" ref="C727:C790">IF(AND($B727&gt;0,$C$22&gt;0),$B727/$C$22*100,0)</f>
        <v>0</v>
      </c>
    </row>
    <row r="728" spans="1:3" ht="13.2">
      <c r="A728" s="34"/>
      <c r="B728" s="18">
        <f t="shared" si="85"/>
        <v>0</v>
      </c>
      <c r="C728" s="14">
        <f t="shared" si="86"/>
        <v>0</v>
      </c>
    </row>
    <row r="729" spans="1:3" ht="13.2">
      <c r="A729" s="34"/>
      <c r="B729" s="18">
        <f t="shared" si="85"/>
        <v>0</v>
      </c>
      <c r="C729" s="14">
        <f t="shared" si="86"/>
        <v>0</v>
      </c>
    </row>
    <row r="730" spans="1:3" ht="13.2">
      <c r="A730" s="34"/>
      <c r="B730" s="18">
        <f t="shared" si="85"/>
        <v>0</v>
      </c>
      <c r="C730" s="14">
        <f t="shared" si="86"/>
        <v>0</v>
      </c>
    </row>
    <row r="731" spans="1:3" ht="13.2">
      <c r="A731" s="34"/>
      <c r="B731" s="18">
        <f t="shared" si="85"/>
        <v>0</v>
      </c>
      <c r="C731" s="14">
        <f t="shared" si="86"/>
        <v>0</v>
      </c>
    </row>
    <row r="732" spans="1:3" ht="13.2">
      <c r="A732" s="34"/>
      <c r="B732" s="18">
        <f t="shared" si="85"/>
        <v>0</v>
      </c>
      <c r="C732" s="14">
        <f t="shared" si="86"/>
        <v>0</v>
      </c>
    </row>
    <row r="733" spans="1:3" ht="13.2">
      <c r="A733" s="34"/>
      <c r="B733" s="18">
        <f t="shared" si="85"/>
        <v>0</v>
      </c>
      <c r="C733" s="14">
        <f t="shared" si="86"/>
        <v>0</v>
      </c>
    </row>
    <row r="734" spans="1:3" ht="13.2">
      <c r="A734" s="34"/>
      <c r="B734" s="18">
        <f t="shared" si="85"/>
        <v>0</v>
      </c>
      <c r="C734" s="14">
        <f t="shared" si="86"/>
        <v>0</v>
      </c>
    </row>
    <row r="735" spans="1:3" ht="13.2">
      <c r="A735" s="34"/>
      <c r="B735" s="18">
        <f t="shared" si="85"/>
        <v>0</v>
      </c>
      <c r="C735" s="14">
        <f t="shared" si="86"/>
        <v>0</v>
      </c>
    </row>
    <row r="736" spans="1:3" ht="13.2">
      <c r="A736" s="34"/>
      <c r="B736" s="18">
        <f t="shared" si="85"/>
        <v>0</v>
      </c>
      <c r="C736" s="14">
        <f t="shared" si="86"/>
        <v>0</v>
      </c>
    </row>
    <row r="737" spans="1:3" ht="13.2">
      <c r="A737" s="34"/>
      <c r="B737" s="18">
        <f t="shared" si="85"/>
        <v>0</v>
      </c>
      <c r="C737" s="14">
        <f t="shared" si="86"/>
        <v>0</v>
      </c>
    </row>
    <row r="738" spans="1:3" ht="13.2">
      <c r="A738" s="34"/>
      <c r="B738" s="18">
        <f t="shared" si="85"/>
        <v>0</v>
      </c>
      <c r="C738" s="14">
        <f t="shared" si="86"/>
        <v>0</v>
      </c>
    </row>
    <row r="739" spans="1:3" ht="13.2">
      <c r="A739" s="34"/>
      <c r="B739" s="18">
        <f t="shared" si="85"/>
        <v>0</v>
      </c>
      <c r="C739" s="14">
        <f t="shared" si="86"/>
        <v>0</v>
      </c>
    </row>
    <row r="740" spans="1:3" ht="13.2">
      <c r="A740" s="34"/>
      <c r="B740" s="18">
        <f t="shared" si="85"/>
        <v>0</v>
      </c>
      <c r="C740" s="14">
        <f t="shared" si="86"/>
        <v>0</v>
      </c>
    </row>
    <row r="741" spans="1:3" ht="13.2">
      <c r="A741" s="34"/>
      <c r="B741" s="18">
        <f t="shared" si="85"/>
        <v>0</v>
      </c>
      <c r="C741" s="14">
        <f t="shared" si="86"/>
        <v>0</v>
      </c>
    </row>
    <row r="742" spans="1:3" ht="13.2">
      <c r="A742" s="34"/>
      <c r="B742" s="18">
        <f t="shared" si="85"/>
        <v>0</v>
      </c>
      <c r="C742" s="14">
        <f t="shared" si="86"/>
        <v>0</v>
      </c>
    </row>
    <row r="743" spans="1:3" ht="13.2">
      <c r="A743" s="34"/>
      <c r="B743" s="18">
        <f t="shared" si="85"/>
        <v>0</v>
      </c>
      <c r="C743" s="14">
        <f t="shared" si="86"/>
        <v>0</v>
      </c>
    </row>
    <row r="744" spans="1:3" ht="13.2">
      <c r="A744" s="34"/>
      <c r="B744" s="18">
        <f t="shared" si="85"/>
        <v>0</v>
      </c>
      <c r="C744" s="14">
        <f t="shared" si="86"/>
        <v>0</v>
      </c>
    </row>
    <row r="745" spans="1:3" ht="13.2">
      <c r="A745" s="34"/>
      <c r="B745" s="18">
        <f t="shared" si="85"/>
        <v>0</v>
      </c>
      <c r="C745" s="14">
        <f t="shared" si="86"/>
        <v>0</v>
      </c>
    </row>
    <row r="746" spans="1:3" ht="13.2">
      <c r="A746" s="34"/>
      <c r="B746" s="18">
        <f t="shared" si="85"/>
        <v>0</v>
      </c>
      <c r="C746" s="14">
        <f t="shared" si="86"/>
        <v>0</v>
      </c>
    </row>
    <row r="747" spans="1:3" ht="13.2">
      <c r="A747" s="34"/>
      <c r="B747" s="18">
        <f t="shared" si="85"/>
        <v>0</v>
      </c>
      <c r="C747" s="14">
        <f t="shared" si="86"/>
        <v>0</v>
      </c>
    </row>
    <row r="748" spans="1:3" ht="13.2">
      <c r="A748" s="34"/>
      <c r="B748" s="18">
        <f t="shared" si="85"/>
        <v>0</v>
      </c>
      <c r="C748" s="14">
        <f t="shared" si="86"/>
        <v>0</v>
      </c>
    </row>
    <row r="749" spans="1:3" ht="13.2">
      <c r="A749" s="34"/>
      <c r="B749" s="18">
        <f t="shared" si="85"/>
        <v>0</v>
      </c>
      <c r="C749" s="14">
        <f t="shared" si="86"/>
        <v>0</v>
      </c>
    </row>
    <row r="750" spans="1:3" ht="13.2">
      <c r="A750" s="34"/>
      <c r="B750" s="18">
        <f t="shared" si="85"/>
        <v>0</v>
      </c>
      <c r="C750" s="14">
        <f t="shared" si="86"/>
        <v>0</v>
      </c>
    </row>
    <row r="751" spans="1:3" ht="13.2">
      <c r="A751" s="34"/>
      <c r="B751" s="18">
        <f t="shared" si="87" ref="B751:B769">COUNTIF(CommonCo_Col,A751)</f>
        <v>0</v>
      </c>
      <c r="C751" s="14">
        <f t="shared" si="86"/>
        <v>0</v>
      </c>
    </row>
    <row r="752" spans="1:3" ht="13.2">
      <c r="A752" s="34"/>
      <c r="B752" s="18">
        <f t="shared" si="87"/>
        <v>0</v>
      </c>
      <c r="C752" s="14">
        <f t="shared" si="86"/>
        <v>0</v>
      </c>
    </row>
    <row r="753" spans="1:3" ht="13.2">
      <c r="A753" s="34"/>
      <c r="B753" s="18">
        <f t="shared" si="87"/>
        <v>0</v>
      </c>
      <c r="C753" s="14">
        <f t="shared" si="86"/>
        <v>0</v>
      </c>
    </row>
    <row r="754" spans="1:3" ht="13.2">
      <c r="A754" s="34"/>
      <c r="B754" s="18">
        <f t="shared" si="87"/>
        <v>0</v>
      </c>
      <c r="C754" s="14">
        <f t="shared" si="86"/>
        <v>0</v>
      </c>
    </row>
    <row r="755" spans="1:3" ht="13.2">
      <c r="A755" s="34"/>
      <c r="B755" s="18">
        <f t="shared" si="87"/>
        <v>0</v>
      </c>
      <c r="C755" s="14">
        <f t="shared" si="86"/>
        <v>0</v>
      </c>
    </row>
    <row r="756" spans="1:3" ht="13.2">
      <c r="A756" s="34"/>
      <c r="B756" s="18">
        <f t="shared" si="87"/>
        <v>0</v>
      </c>
      <c r="C756" s="14">
        <f t="shared" si="86"/>
        <v>0</v>
      </c>
    </row>
    <row r="757" spans="1:3" ht="13.2">
      <c r="A757" s="34"/>
      <c r="B757" s="18">
        <f t="shared" si="87"/>
        <v>0</v>
      </c>
      <c r="C757" s="14">
        <f t="shared" si="86"/>
        <v>0</v>
      </c>
    </row>
    <row r="758" spans="1:3" ht="13.2">
      <c r="A758" s="34"/>
      <c r="B758" s="18">
        <f t="shared" si="87"/>
        <v>0</v>
      </c>
      <c r="C758" s="14">
        <f t="shared" si="86"/>
        <v>0</v>
      </c>
    </row>
    <row r="759" spans="1:3" ht="13.2">
      <c r="A759" s="34"/>
      <c r="B759" s="18">
        <f t="shared" si="87"/>
        <v>0</v>
      </c>
      <c r="C759" s="14">
        <f t="shared" si="86"/>
        <v>0</v>
      </c>
    </row>
    <row r="760" spans="1:3" ht="13.2">
      <c r="A760" s="34"/>
      <c r="B760" s="18">
        <f t="shared" si="87"/>
        <v>0</v>
      </c>
      <c r="C760" s="14">
        <f t="shared" si="86"/>
        <v>0</v>
      </c>
    </row>
    <row r="761" spans="1:3" ht="13.2">
      <c r="A761" s="34"/>
      <c r="B761" s="18">
        <f t="shared" si="87"/>
        <v>0</v>
      </c>
      <c r="C761" s="14">
        <f t="shared" si="86"/>
        <v>0</v>
      </c>
    </row>
    <row r="762" spans="1:3" ht="13.2">
      <c r="A762" s="34"/>
      <c r="B762" s="18">
        <f t="shared" si="87"/>
        <v>0</v>
      </c>
      <c r="C762" s="14">
        <f t="shared" si="86"/>
        <v>0</v>
      </c>
    </row>
    <row r="763" spans="1:3" ht="13.2">
      <c r="A763" s="34"/>
      <c r="B763" s="18">
        <f t="shared" si="87"/>
        <v>0</v>
      </c>
      <c r="C763" s="14">
        <f t="shared" si="86"/>
        <v>0</v>
      </c>
    </row>
    <row r="764" spans="1:3" ht="13.2">
      <c r="A764" s="34"/>
      <c r="B764" s="18">
        <f t="shared" si="87"/>
        <v>0</v>
      </c>
      <c r="C764" s="14">
        <f t="shared" si="86"/>
        <v>0</v>
      </c>
    </row>
    <row r="765" spans="1:3" ht="13.2">
      <c r="A765" s="34"/>
      <c r="B765" s="18">
        <f t="shared" si="87"/>
        <v>0</v>
      </c>
      <c r="C765" s="14">
        <f t="shared" si="86"/>
        <v>0</v>
      </c>
    </row>
    <row r="766" spans="1:3" ht="13.2">
      <c r="A766" s="34"/>
      <c r="B766" s="18">
        <f t="shared" si="87"/>
        <v>0</v>
      </c>
      <c r="C766" s="14">
        <f t="shared" si="86"/>
        <v>0</v>
      </c>
    </row>
    <row r="767" spans="1:3" ht="13.2">
      <c r="A767" s="34"/>
      <c r="B767" s="18">
        <f t="shared" si="87"/>
        <v>0</v>
      </c>
      <c r="C767" s="14">
        <f t="shared" si="86"/>
        <v>0</v>
      </c>
    </row>
    <row r="768" spans="1:3" ht="13.2">
      <c r="A768" s="34"/>
      <c r="B768" s="18">
        <f t="shared" si="87"/>
        <v>0</v>
      </c>
      <c r="C768" s="14">
        <f t="shared" si="86"/>
        <v>0</v>
      </c>
    </row>
    <row r="769" spans="1:3" ht="13.2">
      <c r="A769" s="34"/>
      <c r="B769" s="18">
        <f t="shared" si="87"/>
        <v>0</v>
      </c>
      <c r="C769" s="14">
        <f t="shared" si="86"/>
        <v>0</v>
      </c>
    </row>
    <row r="770" spans="1:3" ht="13.2">
      <c r="A770" s="34"/>
      <c r="B770" s="18">
        <f t="shared" si="88" ref="B770:B811">COUNTIF(CommonCo_Col,A770)</f>
        <v>0</v>
      </c>
      <c r="C770" s="14">
        <f t="shared" si="86"/>
        <v>0</v>
      </c>
    </row>
    <row r="771" spans="1:3" ht="13.2">
      <c r="A771" s="34"/>
      <c r="B771" s="18">
        <f t="shared" si="88"/>
        <v>0</v>
      </c>
      <c r="C771" s="14">
        <f t="shared" si="86"/>
        <v>0</v>
      </c>
    </row>
    <row r="772" spans="1:3" ht="13.2">
      <c r="A772" s="34"/>
      <c r="B772" s="18">
        <f t="shared" si="88"/>
        <v>0</v>
      </c>
      <c r="C772" s="14">
        <f t="shared" si="86"/>
        <v>0</v>
      </c>
    </row>
    <row r="773" spans="1:3" ht="13.2">
      <c r="A773" s="34"/>
      <c r="B773" s="18">
        <f t="shared" si="88"/>
        <v>0</v>
      </c>
      <c r="C773" s="14">
        <f t="shared" si="86"/>
        <v>0</v>
      </c>
    </row>
    <row r="774" spans="1:3" ht="13.2">
      <c r="A774" s="34"/>
      <c r="B774" s="18">
        <f t="shared" si="88"/>
        <v>0</v>
      </c>
      <c r="C774" s="14">
        <f t="shared" si="86"/>
        <v>0</v>
      </c>
    </row>
    <row r="775" spans="1:3" ht="13.2">
      <c r="A775" s="34"/>
      <c r="B775" s="18">
        <f t="shared" si="88"/>
        <v>0</v>
      </c>
      <c r="C775" s="14">
        <f t="shared" si="86"/>
        <v>0</v>
      </c>
    </row>
    <row r="776" spans="1:3" ht="13.2">
      <c r="A776" s="34"/>
      <c r="B776" s="18">
        <f t="shared" si="88"/>
        <v>0</v>
      </c>
      <c r="C776" s="14">
        <f t="shared" si="86"/>
        <v>0</v>
      </c>
    </row>
    <row r="777" spans="1:3" ht="13.2">
      <c r="A777" s="34"/>
      <c r="B777" s="18">
        <f t="shared" si="88"/>
        <v>0</v>
      </c>
      <c r="C777" s="14">
        <f t="shared" si="86"/>
        <v>0</v>
      </c>
    </row>
    <row r="778" spans="1:3" ht="13.2">
      <c r="A778" s="34"/>
      <c r="B778" s="18">
        <f t="shared" si="88"/>
        <v>0</v>
      </c>
      <c r="C778" s="14">
        <f t="shared" si="86"/>
        <v>0</v>
      </c>
    </row>
    <row r="779" spans="1:3" ht="13.2">
      <c r="A779" s="34"/>
      <c r="B779" s="18">
        <f t="shared" si="88"/>
        <v>0</v>
      </c>
      <c r="C779" s="14">
        <f t="shared" si="86"/>
        <v>0</v>
      </c>
    </row>
    <row r="780" spans="1:3" ht="13.2">
      <c r="A780" s="34"/>
      <c r="B780" s="18">
        <f t="shared" si="88"/>
        <v>0</v>
      </c>
      <c r="C780" s="14">
        <f t="shared" si="86"/>
        <v>0</v>
      </c>
    </row>
    <row r="781" spans="1:3" ht="13.2">
      <c r="A781" s="34"/>
      <c r="B781" s="18">
        <f t="shared" si="88"/>
        <v>0</v>
      </c>
      <c r="C781" s="14">
        <f t="shared" si="86"/>
        <v>0</v>
      </c>
    </row>
    <row r="782" spans="1:3" ht="13.2">
      <c r="A782" s="34"/>
      <c r="B782" s="18">
        <f t="shared" si="88"/>
        <v>0</v>
      </c>
      <c r="C782" s="14">
        <f t="shared" si="86"/>
        <v>0</v>
      </c>
    </row>
    <row r="783" spans="1:3" ht="13.2">
      <c r="A783" s="34"/>
      <c r="B783" s="18">
        <f t="shared" si="88"/>
        <v>0</v>
      </c>
      <c r="C783" s="14">
        <f t="shared" si="86"/>
        <v>0</v>
      </c>
    </row>
    <row r="784" spans="1:3" ht="13.2">
      <c r="A784" s="34"/>
      <c r="B784" s="18">
        <f t="shared" si="88"/>
        <v>0</v>
      </c>
      <c r="C784" s="14">
        <f t="shared" si="86"/>
        <v>0</v>
      </c>
    </row>
    <row r="785" spans="1:3" ht="13.2">
      <c r="A785" s="34"/>
      <c r="B785" s="18">
        <f t="shared" si="88"/>
        <v>0</v>
      </c>
      <c r="C785" s="14">
        <f t="shared" si="86"/>
        <v>0</v>
      </c>
    </row>
    <row r="786" spans="1:3" ht="13.2">
      <c r="A786" s="34"/>
      <c r="B786" s="18">
        <f t="shared" si="88"/>
        <v>0</v>
      </c>
      <c r="C786" s="14">
        <f t="shared" si="86"/>
        <v>0</v>
      </c>
    </row>
    <row r="787" spans="1:3" ht="13.2">
      <c r="A787" s="34"/>
      <c r="B787" s="18">
        <f t="shared" si="88"/>
        <v>0</v>
      </c>
      <c r="C787" s="14">
        <f t="shared" si="86"/>
        <v>0</v>
      </c>
    </row>
    <row r="788" spans="1:3" ht="13.2">
      <c r="A788" s="34"/>
      <c r="B788" s="18">
        <f t="shared" si="88"/>
        <v>0</v>
      </c>
      <c r="C788" s="14">
        <f t="shared" si="86"/>
        <v>0</v>
      </c>
    </row>
    <row r="789" spans="1:3" ht="13.2">
      <c r="A789" s="34"/>
      <c r="B789" s="18">
        <f t="shared" si="88"/>
        <v>0</v>
      </c>
      <c r="C789" s="14">
        <f t="shared" si="86"/>
        <v>0</v>
      </c>
    </row>
    <row r="790" spans="1:3" ht="13.2">
      <c r="A790" s="34"/>
      <c r="B790" s="18">
        <f t="shared" si="88"/>
        <v>0</v>
      </c>
      <c r="C790" s="14">
        <f t="shared" si="86"/>
        <v>0</v>
      </c>
    </row>
    <row r="791" spans="1:3" ht="13.2">
      <c r="A791" s="34"/>
      <c r="B791" s="18">
        <f t="shared" si="88"/>
        <v>0</v>
      </c>
      <c r="C791" s="14">
        <f t="shared" si="89" ref="C791:C811">IF(AND($B791&gt;0,$C$22&gt;0),$B791/$C$22*100,0)</f>
        <v>0</v>
      </c>
    </row>
    <row r="792" spans="1:3" ht="13.2">
      <c r="A792" s="34"/>
      <c r="B792" s="18">
        <f t="shared" si="88"/>
        <v>0</v>
      </c>
      <c r="C792" s="14">
        <f t="shared" si="89"/>
        <v>0</v>
      </c>
    </row>
    <row r="793" spans="1:3" ht="13.2">
      <c r="A793" s="34"/>
      <c r="B793" s="18">
        <f t="shared" si="88"/>
        <v>0</v>
      </c>
      <c r="C793" s="14">
        <f t="shared" si="89"/>
        <v>0</v>
      </c>
    </row>
    <row r="794" spans="1:3" ht="13.2">
      <c r="A794" s="34"/>
      <c r="B794" s="18">
        <f t="shared" si="88"/>
        <v>0</v>
      </c>
      <c r="C794" s="14">
        <f t="shared" si="89"/>
        <v>0</v>
      </c>
    </row>
    <row r="795" spans="1:3" ht="13.2">
      <c r="A795" s="34"/>
      <c r="B795" s="18">
        <f t="shared" si="88"/>
        <v>0</v>
      </c>
      <c r="C795" s="14">
        <f t="shared" si="89"/>
        <v>0</v>
      </c>
    </row>
    <row r="796" spans="1:3" ht="13.2">
      <c r="A796" s="34"/>
      <c r="B796" s="18">
        <f t="shared" si="88"/>
        <v>0</v>
      </c>
      <c r="C796" s="14">
        <f t="shared" si="89"/>
        <v>0</v>
      </c>
    </row>
    <row r="797" spans="1:3" ht="13.2">
      <c r="A797" s="34"/>
      <c r="B797" s="18">
        <f t="shared" si="88"/>
        <v>0</v>
      </c>
      <c r="C797" s="14">
        <f t="shared" si="89"/>
        <v>0</v>
      </c>
    </row>
    <row r="798" spans="1:3" ht="13.2">
      <c r="A798" s="34"/>
      <c r="B798" s="18">
        <f t="shared" si="88"/>
        <v>0</v>
      </c>
      <c r="C798" s="14">
        <f t="shared" si="89"/>
        <v>0</v>
      </c>
    </row>
    <row r="799" spans="1:3" ht="13.2">
      <c r="A799" s="34"/>
      <c r="B799" s="18">
        <f t="shared" si="88"/>
        <v>0</v>
      </c>
      <c r="C799" s="14">
        <f t="shared" si="89"/>
        <v>0</v>
      </c>
    </row>
    <row r="800" spans="1:3" ht="13.2">
      <c r="A800" s="34"/>
      <c r="B800" s="18">
        <f t="shared" si="88"/>
        <v>0</v>
      </c>
      <c r="C800" s="14">
        <f t="shared" si="89"/>
        <v>0</v>
      </c>
    </row>
    <row r="801" spans="1:3" ht="13.2">
      <c r="A801" s="34"/>
      <c r="B801" s="18">
        <f t="shared" si="88"/>
        <v>0</v>
      </c>
      <c r="C801" s="14">
        <f t="shared" si="89"/>
        <v>0</v>
      </c>
    </row>
    <row r="802" spans="1:3" ht="13.2">
      <c r="A802" s="34"/>
      <c r="B802" s="18">
        <f t="shared" si="88"/>
        <v>0</v>
      </c>
      <c r="C802" s="14">
        <f t="shared" si="89"/>
        <v>0</v>
      </c>
    </row>
    <row r="803" spans="1:3" ht="13.2">
      <c r="A803" s="34"/>
      <c r="B803" s="18">
        <f t="shared" si="88"/>
        <v>0</v>
      </c>
      <c r="C803" s="14">
        <f t="shared" si="89"/>
        <v>0</v>
      </c>
    </row>
    <row r="804" spans="1:3" ht="13.2">
      <c r="A804" s="34"/>
      <c r="B804" s="18">
        <f t="shared" si="88"/>
        <v>0</v>
      </c>
      <c r="C804" s="14">
        <f t="shared" si="89"/>
        <v>0</v>
      </c>
    </row>
    <row r="805" spans="1:3" ht="13.2">
      <c r="A805" s="34"/>
      <c r="B805" s="18">
        <f t="shared" si="88"/>
        <v>0</v>
      </c>
      <c r="C805" s="14">
        <f t="shared" si="89"/>
        <v>0</v>
      </c>
    </row>
    <row r="806" spans="1:3" ht="13.2">
      <c r="A806" s="34"/>
      <c r="B806" s="18">
        <f t="shared" si="88"/>
        <v>0</v>
      </c>
      <c r="C806" s="14">
        <f t="shared" si="89"/>
        <v>0</v>
      </c>
    </row>
    <row r="807" spans="1:3" ht="13.2">
      <c r="A807" s="34"/>
      <c r="B807" s="18">
        <f t="shared" si="88"/>
        <v>0</v>
      </c>
      <c r="C807" s="14">
        <f t="shared" si="89"/>
        <v>0</v>
      </c>
    </row>
    <row r="808" spans="1:3" ht="13.2">
      <c r="A808" s="34"/>
      <c r="B808" s="18">
        <f t="shared" si="88"/>
        <v>0</v>
      </c>
      <c r="C808" s="14">
        <f t="shared" si="89"/>
        <v>0</v>
      </c>
    </row>
    <row r="809" spans="1:3" ht="13.2">
      <c r="A809" s="34"/>
      <c r="B809" s="18">
        <f t="shared" si="88"/>
        <v>0</v>
      </c>
      <c r="C809" s="14">
        <f t="shared" si="89"/>
        <v>0</v>
      </c>
    </row>
    <row r="810" spans="1:3" ht="13.2">
      <c r="A810" s="34"/>
      <c r="B810" s="18">
        <f t="shared" si="88"/>
        <v>0</v>
      </c>
      <c r="C810" s="14">
        <f t="shared" si="89"/>
        <v>0</v>
      </c>
    </row>
    <row r="811" spans="1:3" ht="13.2">
      <c r="A811" s="34"/>
      <c r="B811" s="18">
        <f t="shared" si="88"/>
        <v>0</v>
      </c>
      <c r="C811" s="14">
        <f t="shared" si="89"/>
        <v>0</v>
      </c>
    </row>
  </sheetData>
  <conditionalFormatting sqref="H22">
    <cfRule type="cellIs" priority="11" dxfId="0" operator="equal" stopIfTrue="1">
      <formula>""</formula>
    </cfRule>
    <cfRule type="cellIs" priority="12" dxfId="1" operator="notEqual" stopIfTrue="1">
      <formula>""</formula>
    </cfRule>
  </conditionalFormatting>
  <conditionalFormatting sqref="C23:C811">
    <cfRule type="cellIs" priority="2" dxfId="1" operator="greaterThan" stopIfTrue="1">
      <formula>40</formula>
    </cfRule>
  </conditionalFormatting>
  <conditionalFormatting sqref="B23:B811">
    <cfRule type="cellIs" priority="1" dxfId="0" operator="greaterThan" stopIfTrue="1">
      <formula>0</formula>
    </cfRule>
  </conditionalFormatting>
  <pageMargins left="0.75" right="0.75" top="1" bottom="1" header="0.5" footer="0.5"/>
  <pageSetup horizontalDpi="300" verticalDpi="300" orientation="portrait" paperSize="9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M99"/>
  <sheetViews>
    <sheetView showGridLines="0" workbookViewId="0" topLeftCell="A1">
      <selection pane="topLeft" activeCell="C1" sqref="C1"/>
    </sheetView>
  </sheetViews>
  <sheetFormatPr defaultRowHeight="13.5"/>
  <cols>
    <col min="1" max="1" width="5.71428571428571" customWidth="1"/>
    <col min="2" max="2" width="26.7142857142857" customWidth="1"/>
    <col min="3" max="3" width="24.7142857142857" customWidth="1"/>
    <col min="4" max="10" width="15" customWidth="1"/>
    <col min="11" max="11" width="0.285714285714286" customWidth="1"/>
    <col min="12" max="13" width="12.2857142857143" customWidth="1"/>
  </cols>
  <sheetData>
    <row r="1" spans="1:13" ht="36.75" customHeight="1">
      <c r="A1" s="114"/>
      <c r="B1" s="115"/>
      <c r="C1" s="37"/>
      <c r="D1" s="37"/>
      <c r="E1" s="37"/>
      <c r="F1" s="37"/>
      <c r="G1" s="38"/>
      <c r="H1" s="38"/>
      <c r="I1" s="38"/>
      <c r="J1" s="38"/>
      <c r="K1" s="38"/>
      <c r="L1" s="38"/>
      <c r="M1" s="38"/>
    </row>
    <row r="2" spans="1:13" ht="29.1" customHeight="1">
      <c r="A2" s="37"/>
      <c r="B2" s="40"/>
      <c r="C2" s="37"/>
      <c r="D2" s="37"/>
      <c r="E2" s="37"/>
      <c r="F2" s="37"/>
      <c r="G2" s="38"/>
      <c r="H2" s="38"/>
      <c r="I2" s="38"/>
      <c r="J2" s="38"/>
      <c r="K2" s="38"/>
      <c r="L2" s="38"/>
      <c r="M2" s="38"/>
    </row>
    <row r="3" spans="1:13" ht="23.1" customHeight="1">
      <c r="A3" s="41"/>
      <c r="B3" s="116" t="str">
        <f>Calculation2!$Z$23</f>
        <v>I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3" ht="5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24.9" customHeight="1">
      <c r="A5" s="118" t="s">
        <v>39</v>
      </c>
      <c r="B5" s="119"/>
      <c r="C5" s="120" t="str">
        <f>Calculation2!$P$23</f>
        <v>C</v>
      </c>
      <c r="D5" s="121"/>
      <c r="E5" s="121"/>
      <c r="F5" s="42" t="s">
        <v>29</v>
      </c>
      <c r="G5" s="121" t="str">
        <f>Calculation2!$N$23</f>
        <v>A</v>
      </c>
      <c r="H5" s="122"/>
      <c r="I5" s="42" t="s">
        <v>89</v>
      </c>
      <c r="J5" s="120" t="str">
        <f>Calculation2!$R$23</f>
        <v>Singapore (SG)</v>
      </c>
      <c r="K5" s="122"/>
      <c r="L5" s="122"/>
      <c r="M5" s="122"/>
    </row>
    <row r="6" spans="1:13" ht="24.9" customHeight="1">
      <c r="A6" s="118" t="s">
        <v>111</v>
      </c>
      <c r="B6" s="119"/>
      <c r="C6" s="121" t="str">
        <f>Calculation2!$O$23</f>
        <v>B</v>
      </c>
      <c r="D6" s="121"/>
      <c r="E6" s="121"/>
      <c r="F6" s="42" t="s">
        <v>41</v>
      </c>
      <c r="G6" s="121" t="str">
        <f>IF(Calculation2!$W$23=Calculation2!$X$23,CONCATENATE(Calculation2!$W$23),CONCATENATE(Calculation2!$W$23," TO ",Calculation2!$X$23))</f>
        <v>G</v>
      </c>
      <c r="H6" s="122"/>
      <c r="I6" s="42" t="s">
        <v>42</v>
      </c>
      <c r="J6" s="123" t="str">
        <f>Calculation2!$Q$23</f>
        <v>D</v>
      </c>
      <c r="K6" s="124"/>
      <c r="L6" s="124"/>
      <c r="M6" s="125"/>
    </row>
    <row r="7" spans="1:13" ht="23.1" customHeight="1">
      <c r="A7" s="118" t="s">
        <v>40</v>
      </c>
      <c r="B7" s="119"/>
      <c r="C7" s="121" t="str">
        <f>IF(AND(Calculation2!$U$23&lt;&gt;"",Calculation2!$V$23&lt;&gt;""),IF(Calculation2!$U$23&lt;&gt;Calculation2!$V$23,CONCATENATE(Calculation2!$U$23," TO ",Calculation2!$V$23),Calculation2!$U$23),"")</f>
        <v>F</v>
      </c>
      <c r="D7" s="121"/>
      <c r="E7" s="121"/>
      <c r="F7" s="43"/>
      <c r="G7" s="44"/>
      <c r="H7" s="43"/>
      <c r="I7" s="43"/>
      <c r="J7" s="44"/>
      <c r="K7" s="43"/>
      <c r="L7" s="43"/>
      <c r="M7" s="43"/>
    </row>
    <row r="8" spans="1:13" ht="5.1" customHeight="1">
      <c r="A8" s="45"/>
      <c r="B8" s="46"/>
      <c r="C8" s="43"/>
      <c r="D8" s="44"/>
      <c r="E8" s="47"/>
      <c r="F8" s="47"/>
      <c r="G8" s="47"/>
      <c r="H8" s="47"/>
      <c r="I8" s="44"/>
      <c r="J8" s="43"/>
      <c r="K8" s="43"/>
      <c r="L8" s="43"/>
      <c r="M8" s="43"/>
    </row>
    <row r="9" spans="1:13" ht="24.9" customHeight="1">
      <c r="A9" s="118" t="s">
        <v>32</v>
      </c>
      <c r="B9" s="119"/>
      <c r="C9" s="121" t="str">
        <f>Calculation2!$T$23</f>
        <v>E</v>
      </c>
      <c r="D9" s="121"/>
      <c r="E9" s="122"/>
      <c r="F9" s="42" t="s">
        <v>43</v>
      </c>
      <c r="G9" s="126" t="str">
        <f>TRIM(Calculation2!$AB$23)</f>
        <v>1-Jul-12</v>
      </c>
      <c r="H9" s="122"/>
      <c r="I9" s="42" t="s">
        <v>44</v>
      </c>
      <c r="J9" s="121" t="str">
        <f>Calculation2!$AC$23</f>
        <v>Singapore Dollars (SGD)</v>
      </c>
      <c r="K9" s="122"/>
      <c r="L9" s="122"/>
      <c r="M9" s="122"/>
    </row>
    <row r="10" spans="1:13" ht="23.1" customHeight="1">
      <c r="A10" s="118" t="s">
        <v>45</v>
      </c>
      <c r="B10" s="119"/>
      <c r="C10" s="104">
        <f>Calculation2!$E$22</f>
        <v>6</v>
      </c>
      <c r="D10" s="48" t="s">
        <v>38</v>
      </c>
      <c r="E10" s="72">
        <f>Calculation2!$C$22</f>
        <v>6</v>
      </c>
      <c r="F10" s="39"/>
      <c r="G10" s="39"/>
      <c r="H10" s="39"/>
      <c r="I10" s="39"/>
      <c r="J10" s="39"/>
      <c r="K10" s="39"/>
      <c r="L10" s="39"/>
      <c r="M10" s="39"/>
    </row>
    <row r="11" spans="1:13" ht="5.1" customHeight="1">
      <c r="A11" s="49"/>
      <c r="B11" s="50"/>
      <c r="C11" s="51"/>
      <c r="D11" s="49"/>
      <c r="E11" s="49"/>
      <c r="F11" s="50"/>
      <c r="G11" s="51"/>
      <c r="H11" s="51"/>
      <c r="I11" s="51"/>
      <c r="J11" s="51"/>
      <c r="K11" s="49"/>
      <c r="L11" s="49"/>
      <c r="M11" s="49"/>
    </row>
    <row r="12" spans="1:13" ht="15.9" customHeight="1">
      <c r="A12" s="45"/>
      <c r="B12" s="45"/>
      <c r="C12" s="45"/>
      <c r="D12" s="127" t="s">
        <v>46</v>
      </c>
      <c r="E12" s="128"/>
      <c r="F12" s="128"/>
      <c r="G12" s="128"/>
      <c r="H12" s="128"/>
      <c r="I12" s="128"/>
      <c r="J12" s="129"/>
      <c r="K12" s="63"/>
      <c r="L12" s="130" t="s">
        <v>10</v>
      </c>
      <c r="M12" s="127"/>
    </row>
    <row r="13" spans="1:13" ht="15.9" customHeight="1">
      <c r="A13" s="45"/>
      <c r="B13" s="45"/>
      <c r="C13" s="45"/>
      <c r="D13" s="52" t="str">
        <f>Calculation2!$A$5</f>
        <v>P10</v>
      </c>
      <c r="E13" s="52" t="str">
        <f>Calculation2!$A$6</f>
        <v>P25</v>
      </c>
      <c r="F13" s="52" t="str">
        <f>Calculation2!$A$7</f>
        <v>P50</v>
      </c>
      <c r="G13" s="52" t="str">
        <f>Calculation2!$A$8</f>
        <v>P60</v>
      </c>
      <c r="H13" s="52" t="str">
        <f>Calculation2!$A$9</f>
        <v>P75</v>
      </c>
      <c r="I13" s="52" t="str">
        <f>Calculation2!$A$10</f>
        <v>P90</v>
      </c>
      <c r="J13" s="99" t="str">
        <f>Calculation2!$A$11</f>
        <v>Mean</v>
      </c>
      <c r="K13" s="100"/>
      <c r="L13" s="101" t="s">
        <v>47</v>
      </c>
      <c r="M13" s="52" t="s">
        <v>48</v>
      </c>
    </row>
    <row r="14" spans="1:13" ht="5.1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18" customHeight="1">
      <c r="A15" s="131" t="str">
        <f>Calculation2!C$4</f>
        <v>Monthly Basic Salary (Gross before tax)</v>
      </c>
      <c r="B15" s="132"/>
      <c r="C15" s="132"/>
      <c r="D15" s="53">
        <f>IF(Calculation2!$C$14="","",Calculation2!$C$14)</f>
        <v>72965.50</v>
      </c>
      <c r="E15" s="53">
        <f>IF(Calculation2!$C$15="","",Calculation2!$C$15)</f>
        <v>79532.961249999978</v>
      </c>
      <c r="F15" s="53">
        <f>IF(Calculation2!$C$16="","",Calculation2!$C$16)</f>
        <v>89015.922499999971</v>
      </c>
      <c r="G15" s="53">
        <f>IF(Calculation2!$C$17="","",Calculation2!$C$17)</f>
        <v>90000</v>
      </c>
      <c r="H15" s="53">
        <f>IF(Calculation2!$C$18="","",Calculation2!$C$18)</f>
        <v>95153.625000000087</v>
      </c>
      <c r="I15" s="53">
        <f>IF(Calculation2!$C$19="","",Calculation2!$C$19)</f>
        <v>111785.75</v>
      </c>
      <c r="J15" s="95">
        <f>IF(Calculation2!$C$20="","",Calculation2!$C$20)</f>
        <v>91255.724166666667</v>
      </c>
      <c r="K15" s="93"/>
      <c r="L15" s="96">
        <f>IF(Calculation2!$C$12&gt;$E$10,$E$10,Calculation2!$C$12)</f>
        <v>6</v>
      </c>
      <c r="M15" s="56">
        <f>IF($L15&gt;0,$L15/$E$10*100,"")</f>
        <v>100</v>
      </c>
    </row>
    <row r="16" spans="1:13" ht="18" customHeight="1">
      <c r="A16" s="133" t="str">
        <f>Calculation2!D$4</f>
        <v>No. of Months Guaranteed per year</v>
      </c>
      <c r="B16" s="134"/>
      <c r="C16" s="134"/>
      <c r="D16" s="57">
        <f>IF(Calculation2!$D$14="","",Calculation2!$D$14)</f>
        <v>12</v>
      </c>
      <c r="E16" s="57">
        <f>IF(Calculation2!$D$15="","",Calculation2!$D$15)</f>
        <v>12.25</v>
      </c>
      <c r="F16" s="57">
        <f>IF(Calculation2!$D$16="","",Calculation2!$D$16)</f>
        <v>13</v>
      </c>
      <c r="G16" s="57">
        <f>IF(Calculation2!$D$17="","",Calculation2!$D$17)</f>
        <v>13</v>
      </c>
      <c r="H16" s="57">
        <f>IF(Calculation2!$D$18="","",Calculation2!$D$18)</f>
        <v>13</v>
      </c>
      <c r="I16" s="57">
        <f>IF(Calculation2!$D$19="","",Calculation2!$D$19)</f>
        <v>13</v>
      </c>
      <c r="J16" s="98">
        <f>IF(Calculation2!$D$20="","",Calculation2!$D$20)</f>
        <v>12.66666666666668</v>
      </c>
      <c r="K16" s="93"/>
      <c r="L16" s="96">
        <f>IF(Calculation2!$D$12&gt;$E$10,$E$10,Calculation2!$D$12)</f>
        <v>6</v>
      </c>
      <c r="M16" s="56">
        <f>IF($L16&gt;0,$L16/$E$10*100,"")</f>
        <v>100</v>
      </c>
    </row>
    <row r="17" spans="1:13" ht="18" customHeight="1">
      <c r="A17" s="58" t="s">
        <v>49</v>
      </c>
      <c r="B17" s="110" t="str">
        <f>Calculation2!E$4</f>
        <v>Basic Salary</v>
      </c>
      <c r="C17" s="111"/>
      <c r="D17" s="59">
        <f>IF(Calculation2!$E$14="","",Calculation2!$E$14)</f>
        <v>948551.50</v>
      </c>
      <c r="E17" s="59">
        <f>IF(Calculation2!$E$15="","",Calculation2!$E$15)</f>
        <v>1011920.535</v>
      </c>
      <c r="F17" s="59">
        <f>IF(Calculation2!$E$16="","",Calculation2!$E$16)</f>
        <v>1109420.07</v>
      </c>
      <c r="G17" s="59">
        <f>IF(Calculation2!$E$17="","",Calculation2!$E$17)</f>
        <v>1162458</v>
      </c>
      <c r="H17" s="59">
        <f>IF(Calculation2!$E$18="","",Calculation2!$E$18)</f>
        <v>1168114.50</v>
      </c>
      <c r="I17" s="59">
        <f>IF(Calculation2!$E$19="","",Calculation2!$E$19)</f>
        <v>1408550</v>
      </c>
      <c r="J17" s="59">
        <f>IF(Calculation2!$E$20="","",Calculation2!$E$20)</f>
        <v>1155507.1900000011</v>
      </c>
      <c r="K17" s="60"/>
      <c r="L17" s="61">
        <f>IF(Calculation2!$E$12&gt;$E$10,$E$10,Calculation2!$E$12)</f>
        <v>6</v>
      </c>
      <c r="M17" s="62">
        <f>IF($L17&gt;0,$L17/$E$10*100,"")</f>
        <v>100</v>
      </c>
    </row>
    <row r="18" spans="1:13" ht="18" customHeight="1">
      <c r="A18" s="131" t="str">
        <f>Calculation2!F$4</f>
        <v>Fixed Cash Allowances</v>
      </c>
      <c r="B18" s="132"/>
      <c r="C18" s="132"/>
      <c r="D18" s="53" t="str">
        <f>IF(Calculation2!$F$14="","",Calculation2!$F$14)</f>
        <v/>
      </c>
      <c r="E18" s="53" t="str">
        <f>IF(Calculation2!$F$15="","",Calculation2!$F$15)</f>
        <v/>
      </c>
      <c r="F18" s="53">
        <f>IF(Calculation2!$F$16="","",Calculation2!$F$16)</f>
        <v>89280</v>
      </c>
      <c r="G18" s="53" t="str">
        <f>IF(Calculation2!$F$17="","",Calculation2!$F$17)</f>
        <v/>
      </c>
      <c r="H18" s="53" t="str">
        <f>IF(Calculation2!$F$18="","",Calculation2!$F$18)</f>
        <v/>
      </c>
      <c r="I18" s="53" t="str">
        <f>IF(Calculation2!$F$19="","",Calculation2!$F$19)</f>
        <v/>
      </c>
      <c r="J18" s="95">
        <f>IF(Calculation2!$F$20="","",Calculation2!$F$20)</f>
        <v>91260</v>
      </c>
      <c r="K18" s="93"/>
      <c r="L18" s="96">
        <f>IF(Calculation2!$F$12&gt;$E$10,$E$10,Calculation2!$F$12)</f>
        <v>4</v>
      </c>
      <c r="M18" s="56">
        <f>IF($L18&gt;0,$L18/$E$10*100,"")</f>
        <v>66.666666666666657</v>
      </c>
    </row>
    <row r="19" spans="1:13" ht="18" customHeight="1">
      <c r="A19" s="58" t="s">
        <v>50</v>
      </c>
      <c r="B19" s="110" t="str">
        <f>Calculation2!G$4</f>
        <v>Fixed Cash</v>
      </c>
      <c r="C19" s="111"/>
      <c r="D19" s="59">
        <f>IF(Calculation2!$G$14="","",Calculation2!$G$14)</f>
        <v>948551.50</v>
      </c>
      <c r="E19" s="59">
        <f>IF(Calculation2!$G$15="","",Calculation2!$G$15)</f>
        <v>1032620.535</v>
      </c>
      <c r="F19" s="59">
        <f>IF(Calculation2!$G$16="","",Calculation2!$G$16)</f>
        <v>1199231.07</v>
      </c>
      <c r="G19" s="59">
        <f>IF(Calculation2!$G$17="","",Calculation2!$G$17)</f>
        <v>1259280</v>
      </c>
      <c r="H19" s="59">
        <f>IF(Calculation2!$G$18="","",Calculation2!$G$18)</f>
        <v>1264423.50</v>
      </c>
      <c r="I19" s="59">
        <f>IF(Calculation2!$G$19="","",Calculation2!$G$19)</f>
        <v>1501259</v>
      </c>
      <c r="J19" s="59">
        <f>IF(Calculation2!$G$20="","",Calculation2!$G$20)</f>
        <v>1216347.1900000011</v>
      </c>
      <c r="K19" s="60"/>
      <c r="L19" s="61">
        <f>IF(Calculation2!$G$12&gt;$E$10,$E$10,Calculation2!$G$12)</f>
        <v>6</v>
      </c>
      <c r="M19" s="62">
        <f>IF($L19&gt;0,$L19/$E$10*100,"")</f>
        <v>100</v>
      </c>
    </row>
    <row r="20" spans="1:13" ht="5.1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5.9" customHeight="1">
      <c r="A21" s="129"/>
      <c r="B21" s="135"/>
      <c r="C21" s="135"/>
      <c r="D21" s="127" t="s">
        <v>51</v>
      </c>
      <c r="E21" s="128"/>
      <c r="F21" s="128"/>
      <c r="G21" s="128"/>
      <c r="H21" s="128"/>
      <c r="I21" s="128"/>
      <c r="J21" s="129"/>
      <c r="K21" s="63"/>
      <c r="L21" s="130"/>
      <c r="M21" s="127"/>
    </row>
    <row r="22" spans="1:13" ht="18" customHeight="1">
      <c r="A22" s="131" t="str">
        <f>Calculation2!H$4</f>
        <v>Actual Sales Incentive</v>
      </c>
      <c r="B22" s="132"/>
      <c r="C22" s="132"/>
      <c r="D22" s="53" t="str">
        <f>IF(Calculation2!$H$14="","",Calculation2!$H$14)</f>
        <v/>
      </c>
      <c r="E22" s="53" t="str">
        <f>IF(Calculation2!$H$15="","",Calculation2!$H$15)</f>
        <v/>
      </c>
      <c r="F22" s="53" t="str">
        <f>IF(Calculation2!$H$16="","",Calculation2!$H$16)</f>
        <v/>
      </c>
      <c r="G22" s="53" t="str">
        <f>IF(Calculation2!$H$17="","",Calculation2!$H$17)</f>
        <v/>
      </c>
      <c r="H22" s="53" t="str">
        <f>IF(Calculation2!$H$18="","",Calculation2!$H$18)</f>
        <v/>
      </c>
      <c r="I22" s="53" t="str">
        <f>IF(Calculation2!$H$19="","",Calculation2!$H$19)</f>
        <v/>
      </c>
      <c r="J22" s="95" t="str">
        <f>IF(Calculation2!$H$20="","",Calculation2!$H$20)</f>
        <v/>
      </c>
      <c r="K22" s="93"/>
      <c r="L22" s="96">
        <f>IF(Calculation2!$H$12&gt;$E$10,$E$10,Calculation2!$H$12)</f>
        <v>0</v>
      </c>
      <c r="M22" s="56" t="str">
        <f t="shared" si="0" ref="M22:M31">IF($L22&gt;0,$L22/$E$10*100,"")</f>
        <v/>
      </c>
    </row>
    <row r="23" spans="1:13" ht="18" customHeight="1">
      <c r="A23" s="108" t="str">
        <f>Calculation2!I$4</f>
        <v>- As % of Basic Salary</v>
      </c>
      <c r="B23" s="109"/>
      <c r="C23" s="109"/>
      <c r="D23" s="64" t="str">
        <f>IF(Calculation2!$I$14="","",Calculation2!$I$14)</f>
        <v/>
      </c>
      <c r="E23" s="64" t="str">
        <f>IF(Calculation2!$I$15="","",Calculation2!$I$15)</f>
        <v/>
      </c>
      <c r="F23" s="64" t="str">
        <f>IF(Calculation2!$I$16="","",Calculation2!$I$16)</f>
        <v/>
      </c>
      <c r="G23" s="64" t="str">
        <f>IF(Calculation2!$I$17="","",Calculation2!$I$17)</f>
        <v/>
      </c>
      <c r="H23" s="64" t="str">
        <f>IF(Calculation2!$I$18="","",Calculation2!$I$18)</f>
        <v/>
      </c>
      <c r="I23" s="64" t="str">
        <f>IF(Calculation2!$I$19="","",Calculation2!$I$19)</f>
        <v/>
      </c>
      <c r="J23" s="97" t="str">
        <f>IF(Calculation2!$I$20="","",Calculation2!$I$20)</f>
        <v/>
      </c>
      <c r="K23" s="93"/>
      <c r="L23" s="96">
        <f>IF(Calculation2!$I$12&gt;$E$10,$E$10,Calculation2!$I$12)</f>
        <v>0</v>
      </c>
      <c r="M23" s="56" t="str">
        <f t="shared" si="0"/>
        <v/>
      </c>
    </row>
    <row r="24" spans="1:13" ht="18" customHeight="1">
      <c r="A24" s="131" t="str">
        <f>Calculation2!J$4</f>
        <v>Actual Performance Bonus</v>
      </c>
      <c r="B24" s="132"/>
      <c r="C24" s="132"/>
      <c r="D24" s="53">
        <f>IF(Calculation2!$J$14="","",Calculation2!$J$14)</f>
        <v>655019</v>
      </c>
      <c r="E24" s="53">
        <f>IF(Calculation2!$J$15="","",Calculation2!$J$15)</f>
        <v>970090.49625000043</v>
      </c>
      <c r="F24" s="53">
        <f>IF(Calculation2!$J$16="","",Calculation2!$J$16)</f>
        <v>1196312.3425000017</v>
      </c>
      <c r="G24" s="53">
        <f>IF(Calculation2!$J$17="","",Calculation2!$J$17)</f>
        <v>1212262.70</v>
      </c>
      <c r="H24" s="53">
        <f>IF(Calculation2!$J$18="","",Calculation2!$J$18)</f>
        <v>1990565.675</v>
      </c>
      <c r="I24" s="53">
        <f>IF(Calculation2!$J$19="","",Calculation2!$J$19)</f>
        <v>2725000</v>
      </c>
      <c r="J24" s="95">
        <f>IF(Calculation2!$J$20="","",Calculation2!$J$20)</f>
        <v>1525443.7808333335</v>
      </c>
      <c r="K24" s="93"/>
      <c r="L24" s="96">
        <f>IF(Calculation2!$J$12&gt;$E$10,$E$10,Calculation2!$J$12)</f>
        <v>6</v>
      </c>
      <c r="M24" s="56">
        <f t="shared" si="0"/>
        <v>100</v>
      </c>
    </row>
    <row r="25" spans="1:13" ht="18" customHeight="1">
      <c r="A25" s="108" t="str">
        <f>Calculation2!K$4</f>
        <v>- As % of Basic Salary</v>
      </c>
      <c r="B25" s="109"/>
      <c r="C25" s="109"/>
      <c r="D25" s="64">
        <f>IF(Calculation2!$K$14="","",Calculation2!$K$14)</f>
        <v>0.70561361766343089</v>
      </c>
      <c r="E25" s="64">
        <f>IF(Calculation2!$K$15="","",Calculation2!$K$15)</f>
        <v>1.010708575161156</v>
      </c>
      <c r="F25" s="64">
        <f>IF(Calculation2!$K$16="","",Calculation2!$K$16)</f>
        <v>1.0801034931197147</v>
      </c>
      <c r="G25" s="64">
        <f>IF(Calculation2!$K$17="","",Calculation2!$K$17)</f>
        <v>1.1173626856281378</v>
      </c>
      <c r="H25" s="64">
        <f>IF(Calculation2!$K$18="","",Calculation2!$K$18)</f>
        <v>1.7216483637147268</v>
      </c>
      <c r="I25" s="64">
        <f>IF(Calculation2!$K$19="","",Calculation2!$K$19)</f>
        <v>1.9329427478598735</v>
      </c>
      <c r="J25" s="97">
        <f>IF(Calculation2!$K$20="","",Calculation2!$K$20)</f>
        <v>1.2395532862143384</v>
      </c>
      <c r="K25" s="93"/>
      <c r="L25" s="96">
        <f>IF(Calculation2!$K$12&gt;$E$10,$E$10,Calculation2!$K$12)</f>
        <v>6</v>
      </c>
      <c r="M25" s="56">
        <f t="shared" si="0"/>
        <v>100</v>
      </c>
    </row>
    <row r="26" spans="1:13" ht="18" customHeight="1">
      <c r="A26" s="131" t="str">
        <f>Calculation2!L$4</f>
        <v>Actual Other Short-Term Incentives</v>
      </c>
      <c r="B26" s="132"/>
      <c r="C26" s="132"/>
      <c r="D26" s="53" t="str">
        <f>IF(Calculation2!$L$14="","",Calculation2!$L$14)</f>
        <v/>
      </c>
      <c r="E26" s="53" t="str">
        <f>IF(Calculation2!$L$15="","",Calculation2!$L$15)</f>
        <v/>
      </c>
      <c r="F26" s="53">
        <f>IF(Calculation2!$L$16="","",Calculation2!$L$16)</f>
        <v>401206</v>
      </c>
      <c r="G26" s="53" t="str">
        <f>IF(Calculation2!$L$17="","",Calculation2!$L$17)</f>
        <v/>
      </c>
      <c r="H26" s="53" t="str">
        <f>IF(Calculation2!$L$18="","",Calculation2!$L$18)</f>
        <v/>
      </c>
      <c r="I26" s="53" t="str">
        <f>IF(Calculation2!$L$19="","",Calculation2!$L$19)</f>
        <v/>
      </c>
      <c r="J26" s="95">
        <f>IF(Calculation2!$L$20="","",Calculation2!$L$20)</f>
        <v>401206</v>
      </c>
      <c r="K26" s="93"/>
      <c r="L26" s="96">
        <f>IF(Calculation2!$L$12&gt;$E$10,$E$10,Calculation2!$L$12)</f>
        <v>1</v>
      </c>
      <c r="M26" s="56">
        <f t="shared" si="0"/>
        <v>16.666666666666664</v>
      </c>
    </row>
    <row r="27" spans="1:13" ht="18" customHeight="1">
      <c r="A27" s="108" t="str">
        <f>Calculation2!M$4</f>
        <v>- As % of Basic Salary</v>
      </c>
      <c r="B27" s="109"/>
      <c r="C27" s="109"/>
      <c r="D27" s="64" t="str">
        <f>IF(Calculation2!$M$14="","",Calculation2!$M$14)</f>
        <v/>
      </c>
      <c r="E27" s="64" t="str">
        <f>IF(Calculation2!$M$15="","",Calculation2!$M$15)</f>
        <v/>
      </c>
      <c r="F27" s="64">
        <f>IF(Calculation2!$M$16="","",Calculation2!$M$16)</f>
        <v>0.40237288135593308</v>
      </c>
      <c r="G27" s="64" t="str">
        <f>IF(Calculation2!$M$17="","",Calculation2!$M$17)</f>
        <v/>
      </c>
      <c r="H27" s="64" t="str">
        <f>IF(Calculation2!$M$18="","",Calculation2!$M$18)</f>
        <v/>
      </c>
      <c r="I27" s="64" t="str">
        <f>IF(Calculation2!$M$19="","",Calculation2!$M$19)</f>
        <v/>
      </c>
      <c r="J27" s="97">
        <f>IF(Calculation2!$M$20="","",Calculation2!$M$20)</f>
        <v>0.40237288135593308</v>
      </c>
      <c r="K27" s="93"/>
      <c r="L27" s="96">
        <f>IF(Calculation2!$M$12&gt;$E$10,$E$10,Calculation2!$M$12)</f>
        <v>1</v>
      </c>
      <c r="M27" s="56">
        <f t="shared" si="0"/>
        <v>16.666666666666664</v>
      </c>
    </row>
    <row r="28" spans="1:13" ht="18" customHeight="1">
      <c r="A28" s="106" t="str">
        <f>Calculation2!N$4</f>
        <v>Actual Total Short-Term Variable Cash</v>
      </c>
      <c r="B28" s="107"/>
      <c r="C28" s="107"/>
      <c r="D28" s="53">
        <f>IF(Calculation2!$N$14="","",Calculation2!$N$14)</f>
        <v>855622</v>
      </c>
      <c r="E28" s="53">
        <f>IF(Calculation2!$N$15="","",Calculation2!$N$15)</f>
        <v>970090.49625000043</v>
      </c>
      <c r="F28" s="53">
        <f>IF(Calculation2!$N$16="","",Calculation2!$N$16)</f>
        <v>1196312.3425000017</v>
      </c>
      <c r="G28" s="53">
        <f>IF(Calculation2!$N$17="","",Calculation2!$N$17)</f>
        <v>1212262.70</v>
      </c>
      <c r="H28" s="53">
        <f>IF(Calculation2!$N$18="","",Calculation2!$N$18)</f>
        <v>1990565.675</v>
      </c>
      <c r="I28" s="53">
        <f>IF(Calculation2!$N$19="","",Calculation2!$N$19)</f>
        <v>2725000</v>
      </c>
      <c r="J28" s="95">
        <f>IF(Calculation2!$N$20="","",Calculation2!$N$20)</f>
        <v>1592311.4475</v>
      </c>
      <c r="K28" s="93"/>
      <c r="L28" s="96">
        <f>IF(Calculation2!$N$12&gt;$E$10,$E$10,Calculation2!$N$12)</f>
        <v>6</v>
      </c>
      <c r="M28" s="56">
        <f t="shared" si="0"/>
        <v>100</v>
      </c>
    </row>
    <row r="29" spans="1:13" ht="18" customHeight="1">
      <c r="A29" s="108" t="str">
        <f>Calculation2!O$4</f>
        <v>- As % of Basic Salary</v>
      </c>
      <c r="B29" s="109"/>
      <c r="C29" s="109"/>
      <c r="D29" s="64">
        <f>IF(Calculation2!$O$14="","",Calculation2!$O$14)</f>
        <v>0.90680005834139665</v>
      </c>
      <c r="E29" s="64">
        <f>IF(Calculation2!$O$15="","",Calculation2!$O$15)</f>
        <v>1.010708575161156</v>
      </c>
      <c r="F29" s="64">
        <f>IF(Calculation2!$O$16="","",Calculation2!$O$16)</f>
        <v>1.0801034931197147</v>
      </c>
      <c r="G29" s="64">
        <f>IF(Calculation2!$O$17="","",Calculation2!$O$17)</f>
        <v>1.1173626856281378</v>
      </c>
      <c r="H29" s="64">
        <f>IF(Calculation2!$O$18="","",Calculation2!$O$18)</f>
        <v>1.7216483637147268</v>
      </c>
      <c r="I29" s="64">
        <f>IF(Calculation2!$O$19="","",Calculation2!$O$19)</f>
        <v>1.9329427478598735</v>
      </c>
      <c r="J29" s="97">
        <f>IF(Calculation2!$O$20="","",Calculation2!$O$20)</f>
        <v>1.3066154331069961</v>
      </c>
      <c r="K29" s="93"/>
      <c r="L29" s="96">
        <f>IF(Calculation2!$O$12&gt;$E$10,$E$10,Calculation2!$O$12)</f>
        <v>6</v>
      </c>
      <c r="M29" s="56">
        <f t="shared" si="0"/>
        <v>100</v>
      </c>
    </row>
    <row r="30" spans="1:13" ht="18" customHeight="1">
      <c r="A30" s="58" t="s">
        <v>52</v>
      </c>
      <c r="B30" s="110" t="str">
        <f>Calculation2!P$4</f>
        <v>Actual Total Cash</v>
      </c>
      <c r="C30" s="111"/>
      <c r="D30" s="59">
        <f>IF(Calculation2!$P$14="","",Calculation2!$P$14)</f>
        <v>1804173.50</v>
      </c>
      <c r="E30" s="59">
        <f>IF(Calculation2!$P$15="","",Calculation2!$P$15)</f>
        <v>1936144.0312499998</v>
      </c>
      <c r="F30" s="59">
        <f>IF(Calculation2!$P$16="","",Calculation2!$P$16)</f>
        <v>2398972.4124999959</v>
      </c>
      <c r="G30" s="59">
        <f>IF(Calculation2!$P$17="","",Calculation2!$P$17)</f>
        <v>2478400.7000000002</v>
      </c>
      <c r="H30" s="59">
        <f>IF(Calculation2!$P$18="","",Calculation2!$P$18)</f>
        <v>3251560.1749999998</v>
      </c>
      <c r="I30" s="59">
        <f>IF(Calculation2!$P$19="","",Calculation2!$P$19)</f>
        <v>4222830</v>
      </c>
      <c r="J30" s="59">
        <f>IF(Calculation2!$P$20="","",Calculation2!$P$20)</f>
        <v>2808658.6374999997</v>
      </c>
      <c r="K30" s="60"/>
      <c r="L30" s="61">
        <f>IF(Calculation2!$P$12&gt;$E$10,$E$10,Calculation2!$P$12)</f>
        <v>6</v>
      </c>
      <c r="M30" s="62">
        <f t="shared" si="0"/>
        <v>100</v>
      </c>
    </row>
    <row r="31" spans="1:13" ht="18" customHeight="1">
      <c r="A31" s="106" t="str">
        <f>Calculation2!Q$4</f>
        <v>C1 + Actual Total Short-Term Variable Cash</v>
      </c>
      <c r="B31" s="107"/>
      <c r="C31" s="107"/>
      <c r="D31" s="53">
        <f>IF(Calculation2!$Q$14="","",Calculation2!$Q$14)</f>
        <v>1804173.50</v>
      </c>
      <c r="E31" s="53">
        <f>IF(Calculation2!$Q$15="","",Calculation2!$Q$15)</f>
        <v>1915444.0312499998</v>
      </c>
      <c r="F31" s="53">
        <f>IF(Calculation2!$Q$16="","",Calculation2!$Q$16)</f>
        <v>2305732.4124999959</v>
      </c>
      <c r="G31" s="53">
        <f>IF(Calculation2!$Q$17="","",Calculation2!$Q$17)</f>
        <v>2374720.7000000002</v>
      </c>
      <c r="H31" s="53">
        <f>IF(Calculation2!$Q$18="","",Calculation2!$Q$18)</f>
        <v>3158680.1749999998</v>
      </c>
      <c r="I31" s="53">
        <f>IF(Calculation2!$Q$19="","",Calculation2!$Q$19)</f>
        <v>4133550</v>
      </c>
      <c r="J31" s="54">
        <f>IF(Calculation2!$Q$20="","",Calculation2!$Q$20)</f>
        <v>2747818.6374999997</v>
      </c>
      <c r="K31" s="65"/>
      <c r="L31" s="55">
        <f>IF(Calculation2!$Q$12&gt;$E$10,$E$10,Calculation2!$Q$12)</f>
        <v>6</v>
      </c>
      <c r="M31" s="56">
        <f t="shared" si="0"/>
        <v>100</v>
      </c>
    </row>
    <row r="32" spans="1:13" ht="5.1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8" customHeight="1">
      <c r="A33" s="131" t="str">
        <f>Calculation2!R$4</f>
        <v>Target Sales Incentive</v>
      </c>
      <c r="B33" s="132"/>
      <c r="C33" s="132"/>
      <c r="D33" s="53" t="str">
        <f>IF(Calculation2!$R$14="","",Calculation2!$R$14)</f>
        <v/>
      </c>
      <c r="E33" s="53" t="str">
        <f>IF(Calculation2!$R$15="","",Calculation2!$R$15)</f>
        <v/>
      </c>
      <c r="F33" s="53" t="str">
        <f>IF(Calculation2!$R$16="","",Calculation2!$R$16)</f>
        <v/>
      </c>
      <c r="G33" s="53" t="str">
        <f>IF(Calculation2!$R$17="","",Calculation2!$R$17)</f>
        <v/>
      </c>
      <c r="H33" s="53" t="str">
        <f>IF(Calculation2!$R$18="","",Calculation2!$R$18)</f>
        <v/>
      </c>
      <c r="I33" s="53" t="str">
        <f>IF(Calculation2!$R$19="","",Calculation2!$R$19)</f>
        <v/>
      </c>
      <c r="J33" s="102" t="str">
        <f>IF(Calculation2!$R$20="","",Calculation2!$R$20)</f>
        <v/>
      </c>
      <c r="K33" s="93"/>
      <c r="L33" s="96">
        <f>IF(Calculation2!$R$12&gt;$E$10,$E$10,Calculation2!$R$12)</f>
        <v>0</v>
      </c>
      <c r="M33" s="56" t="str">
        <f t="shared" si="1" ref="M33:M42">IF($L33&gt;0,$L33/$E$10*100,"")</f>
        <v/>
      </c>
    </row>
    <row r="34" spans="1:13" ht="18" customHeight="1">
      <c r="A34" s="108" t="str">
        <f>Calculation2!S$4</f>
        <v>- As % of Basic Salary</v>
      </c>
      <c r="B34" s="109"/>
      <c r="C34" s="109"/>
      <c r="D34" s="64" t="str">
        <f>IF(Calculation2!$S$14="","",Calculation2!$S$14)</f>
        <v/>
      </c>
      <c r="E34" s="64" t="str">
        <f>IF(Calculation2!$S$15="","",Calculation2!$S$15)</f>
        <v/>
      </c>
      <c r="F34" s="64" t="str">
        <f>IF(Calculation2!$S$16="","",Calculation2!$S$16)</f>
        <v/>
      </c>
      <c r="G34" s="64" t="str">
        <f>IF(Calculation2!$S$17="","",Calculation2!$S$17)</f>
        <v/>
      </c>
      <c r="H34" s="64" t="str">
        <f>IF(Calculation2!$S$18="","",Calculation2!$S$18)</f>
        <v/>
      </c>
      <c r="I34" s="64" t="str">
        <f>IF(Calculation2!$S$19="","",Calculation2!$S$19)</f>
        <v/>
      </c>
      <c r="J34" s="103" t="str">
        <f>IF(Calculation2!$S$20="","",Calculation2!$S$20)</f>
        <v/>
      </c>
      <c r="K34" s="93"/>
      <c r="L34" s="96">
        <f>IF(Calculation2!$S$12&gt;$E$10,$E$10,Calculation2!$S$12)</f>
        <v>0</v>
      </c>
      <c r="M34" s="56" t="str">
        <f t="shared" si="1"/>
        <v/>
      </c>
    </row>
    <row r="35" spans="1:13" ht="18" customHeight="1">
      <c r="A35" s="131" t="str">
        <f>Calculation2!T$4</f>
        <v>Target Performance Bonus</v>
      </c>
      <c r="B35" s="132"/>
      <c r="C35" s="132"/>
      <c r="D35" s="53">
        <f>IF(Calculation2!$T$14="","",Calculation2!$T$14)</f>
        <v>330059.50</v>
      </c>
      <c r="E35" s="53">
        <f>IF(Calculation2!$T$15="","",Calculation2!$T$15)</f>
        <v>509473.55249999999</v>
      </c>
      <c r="F35" s="53">
        <f>IF(Calculation2!$T$16="","",Calculation2!$T$16)</f>
        <v>766395.10499999882</v>
      </c>
      <c r="G35" s="53">
        <f>IF(Calculation2!$T$17="","",Calculation2!$T$17)</f>
        <v>900003</v>
      </c>
      <c r="H35" s="53">
        <f>IF(Calculation2!$T$18="","",Calculation2!$T$18)</f>
        <v>1912500.75</v>
      </c>
      <c r="I35" s="53">
        <f>IF(Calculation2!$T$19="","",Calculation2!$T$19)</f>
        <v>2725000</v>
      </c>
      <c r="J35" s="102">
        <f>IF(Calculation2!$T$20="","",Calculation2!$T$20)</f>
        <v>1273818.2016666667</v>
      </c>
      <c r="K35" s="93"/>
      <c r="L35" s="96">
        <f>IF(Calculation2!$T$12&gt;$E$10,$E$10,Calculation2!$T$12)</f>
        <v>6</v>
      </c>
      <c r="M35" s="56">
        <f t="shared" si="1"/>
        <v>100</v>
      </c>
    </row>
    <row r="36" spans="1:13" ht="18" customHeight="1">
      <c r="A36" s="108" t="str">
        <f>Calculation2!U$4</f>
        <v>- As % of Basic Salary</v>
      </c>
      <c r="B36" s="109"/>
      <c r="C36" s="109"/>
      <c r="D36" s="64">
        <f>IF(Calculation2!$U$14="","",Calculation2!$U$14)</f>
        <v>0.29761015683345782</v>
      </c>
      <c r="E36" s="64">
        <f>IF(Calculation2!$U$15="","",Calculation2!$U$15)</f>
        <v>0.45193785213781584</v>
      </c>
      <c r="F36" s="64">
        <f>IF(Calculation2!$U$16="","",Calculation2!$U$16)</f>
        <v>0.79950677223679656</v>
      </c>
      <c r="G36" s="64">
        <f>IF(Calculation2!$U$17="","",Calculation2!$U$17)</f>
        <v>1</v>
      </c>
      <c r="H36" s="64">
        <f>IF(Calculation2!$U$18="","",Calculation2!$U$18)</f>
        <v>1.6923076923076918</v>
      </c>
      <c r="I36" s="64">
        <f>IF(Calculation2!$U$19="","",Calculation2!$U$19)</f>
        <v>1.9329427478598735</v>
      </c>
      <c r="J36" s="103">
        <f>IF(Calculation2!$U$20="","",Calculation2!$U$20)</f>
        <v>1.0100198923100432</v>
      </c>
      <c r="K36" s="93"/>
      <c r="L36" s="96">
        <f>IF(Calculation2!$U$12&gt;$E$10,$E$10,Calculation2!$U$12)</f>
        <v>6</v>
      </c>
      <c r="M36" s="56">
        <f t="shared" si="1"/>
        <v>100</v>
      </c>
    </row>
    <row r="37" spans="1:13" ht="18" customHeight="1">
      <c r="A37" s="131" t="str">
        <f>Calculation2!V$4</f>
        <v>Target Other Short-Term Incentives</v>
      </c>
      <c r="B37" s="132"/>
      <c r="C37" s="132"/>
      <c r="D37" s="53" t="str">
        <f>IF(Calculation2!$V$14="","",Calculation2!$V$14)</f>
        <v/>
      </c>
      <c r="E37" s="53" t="str">
        <f>IF(Calculation2!$V$15="","",Calculation2!$V$15)</f>
        <v/>
      </c>
      <c r="F37" s="53" t="str">
        <f>IF(Calculation2!$V$16="","",Calculation2!$V$16)</f>
        <v/>
      </c>
      <c r="G37" s="53" t="str">
        <f>IF(Calculation2!$V$17="","",Calculation2!$V$17)</f>
        <v/>
      </c>
      <c r="H37" s="53" t="str">
        <f>IF(Calculation2!$V$18="","",Calculation2!$V$18)</f>
        <v/>
      </c>
      <c r="I37" s="53" t="str">
        <f>IF(Calculation2!$V$19="","",Calculation2!$V$19)</f>
        <v/>
      </c>
      <c r="J37" s="102" t="str">
        <f>IF(Calculation2!$V$20="","",Calculation2!$V$20)</f>
        <v/>
      </c>
      <c r="K37" s="93"/>
      <c r="L37" s="96">
        <f>IF(Calculation2!$V$12&gt;$E$10,$E$10,Calculation2!$V$12)</f>
        <v>0</v>
      </c>
      <c r="M37" s="56" t="str">
        <f t="shared" si="1"/>
        <v/>
      </c>
    </row>
    <row r="38" spans="1:13" ht="18" customHeight="1">
      <c r="A38" s="108" t="str">
        <f>Calculation2!W$4</f>
        <v>- As % of Basic Salary</v>
      </c>
      <c r="B38" s="109"/>
      <c r="C38" s="109"/>
      <c r="D38" s="64" t="str">
        <f>IF(Calculation2!$W$14="","",Calculation2!$W$14)</f>
        <v/>
      </c>
      <c r="E38" s="64" t="str">
        <f>IF(Calculation2!$W$15="","",Calculation2!$W$15)</f>
        <v/>
      </c>
      <c r="F38" s="64" t="str">
        <f>IF(Calculation2!$W$16="","",Calculation2!$W$16)</f>
        <v/>
      </c>
      <c r="G38" s="64" t="str">
        <f>IF(Calculation2!$W$17="","",Calculation2!$W$17)</f>
        <v/>
      </c>
      <c r="H38" s="64" t="str">
        <f>IF(Calculation2!$W$18="","",Calculation2!$W$18)</f>
        <v/>
      </c>
      <c r="I38" s="64" t="str">
        <f>IF(Calculation2!$W$19="","",Calculation2!$W$19)</f>
        <v/>
      </c>
      <c r="J38" s="103" t="str">
        <f>IF(Calculation2!$W$20="","",Calculation2!$W$20)</f>
        <v/>
      </c>
      <c r="K38" s="93"/>
      <c r="L38" s="96">
        <f>IF(Calculation2!$W$12&gt;$E$10,$E$10,Calculation2!$W$12)</f>
        <v>0</v>
      </c>
      <c r="M38" s="56" t="str">
        <f t="shared" si="1"/>
        <v/>
      </c>
    </row>
    <row r="39" spans="1:13" ht="18" customHeight="1">
      <c r="A39" s="106" t="str">
        <f>Calculation2!X$4</f>
        <v>Target Total Short-Term Variable Cash</v>
      </c>
      <c r="B39" s="107"/>
      <c r="C39" s="107"/>
      <c r="D39" s="53">
        <f>IF(Calculation2!$X$14="","",Calculation2!$X$14)</f>
        <v>330059.50</v>
      </c>
      <c r="E39" s="53">
        <f>IF(Calculation2!$X$15="","",Calculation2!$X$15)</f>
        <v>509473.55249999999</v>
      </c>
      <c r="F39" s="53">
        <f>IF(Calculation2!$X$16="","",Calculation2!$X$16)</f>
        <v>766395.10499999882</v>
      </c>
      <c r="G39" s="53">
        <f>IF(Calculation2!$X$17="","",Calculation2!$X$17)</f>
        <v>900003</v>
      </c>
      <c r="H39" s="53">
        <f>IF(Calculation2!$X$18="","",Calculation2!$X$18)</f>
        <v>1912500.75</v>
      </c>
      <c r="I39" s="53">
        <f>IF(Calculation2!$X$19="","",Calculation2!$X$19)</f>
        <v>2725000</v>
      </c>
      <c r="J39" s="102">
        <f>IF(Calculation2!$X$20="","",Calculation2!$X$20)</f>
        <v>1273818.2016666667</v>
      </c>
      <c r="K39" s="93"/>
      <c r="L39" s="96">
        <f>IF(Calculation2!$X$12&gt;$E$10,$E$10,Calculation2!$X$12)</f>
        <v>6</v>
      </c>
      <c r="M39" s="56">
        <f t="shared" si="1"/>
        <v>100</v>
      </c>
    </row>
    <row r="40" spans="1:13" ht="18" customHeight="1">
      <c r="A40" s="108" t="str">
        <f>Calculation2!Y$4</f>
        <v>- As % of Basic Salary</v>
      </c>
      <c r="B40" s="109"/>
      <c r="C40" s="109"/>
      <c r="D40" s="64">
        <f>IF(Calculation2!$Y$14="","",Calculation2!$Y$14)</f>
        <v>0.29761015683345782</v>
      </c>
      <c r="E40" s="64">
        <f>IF(Calculation2!$Y$15="","",Calculation2!$Y$15)</f>
        <v>0.45193785213781584</v>
      </c>
      <c r="F40" s="64">
        <f>IF(Calculation2!$Y$16="","",Calculation2!$Y$16)</f>
        <v>0.79950677223679656</v>
      </c>
      <c r="G40" s="64">
        <f>IF(Calculation2!$Y$17="","",Calculation2!$Y$17)</f>
        <v>1</v>
      </c>
      <c r="H40" s="64">
        <f>IF(Calculation2!$Y$18="","",Calculation2!$Y$18)</f>
        <v>1.6923076923076918</v>
      </c>
      <c r="I40" s="64">
        <f>IF(Calculation2!$Y$19="","",Calculation2!$Y$19)</f>
        <v>1.9329427478598735</v>
      </c>
      <c r="J40" s="103">
        <f>IF(Calculation2!$Y$20="","",Calculation2!$Y$20)</f>
        <v>1.0100198923100432</v>
      </c>
      <c r="K40" s="93"/>
      <c r="L40" s="96">
        <f>IF(Calculation2!$Y$12&gt;$E$10,$E$10,Calculation2!$Y$12)</f>
        <v>6</v>
      </c>
      <c r="M40" s="56">
        <f t="shared" si="1"/>
        <v>100</v>
      </c>
    </row>
    <row r="41" spans="1:13" ht="18" customHeight="1">
      <c r="A41" s="58" t="s">
        <v>53</v>
      </c>
      <c r="B41" s="110" t="str">
        <f>Calculation2!Z$4</f>
        <v>Target Total Cash</v>
      </c>
      <c r="C41" s="111"/>
      <c r="D41" s="59">
        <f>IF(Calculation2!$Z$14="","",Calculation2!$Z$14)</f>
        <v>1461678.50</v>
      </c>
      <c r="E41" s="59">
        <f>IF(Calculation2!$Z$15="","",Calculation2!$Z$15)</f>
        <v>1743872.5875000001</v>
      </c>
      <c r="F41" s="59">
        <f>IF(Calculation2!$Z$16="","",Calculation2!$Z$16)</f>
        <v>1785987.675</v>
      </c>
      <c r="G41" s="59">
        <f>IF(Calculation2!$Z$17="","",Calculation2!$Z$17)</f>
        <v>1800006</v>
      </c>
      <c r="H41" s="59">
        <f>IF(Calculation2!$Z$18="","",Calculation2!$Z$18)</f>
        <v>3081961.50</v>
      </c>
      <c r="I41" s="59">
        <f>IF(Calculation2!$Z$19="","",Calculation2!$Z$19)</f>
        <v>4222830</v>
      </c>
      <c r="J41" s="59">
        <f>IF(Calculation2!$Z$20="","",Calculation2!$Z$20)</f>
        <v>2490165.3916666657</v>
      </c>
      <c r="K41" s="60"/>
      <c r="L41" s="61">
        <f>IF(Calculation2!$Z$12&gt;$E$10,$E$10,Calculation2!$Z$12)</f>
        <v>6</v>
      </c>
      <c r="M41" s="62">
        <f t="shared" si="1"/>
        <v>100</v>
      </c>
    </row>
    <row r="42" spans="1:13" ht="20.1" customHeight="1">
      <c r="A42" s="106" t="str">
        <f>Calculation2!AA$4</f>
        <v>C1 + Target Total Short-Term Variable Cash</v>
      </c>
      <c r="B42" s="107"/>
      <c r="C42" s="107"/>
      <c r="D42" s="53">
        <f>IF(Calculation2!$AA$14="","",Calculation2!$AA$14)</f>
        <v>1409838.50</v>
      </c>
      <c r="E42" s="53">
        <f>IF(Calculation2!$AA$15="","",Calculation2!$AA$15)</f>
        <v>1645412.5875000001</v>
      </c>
      <c r="F42" s="53">
        <f>IF(Calculation2!$AA$16="","",Calculation2!$AA$16)</f>
        <v>1744587.675</v>
      </c>
      <c r="G42" s="53">
        <f>IF(Calculation2!$AA$17="","",Calculation2!$AA$17)</f>
        <v>1800006</v>
      </c>
      <c r="H42" s="53">
        <f>IF(Calculation2!$AA$18="","",Calculation2!$AA$18)</f>
        <v>3015001.50</v>
      </c>
      <c r="I42" s="53">
        <f>IF(Calculation2!$AA$19="","",Calculation2!$AA$19)</f>
        <v>4133550</v>
      </c>
      <c r="J42" s="102">
        <f>IF(Calculation2!$AA$20="","",Calculation2!$AA$20)</f>
        <v>2429325.3916666657</v>
      </c>
      <c r="K42" s="93"/>
      <c r="L42" s="96">
        <f>IF(Calculation2!$AA$12&gt;$E$10,$E$10,Calculation2!$AA$12)</f>
        <v>6</v>
      </c>
      <c r="M42" s="56">
        <f t="shared" si="1"/>
        <v>100</v>
      </c>
    </row>
    <row r="43" spans="1:13" ht="5.1" customHeight="1">
      <c r="A43" s="39"/>
      <c r="B43" s="39"/>
      <c r="C43" s="39"/>
      <c r="D43" s="39" t="s">
        <v>394</v>
      </c>
      <c r="E43" s="39" t="s">
        <v>394</v>
      </c>
      <c r="F43" s="39" t="s">
        <v>394</v>
      </c>
      <c r="G43" s="39" t="s">
        <v>394</v>
      </c>
      <c r="H43" s="39" t="s">
        <v>394</v>
      </c>
      <c r="I43" s="39" t="s">
        <v>394</v>
      </c>
      <c r="J43" s="39" t="s">
        <v>394</v>
      </c>
      <c r="K43" s="39"/>
      <c r="L43" s="39"/>
      <c r="M43" s="39"/>
    </row>
    <row r="44" spans="1:13" ht="15.9" customHeight="1">
      <c r="A44" s="112"/>
      <c r="B44" s="113"/>
      <c r="C44" s="113"/>
      <c r="D44" s="136" t="s">
        <v>54</v>
      </c>
      <c r="E44" s="137"/>
      <c r="F44" s="137"/>
      <c r="G44" s="137"/>
      <c r="H44" s="137"/>
      <c r="I44" s="137"/>
      <c r="J44" s="112"/>
      <c r="K44" s="63"/>
      <c r="L44" s="138"/>
      <c r="M44" s="136"/>
    </row>
    <row r="45" spans="1:13" ht="18" customHeight="1">
      <c r="A45" s="131" t="str">
        <f>Calculation2!AB$4</f>
        <v>Stock Option</v>
      </c>
      <c r="B45" s="132"/>
      <c r="C45" s="132"/>
      <c r="D45" s="53" t="str">
        <f>IF(Calculation2!$AB$14="","",Calculation2!$AB$14)</f>
        <v/>
      </c>
      <c r="E45" s="53" t="str">
        <f>IF(Calculation2!$AB$15="","",Calculation2!$AB$15)</f>
        <v/>
      </c>
      <c r="F45" s="53">
        <f>IF(Calculation2!$AB$16="","",Calculation2!$AB$16)</f>
        <v>360413.17804800003</v>
      </c>
      <c r="G45" s="53" t="str">
        <f>IF(Calculation2!$AB$17="","",Calculation2!$AB$17)</f>
        <v/>
      </c>
      <c r="H45" s="53" t="str">
        <f>IF(Calculation2!$AB$18="","",Calculation2!$AB$18)</f>
        <v/>
      </c>
      <c r="I45" s="53" t="str">
        <f>IF(Calculation2!$AB$19="","",Calculation2!$AB$19)</f>
        <v/>
      </c>
      <c r="J45" s="102">
        <f>IF(Calculation2!$AB$20="","",Calculation2!$AB$20)</f>
        <v>360413.17804800003</v>
      </c>
      <c r="K45" s="93"/>
      <c r="L45" s="96">
        <f>IF(Calculation2!$AB$12&gt;$E$10,$E$10,Calculation2!$AB$12)</f>
        <v>1</v>
      </c>
      <c r="M45" s="56">
        <f t="shared" si="2" ref="M45:M57">IF($L45&gt;0,$L45/$E$10*100,"")</f>
        <v>16.666666666666664</v>
      </c>
    </row>
    <row r="46" spans="1:13" ht="18" customHeight="1">
      <c r="A46" s="108" t="str">
        <f>Calculation2!AC$4</f>
        <v>- As % of Basic Salary</v>
      </c>
      <c r="B46" s="109"/>
      <c r="C46" s="109"/>
      <c r="D46" s="64" t="str">
        <f>IF(Calculation2!$AC$14="","",Calculation2!$AC$14)</f>
        <v/>
      </c>
      <c r="E46" s="64" t="str">
        <f>IF(Calculation2!$AC$15="","",Calculation2!$AC$15)</f>
        <v/>
      </c>
      <c r="F46" s="64">
        <f>IF(Calculation2!$AC$16="","",Calculation2!$AC$16)</f>
        <v>0.34117689461126255</v>
      </c>
      <c r="G46" s="64" t="str">
        <f>IF(Calculation2!$AC$17="","",Calculation2!$AC$17)</f>
        <v/>
      </c>
      <c r="H46" s="64" t="str">
        <f>IF(Calculation2!$AC$18="","",Calculation2!$AC$18)</f>
        <v/>
      </c>
      <c r="I46" s="64" t="str">
        <f>IF(Calculation2!$AC$19="","",Calculation2!$AC$19)</f>
        <v/>
      </c>
      <c r="J46" s="103">
        <f>IF(Calculation2!$AC$20="","",Calculation2!$AC$20)</f>
        <v>0.34117689461126255</v>
      </c>
      <c r="K46" s="93"/>
      <c r="L46" s="96">
        <f>IF(Calculation2!$AC$12&gt;$E$10,$E$10,Calculation2!$AC$12)</f>
        <v>1</v>
      </c>
      <c r="M46" s="56">
        <f t="shared" si="2"/>
        <v>16.666666666666664</v>
      </c>
    </row>
    <row r="47" spans="1:13" ht="18" customHeight="1">
      <c r="A47" s="131" t="str">
        <f>Calculation2!AD$4</f>
        <v>Stock Appreciation Right</v>
      </c>
      <c r="B47" s="132"/>
      <c r="C47" s="132"/>
      <c r="D47" s="53" t="str">
        <f>IF(Calculation2!$AD$14="","",Calculation2!$AD$14)</f>
        <v/>
      </c>
      <c r="E47" s="53" t="str">
        <f>IF(Calculation2!$AD$15="","",Calculation2!$AD$15)</f>
        <v/>
      </c>
      <c r="F47" s="53" t="str">
        <f>IF(Calculation2!$AD$16="","",Calculation2!$AD$16)</f>
        <v/>
      </c>
      <c r="G47" s="53" t="str">
        <f>IF(Calculation2!$AD$17="","",Calculation2!$AD$17)</f>
        <v/>
      </c>
      <c r="H47" s="53" t="str">
        <f>IF(Calculation2!$AD$18="","",Calculation2!$AD$18)</f>
        <v/>
      </c>
      <c r="I47" s="53" t="str">
        <f>IF(Calculation2!$AD$19="","",Calculation2!$AD$19)</f>
        <v/>
      </c>
      <c r="J47" s="102" t="str">
        <f>IF(Calculation2!$AD$20="","",Calculation2!$AD$20)</f>
        <v/>
      </c>
      <c r="K47" s="93"/>
      <c r="L47" s="96">
        <f>IF(Calculation2!$AD$12&gt;$E$10,$E$10,Calculation2!$AD$12)</f>
        <v>0</v>
      </c>
      <c r="M47" s="56" t="str">
        <f t="shared" si="2"/>
        <v/>
      </c>
    </row>
    <row r="48" spans="1:13" ht="18" customHeight="1">
      <c r="A48" s="108" t="str">
        <f>Calculation2!AE$4</f>
        <v>- As % of Basic Salary</v>
      </c>
      <c r="B48" s="109"/>
      <c r="C48" s="109"/>
      <c r="D48" s="64" t="str">
        <f>IF(Calculation2!$AE$14="","",Calculation2!$AE$14)</f>
        <v/>
      </c>
      <c r="E48" s="64" t="str">
        <f>IF(Calculation2!$AE$15="","",Calculation2!$AE$15)</f>
        <v/>
      </c>
      <c r="F48" s="64" t="str">
        <f>IF(Calculation2!$AE$16="","",Calculation2!$AE$16)</f>
        <v/>
      </c>
      <c r="G48" s="64" t="str">
        <f>IF(Calculation2!$AE$17="","",Calculation2!$AE$17)</f>
        <v/>
      </c>
      <c r="H48" s="64" t="str">
        <f>IF(Calculation2!$AE$18="","",Calculation2!$AE$18)</f>
        <v/>
      </c>
      <c r="I48" s="64" t="str">
        <f>IF(Calculation2!$AE$19="","",Calculation2!$AE$19)</f>
        <v/>
      </c>
      <c r="J48" s="103" t="str">
        <f>IF(Calculation2!$AE$20="","",Calculation2!$AE$20)</f>
        <v/>
      </c>
      <c r="K48" s="93"/>
      <c r="L48" s="96">
        <f>IF(Calculation2!$AE$12&gt;$E$10,$E$10,Calculation2!$AE$12)</f>
        <v>0</v>
      </c>
      <c r="M48" s="56" t="str">
        <f t="shared" si="2"/>
        <v/>
      </c>
    </row>
    <row r="49" spans="1:13" ht="18" customHeight="1">
      <c r="A49" s="131" t="str">
        <f>Calculation2!AF$4</f>
        <v>Restricted Stock/Unit</v>
      </c>
      <c r="B49" s="132"/>
      <c r="C49" s="132"/>
      <c r="D49" s="53" t="str">
        <f>IF(Calculation2!$AF$14="","",Calculation2!$AF$14)</f>
        <v/>
      </c>
      <c r="E49" s="53" t="str">
        <f>IF(Calculation2!$AF$15="","",Calculation2!$AF$15)</f>
        <v/>
      </c>
      <c r="F49" s="53">
        <f>IF(Calculation2!$AF$16="","",Calculation2!$AF$16)</f>
        <v>615024.48479999881</v>
      </c>
      <c r="G49" s="53" t="str">
        <f>IF(Calculation2!$AF$17="","",Calculation2!$AF$17)</f>
        <v/>
      </c>
      <c r="H49" s="53" t="str">
        <f>IF(Calculation2!$AF$18="","",Calculation2!$AF$18)</f>
        <v/>
      </c>
      <c r="I49" s="53" t="str">
        <f>IF(Calculation2!$AF$19="","",Calculation2!$AF$19)</f>
        <v/>
      </c>
      <c r="J49" s="102">
        <f>IF(Calculation2!$AF$20="","",Calculation2!$AF$20)</f>
        <v>615024.48479999881</v>
      </c>
      <c r="K49" s="93"/>
      <c r="L49" s="96">
        <f>IF(Calculation2!$AF$12&gt;$E$10,$E$10,Calculation2!$AF$12)</f>
        <v>2</v>
      </c>
      <c r="M49" s="56">
        <f t="shared" si="2"/>
        <v>33.333333333333329</v>
      </c>
    </row>
    <row r="50" spans="1:13" ht="18" customHeight="1">
      <c r="A50" s="108" t="str">
        <f>Calculation2!AG$4</f>
        <v>- As % of Basic Salary</v>
      </c>
      <c r="B50" s="109"/>
      <c r="C50" s="109"/>
      <c r="D50" s="64" t="str">
        <f>IF(Calculation2!$AG$14="","",Calculation2!$AG$14)</f>
        <v/>
      </c>
      <c r="E50" s="64" t="str">
        <f>IF(Calculation2!$AG$15="","",Calculation2!$AG$15)</f>
        <v/>
      </c>
      <c r="F50" s="64">
        <f>IF(Calculation2!$AG$16="","",Calculation2!$AG$16)</f>
        <v>0.60946377887790704</v>
      </c>
      <c r="G50" s="64" t="str">
        <f>IF(Calculation2!$AG$17="","",Calculation2!$AG$17)</f>
        <v/>
      </c>
      <c r="H50" s="64" t="str">
        <f>IF(Calculation2!$AG$18="","",Calculation2!$AG$18)</f>
        <v/>
      </c>
      <c r="I50" s="64" t="str">
        <f>IF(Calculation2!$AG$19="","",Calculation2!$AG$19)</f>
        <v/>
      </c>
      <c r="J50" s="103">
        <f>IF(Calculation2!$AG$20="","",Calculation2!$AG$20)</f>
        <v>0.60946377887790704</v>
      </c>
      <c r="K50" s="93"/>
      <c r="L50" s="96">
        <f>IF(Calculation2!$AG$12&gt;$E$10,$E$10,Calculation2!$AG$12)</f>
        <v>2</v>
      </c>
      <c r="M50" s="56">
        <f t="shared" si="2"/>
        <v>33.333333333333329</v>
      </c>
    </row>
    <row r="51" spans="1:13" ht="18" customHeight="1">
      <c r="A51" s="131" t="str">
        <f>Calculation2!AH$4</f>
        <v>Performance Share</v>
      </c>
      <c r="B51" s="132"/>
      <c r="C51" s="132"/>
      <c r="D51" s="53" t="str">
        <f>IF(Calculation2!$AH$14="","",Calculation2!$AH$14)</f>
        <v/>
      </c>
      <c r="E51" s="53" t="str">
        <f>IF(Calculation2!$AH$15="","",Calculation2!$AH$15)</f>
        <v/>
      </c>
      <c r="F51" s="53">
        <f>IF(Calculation2!$AH$16="","",Calculation2!$AH$16)</f>
        <v>892544</v>
      </c>
      <c r="G51" s="53" t="str">
        <f>IF(Calculation2!$AH$17="","",Calculation2!$AH$17)</f>
        <v/>
      </c>
      <c r="H51" s="53" t="str">
        <f>IF(Calculation2!$AH$18="","",Calculation2!$AH$18)</f>
        <v/>
      </c>
      <c r="I51" s="53" t="str">
        <f>IF(Calculation2!$AH$19="","",Calculation2!$AH$19)</f>
        <v/>
      </c>
      <c r="J51" s="102">
        <f>IF(Calculation2!$AH$20="","",Calculation2!$AH$20)</f>
        <v>892544</v>
      </c>
      <c r="K51" s="93"/>
      <c r="L51" s="96">
        <f>IF(Calculation2!$AH$12&gt;$E$10,$E$10,Calculation2!$AH$12)</f>
        <v>1</v>
      </c>
      <c r="M51" s="56">
        <f t="shared" si="2"/>
        <v>16.666666666666664</v>
      </c>
    </row>
    <row r="52" spans="1:13" ht="18" customHeight="1">
      <c r="A52" s="108" t="str">
        <f>Calculation2!AI$4</f>
        <v>- As % of Basic Salary</v>
      </c>
      <c r="B52" s="109"/>
      <c r="C52" s="109"/>
      <c r="D52" s="64" t="str">
        <f>IF(Calculation2!$AI$14="","",Calculation2!$AI$14)</f>
        <v/>
      </c>
      <c r="E52" s="64" t="str">
        <f>IF(Calculation2!$AI$15="","",Calculation2!$AI$15)</f>
        <v/>
      </c>
      <c r="F52" s="64">
        <f>IF(Calculation2!$AI$16="","",Calculation2!$AI$16)</f>
        <v>0.89513990572660618</v>
      </c>
      <c r="G52" s="64" t="str">
        <f>IF(Calculation2!$AI$17="","",Calculation2!$AI$17)</f>
        <v/>
      </c>
      <c r="H52" s="64" t="str">
        <f>IF(Calculation2!$AI$18="","",Calculation2!$AI$18)</f>
        <v/>
      </c>
      <c r="I52" s="64" t="str">
        <f>IF(Calculation2!$AI$19="","",Calculation2!$AI$19)</f>
        <v/>
      </c>
      <c r="J52" s="103">
        <f>IF(Calculation2!$AI$20="","",Calculation2!$AI$20)</f>
        <v>0.89513990572660618</v>
      </c>
      <c r="K52" s="94"/>
      <c r="L52" s="96">
        <f>IF(Calculation2!$AI$12&gt;$E$10,$E$10,Calculation2!$AI$12)</f>
        <v>1</v>
      </c>
      <c r="M52" s="56">
        <f t="shared" si="2"/>
        <v>16.666666666666664</v>
      </c>
    </row>
    <row r="53" spans="1:13" ht="18" customHeight="1">
      <c r="A53" s="131" t="str">
        <f>Calculation2!AJ$4</f>
        <v>L-T Performance Cash</v>
      </c>
      <c r="B53" s="132"/>
      <c r="C53" s="132"/>
      <c r="D53" s="53" t="str">
        <f>IF(Calculation2!$AJ$14="","",Calculation2!$AJ$14)</f>
        <v/>
      </c>
      <c r="E53" s="53" t="str">
        <f>IF(Calculation2!$AJ$15="","",Calculation2!$AJ$15)</f>
        <v/>
      </c>
      <c r="F53" s="53">
        <f>IF(Calculation2!$AJ$16="","",Calculation2!$AJ$16)</f>
        <v>755001.50</v>
      </c>
      <c r="G53" s="53" t="str">
        <f>IF(Calculation2!$AJ$17="","",Calculation2!$AJ$17)</f>
        <v/>
      </c>
      <c r="H53" s="53" t="str">
        <f>IF(Calculation2!$AJ$18="","",Calculation2!$AJ$18)</f>
        <v/>
      </c>
      <c r="I53" s="53" t="str">
        <f>IF(Calculation2!$AJ$19="","",Calculation2!$AJ$19)</f>
        <v/>
      </c>
      <c r="J53" s="102">
        <f>IF(Calculation2!$AJ$20="","",Calculation2!$AJ$20)</f>
        <v>755001.50</v>
      </c>
      <c r="K53" s="93"/>
      <c r="L53" s="96">
        <f>IF(Calculation2!$AJ$12&gt;$E$10,$E$10,Calculation2!$AJ$12)</f>
        <v>2</v>
      </c>
      <c r="M53" s="56">
        <f t="shared" si="2"/>
        <v>33.333333333333329</v>
      </c>
    </row>
    <row r="54" spans="1:13" ht="18" customHeight="1">
      <c r="A54" s="108" t="str">
        <f>Calculation2!AK$4</f>
        <v>- As % of Basic Salary</v>
      </c>
      <c r="B54" s="109"/>
      <c r="C54" s="109"/>
      <c r="D54" s="64" t="str">
        <f>IF(Calculation2!$AK$14="","",Calculation2!$AK$14)</f>
        <v/>
      </c>
      <c r="E54" s="64" t="str">
        <f>IF(Calculation2!$AK$15="","",Calculation2!$AK$15)</f>
        <v/>
      </c>
      <c r="F54" s="64">
        <f>IF(Calculation2!$AK$16="","",Calculation2!$AK$16)</f>
        <v>0.76237507075524447</v>
      </c>
      <c r="G54" s="64" t="str">
        <f>IF(Calculation2!$AK$17="","",Calculation2!$AK$17)</f>
        <v/>
      </c>
      <c r="H54" s="64" t="str">
        <f>IF(Calculation2!$AK$18="","",Calculation2!$AK$18)</f>
        <v/>
      </c>
      <c r="I54" s="64" t="str">
        <f>IF(Calculation2!$AK$19="","",Calculation2!$AK$19)</f>
        <v/>
      </c>
      <c r="J54" s="103">
        <f>IF(Calculation2!$AK$20="","",Calculation2!$AK$20)</f>
        <v>0.76237507075524447</v>
      </c>
      <c r="K54" s="94"/>
      <c r="L54" s="96">
        <f>IF(Calculation2!$AK$12&gt;$E$10,$E$10,Calculation2!$AK$12)</f>
        <v>2</v>
      </c>
      <c r="M54" s="56">
        <f t="shared" si="2"/>
        <v>33.333333333333329</v>
      </c>
    </row>
    <row r="55" spans="1:13" ht="18" customHeight="1">
      <c r="A55" s="106" t="str">
        <f>Calculation2!AL$4</f>
        <v>Total Equity/Long-Term Incentive</v>
      </c>
      <c r="B55" s="107"/>
      <c r="C55" s="107"/>
      <c r="D55" s="53" t="str">
        <f>IF(Calculation2!$AL$14="","",Calculation2!$AL$14)</f>
        <v/>
      </c>
      <c r="E55" s="53" t="str">
        <f>IF(Calculation2!$AL$15="","",Calculation2!$AL$15)</f>
        <v/>
      </c>
      <c r="F55" s="53">
        <f>IF(Calculation2!$AL$16="","",Calculation2!$AL$16)</f>
        <v>760792.57382400043</v>
      </c>
      <c r="G55" s="53" t="str">
        <f>IF(Calculation2!$AL$17="","",Calculation2!$AL$17)</f>
        <v/>
      </c>
      <c r="H55" s="53" t="str">
        <f>IF(Calculation2!$AL$18="","",Calculation2!$AL$18)</f>
        <v/>
      </c>
      <c r="I55" s="53" t="str">
        <f>IF(Calculation2!$AL$19="","",Calculation2!$AL$19)</f>
        <v/>
      </c>
      <c r="J55" s="102">
        <f>IF(Calculation2!$AL$20="","",Calculation2!$AL$20)</f>
        <v>998252.28691199922</v>
      </c>
      <c r="K55" s="93"/>
      <c r="L55" s="96">
        <f>IF(Calculation2!$AL$12&gt;$E$10,$E$10,Calculation2!$AL$12)</f>
        <v>4</v>
      </c>
      <c r="M55" s="56">
        <f t="shared" si="2"/>
        <v>66.666666666666657</v>
      </c>
    </row>
    <row r="56" spans="1:13" ht="18" customHeight="1">
      <c r="A56" s="108" t="str">
        <f>Calculation2!AM$4</f>
        <v>- As % of Basic Salary</v>
      </c>
      <c r="B56" s="109"/>
      <c r="C56" s="109"/>
      <c r="D56" s="64" t="str">
        <f>IF(Calculation2!$AM$14="","",Calculation2!$AM$14)</f>
        <v/>
      </c>
      <c r="E56" s="64" t="str">
        <f>IF(Calculation2!$AM$15="","",Calculation2!$AM$15)</f>
        <v/>
      </c>
      <c r="F56" s="64">
        <f>IF(Calculation2!$AM$16="","",Calculation2!$AM$16)</f>
        <v>0.79420326419376885</v>
      </c>
      <c r="G56" s="64" t="str">
        <f>IF(Calculation2!$AM$17="","",Calculation2!$AM$17)</f>
        <v/>
      </c>
      <c r="H56" s="64" t="str">
        <f>IF(Calculation2!$AM$18="","",Calculation2!$AM$18)</f>
        <v/>
      </c>
      <c r="I56" s="64" t="str">
        <f>IF(Calculation2!$AM$19="","",Calculation2!$AM$19)</f>
        <v/>
      </c>
      <c r="J56" s="103">
        <f>IF(Calculation2!$AM$20="","",Calculation2!$AM$20)</f>
        <v>0.99499862490104407</v>
      </c>
      <c r="K56" s="93"/>
      <c r="L56" s="96">
        <f>IF(Calculation2!$AM$12&gt;$E$10,$E$10,Calculation2!$AM$12)</f>
        <v>4</v>
      </c>
      <c r="M56" s="56">
        <f t="shared" si="2"/>
        <v>66.666666666666657</v>
      </c>
    </row>
    <row r="57" spans="1:13" ht="18" customHeight="1">
      <c r="A57" s="58" t="s">
        <v>369</v>
      </c>
      <c r="B57" s="110" t="str">
        <f>Calculation2!AN$4</f>
        <v>Actual Total Direct Compensation</v>
      </c>
      <c r="C57" s="111"/>
      <c r="D57" s="59">
        <f>IF(Calculation2!$AN$14="","",Calculation2!$AN$14)</f>
        <v>2820566.1363240001</v>
      </c>
      <c r="E57" s="59">
        <f>IF(Calculation2!$AN$15="","",Calculation2!$AN$15)</f>
        <v>2977944.8794859964</v>
      </c>
      <c r="F57" s="59">
        <f>IF(Calculation2!$AN$16="","",Calculation2!$AN$16)</f>
        <v>3298840.35</v>
      </c>
      <c r="G57" s="59">
        <f>IF(Calculation2!$AN$17="","",Calculation2!$AN$17)</f>
        <v>3509280</v>
      </c>
      <c r="H57" s="59">
        <f>IF(Calculation2!$AN$18="","",Calculation2!$AN$18)</f>
        <v>3629646</v>
      </c>
      <c r="I57" s="59">
        <f>IF(Calculation2!$AN$19="","",Calculation2!$AN$19)</f>
        <v>4303074</v>
      </c>
      <c r="J57" s="59">
        <f>IF(Calculation2!$AN$20="","",Calculation2!$AN$20)</f>
        <v>3474160.1621079966</v>
      </c>
      <c r="K57" s="60"/>
      <c r="L57" s="61">
        <f>IF(Calculation2!$AN$12&gt;$E$10,$E$10,Calculation2!$AN$12)</f>
        <v>6</v>
      </c>
      <c r="M57" s="62">
        <f t="shared" si="2"/>
        <v>100</v>
      </c>
    </row>
    <row r="58" spans="1:13" ht="5.1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ht="18" customHeight="1">
      <c r="A59" s="58" t="s">
        <v>368</v>
      </c>
      <c r="B59" s="110" t="str">
        <f>Calculation2!AO$4</f>
        <v>Target Total Direct Compensation</v>
      </c>
      <c r="C59" s="111"/>
      <c r="D59" s="59">
        <f>IF(Calculation2!$AO$14="","",Calculation2!$AO$14)</f>
        <v>2369029.2488240022</v>
      </c>
      <c r="E59" s="59">
        <f>IF(Calculation2!$AO$15="","",Calculation2!$AO$15)</f>
        <v>2470165.8732360001</v>
      </c>
      <c r="F59" s="59">
        <f>IF(Calculation2!$AO$16="","",Calculation2!$AO$16)</f>
        <v>2875141.50</v>
      </c>
      <c r="G59" s="59">
        <f>IF(Calculation2!$AO$17="","",Calculation2!$AO$17)</f>
        <v>3050274</v>
      </c>
      <c r="H59" s="59">
        <f>IF(Calculation2!$AO$18="","",Calculation2!$AO$18)</f>
        <v>3394528.50</v>
      </c>
      <c r="I59" s="59">
        <f>IF(Calculation2!$AO$19="","",Calculation2!$AO$19)</f>
        <v>4222830</v>
      </c>
      <c r="J59" s="59">
        <f>IF(Calculation2!$AO$20="","",Calculation2!$AO$20)</f>
        <v>3155666.9162746668</v>
      </c>
      <c r="K59" s="60"/>
      <c r="L59" s="61">
        <f>IF(Calculation2!$AO$12&gt;$E$10,$E$10,Calculation2!$AO$12)</f>
        <v>6</v>
      </c>
      <c r="M59" s="62">
        <f>IF($L59&gt;0,$L59/$E$10*100,"")</f>
        <v>100</v>
      </c>
    </row>
    <row r="60" spans="1:13" ht="5.1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ht="15.9" customHeight="1">
      <c r="A61" s="112"/>
      <c r="B61" s="113"/>
      <c r="C61" s="113"/>
      <c r="D61" s="136" t="s">
        <v>115</v>
      </c>
      <c r="E61" s="137"/>
      <c r="F61" s="137"/>
      <c r="G61" s="137"/>
      <c r="H61" s="137"/>
      <c r="I61" s="137"/>
      <c r="J61" s="112"/>
      <c r="K61" s="63"/>
      <c r="L61" s="138"/>
      <c r="M61" s="136"/>
    </row>
    <row r="62" spans="1:13" ht="18" customHeight="1">
      <c r="A62" s="131" t="str">
        <f>Calculation2!AP$4</f>
        <v>Car Allowance (in lieu of car)</v>
      </c>
      <c r="B62" s="132"/>
      <c r="C62" s="132"/>
      <c r="D62" s="53" t="str">
        <f>IF(Calculation2!$AP$14="","",Calculation2!$AP$14)</f>
        <v/>
      </c>
      <c r="E62" s="53" t="str">
        <f>IF(Calculation2!$AP$15="","",Calculation2!$AP$15)</f>
        <v/>
      </c>
      <c r="F62" s="53">
        <f>IF(Calculation2!$AP$16="","",Calculation2!$AP$16)</f>
        <v>54000</v>
      </c>
      <c r="G62" s="53" t="str">
        <f>IF(Calculation2!$AP$17="","",Calculation2!$AP$17)</f>
        <v/>
      </c>
      <c r="H62" s="53" t="str">
        <f>IF(Calculation2!$AP$18="","",Calculation2!$AP$18)</f>
        <v/>
      </c>
      <c r="I62" s="53" t="str">
        <f>IF(Calculation2!$AP$19="","",Calculation2!$AP$19)</f>
        <v/>
      </c>
      <c r="J62" s="102">
        <f>IF(Calculation2!$AP$20="","",Calculation2!$AP$20)</f>
        <v>56668</v>
      </c>
      <c r="K62" s="93"/>
      <c r="L62" s="96">
        <f>IF(Calculation2!$AP$12&gt;$E$10,$E$10,Calculation2!$AP$12)</f>
        <v>3</v>
      </c>
      <c r="M62" s="56">
        <f t="shared" si="3" ref="M62:M69">IF($L62&gt;0,$L62/$E$10*100,"")</f>
        <v>50</v>
      </c>
    </row>
    <row r="63" spans="1:13" ht="18" customHeight="1">
      <c r="A63" s="131" t="str">
        <f>Calculation2!AQ$4</f>
        <v>Car Cost</v>
      </c>
      <c r="B63" s="132"/>
      <c r="C63" s="132"/>
      <c r="D63" s="53" t="str">
        <f>IF(Calculation2!$AQ$14="","",Calculation2!$AQ$14)</f>
        <v/>
      </c>
      <c r="E63" s="53" t="str">
        <f>IF(Calculation2!$AQ$15="","",Calculation2!$AQ$15)</f>
        <v/>
      </c>
      <c r="F63" s="53">
        <f>IF(Calculation2!$AQ$16="","",Calculation2!$AQ$16)</f>
        <v>38775</v>
      </c>
      <c r="G63" s="53" t="str">
        <f>IF(Calculation2!$AQ$17="","",Calculation2!$AQ$17)</f>
        <v/>
      </c>
      <c r="H63" s="53" t="str">
        <f>IF(Calculation2!$AQ$18="","",Calculation2!$AQ$18)</f>
        <v/>
      </c>
      <c r="I63" s="53" t="str">
        <f>IF(Calculation2!$AQ$19="","",Calculation2!$AQ$19)</f>
        <v/>
      </c>
      <c r="J63" s="102">
        <f>IF(Calculation2!$AQ$20="","",Calculation2!$AQ$20)</f>
        <v>38775</v>
      </c>
      <c r="K63" s="93"/>
      <c r="L63" s="96">
        <f>IF(Calculation2!$AQ$12&gt;$E$10,$E$10,Calculation2!$AQ$12)</f>
        <v>2</v>
      </c>
      <c r="M63" s="56">
        <f t="shared" si="3"/>
        <v>33.333333333333329</v>
      </c>
    </row>
    <row r="64" spans="1:13" ht="18" customHeight="1">
      <c r="A64" s="131" t="str">
        <f>Calculation2!AR$4</f>
        <v>Housing</v>
      </c>
      <c r="B64" s="132"/>
      <c r="C64" s="132"/>
      <c r="D64" s="53" t="str">
        <f>IF(Calculation2!$AR$14="","",Calculation2!$AR$14)</f>
        <v/>
      </c>
      <c r="E64" s="53" t="str">
        <f>IF(Calculation2!$AR$15="","",Calculation2!$AR$15)</f>
        <v/>
      </c>
      <c r="F64" s="53">
        <f>IF(Calculation2!$AR$16="","",Calculation2!$AR$16)</f>
        <v>216000</v>
      </c>
      <c r="G64" s="53" t="str">
        <f>IF(Calculation2!$AR$17="","",Calculation2!$AR$17)</f>
        <v/>
      </c>
      <c r="H64" s="53" t="str">
        <f>IF(Calculation2!$AR$18="","",Calculation2!$AR$18)</f>
        <v/>
      </c>
      <c r="I64" s="53" t="str">
        <f>IF(Calculation2!$AR$19="","",Calculation2!$AR$19)</f>
        <v/>
      </c>
      <c r="J64" s="102">
        <f>IF(Calculation2!$AR$20="","",Calculation2!$AR$20)</f>
        <v>216000</v>
      </c>
      <c r="K64" s="93"/>
      <c r="L64" s="96">
        <f>IF(Calculation2!$AR$12&gt;$E$10,$E$10,Calculation2!$AR$12)</f>
        <v>1</v>
      </c>
      <c r="M64" s="56">
        <f t="shared" si="3"/>
        <v>16.666666666666664</v>
      </c>
    </row>
    <row r="65" spans="1:13" ht="18" customHeight="1">
      <c r="A65" s="131" t="str">
        <f>Calculation2!AS$4</f>
        <v>Club Membership</v>
      </c>
      <c r="B65" s="132"/>
      <c r="C65" s="132"/>
      <c r="D65" s="53">
        <f>IF(Calculation2!$AS$14="","",Calculation2!$AS$14)</f>
        <v>2115.60</v>
      </c>
      <c r="E65" s="53">
        <f>IF(Calculation2!$AS$15="","",Calculation2!$AS$15)</f>
        <v>2400</v>
      </c>
      <c r="F65" s="53">
        <f>IF(Calculation2!$AS$16="","",Calculation2!$AS$16)</f>
        <v>2406</v>
      </c>
      <c r="G65" s="53">
        <f>IF(Calculation2!$AS$17="","",Calculation2!$AS$17)</f>
        <v>2833.60</v>
      </c>
      <c r="H65" s="53">
        <f>IF(Calculation2!$AS$18="","",Calculation2!$AS$18)</f>
        <v>3475</v>
      </c>
      <c r="I65" s="53">
        <f>IF(Calculation2!$AS$19="","",Calculation2!$AS$19)</f>
        <v>3730</v>
      </c>
      <c r="J65" s="102">
        <f>IF(Calculation2!$AS$20="","",Calculation2!$AS$20)</f>
        <v>2821.40</v>
      </c>
      <c r="K65" s="93"/>
      <c r="L65" s="96">
        <f>IF(Calculation2!$AS$12&gt;$E$10,$E$10,Calculation2!$AS$12)</f>
        <v>5</v>
      </c>
      <c r="M65" s="56">
        <f t="shared" si="3"/>
        <v>83.333333333333258</v>
      </c>
    </row>
    <row r="66" spans="1:13" ht="18" customHeight="1">
      <c r="A66" s="131" t="str">
        <f>Calculation2!AT$4</f>
        <v>Children's Education Cost</v>
      </c>
      <c r="B66" s="132"/>
      <c r="C66" s="132"/>
      <c r="D66" s="53" t="str">
        <f>IF(Calculation2!$AT$14="","",Calculation2!$AT$14)</f>
        <v/>
      </c>
      <c r="E66" s="53" t="str">
        <f>IF(Calculation2!$AT$15="","",Calculation2!$AT$15)</f>
        <v/>
      </c>
      <c r="F66" s="53" t="str">
        <f>IF(Calculation2!$AT$16="","",Calculation2!$AT$16)</f>
        <v/>
      </c>
      <c r="G66" s="53" t="str">
        <f>IF(Calculation2!$AT$17="","",Calculation2!$AT$17)</f>
        <v/>
      </c>
      <c r="H66" s="53" t="str">
        <f>IF(Calculation2!$AT$18="","",Calculation2!$AT$18)</f>
        <v/>
      </c>
      <c r="I66" s="53" t="str">
        <f>IF(Calculation2!$AT$19="","",Calculation2!$AT$19)</f>
        <v/>
      </c>
      <c r="J66" s="102" t="str">
        <f>IF(Calculation2!$AT$20="","",Calculation2!$AT$20)</f>
        <v/>
      </c>
      <c r="K66" s="93"/>
      <c r="L66" s="96">
        <f>IF(Calculation2!$AT$12&gt;$E$10,$E$10,Calculation2!$AT$12)</f>
        <v>0</v>
      </c>
      <c r="M66" s="56" t="str">
        <f t="shared" si="3"/>
        <v/>
      </c>
    </row>
    <row r="67" spans="1:13" ht="18" customHeight="1">
      <c r="A67" s="106" t="str">
        <f>Calculation2!AU$4</f>
        <v>Total Perquisites</v>
      </c>
      <c r="B67" s="107"/>
      <c r="C67" s="107"/>
      <c r="D67" s="53">
        <f>IF(Calculation2!$AU$14="","",Calculation2!$AU$14)</f>
        <v>32840.40</v>
      </c>
      <c r="E67" s="53">
        <f>IF(Calculation2!$AU$15="","",Calculation2!$AU$15)</f>
        <v>55926</v>
      </c>
      <c r="F67" s="53">
        <f>IF(Calculation2!$AU$16="","",Calculation2!$AU$16)</f>
        <v>65975</v>
      </c>
      <c r="G67" s="53">
        <f>IF(Calculation2!$AU$17="","",Calculation2!$AU$17)</f>
        <v>66947.399999999994</v>
      </c>
      <c r="H67" s="53">
        <f>IF(Calculation2!$AU$18="","",Calculation2!$AU$18)</f>
        <v>68406</v>
      </c>
      <c r="I67" s="53">
        <f>IF(Calculation2!$AU$19="","",Calculation2!$AU$19)</f>
        <v>189304.79999999993</v>
      </c>
      <c r="J67" s="102">
        <f>IF(Calculation2!$AU$20="","",Calculation2!$AU$20)</f>
        <v>95532.20</v>
      </c>
      <c r="K67" s="93"/>
      <c r="L67" s="96">
        <f>IF(Calculation2!$AU$12&gt;$E$10,$E$10,Calculation2!$AU$12)</f>
        <v>5</v>
      </c>
      <c r="M67" s="56">
        <f t="shared" si="3"/>
        <v>83.333333333333258</v>
      </c>
    </row>
    <row r="68" spans="1:13" ht="18" customHeight="1">
      <c r="A68" s="108" t="str">
        <f>Calculation2!AV$4</f>
        <v>- As % of Basic Salary</v>
      </c>
      <c r="B68" s="109"/>
      <c r="C68" s="109"/>
      <c r="D68" s="64">
        <f>IF(Calculation2!$AV$14="","",Calculation2!$AV$14)</f>
        <v>0.02561924742156629</v>
      </c>
      <c r="E68" s="64">
        <f>IF(Calculation2!$AV$15="","",Calculation2!$AV$15)</f>
        <v>0.041531176006314126</v>
      </c>
      <c r="F68" s="64">
        <f>IF(Calculation2!$AV$16="","",Calculation2!$AV$16)</f>
        <v>0.047800000000000002</v>
      </c>
      <c r="G68" s="64">
        <f>IF(Calculation2!$AV$17="","",Calculation2!$AV$17)</f>
        <v>0.058002124481807311</v>
      </c>
      <c r="H68" s="64">
        <f>IF(Calculation2!$AV$18="","",Calculation2!$AV$18)</f>
        <v>0.073305311204518178</v>
      </c>
      <c r="I68" s="64">
        <f>IF(Calculation2!$AV$19="","",Calculation2!$AV$19)</f>
        <v>0.19173552333849159</v>
      </c>
      <c r="J68" s="103">
        <f>IF(Calculation2!$AV$20="","",Calculation2!$AV$20)</f>
        <v>0.089667356067408041</v>
      </c>
      <c r="K68" s="93"/>
      <c r="L68" s="96">
        <f>IF(Calculation2!$AV$12&gt;$E$10,$E$10,Calculation2!$AV$12)</f>
        <v>5</v>
      </c>
      <c r="M68" s="56">
        <f t="shared" si="3"/>
        <v>83.333333333333258</v>
      </c>
    </row>
    <row r="69" spans="1:13" ht="18" customHeight="1">
      <c r="A69" s="58" t="s">
        <v>372</v>
      </c>
      <c r="B69" s="110" t="str">
        <f>Calculation2!AW$4</f>
        <v>Actual Total Remuneration</v>
      </c>
      <c r="C69" s="111"/>
      <c r="D69" s="59">
        <f>IF(Calculation2!$AW$14="","",Calculation2!$AW$14)</f>
        <v>2853553.6363240001</v>
      </c>
      <c r="E69" s="59">
        <f>IF(Calculation2!$AW$15="","",Calculation2!$AW$15)</f>
        <v>2982307.3794859964</v>
      </c>
      <c r="F69" s="59">
        <f>IF(Calculation2!$AW$16="","",Calculation2!$AW$16)</f>
        <v>3335528.35</v>
      </c>
      <c r="G69" s="59">
        <f>IF(Calculation2!$AW$17="","",Calculation2!$AW$17)</f>
        <v>3565206</v>
      </c>
      <c r="H69" s="59">
        <f>IF(Calculation2!$AW$18="","",Calculation2!$AW$18)</f>
        <v>3846055.50</v>
      </c>
      <c r="I69" s="59">
        <f>IF(Calculation2!$AW$19="","",Calculation2!$AW$19)</f>
        <v>4472229</v>
      </c>
      <c r="J69" s="59">
        <f>IF(Calculation2!$AW$20="","",Calculation2!$AW$20)</f>
        <v>3553770.3287746664</v>
      </c>
      <c r="K69" s="60"/>
      <c r="L69" s="61">
        <f>IF(Calculation2!$AW$12&gt;$E$10,$E$10,Calculation2!$AW$12)</f>
        <v>6</v>
      </c>
      <c r="M69" s="62">
        <f t="shared" si="3"/>
        <v>100</v>
      </c>
    </row>
    <row r="70" spans="1:13" ht="5.1" customHeight="1">
      <c r="A70" s="39"/>
      <c r="B70" s="39"/>
      <c r="C70" s="39"/>
      <c r="D70" s="39" t="s">
        <v>394</v>
      </c>
      <c r="E70" s="39" t="s">
        <v>394</v>
      </c>
      <c r="F70" s="39" t="s">
        <v>394</v>
      </c>
      <c r="G70" s="39" t="s">
        <v>394</v>
      </c>
      <c r="H70" s="39" t="s">
        <v>394</v>
      </c>
      <c r="I70" s="39" t="s">
        <v>394</v>
      </c>
      <c r="J70" s="39" t="s">
        <v>394</v>
      </c>
      <c r="K70" s="39"/>
      <c r="L70" s="39"/>
      <c r="M70" s="39"/>
    </row>
    <row r="71" spans="1:13" ht="18" customHeight="1">
      <c r="A71" s="58" t="s">
        <v>371</v>
      </c>
      <c r="B71" s="110" t="str">
        <f>Calculation2!AX$4</f>
        <v>Target Total Remuneration</v>
      </c>
      <c r="C71" s="111"/>
      <c r="D71" s="59">
        <f>IF(Calculation2!$AX$14="","",Calculation2!$AX$14)</f>
        <v>2377754.2488240022</v>
      </c>
      <c r="E71" s="59">
        <f>IF(Calculation2!$AX$15="","",Calculation2!$AX$15)</f>
        <v>2486659.6232360033</v>
      </c>
      <c r="F71" s="59">
        <f>IF(Calculation2!$AX$16="","",Calculation2!$AX$16)</f>
        <v>3043081</v>
      </c>
      <c r="G71" s="59">
        <f>IF(Calculation2!$AX$17="","",Calculation2!$AX$17)</f>
        <v>3320178</v>
      </c>
      <c r="H71" s="59">
        <f>IF(Calculation2!$AX$18="","",Calculation2!$AX$18)</f>
        <v>3503949</v>
      </c>
      <c r="I71" s="59">
        <f>IF(Calculation2!$AX$19="","",Calculation2!$AX$19)</f>
        <v>4284996</v>
      </c>
      <c r="J71" s="59">
        <f>IF(Calculation2!$AX$20="","",Calculation2!$AX$20)</f>
        <v>3235277.0829413272</v>
      </c>
      <c r="K71" s="60"/>
      <c r="L71" s="61">
        <f>IF(Calculation2!$AX$12&gt;$E$10,$E$10,Calculation2!$AX$12)</f>
        <v>6</v>
      </c>
      <c r="M71" s="62">
        <f>IF($L71&gt;0,$L71/$E$10*100,"")</f>
        <v>100</v>
      </c>
    </row>
    <row r="72" spans="1:13" ht="5.1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ht="15.9" customHeight="1">
      <c r="A73" s="112"/>
      <c r="B73" s="113"/>
      <c r="C73" s="113"/>
      <c r="D73" s="136" t="s">
        <v>55</v>
      </c>
      <c r="E73" s="137"/>
      <c r="F73" s="137"/>
      <c r="G73" s="137"/>
      <c r="H73" s="137"/>
      <c r="I73" s="137"/>
      <c r="J73" s="112"/>
      <c r="K73" s="63"/>
      <c r="L73" s="138"/>
      <c r="M73" s="136"/>
    </row>
    <row r="74" spans="1:13" ht="18" customHeight="1">
      <c r="A74" s="131" t="str">
        <f>Calculation2!AY$4</f>
        <v>Mandatory Social Benefits Contribution</v>
      </c>
      <c r="B74" s="132"/>
      <c r="C74" s="132"/>
      <c r="D74" s="53">
        <f>IF(Calculation2!$AY$14="","",Calculation2!$AY$14)</f>
        <v>6395.50</v>
      </c>
      <c r="E74" s="53">
        <f>IF(Calculation2!$AY$15="","",Calculation2!$AY$15)</f>
        <v>7654.50</v>
      </c>
      <c r="F74" s="53">
        <f>IF(Calculation2!$AY$16="","",Calculation2!$AY$16)</f>
        <v>11537</v>
      </c>
      <c r="G74" s="53">
        <f>IF(Calculation2!$AY$17="","",Calculation2!$AY$17)</f>
        <v>13600</v>
      </c>
      <c r="H74" s="53">
        <f>IF(Calculation2!$AY$18="","",Calculation2!$AY$18)</f>
        <v>13600</v>
      </c>
      <c r="I74" s="53">
        <f>IF(Calculation2!$AY$19="","",Calculation2!$AY$19)</f>
        <v>13600</v>
      </c>
      <c r="J74" s="102">
        <f>IF(Calculation2!$AY$20="","",Calculation2!$AY$20)</f>
        <v>10510.833333333327</v>
      </c>
      <c r="K74" s="93"/>
      <c r="L74" s="96">
        <f>IF(Calculation2!$AY$12&gt;$E$10,$E$10,Calculation2!$AY$12)</f>
        <v>6</v>
      </c>
      <c r="M74" s="56">
        <f>IF($L74&gt;0,$L74/$E$10*100,"")</f>
        <v>100</v>
      </c>
    </row>
    <row r="75" spans="1:13" ht="18" customHeight="1">
      <c r="A75" s="131" t="str">
        <f>Calculation2!AZ$4</f>
        <v>Supplementary Social Benefits Contribution</v>
      </c>
      <c r="B75" s="132"/>
      <c r="C75" s="132"/>
      <c r="D75" s="53" t="str">
        <f>IF(Calculation2!$AZ$14="","",Calculation2!$AZ$14)</f>
        <v/>
      </c>
      <c r="E75" s="53" t="str">
        <f>IF(Calculation2!$AZ$15="","",Calculation2!$AZ$15)</f>
        <v/>
      </c>
      <c r="F75" s="53" t="str">
        <f>IF(Calculation2!$AZ$16="","",Calculation2!$AZ$16)</f>
        <v/>
      </c>
      <c r="G75" s="53" t="str">
        <f>IF(Calculation2!$AZ$17="","",Calculation2!$AZ$17)</f>
        <v/>
      </c>
      <c r="H75" s="53" t="str">
        <f>IF(Calculation2!$AZ$18="","",Calculation2!$AZ$18)</f>
        <v/>
      </c>
      <c r="I75" s="53" t="str">
        <f>IF(Calculation2!$AZ$19="","",Calculation2!$AZ$19)</f>
        <v/>
      </c>
      <c r="J75" s="102" t="str">
        <f>IF(Calculation2!$AZ$20="","",Calculation2!$AZ$20)</f>
        <v/>
      </c>
      <c r="K75" s="93"/>
      <c r="L75" s="96">
        <f>IF(Calculation2!$AZ$12&gt;$E$10,$E$10,Calculation2!$AZ$12)</f>
        <v>0</v>
      </c>
      <c r="M75" s="56" t="str">
        <f>IF($L75&gt;0,$L75/$E$10*100,"")</f>
        <v/>
      </c>
    </row>
    <row r="76" spans="1:13" ht="18" customHeight="1">
      <c r="A76" s="106" t="str">
        <f>Calculation2!BA$4</f>
        <v>Total Social Benefits Contribution</v>
      </c>
      <c r="B76" s="107"/>
      <c r="C76" s="107"/>
      <c r="D76" s="53">
        <f>IF(Calculation2!$BA$14="","",Calculation2!$BA$14)</f>
        <v>6395.50</v>
      </c>
      <c r="E76" s="53">
        <f>IF(Calculation2!$BA$15="","",Calculation2!$BA$15)</f>
        <v>7654.50</v>
      </c>
      <c r="F76" s="53">
        <f>IF(Calculation2!$BA$16="","",Calculation2!$BA$16)</f>
        <v>11537</v>
      </c>
      <c r="G76" s="53">
        <f>IF(Calculation2!$BA$17="","",Calculation2!$BA$17)</f>
        <v>13600</v>
      </c>
      <c r="H76" s="53">
        <f>IF(Calculation2!$BA$18="","",Calculation2!$BA$18)</f>
        <v>13600</v>
      </c>
      <c r="I76" s="53">
        <f>IF(Calculation2!$BA$19="","",Calculation2!$BA$19)</f>
        <v>13600</v>
      </c>
      <c r="J76" s="102">
        <f>IF(Calculation2!$BA$20="","",Calculation2!$BA$20)</f>
        <v>10510.833333333327</v>
      </c>
      <c r="K76" s="93"/>
      <c r="L76" s="96">
        <f>IF(Calculation2!$BA$12&gt;$E$10,$E$10,Calculation2!$BA$12)</f>
        <v>6</v>
      </c>
      <c r="M76" s="56">
        <f>IF($L76&gt;0,$L76/$E$10*100,"")</f>
        <v>100</v>
      </c>
    </row>
    <row r="77" spans="1:13" ht="18" customHeight="1">
      <c r="A77" s="108" t="str">
        <f>Calculation2!BB$4</f>
        <v>- As % of Basic Salary</v>
      </c>
      <c r="B77" s="109"/>
      <c r="C77" s="109"/>
      <c r="D77" s="64">
        <f>IF(Calculation2!$BB$14="","",Calculation2!$BB$14)</f>
        <v>0.0053461605878909399</v>
      </c>
      <c r="E77" s="64">
        <f>IF(Calculation2!$BB$15="","",Calculation2!$BB$15)</f>
        <v>0.0058199286287684065</v>
      </c>
      <c r="F77" s="64">
        <f>IF(Calculation2!$BB$16="","",Calculation2!$BB$16)</f>
        <v>0.0094490303386341647</v>
      </c>
      <c r="G77" s="64">
        <f>IF(Calculation2!$BB$17="","",Calculation2!$BB$17)</f>
        <v>0.012874129053336725</v>
      </c>
      <c r="H77" s="64">
        <f>IF(Calculation2!$BB$18="","",Calculation2!$BB$18)</f>
        <v>0.013448198294825488</v>
      </c>
      <c r="I77" s="64">
        <f>IF(Calculation2!$BB$19="","",Calculation2!$BB$19)</f>
        <v>0.01437530772478187</v>
      </c>
      <c r="J77" s="103">
        <f>IF(Calculation2!$BB$20="","",Calculation2!$BB$20)</f>
        <v>0.0097234995504356294</v>
      </c>
      <c r="K77" s="93"/>
      <c r="L77" s="96">
        <f>IF(Calculation2!$BB$12&gt;$E$10,$E$10,Calculation2!$BB$12)</f>
        <v>6</v>
      </c>
      <c r="M77" s="56">
        <f>IF($L77&gt;0,$L77/$E$10*100,"")</f>
        <v>100</v>
      </c>
    </row>
    <row r="78" spans="1:13" ht="18" customHeight="1">
      <c r="A78" s="58" t="s">
        <v>374</v>
      </c>
      <c r="B78" s="110" t="str">
        <f>Calculation2!BC$4</f>
        <v>Actual Total Cost to Company</v>
      </c>
      <c r="C78" s="111"/>
      <c r="D78" s="59">
        <f>IF(Calculation2!$BC$14="","",Calculation2!$BC$14)</f>
        <v>2867153.6363240001</v>
      </c>
      <c r="E78" s="59">
        <f>IF(Calculation2!$BC$15="","",Calculation2!$BC$15)</f>
        <v>2993943.1294860002</v>
      </c>
      <c r="F78" s="59">
        <f>IF(Calculation2!$BC$16="","",Calculation2!$BC$16)</f>
        <v>3341923.85</v>
      </c>
      <c r="G78" s="59">
        <f>IF(Calculation2!$BC$17="","",Calculation2!$BC$17)</f>
        <v>3572254</v>
      </c>
      <c r="H78" s="59">
        <f>IF(Calculation2!$BC$18="","",Calculation2!$BC$18)</f>
        <v>3858017.50</v>
      </c>
      <c r="I78" s="59">
        <f>IF(Calculation2!$BC$19="","",Calculation2!$BC$19)</f>
        <v>4483766</v>
      </c>
      <c r="J78" s="59">
        <f>IF(Calculation2!$BC$20="","",Calculation2!$BC$20)</f>
        <v>3564281.1621079966</v>
      </c>
      <c r="K78" s="60"/>
      <c r="L78" s="61">
        <f>IF(Calculation2!$BC$12&gt;$E$10,$E$10,Calculation2!$BC$12)</f>
        <v>6</v>
      </c>
      <c r="M78" s="62">
        <f>IF($L78&gt;0,$L78/$E$10*100,"")</f>
        <v>100</v>
      </c>
    </row>
    <row r="79" spans="1:13" ht="5.1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ht="20.1" customHeight="1">
      <c r="A80" s="58" t="s">
        <v>375</v>
      </c>
      <c r="B80" s="110" t="str">
        <f>Calculation2!BD$4</f>
        <v>Target Total Cost to Company</v>
      </c>
      <c r="C80" s="111"/>
      <c r="D80" s="59">
        <f>IF(Calculation2!$BD$14="","",Calculation2!$BD$14)</f>
        <v>2387425.7488240022</v>
      </c>
      <c r="E80" s="59">
        <f>IF(Calculation2!$BD$15="","",Calculation2!$BD$15)</f>
        <v>2500259.6232360033</v>
      </c>
      <c r="F80" s="59">
        <f>IF(Calculation2!$BD$16="","",Calculation2!$BD$16)</f>
        <v>3056681</v>
      </c>
      <c r="G80" s="59">
        <f>IF(Calculation2!$BD$17="","",Calculation2!$BD$17)</f>
        <v>3333778</v>
      </c>
      <c r="H80" s="59">
        <f>IF(Calculation2!$BD$18="","",Calculation2!$BD$18)</f>
        <v>3512635</v>
      </c>
      <c r="I80" s="59">
        <f>IF(Calculation2!$BD$19="","",Calculation2!$BD$19)</f>
        <v>4293257</v>
      </c>
      <c r="J80" s="59">
        <f>IF(Calculation2!$BD$20="","",Calculation2!$BD$20)</f>
        <v>3245787.9162746668</v>
      </c>
      <c r="K80" s="60"/>
      <c r="L80" s="61">
        <f>IF(Calculation2!$BD$12&gt;$E$10,$E$10,Calculation2!$BD$12)</f>
        <v>6</v>
      </c>
      <c r="M80" s="62">
        <f>IF($L80&gt;0,$L80/$E$10*100,"")</f>
        <v>100</v>
      </c>
    </row>
    <row r="81" spans="1:13" ht="5.1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ht="20.1" customHeight="1">
      <c r="A82" s="106" t="str">
        <f>Calculation2!BE$4</f>
        <v>Fixed Cash Allowances  + Total Perquisites</v>
      </c>
      <c r="B82" s="107"/>
      <c r="C82" s="107"/>
      <c r="D82" s="53">
        <f>IF(Calculation2!$BE$14="","",Calculation2!$BE$14)</f>
        <v>74387.50</v>
      </c>
      <c r="E82" s="53">
        <f>IF(Calculation2!$BE$15="","",Calculation2!$BE$15)</f>
        <v>92382.50</v>
      </c>
      <c r="F82" s="53">
        <f>IF(Calculation2!$BE$16="","",Calculation2!$BE$16)</f>
        <v>133168</v>
      </c>
      <c r="G82" s="53">
        <f>IF(Calculation2!$BE$17="","",Calculation2!$BE$17)</f>
        <v>145206</v>
      </c>
      <c r="H82" s="53">
        <f>IF(Calculation2!$BE$18="","",Calculation2!$BE$18)</f>
        <v>154566</v>
      </c>
      <c r="I82" s="53">
        <f>IF(Calculation2!$BE$19="","",Calculation2!$BE$19)</f>
        <v>213795</v>
      </c>
      <c r="J82" s="102">
        <f>IF(Calculation2!$BE$20="","",Calculation2!$BE$20)</f>
        <v>140450.16666666666</v>
      </c>
      <c r="K82" s="93"/>
      <c r="L82" s="96">
        <f>IF(Calculation2!$BE$12&gt;$E$10,$E$10,Calculation2!$BE$12)</f>
        <v>6</v>
      </c>
      <c r="M82" s="56">
        <f>IF($L82&gt;0,$L82/$E$10*100,"")</f>
        <v>100</v>
      </c>
    </row>
    <row r="83" spans="1:13" ht="20.1" customHeight="1">
      <c r="A83" s="106" t="str">
        <f>Calculation2!BF$4</f>
        <v>Fixed Cash + Total Perquisites</v>
      </c>
      <c r="B83" s="107"/>
      <c r="C83" s="107"/>
      <c r="D83" s="53">
        <f>IF(Calculation2!$BF$14="","",Calculation2!$BF$14)</f>
        <v>1052580.07</v>
      </c>
      <c r="E83" s="53">
        <f>IF(Calculation2!$BF$15="","",Calculation2!$BF$15)</f>
        <v>1171137.605</v>
      </c>
      <c r="F83" s="53">
        <f>IF(Calculation2!$BF$16="","",Calculation2!$BF$16)</f>
        <v>1275296</v>
      </c>
      <c r="G83" s="53">
        <f>IF(Calculation2!$BF$17="","",Calculation2!$BF$17)</f>
        <v>1283588</v>
      </c>
      <c r="H83" s="53">
        <f>IF(Calculation2!$BF$18="","",Calculation2!$BF$18)</f>
        <v>1307301.50</v>
      </c>
      <c r="I83" s="53">
        <f>IF(Calculation2!$BF$19="","",Calculation2!$BF$19)</f>
        <v>1559996</v>
      </c>
      <c r="J83" s="102">
        <f>IF(Calculation2!$BF$20="","",Calculation2!$BF$20)</f>
        <v>1295957.3566666681</v>
      </c>
      <c r="K83" s="93"/>
      <c r="L83" s="96">
        <f>IF(Calculation2!$BF$12&gt;$E$10,$E$10,Calculation2!$BF$12)</f>
        <v>6</v>
      </c>
      <c r="M83" s="56">
        <f>IF($L83&gt;0,$L83/$E$10*100,"")</f>
        <v>100</v>
      </c>
    </row>
    <row r="84" spans="1:13" ht="20.1" customHeight="1">
      <c r="A84" s="106" t="str">
        <f>Calculation2!BG$4</f>
        <v>Fixed Cash + Total Perquisites + Total Social Benefits Contribution</v>
      </c>
      <c r="B84" s="107"/>
      <c r="C84" s="107"/>
      <c r="D84" s="53">
        <f>IF(Calculation2!$BG$14="","",Calculation2!$BG$14)</f>
        <v>1066180.07</v>
      </c>
      <c r="E84" s="53">
        <f>IF(Calculation2!$BG$15="","",Calculation2!$BG$15)</f>
        <v>1184737.605</v>
      </c>
      <c r="F84" s="53">
        <f>IF(Calculation2!$BG$16="","",Calculation2!$BG$16)</f>
        <v>1284967.50</v>
      </c>
      <c r="G84" s="53">
        <f>IF(Calculation2!$BG$17="","",Calculation2!$BG$17)</f>
        <v>1289331</v>
      </c>
      <c r="H84" s="53">
        <f>IF(Calculation2!$BG$18="","",Calculation2!$BG$18)</f>
        <v>1314023.25</v>
      </c>
      <c r="I84" s="53">
        <f>IF(Calculation2!$BG$19="","",Calculation2!$BG$19)</f>
        <v>1568257</v>
      </c>
      <c r="J84" s="102">
        <f>IF(Calculation2!$BG$20="","",Calculation2!$BG$20)</f>
        <v>1306468.1900000011</v>
      </c>
      <c r="K84" s="93"/>
      <c r="L84" s="96">
        <f>IF(Calculation2!$BG$12&gt;$E$10,$E$10,Calculation2!$BG$12)</f>
        <v>6</v>
      </c>
      <c r="M84" s="56">
        <f>IF($L84&gt;0,$L84/$E$10*100,"")</f>
        <v>100</v>
      </c>
    </row>
    <row r="85" spans="1:13" ht="20.1" customHeight="1">
      <c r="A85" s="106" t="str">
        <f>Calculation2!BH$4</f>
        <v>Actual Total Cash + Total Perquisites</v>
      </c>
      <c r="B85" s="107"/>
      <c r="C85" s="107"/>
      <c r="D85" s="53">
        <f>IF(Calculation2!$BH$14="","",Calculation2!$BH$14)</f>
        <v>1972113</v>
      </c>
      <c r="E85" s="53">
        <f>IF(Calculation2!$BH$15="","",Calculation2!$BH$15)</f>
        <v>2138572.03125</v>
      </c>
      <c r="F85" s="53">
        <f>IF(Calculation2!$BH$16="","",Calculation2!$BH$16)</f>
        <v>2407697.4124999959</v>
      </c>
      <c r="G85" s="53">
        <f>IF(Calculation2!$BH$17="","",Calculation2!$BH$17)</f>
        <v>2495850.7000000002</v>
      </c>
      <c r="H85" s="53">
        <f>IF(Calculation2!$BH$18="","",Calculation2!$BH$18)</f>
        <v>3297867.1749999998</v>
      </c>
      <c r="I85" s="53">
        <f>IF(Calculation2!$BH$19="","",Calculation2!$BH$19)</f>
        <v>4284996</v>
      </c>
      <c r="J85" s="102">
        <f>IF(Calculation2!$BH$20="","",Calculation2!$BH$20)</f>
        <v>2888268.8041666667</v>
      </c>
      <c r="K85" s="93"/>
      <c r="L85" s="96">
        <f>IF(Calculation2!$BH$12&gt;$E$10,$E$10,Calculation2!$BH$12)</f>
        <v>6</v>
      </c>
      <c r="M85" s="56">
        <f>IF($L85&gt;0,$L85/$E$10*100,"")</f>
        <v>100</v>
      </c>
    </row>
    <row r="86" spans="1:13" ht="20.1" customHeight="1">
      <c r="A86" s="106" t="str">
        <f>Calculation2!BI$4</f>
        <v>Actual Total Cash + Total Perquisites + Total Social Benefits Contribution</v>
      </c>
      <c r="B86" s="107"/>
      <c r="C86" s="107"/>
      <c r="D86" s="53">
        <f>IF(Calculation2!$BI$14="","",Calculation2!$BI$14)</f>
        <v>1985713</v>
      </c>
      <c r="E86" s="53">
        <f>IF(Calculation2!$BI$15="","",Calculation2!$BI$15)</f>
        <v>2152172.03125</v>
      </c>
      <c r="F86" s="53">
        <f>IF(Calculation2!$BI$16="","",Calculation2!$BI$16)</f>
        <v>2417368.9124999959</v>
      </c>
      <c r="G86" s="53">
        <f>IF(Calculation2!$BI$17="","",Calculation2!$BI$17)</f>
        <v>2501593.7000000002</v>
      </c>
      <c r="H86" s="53">
        <f>IF(Calculation2!$BI$18="","",Calculation2!$BI$18)</f>
        <v>3304588.9249999998</v>
      </c>
      <c r="I86" s="53">
        <f>IF(Calculation2!$BI$19="","",Calculation2!$BI$19)</f>
        <v>4293257</v>
      </c>
      <c r="J86" s="102">
        <f>IF(Calculation2!$BI$20="","",Calculation2!$BI$20)</f>
        <v>2898779.6374999997</v>
      </c>
      <c r="K86" s="93"/>
      <c r="L86" s="96">
        <f>IF(Calculation2!$BI$12&gt;$E$10,$E$10,Calculation2!$BI$12)</f>
        <v>6</v>
      </c>
      <c r="M86" s="56">
        <f>IF($L86&gt;0,$L86/$E$10*100,"")</f>
        <v>100</v>
      </c>
    </row>
    <row r="87" spans="1:13" ht="5.1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ht="20.1" customHeight="1">
      <c r="A88" s="106" t="str">
        <f>Calculation2!BJ$4</f>
        <v>Age</v>
      </c>
      <c r="B88" s="107"/>
      <c r="C88" s="107"/>
      <c r="D88" s="53">
        <f>IF(Calculation2!$BJ$14="","",Calculation2!$BJ$14)</f>
        <v>60</v>
      </c>
      <c r="E88" s="53">
        <f>IF(Calculation2!$BJ$15="","",Calculation2!$BJ$15)</f>
        <v>61.50</v>
      </c>
      <c r="F88" s="53">
        <f>IF(Calculation2!$BJ$16="","",Calculation2!$BJ$16)</f>
        <v>63</v>
      </c>
      <c r="G88" s="53">
        <f>IF(Calculation2!$BJ$17="","",Calculation2!$BJ$17)</f>
        <v>63</v>
      </c>
      <c r="H88" s="53">
        <f>IF(Calculation2!$BJ$18="","",Calculation2!$BJ$18)</f>
        <v>63.75</v>
      </c>
      <c r="I88" s="53">
        <f>IF(Calculation2!$BJ$19="","",Calculation2!$BJ$19)</f>
        <v>64</v>
      </c>
      <c r="J88" s="102">
        <f>IF(Calculation2!$BJ$20="","",Calculation2!$BJ$20)</f>
        <v>62.333333333333336</v>
      </c>
      <c r="K88" s="93"/>
      <c r="L88" s="96">
        <f>IF(Calculation2!$BJ$12&gt;$E$10,$E$10,Calculation2!$BJ$12)</f>
        <v>6</v>
      </c>
      <c r="M88" s="56">
        <f>IF($L88&gt;0,$L88/$E$10*100,"")</f>
        <v>100</v>
      </c>
    </row>
    <row r="89" spans="1:13" ht="20.1" customHeight="1">
      <c r="A89" s="106" t="str">
        <f>Calculation2!BK$4</f>
        <v>Year of Service</v>
      </c>
      <c r="B89" s="107"/>
      <c r="C89" s="107"/>
      <c r="D89" s="53">
        <f>IF(Calculation2!$BK$14="","",Calculation2!$BK$14)</f>
        <v>8</v>
      </c>
      <c r="E89" s="53">
        <f>IF(Calculation2!$BK$15="","",Calculation2!$BK$15)</f>
        <v>9.75</v>
      </c>
      <c r="F89" s="53">
        <f>IF(Calculation2!$BK$16="","",Calculation2!$BK$16)</f>
        <v>12.50</v>
      </c>
      <c r="G89" s="53">
        <f>IF(Calculation2!$BK$17="","",Calculation2!$BK$17)</f>
        <v>13</v>
      </c>
      <c r="H89" s="53">
        <f>IF(Calculation2!$BK$18="","",Calculation2!$BK$18)</f>
        <v>24.25</v>
      </c>
      <c r="I89" s="53">
        <f>IF(Calculation2!$BK$19="","",Calculation2!$BK$19)</f>
        <v>32.50</v>
      </c>
      <c r="J89" s="102">
        <f>IF(Calculation2!$BK$20="","",Calculation2!$BK$20)</f>
        <v>17.666666666666668</v>
      </c>
      <c r="K89" s="93"/>
      <c r="L89" s="96">
        <f>IF(Calculation2!$BK$12&gt;$E$10,$E$10,Calculation2!$BK$12)</f>
        <v>6</v>
      </c>
      <c r="M89" s="56">
        <f>IF($L89&gt;0,$L89/$E$10*100,"")</f>
        <v>100</v>
      </c>
    </row>
    <row r="90" spans="1:13" ht="5.1" customHeight="1">
      <c r="A90" s="39"/>
      <c r="B90" s="39"/>
      <c r="C90" s="39"/>
      <c r="D90" s="39"/>
      <c r="E90" s="39"/>
      <c r="F90" s="39"/>
      <c r="G90" s="45"/>
      <c r="H90" s="66"/>
      <c r="I90" s="45"/>
      <c r="J90" s="45"/>
      <c r="K90" s="45"/>
      <c r="L90" s="45"/>
      <c r="M90" s="45"/>
    </row>
    <row r="91" spans="1:13" ht="15.9" customHeight="1">
      <c r="A91" s="39"/>
      <c r="B91" s="39"/>
      <c r="C91" s="39"/>
      <c r="D91" s="39"/>
      <c r="E91" s="39"/>
      <c r="F91" s="39"/>
      <c r="G91" s="67"/>
      <c r="H91" s="80" t="s">
        <v>56</v>
      </c>
      <c r="I91" s="39"/>
      <c r="J91" s="39"/>
      <c r="K91" s="39"/>
      <c r="L91" s="39"/>
      <c r="M91" s="39"/>
    </row>
    <row r="92" spans="1:13" ht="15.9" customHeight="1">
      <c r="A92" s="39"/>
      <c r="B92" s="39"/>
      <c r="C92" s="39"/>
      <c r="D92" s="39"/>
      <c r="E92" s="39"/>
      <c r="F92" s="39"/>
      <c r="G92" s="68"/>
      <c r="H92" s="81" t="s">
        <v>380</v>
      </c>
      <c r="I92" s="45"/>
      <c r="J92" s="45"/>
      <c r="K92" s="45"/>
      <c r="L92" s="45"/>
      <c r="M92" s="45"/>
    </row>
    <row r="93" spans="1:13" ht="15.9" customHeight="1">
      <c r="A93" s="39"/>
      <c r="B93" s="39"/>
      <c r="C93" s="70"/>
      <c r="D93" s="70"/>
      <c r="E93" s="70"/>
      <c r="F93" s="70"/>
      <c r="G93" s="68"/>
      <c r="H93" s="81" t="s">
        <v>57</v>
      </c>
      <c r="I93" s="71"/>
      <c r="J93" s="71"/>
      <c r="K93" s="71"/>
      <c r="L93" s="71"/>
      <c r="M93" s="71"/>
    </row>
    <row r="94" spans="1:13" ht="15.9" customHeight="1">
      <c r="A94" s="39"/>
      <c r="B94" s="39"/>
      <c r="C94" s="70"/>
      <c r="D94" s="70"/>
      <c r="E94" s="70"/>
      <c r="F94" s="70"/>
      <c r="G94" s="69"/>
      <c r="H94" s="82" t="s">
        <v>225</v>
      </c>
      <c r="I94" s="71"/>
      <c r="J94" s="71"/>
      <c r="K94" s="71"/>
      <c r="L94" s="71"/>
      <c r="M94" s="71"/>
    </row>
    <row r="95" spans="1:13" ht="15.9" customHeight="1">
      <c r="A95" s="39"/>
      <c r="B95" s="39"/>
      <c r="C95" s="70"/>
      <c r="D95" s="70"/>
      <c r="E95" s="70"/>
      <c r="F95" s="70"/>
      <c r="G95" s="69"/>
      <c r="H95" s="82" t="s">
        <v>226</v>
      </c>
      <c r="I95" s="71"/>
      <c r="J95" s="71"/>
      <c r="K95" s="71"/>
      <c r="L95" s="71"/>
      <c r="M95" s="71"/>
    </row>
    <row r="96" spans="1:13" ht="15.9" customHeight="1">
      <c r="A96" s="39"/>
      <c r="B96" s="39"/>
      <c r="C96" s="70"/>
      <c r="D96" s="70"/>
      <c r="E96" s="70"/>
      <c r="F96" s="70"/>
      <c r="G96" s="69"/>
      <c r="H96" s="82" t="s">
        <v>377</v>
      </c>
      <c r="I96" s="71"/>
      <c r="J96" s="71"/>
      <c r="K96" s="71"/>
      <c r="L96" s="71"/>
      <c r="M96" s="71"/>
    </row>
    <row r="97" spans="1:13" ht="15.9" customHeight="1">
      <c r="A97" s="39"/>
      <c r="B97" s="39"/>
      <c r="C97" s="39"/>
      <c r="D97" s="39"/>
      <c r="E97" s="39"/>
      <c r="F97" s="39"/>
      <c r="G97" s="69"/>
      <c r="H97" s="82" t="s">
        <v>381</v>
      </c>
      <c r="I97" s="45"/>
      <c r="J97" s="45"/>
      <c r="K97" s="45"/>
      <c r="L97" s="45"/>
      <c r="M97" s="45"/>
    </row>
    <row r="98" spans="1:13" ht="15.9" customHeight="1">
      <c r="A98" s="39"/>
      <c r="B98" s="39"/>
      <c r="C98" s="39"/>
      <c r="D98" s="39"/>
      <c r="E98" s="39"/>
      <c r="F98" s="39"/>
      <c r="G98" s="69"/>
      <c r="H98" s="82" t="s">
        <v>378</v>
      </c>
      <c r="I98" s="45"/>
      <c r="J98" s="45"/>
      <c r="K98" s="45"/>
      <c r="L98" s="45"/>
      <c r="M98" s="45"/>
    </row>
    <row r="99" spans="1:13" ht="15.9" customHeight="1">
      <c r="A99" s="39"/>
      <c r="B99" s="39"/>
      <c r="C99" s="39"/>
      <c r="D99" s="39"/>
      <c r="E99" s="39"/>
      <c r="F99" s="39"/>
      <c r="G99" s="69"/>
      <c r="H99" s="82" t="s">
        <v>379</v>
      </c>
      <c r="I99" s="45"/>
      <c r="J99" s="45"/>
      <c r="K99" s="45"/>
      <c r="L99" s="45"/>
      <c r="M99" s="45"/>
    </row>
  </sheetData>
  <mergeCells count="92">
    <mergeCell ref="A84:C84"/>
    <mergeCell ref="A85:C85"/>
    <mergeCell ref="A86:C86"/>
    <mergeCell ref="A88:C88"/>
    <mergeCell ref="A89:C89"/>
    <mergeCell ref="A77:C77"/>
    <mergeCell ref="B78:C78"/>
    <mergeCell ref="B80:C80"/>
    <mergeCell ref="A82:C82"/>
    <mergeCell ref="A83:C83"/>
    <mergeCell ref="D73:J73"/>
    <mergeCell ref="L73:M73"/>
    <mergeCell ref="A74:C74"/>
    <mergeCell ref="A75:C75"/>
    <mergeCell ref="A76:C76"/>
    <mergeCell ref="A62:C62"/>
    <mergeCell ref="A63:C63"/>
    <mergeCell ref="A64:C64"/>
    <mergeCell ref="A65:C65"/>
    <mergeCell ref="A66:C66"/>
    <mergeCell ref="D61:J61"/>
    <mergeCell ref="L61:M61"/>
    <mergeCell ref="A52:C52"/>
    <mergeCell ref="A53:C53"/>
    <mergeCell ref="A54:C54"/>
    <mergeCell ref="A55:C55"/>
    <mergeCell ref="A56:C56"/>
    <mergeCell ref="B57:C57"/>
    <mergeCell ref="B59:C59"/>
    <mergeCell ref="A61:C61"/>
    <mergeCell ref="A47:C47"/>
    <mergeCell ref="A48:C48"/>
    <mergeCell ref="A49:C49"/>
    <mergeCell ref="A50:C50"/>
    <mergeCell ref="A51:C51"/>
    <mergeCell ref="D44:J44"/>
    <mergeCell ref="L44:M44"/>
    <mergeCell ref="A44:C44"/>
    <mergeCell ref="A45:C45"/>
    <mergeCell ref="A46:C46"/>
    <mergeCell ref="A38:C38"/>
    <mergeCell ref="A39:C39"/>
    <mergeCell ref="A40:C40"/>
    <mergeCell ref="B41:C41"/>
    <mergeCell ref="A42:C42"/>
    <mergeCell ref="A33:C33"/>
    <mergeCell ref="A34:C34"/>
    <mergeCell ref="A35:C35"/>
    <mergeCell ref="A36:C36"/>
    <mergeCell ref="A37:C37"/>
    <mergeCell ref="A27:C27"/>
    <mergeCell ref="A28:C28"/>
    <mergeCell ref="A29:C29"/>
    <mergeCell ref="B30:C30"/>
    <mergeCell ref="A31:C31"/>
    <mergeCell ref="A22:C22"/>
    <mergeCell ref="A23:C23"/>
    <mergeCell ref="A24:C24"/>
    <mergeCell ref="A25:C25"/>
    <mergeCell ref="A26:C26"/>
    <mergeCell ref="D21:J21"/>
    <mergeCell ref="L21:M21"/>
    <mergeCell ref="A18:C18"/>
    <mergeCell ref="B19:C19"/>
    <mergeCell ref="A21:C21"/>
    <mergeCell ref="D12:J12"/>
    <mergeCell ref="L12:M12"/>
    <mergeCell ref="A15:C15"/>
    <mergeCell ref="A16:C16"/>
    <mergeCell ref="B17:C17"/>
    <mergeCell ref="A9:B9"/>
    <mergeCell ref="C9:E9"/>
    <mergeCell ref="G9:H9"/>
    <mergeCell ref="J9:M9"/>
    <mergeCell ref="A10:B10"/>
    <mergeCell ref="A6:B6"/>
    <mergeCell ref="C6:E6"/>
    <mergeCell ref="G6:H6"/>
    <mergeCell ref="J6:M6"/>
    <mergeCell ref="A7:B7"/>
    <mergeCell ref="C7:E7"/>
    <mergeCell ref="A1:B1"/>
    <mergeCell ref="B3:M3"/>
    <mergeCell ref="A5:B5"/>
    <mergeCell ref="C5:E5"/>
    <mergeCell ref="G5:H5"/>
    <mergeCell ref="J5:M5"/>
    <mergeCell ref="A67:C67"/>
    <mergeCell ref="A68:C68"/>
    <mergeCell ref="B69:C69"/>
    <mergeCell ref="B71:C71"/>
    <mergeCell ref="A73:C73"/>
  </mergeCells>
  <printOptions horizontalCentered="1"/>
  <pageMargins left="0.31496062992126" right="0.31496062992126" top="0.31496062992126" bottom="0.0787401574803149" header="0.0393700787401575" footer="0.0393700787401575"/>
  <pageSetup orientation="portrait" paperSize="9" scale="5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M100"/>
  <sheetViews>
    <sheetView showGridLines="0" workbookViewId="0" topLeftCell="A1">
      <selection pane="topLeft" activeCell="C1" sqref="C1"/>
    </sheetView>
  </sheetViews>
  <sheetFormatPr defaultRowHeight="13.5"/>
  <cols>
    <col min="1" max="1" width="5.71428571428571" customWidth="1"/>
    <col min="2" max="2" width="26.7142857142857" customWidth="1"/>
    <col min="3" max="3" width="24.7142857142857" customWidth="1"/>
    <col min="4" max="10" width="15" customWidth="1"/>
    <col min="11" max="11" width="0.285714285714286" customWidth="1"/>
    <col min="12" max="13" width="12.2857142857143" customWidth="1"/>
  </cols>
  <sheetData>
    <row r="1" spans="1:13" ht="36.75" customHeight="1">
      <c r="A1" s="114"/>
      <c r="B1" s="115"/>
      <c r="C1" s="37"/>
      <c r="D1" s="37"/>
      <c r="E1" s="37"/>
      <c r="F1" s="37"/>
      <c r="G1" s="38"/>
      <c r="H1" s="38"/>
      <c r="I1" s="38"/>
      <c r="J1" s="38"/>
      <c r="K1" s="38"/>
      <c r="L1" s="38"/>
      <c r="M1" s="38"/>
    </row>
    <row r="2" spans="1:13" ht="29.1" customHeight="1">
      <c r="A2" s="37"/>
      <c r="B2" s="40"/>
      <c r="C2" s="37"/>
      <c r="D2" s="37"/>
      <c r="E2" s="37"/>
      <c r="F2" s="37"/>
      <c r="G2" s="38"/>
      <c r="H2" s="38"/>
      <c r="I2" s="38"/>
      <c r="J2" s="38"/>
      <c r="K2" s="38"/>
      <c r="L2" s="38"/>
      <c r="M2" s="38"/>
    </row>
    <row r="3" spans="1:13" ht="23.1" customHeight="1">
      <c r="A3" s="41"/>
      <c r="B3" s="116" t="str">
        <f>Calculation2!$Z$23</f>
        <v>I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3" ht="5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24.9" customHeight="1">
      <c r="A5" s="118" t="s">
        <v>39</v>
      </c>
      <c r="B5" s="119"/>
      <c r="C5" s="120" t="str">
        <f>Calculation2!$P$23</f>
        <v>C</v>
      </c>
      <c r="D5" s="121"/>
      <c r="E5" s="121"/>
      <c r="F5" s="42" t="s">
        <v>29</v>
      </c>
      <c r="G5" s="121" t="str">
        <f>Calculation2!$N$23</f>
        <v>A</v>
      </c>
      <c r="H5" s="122"/>
      <c r="I5" s="42" t="s">
        <v>89</v>
      </c>
      <c r="J5" s="120" t="str">
        <f>Calculation2!$R$23</f>
        <v>Singapore (SG)</v>
      </c>
      <c r="K5" s="122"/>
      <c r="L5" s="122"/>
      <c r="M5" s="122"/>
    </row>
    <row r="6" spans="1:13" ht="24.9" customHeight="1">
      <c r="A6" s="118" t="s">
        <v>111</v>
      </c>
      <c r="B6" s="119"/>
      <c r="C6" s="121" t="str">
        <f>Calculation2!$O$23</f>
        <v>B</v>
      </c>
      <c r="D6" s="121"/>
      <c r="E6" s="121"/>
      <c r="F6" s="42" t="s">
        <v>41</v>
      </c>
      <c r="G6" s="121" t="str">
        <f>IF(Calculation2!$W$23=Calculation2!$X$23,CONCATENATE(Calculation2!$W$23),CONCATENATE(Calculation2!$W$23," TO ",Calculation2!$X$23))</f>
        <v>G</v>
      </c>
      <c r="H6" s="122"/>
      <c r="I6" s="42" t="s">
        <v>42</v>
      </c>
      <c r="J6" s="123" t="str">
        <f>Calculation2!$Q$23</f>
        <v>D</v>
      </c>
      <c r="K6" s="124"/>
      <c r="L6" s="124"/>
      <c r="M6" s="125"/>
    </row>
    <row r="7" spans="1:13" ht="23.1" customHeight="1">
      <c r="A7" s="118" t="s">
        <v>40</v>
      </c>
      <c r="B7" s="119"/>
      <c r="C7" s="121" t="str">
        <f>IF(AND(Calculation2!$U$23&lt;&gt;"",Calculation2!$V$23&lt;&gt;""),IF(Calculation2!$U$23&lt;&gt;Calculation2!$V$23,CONCATENATE(Calculation2!$U$23," TO ",Calculation2!$V$23),Calculation2!$U$23),"")</f>
        <v>F</v>
      </c>
      <c r="D7" s="121"/>
      <c r="E7" s="121"/>
      <c r="F7" s="43"/>
      <c r="G7" s="44"/>
      <c r="H7" s="43"/>
      <c r="I7" s="43"/>
      <c r="J7" s="44"/>
      <c r="K7" s="43"/>
      <c r="L7" s="43"/>
      <c r="M7" s="43"/>
    </row>
    <row r="8" spans="1:13" ht="5.1" customHeight="1">
      <c r="A8" s="45"/>
      <c r="B8" s="46"/>
      <c r="C8" s="43"/>
      <c r="D8" s="44"/>
      <c r="E8" s="47"/>
      <c r="F8" s="47"/>
      <c r="G8" s="47"/>
      <c r="H8" s="47"/>
      <c r="I8" s="44"/>
      <c r="J8" s="43"/>
      <c r="K8" s="43"/>
      <c r="L8" s="43"/>
      <c r="M8" s="43"/>
    </row>
    <row r="9" spans="1:13" ht="24.9" customHeight="1">
      <c r="A9" s="118" t="s">
        <v>32</v>
      </c>
      <c r="B9" s="119"/>
      <c r="C9" s="121" t="str">
        <f>Calculation2!$T$23</f>
        <v>E</v>
      </c>
      <c r="D9" s="121"/>
      <c r="E9" s="122"/>
      <c r="F9" s="42" t="s">
        <v>43</v>
      </c>
      <c r="G9" s="126" t="str">
        <f>TRIM(Calculation2!$AB$23)</f>
        <v>1-Jul-12</v>
      </c>
      <c r="H9" s="122"/>
      <c r="I9" s="42" t="s">
        <v>44</v>
      </c>
      <c r="J9" s="121" t="str">
        <f>Calculation2!$AC$23</f>
        <v>Singapore Dollars (SGD)</v>
      </c>
      <c r="K9" s="122"/>
      <c r="L9" s="122"/>
      <c r="M9" s="122"/>
    </row>
    <row r="10" spans="1:13" ht="23.1" customHeight="1">
      <c r="A10" s="118" t="s">
        <v>45</v>
      </c>
      <c r="B10" s="119"/>
      <c r="C10" s="104">
        <f>Calculation2!$E$22</f>
        <v>6</v>
      </c>
      <c r="D10" s="48" t="s">
        <v>38</v>
      </c>
      <c r="E10" s="74">
        <f>Calculation2!$C$22</f>
        <v>6</v>
      </c>
      <c r="F10" s="39"/>
      <c r="G10" s="39"/>
      <c r="H10" s="39"/>
      <c r="I10" s="39"/>
      <c r="J10" s="39"/>
      <c r="K10" s="39"/>
      <c r="L10" s="39"/>
      <c r="M10" s="39"/>
    </row>
    <row r="11" spans="1:13" ht="5.1" customHeight="1">
      <c r="A11" s="49"/>
      <c r="B11" s="50"/>
      <c r="C11" s="51"/>
      <c r="D11" s="49"/>
      <c r="E11" s="49"/>
      <c r="F11" s="50"/>
      <c r="G11" s="51"/>
      <c r="H11" s="51"/>
      <c r="I11" s="51"/>
      <c r="J11" s="51"/>
      <c r="K11" s="49"/>
      <c r="L11" s="49"/>
      <c r="M11" s="49"/>
    </row>
    <row r="12" spans="1:13" ht="15.9" customHeight="1">
      <c r="A12" s="45"/>
      <c r="B12" s="45"/>
      <c r="C12" s="45"/>
      <c r="D12" s="127" t="s">
        <v>46</v>
      </c>
      <c r="E12" s="128"/>
      <c r="F12" s="128"/>
      <c r="G12" s="128"/>
      <c r="H12" s="128"/>
      <c r="I12" s="128"/>
      <c r="J12" s="129"/>
      <c r="K12" s="63"/>
      <c r="L12" s="130" t="s">
        <v>10</v>
      </c>
      <c r="M12" s="127"/>
    </row>
    <row r="13" spans="1:13" ht="15.9" customHeight="1">
      <c r="A13" s="45"/>
      <c r="B13" s="45"/>
      <c r="C13" s="45"/>
      <c r="D13" s="52" t="str">
        <f>Calculation2!$A$5</f>
        <v>P10</v>
      </c>
      <c r="E13" s="52" t="str">
        <f>Calculation2!$A$6</f>
        <v>P25</v>
      </c>
      <c r="F13" s="52" t="str">
        <f>Calculation2!$A$7</f>
        <v>P50</v>
      </c>
      <c r="G13" s="52" t="str">
        <f>Calculation2!$A$8</f>
        <v>P60</v>
      </c>
      <c r="H13" s="52" t="str">
        <f>Calculation2!$A$9</f>
        <v>P75</v>
      </c>
      <c r="I13" s="52" t="str">
        <f>Calculation2!$A$10</f>
        <v>P90</v>
      </c>
      <c r="J13" s="99" t="str">
        <f>Calculation2!$A$11</f>
        <v>Mean</v>
      </c>
      <c r="K13" s="100"/>
      <c r="L13" s="101" t="s">
        <v>47</v>
      </c>
      <c r="M13" s="52" t="s">
        <v>48</v>
      </c>
    </row>
    <row r="14" spans="1:13" ht="5.1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18" customHeight="1">
      <c r="A15" s="131" t="str">
        <f>Calculation2!C$4</f>
        <v>Monthly Basic Salary (Gross before tax)</v>
      </c>
      <c r="B15" s="132"/>
      <c r="C15" s="132"/>
      <c r="D15" s="53">
        <f>IF(Calculation2!$C$14="","",Calculation2!$C$14)</f>
        <v>72965.50</v>
      </c>
      <c r="E15" s="53">
        <f>IF(Calculation2!$C$15="","",Calculation2!$C$15)</f>
        <v>79532.961249999978</v>
      </c>
      <c r="F15" s="53">
        <f>IF(Calculation2!$C$16="","",Calculation2!$C$16)</f>
        <v>89015.922499999971</v>
      </c>
      <c r="G15" s="53">
        <f>IF(Calculation2!$C$17="","",Calculation2!$C$17)</f>
        <v>90000</v>
      </c>
      <c r="H15" s="53">
        <f>IF(Calculation2!$C$18="","",Calculation2!$C$18)</f>
        <v>95153.625000000087</v>
      </c>
      <c r="I15" s="53">
        <f>IF(Calculation2!$C$19="","",Calculation2!$C$19)</f>
        <v>111785.75</v>
      </c>
      <c r="J15" s="95">
        <f>IF(Calculation2!$C$20="","",Calculation2!$C$20)</f>
        <v>91255.724166666667</v>
      </c>
      <c r="K15" s="93"/>
      <c r="L15" s="96">
        <f>IF(Calculation2!$C$12&gt;$E$10,$E$10,Calculation2!$C$12)</f>
        <v>6</v>
      </c>
      <c r="M15" s="56">
        <f>IF($L15&gt;0,$L15/$E$10*100,"")</f>
        <v>100</v>
      </c>
    </row>
    <row r="16" spans="1:13" ht="18" customHeight="1">
      <c r="A16" s="133" t="str">
        <f>Calculation2!D$4</f>
        <v>No. of Months Guaranteed per year</v>
      </c>
      <c r="B16" s="134"/>
      <c r="C16" s="134"/>
      <c r="D16" s="57">
        <f>IF(Calculation2!$D$14="","",Calculation2!$D$14)</f>
        <v>12</v>
      </c>
      <c r="E16" s="57">
        <f>IF(Calculation2!$D$15="","",Calculation2!$D$15)</f>
        <v>12.25</v>
      </c>
      <c r="F16" s="57">
        <f>IF(Calculation2!$D$16="","",Calculation2!$D$16)</f>
        <v>13</v>
      </c>
      <c r="G16" s="57">
        <f>IF(Calculation2!$D$17="","",Calculation2!$D$17)</f>
        <v>13</v>
      </c>
      <c r="H16" s="57">
        <f>IF(Calculation2!$D$18="","",Calculation2!$D$18)</f>
        <v>13</v>
      </c>
      <c r="I16" s="57">
        <f>IF(Calculation2!$D$19="","",Calculation2!$D$19)</f>
        <v>13</v>
      </c>
      <c r="J16" s="98">
        <f>IF(Calculation2!$D$20="","",Calculation2!$D$20)</f>
        <v>12.66666666666668</v>
      </c>
      <c r="K16" s="93"/>
      <c r="L16" s="96">
        <f>IF(Calculation2!$D$12&gt;$E$10,$E$10,Calculation2!$D$12)</f>
        <v>6</v>
      </c>
      <c r="M16" s="56">
        <f>IF($L16&gt;0,$L16/$E$10*100,"")</f>
        <v>100</v>
      </c>
    </row>
    <row r="17" spans="1:13" ht="18" customHeight="1">
      <c r="A17" s="58" t="s">
        <v>49</v>
      </c>
      <c r="B17" s="110" t="str">
        <f>Calculation2!E$4</f>
        <v>Basic Salary</v>
      </c>
      <c r="C17" s="111"/>
      <c r="D17" s="59">
        <f>IF(Calculation2!$E$14="","",Calculation2!$E$14)</f>
        <v>948551.50</v>
      </c>
      <c r="E17" s="59">
        <f>IF(Calculation2!$E$15="","",Calculation2!$E$15)</f>
        <v>1011920.535</v>
      </c>
      <c r="F17" s="59">
        <f>IF(Calculation2!$E$16="","",Calculation2!$E$16)</f>
        <v>1109420.07</v>
      </c>
      <c r="G17" s="59">
        <f>IF(Calculation2!$E$17="","",Calculation2!$E$17)</f>
        <v>1162458</v>
      </c>
      <c r="H17" s="59">
        <f>IF(Calculation2!$E$18="","",Calculation2!$E$18)</f>
        <v>1168114.50</v>
      </c>
      <c r="I17" s="59">
        <f>IF(Calculation2!$E$19="","",Calculation2!$E$19)</f>
        <v>1408550</v>
      </c>
      <c r="J17" s="59">
        <f>IF(Calculation2!$E$20="","",Calculation2!$E$20)</f>
        <v>1155507.1900000011</v>
      </c>
      <c r="K17" s="60"/>
      <c r="L17" s="61">
        <f>IF(Calculation2!$E$12&gt;$E$10,$E$10,Calculation2!$E$12)</f>
        <v>6</v>
      </c>
      <c r="M17" s="62">
        <f>IF($L17&gt;0,$L17/$E$10*100,"")</f>
        <v>100</v>
      </c>
    </row>
    <row r="18" spans="1:13" ht="18" customHeight="1">
      <c r="A18" s="131" t="str">
        <f>Calculation2!F$4</f>
        <v>Fixed Cash Allowances</v>
      </c>
      <c r="B18" s="132"/>
      <c r="C18" s="132"/>
      <c r="D18" s="53" t="str">
        <f>IF(Calculation2!$F$14="","",Calculation2!$F$14)</f>
        <v/>
      </c>
      <c r="E18" s="53" t="str">
        <f>IF(Calculation2!$F$15="","",Calculation2!$F$15)</f>
        <v/>
      </c>
      <c r="F18" s="53">
        <f>IF(Calculation2!$F$16="","",Calculation2!$F$16)</f>
        <v>89280</v>
      </c>
      <c r="G18" s="53" t="str">
        <f>IF(Calculation2!$F$17="","",Calculation2!$F$17)</f>
        <v/>
      </c>
      <c r="H18" s="53" t="str">
        <f>IF(Calculation2!$F$18="","",Calculation2!$F$18)</f>
        <v/>
      </c>
      <c r="I18" s="53" t="str">
        <f>IF(Calculation2!$F$19="","",Calculation2!$F$19)</f>
        <v/>
      </c>
      <c r="J18" s="95">
        <f>IF(Calculation2!$F$20="","",Calculation2!$F$20)</f>
        <v>91260</v>
      </c>
      <c r="K18" s="93"/>
      <c r="L18" s="96">
        <f>IF(Calculation2!$F$12&gt;$E$10,$E$10,Calculation2!$F$12)</f>
        <v>4</v>
      </c>
      <c r="M18" s="56">
        <f>IF($L18&gt;0,$L18/$E$10*100,"")</f>
        <v>66.666666666666657</v>
      </c>
    </row>
    <row r="19" spans="1:13" ht="18" customHeight="1">
      <c r="A19" s="58" t="s">
        <v>50</v>
      </c>
      <c r="B19" s="110" t="str">
        <f>Calculation2!G$4</f>
        <v>Fixed Cash</v>
      </c>
      <c r="C19" s="111"/>
      <c r="D19" s="59">
        <f>IF(Calculation2!$G$14="","",Calculation2!$G$14)</f>
        <v>948551.50</v>
      </c>
      <c r="E19" s="59">
        <f>IF(Calculation2!$G$15="","",Calculation2!$G$15)</f>
        <v>1032620.535</v>
      </c>
      <c r="F19" s="59">
        <f>IF(Calculation2!$G$16="","",Calculation2!$G$16)</f>
        <v>1199231.07</v>
      </c>
      <c r="G19" s="59">
        <f>IF(Calculation2!$G$17="","",Calculation2!$G$17)</f>
        <v>1259280</v>
      </c>
      <c r="H19" s="59">
        <f>IF(Calculation2!$G$18="","",Calculation2!$G$18)</f>
        <v>1264423.50</v>
      </c>
      <c r="I19" s="59">
        <f>IF(Calculation2!$G$19="","",Calculation2!$G$19)</f>
        <v>1501259</v>
      </c>
      <c r="J19" s="59">
        <f>IF(Calculation2!$G$20="","",Calculation2!$G$20)</f>
        <v>1216347.1900000011</v>
      </c>
      <c r="K19" s="60"/>
      <c r="L19" s="61">
        <f>IF(Calculation2!$G$12&gt;$E$10,$E$10,Calculation2!$G$12)</f>
        <v>6</v>
      </c>
      <c r="M19" s="62">
        <f>IF($L19&gt;0,$L19/$E$10*100,"")</f>
        <v>100</v>
      </c>
    </row>
    <row r="20" spans="1:13" ht="5.1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5.9" customHeight="1">
      <c r="A21" s="129"/>
      <c r="B21" s="135"/>
      <c r="C21" s="135"/>
      <c r="D21" s="127" t="s">
        <v>51</v>
      </c>
      <c r="E21" s="128"/>
      <c r="F21" s="128"/>
      <c r="G21" s="128"/>
      <c r="H21" s="128"/>
      <c r="I21" s="128"/>
      <c r="J21" s="129"/>
      <c r="K21" s="63"/>
      <c r="L21" s="130"/>
      <c r="M21" s="127"/>
    </row>
    <row r="22" spans="1:13" ht="18" customHeight="1">
      <c r="A22" s="131" t="str">
        <f>Calculation2!H$4</f>
        <v>Actual Sales Incentive</v>
      </c>
      <c r="B22" s="132"/>
      <c r="C22" s="132"/>
      <c r="D22" s="53" t="str">
        <f>IF(Calculation2!$H$14="","",Calculation2!$H$14)</f>
        <v/>
      </c>
      <c r="E22" s="53" t="str">
        <f>IF(Calculation2!$H$15="","",Calculation2!$H$15)</f>
        <v/>
      </c>
      <c r="F22" s="53" t="str">
        <f>IF(Calculation2!$H$16="","",Calculation2!$H$16)</f>
        <v/>
      </c>
      <c r="G22" s="53" t="str">
        <f>IF(Calculation2!$H$17="","",Calculation2!$H$17)</f>
        <v/>
      </c>
      <c r="H22" s="53" t="str">
        <f>IF(Calculation2!$H$18="","",Calculation2!$H$18)</f>
        <v/>
      </c>
      <c r="I22" s="53" t="str">
        <f>IF(Calculation2!$H$19="","",Calculation2!$H$19)</f>
        <v/>
      </c>
      <c r="J22" s="95" t="str">
        <f>IF(Calculation2!$H$20="","",Calculation2!$H$20)</f>
        <v/>
      </c>
      <c r="K22" s="93"/>
      <c r="L22" s="96">
        <f>IF(Calculation2!$H$12&gt;$E$10,$E$10,Calculation2!$H$12)</f>
        <v>0</v>
      </c>
      <c r="M22" s="56" t="str">
        <f t="shared" si="0" ref="M22:M31">IF($L22&gt;0,$L22/$E$10*100,"")</f>
        <v/>
      </c>
    </row>
    <row r="23" spans="1:13" ht="18" customHeight="1">
      <c r="A23" s="108" t="str">
        <f>Calculation2!I$4</f>
        <v>- As % of Basic Salary</v>
      </c>
      <c r="B23" s="109"/>
      <c r="C23" s="109"/>
      <c r="D23" s="64" t="str">
        <f>IF(Calculation2!$I$14="","",Calculation2!$I$14)</f>
        <v/>
      </c>
      <c r="E23" s="64" t="str">
        <f>IF(Calculation2!$I$15="","",Calculation2!$I$15)</f>
        <v/>
      </c>
      <c r="F23" s="64" t="str">
        <f>IF(Calculation2!$I$16="","",Calculation2!$I$16)</f>
        <v/>
      </c>
      <c r="G23" s="64" t="str">
        <f>IF(Calculation2!$I$17="","",Calculation2!$I$17)</f>
        <v/>
      </c>
      <c r="H23" s="64" t="str">
        <f>IF(Calculation2!$I$18="","",Calculation2!$I$18)</f>
        <v/>
      </c>
      <c r="I23" s="64" t="str">
        <f>IF(Calculation2!$I$19="","",Calculation2!$I$19)</f>
        <v/>
      </c>
      <c r="J23" s="97" t="str">
        <f>IF(Calculation2!$I$20="","",Calculation2!$I$20)</f>
        <v/>
      </c>
      <c r="K23" s="93"/>
      <c r="L23" s="96">
        <f>IF(Calculation2!$I$12&gt;$E$10,$E$10,Calculation2!$I$12)</f>
        <v>0</v>
      </c>
      <c r="M23" s="56" t="str">
        <f t="shared" si="0"/>
        <v/>
      </c>
    </row>
    <row r="24" spans="1:13" ht="18" customHeight="1">
      <c r="A24" s="131" t="str">
        <f>Calculation2!J$4</f>
        <v>Actual Performance Bonus</v>
      </c>
      <c r="B24" s="132"/>
      <c r="C24" s="132"/>
      <c r="D24" s="53">
        <f>IF(Calculation2!$J$14="","",Calculation2!$J$14)</f>
        <v>655019</v>
      </c>
      <c r="E24" s="53">
        <f>IF(Calculation2!$J$15="","",Calculation2!$J$15)</f>
        <v>970090.49625000043</v>
      </c>
      <c r="F24" s="53">
        <f>IF(Calculation2!$J$16="","",Calculation2!$J$16)</f>
        <v>1196312.3425000017</v>
      </c>
      <c r="G24" s="53">
        <f>IF(Calculation2!$J$17="","",Calculation2!$J$17)</f>
        <v>1212262.70</v>
      </c>
      <c r="H24" s="53">
        <f>IF(Calculation2!$J$18="","",Calculation2!$J$18)</f>
        <v>1990565.675</v>
      </c>
      <c r="I24" s="53">
        <f>IF(Calculation2!$J$19="","",Calculation2!$J$19)</f>
        <v>2725000</v>
      </c>
      <c r="J24" s="95">
        <f>IF(Calculation2!$J$20="","",Calculation2!$J$20)</f>
        <v>1525443.7808333335</v>
      </c>
      <c r="K24" s="93"/>
      <c r="L24" s="96">
        <f>IF(Calculation2!$J$12&gt;$E$10,$E$10,Calculation2!$J$12)</f>
        <v>6</v>
      </c>
      <c r="M24" s="56">
        <f t="shared" si="0"/>
        <v>100</v>
      </c>
    </row>
    <row r="25" spans="1:13" ht="18" customHeight="1">
      <c r="A25" s="108" t="str">
        <f>Calculation2!K$4</f>
        <v>- As % of Basic Salary</v>
      </c>
      <c r="B25" s="109"/>
      <c r="C25" s="109"/>
      <c r="D25" s="64">
        <f>IF(Calculation2!$K$14="","",Calculation2!$K$14)</f>
        <v>0.70561361766343089</v>
      </c>
      <c r="E25" s="64">
        <f>IF(Calculation2!$K$15="","",Calculation2!$K$15)</f>
        <v>1.010708575161156</v>
      </c>
      <c r="F25" s="64">
        <f>IF(Calculation2!$K$16="","",Calculation2!$K$16)</f>
        <v>1.0801034931197147</v>
      </c>
      <c r="G25" s="64">
        <f>IF(Calculation2!$K$17="","",Calculation2!$K$17)</f>
        <v>1.1173626856281378</v>
      </c>
      <c r="H25" s="64">
        <f>IF(Calculation2!$K$18="","",Calculation2!$K$18)</f>
        <v>1.7216483637147268</v>
      </c>
      <c r="I25" s="64">
        <f>IF(Calculation2!$K$19="","",Calculation2!$K$19)</f>
        <v>1.9329427478598735</v>
      </c>
      <c r="J25" s="97">
        <f>IF(Calculation2!$K$20="","",Calculation2!$K$20)</f>
        <v>1.2395532862143384</v>
      </c>
      <c r="K25" s="93"/>
      <c r="L25" s="96">
        <f>IF(Calculation2!$K$12&gt;$E$10,$E$10,Calculation2!$K$12)</f>
        <v>6</v>
      </c>
      <c r="M25" s="56">
        <f t="shared" si="0"/>
        <v>100</v>
      </c>
    </row>
    <row r="26" spans="1:13" ht="18" customHeight="1">
      <c r="A26" s="131" t="str">
        <f>Calculation2!L$4</f>
        <v>Actual Other Short-Term Incentives</v>
      </c>
      <c r="B26" s="132"/>
      <c r="C26" s="132"/>
      <c r="D26" s="53" t="str">
        <f>IF(Calculation2!$L$14="","",Calculation2!$L$14)</f>
        <v/>
      </c>
      <c r="E26" s="53" t="str">
        <f>IF(Calculation2!$L$15="","",Calculation2!$L$15)</f>
        <v/>
      </c>
      <c r="F26" s="53">
        <f>IF(Calculation2!$L$16="","",Calculation2!$L$16)</f>
        <v>401206</v>
      </c>
      <c r="G26" s="53" t="str">
        <f>IF(Calculation2!$L$17="","",Calculation2!$L$17)</f>
        <v/>
      </c>
      <c r="H26" s="53" t="str">
        <f>IF(Calculation2!$L$18="","",Calculation2!$L$18)</f>
        <v/>
      </c>
      <c r="I26" s="53" t="str">
        <f>IF(Calculation2!$L$19="","",Calculation2!$L$19)</f>
        <v/>
      </c>
      <c r="J26" s="95">
        <f>IF(Calculation2!$L$20="","",Calculation2!$L$20)</f>
        <v>401206</v>
      </c>
      <c r="K26" s="93"/>
      <c r="L26" s="96">
        <f>IF(Calculation2!$L$12&gt;$E$10,$E$10,Calculation2!$L$12)</f>
        <v>1</v>
      </c>
      <c r="M26" s="56">
        <f t="shared" si="0"/>
        <v>16.666666666666664</v>
      </c>
    </row>
    <row r="27" spans="1:13" ht="18" customHeight="1">
      <c r="A27" s="108" t="str">
        <f>Calculation2!M$4</f>
        <v>- As % of Basic Salary</v>
      </c>
      <c r="B27" s="109"/>
      <c r="C27" s="109"/>
      <c r="D27" s="64" t="str">
        <f>IF(Calculation2!$M$14="","",Calculation2!$M$14)</f>
        <v/>
      </c>
      <c r="E27" s="64" t="str">
        <f>IF(Calculation2!$M$15="","",Calculation2!$M$15)</f>
        <v/>
      </c>
      <c r="F27" s="64">
        <f>IF(Calculation2!$M$16="","",Calculation2!$M$16)</f>
        <v>0.40237288135593308</v>
      </c>
      <c r="G27" s="64" t="str">
        <f>IF(Calculation2!$M$17="","",Calculation2!$M$17)</f>
        <v/>
      </c>
      <c r="H27" s="64" t="str">
        <f>IF(Calculation2!$M$18="","",Calculation2!$M$18)</f>
        <v/>
      </c>
      <c r="I27" s="64" t="str">
        <f>IF(Calculation2!$M$19="","",Calculation2!$M$19)</f>
        <v/>
      </c>
      <c r="J27" s="97">
        <f>IF(Calculation2!$M$20="","",Calculation2!$M$20)</f>
        <v>0.40237288135593308</v>
      </c>
      <c r="K27" s="93"/>
      <c r="L27" s="96">
        <f>IF(Calculation2!$M$12&gt;$E$10,$E$10,Calculation2!$M$12)</f>
        <v>1</v>
      </c>
      <c r="M27" s="56">
        <f t="shared" si="0"/>
        <v>16.666666666666664</v>
      </c>
    </row>
    <row r="28" spans="1:13" ht="18" customHeight="1">
      <c r="A28" s="106" t="str">
        <f>Calculation2!N$4</f>
        <v>Actual Total Short-Term Variable Cash</v>
      </c>
      <c r="B28" s="107"/>
      <c r="C28" s="107"/>
      <c r="D28" s="53">
        <f>IF(Calculation2!$N$14="","",Calculation2!$N$14)</f>
        <v>855622</v>
      </c>
      <c r="E28" s="53">
        <f>IF(Calculation2!$N$15="","",Calculation2!$N$15)</f>
        <v>970090.49625000043</v>
      </c>
      <c r="F28" s="53">
        <f>IF(Calculation2!$N$16="","",Calculation2!$N$16)</f>
        <v>1196312.3425000017</v>
      </c>
      <c r="G28" s="53">
        <f>IF(Calculation2!$N$17="","",Calculation2!$N$17)</f>
        <v>1212262.70</v>
      </c>
      <c r="H28" s="53">
        <f>IF(Calculation2!$N$18="","",Calculation2!$N$18)</f>
        <v>1990565.675</v>
      </c>
      <c r="I28" s="53">
        <f>IF(Calculation2!$N$19="","",Calculation2!$N$19)</f>
        <v>2725000</v>
      </c>
      <c r="J28" s="95">
        <f>IF(Calculation2!$N$20="","",Calculation2!$N$20)</f>
        <v>1592311.4475</v>
      </c>
      <c r="K28" s="93"/>
      <c r="L28" s="96">
        <f>IF(Calculation2!$N$12&gt;$E$10,$E$10,Calculation2!$N$12)</f>
        <v>6</v>
      </c>
      <c r="M28" s="56">
        <f t="shared" si="0"/>
        <v>100</v>
      </c>
    </row>
    <row r="29" spans="1:13" ht="18" customHeight="1">
      <c r="A29" s="108" t="str">
        <f>Calculation2!O$4</f>
        <v>- As % of Basic Salary</v>
      </c>
      <c r="B29" s="109"/>
      <c r="C29" s="109"/>
      <c r="D29" s="64">
        <f>IF(Calculation2!$O$14="","",Calculation2!$O$14)</f>
        <v>0.90680005834139665</v>
      </c>
      <c r="E29" s="64">
        <f>IF(Calculation2!$O$15="","",Calculation2!$O$15)</f>
        <v>1.010708575161156</v>
      </c>
      <c r="F29" s="64">
        <f>IF(Calculation2!$O$16="","",Calculation2!$O$16)</f>
        <v>1.0801034931197147</v>
      </c>
      <c r="G29" s="64">
        <f>IF(Calculation2!$O$17="","",Calculation2!$O$17)</f>
        <v>1.1173626856281378</v>
      </c>
      <c r="H29" s="64">
        <f>IF(Calculation2!$O$18="","",Calculation2!$O$18)</f>
        <v>1.7216483637147268</v>
      </c>
      <c r="I29" s="64">
        <f>IF(Calculation2!$O$19="","",Calculation2!$O$19)</f>
        <v>1.9329427478598735</v>
      </c>
      <c r="J29" s="97">
        <f>IF(Calculation2!$O$20="","",Calculation2!$O$20)</f>
        <v>1.3066154331069961</v>
      </c>
      <c r="K29" s="93"/>
      <c r="L29" s="96">
        <f>IF(Calculation2!$O$12&gt;$E$10,$E$10,Calculation2!$O$12)</f>
        <v>6</v>
      </c>
      <c r="M29" s="56">
        <f t="shared" si="0"/>
        <v>100</v>
      </c>
    </row>
    <row r="30" spans="1:13" ht="18" customHeight="1">
      <c r="A30" s="58" t="s">
        <v>52</v>
      </c>
      <c r="B30" s="110" t="str">
        <f>Calculation2!P$4</f>
        <v>Actual Total Cash</v>
      </c>
      <c r="C30" s="111"/>
      <c r="D30" s="59">
        <f>IF(Calculation2!$P$14="","",Calculation2!$P$14)</f>
        <v>1804173.50</v>
      </c>
      <c r="E30" s="59">
        <f>IF(Calculation2!$P$15="","",Calculation2!$P$15)</f>
        <v>1936144.0312499998</v>
      </c>
      <c r="F30" s="59">
        <f>IF(Calculation2!$P$16="","",Calculation2!$P$16)</f>
        <v>2398972.4124999959</v>
      </c>
      <c r="G30" s="59">
        <f>IF(Calculation2!$P$17="","",Calculation2!$P$17)</f>
        <v>2478400.7000000002</v>
      </c>
      <c r="H30" s="59">
        <f>IF(Calculation2!$P$18="","",Calculation2!$P$18)</f>
        <v>3251560.1749999998</v>
      </c>
      <c r="I30" s="59">
        <f>IF(Calculation2!$P$19="","",Calculation2!$P$19)</f>
        <v>4222830</v>
      </c>
      <c r="J30" s="59">
        <f>IF(Calculation2!$P$20="","",Calculation2!$P$20)</f>
        <v>2808658.6374999997</v>
      </c>
      <c r="K30" s="60"/>
      <c r="L30" s="61">
        <f>IF(Calculation2!$P$12&gt;$E$10,$E$10,Calculation2!$P$12)</f>
        <v>6</v>
      </c>
      <c r="M30" s="62">
        <f t="shared" si="0"/>
        <v>100</v>
      </c>
    </row>
    <row r="31" spans="1:13" ht="18" customHeight="1">
      <c r="A31" s="106" t="str">
        <f>Calculation2!Q$4</f>
        <v>C1 + Actual Total Short-Term Variable Cash</v>
      </c>
      <c r="B31" s="107"/>
      <c r="C31" s="107"/>
      <c r="D31" s="53">
        <f>IF(Calculation2!$Q$14="","",Calculation2!$Q$14)</f>
        <v>1804173.50</v>
      </c>
      <c r="E31" s="53">
        <f>IF(Calculation2!$Q$15="","",Calculation2!$Q$15)</f>
        <v>1915444.0312499998</v>
      </c>
      <c r="F31" s="53">
        <f>IF(Calculation2!$Q$16="","",Calculation2!$Q$16)</f>
        <v>2305732.4124999959</v>
      </c>
      <c r="G31" s="53">
        <f>IF(Calculation2!$Q$17="","",Calculation2!$Q$17)</f>
        <v>2374720.7000000002</v>
      </c>
      <c r="H31" s="53">
        <f>IF(Calculation2!$Q$18="","",Calculation2!$Q$18)</f>
        <v>3158680.1749999998</v>
      </c>
      <c r="I31" s="53">
        <f>IF(Calculation2!$Q$19="","",Calculation2!$Q$19)</f>
        <v>4133550</v>
      </c>
      <c r="J31" s="54">
        <f>IF(Calculation2!$Q$20="","",Calculation2!$Q$20)</f>
        <v>2747818.6374999997</v>
      </c>
      <c r="K31" s="65"/>
      <c r="L31" s="55">
        <f>IF(Calculation2!$Q$12&gt;$E$10,$E$10,Calculation2!$Q$12)</f>
        <v>6</v>
      </c>
      <c r="M31" s="56">
        <f t="shared" si="0"/>
        <v>100</v>
      </c>
    </row>
    <row r="32" spans="1:13" ht="5.1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8" customHeight="1">
      <c r="A33" s="131" t="str">
        <f>Calculation2!R$4</f>
        <v>Target Sales Incentive</v>
      </c>
      <c r="B33" s="132"/>
      <c r="C33" s="132"/>
      <c r="D33" s="53" t="str">
        <f>IF(Calculation2!$R$14="","",Calculation2!$R$14)</f>
        <v/>
      </c>
      <c r="E33" s="53" t="str">
        <f>IF(Calculation2!$R$15="","",Calculation2!$R$15)</f>
        <v/>
      </c>
      <c r="F33" s="53" t="str">
        <f>IF(Calculation2!$R$16="","",Calculation2!$R$16)</f>
        <v/>
      </c>
      <c r="G33" s="53" t="str">
        <f>IF(Calculation2!$R$17="","",Calculation2!$R$17)</f>
        <v/>
      </c>
      <c r="H33" s="53" t="str">
        <f>IF(Calculation2!$R$18="","",Calculation2!$R$18)</f>
        <v/>
      </c>
      <c r="I33" s="53" t="str">
        <f>IF(Calculation2!$R$19="","",Calculation2!$R$19)</f>
        <v/>
      </c>
      <c r="J33" s="53" t="str">
        <f>IF(Calculation2!$R$20="","",Calculation2!$R$20)</f>
        <v/>
      </c>
      <c r="K33" s="93"/>
      <c r="L33" s="55">
        <f>IF(Calculation2!$R$12&gt;$E$10,$E$10,Calculation2!$R$12)</f>
        <v>0</v>
      </c>
      <c r="M33" s="56" t="str">
        <f t="shared" si="1" ref="M33:M42">IF($L33&gt;0,$L33/$E$10*100,"")</f>
        <v/>
      </c>
    </row>
    <row r="34" spans="1:13" ht="18" customHeight="1">
      <c r="A34" s="108" t="str">
        <f>Calculation2!S$4</f>
        <v>- As % of Basic Salary</v>
      </c>
      <c r="B34" s="109"/>
      <c r="C34" s="109"/>
      <c r="D34" s="64" t="str">
        <f>IF(Calculation2!$S$14="","",Calculation2!$S$14)</f>
        <v/>
      </c>
      <c r="E34" s="64" t="str">
        <f>IF(Calculation2!$S$15="","",Calculation2!$S$15)</f>
        <v/>
      </c>
      <c r="F34" s="64" t="str">
        <f>IF(Calculation2!$S$16="","",Calculation2!$S$16)</f>
        <v/>
      </c>
      <c r="G34" s="64" t="str">
        <f>IF(Calculation2!$S$17="","",Calculation2!$S$17)</f>
        <v/>
      </c>
      <c r="H34" s="64" t="str">
        <f>IF(Calculation2!$S$18="","",Calculation2!$S$18)</f>
        <v/>
      </c>
      <c r="I34" s="64" t="str">
        <f>IF(Calculation2!$S$19="","",Calculation2!$S$19)</f>
        <v/>
      </c>
      <c r="J34" s="64" t="str">
        <f>IF(Calculation2!$S$20="","",Calculation2!$S$20)</f>
        <v/>
      </c>
      <c r="K34" s="93"/>
      <c r="L34" s="55">
        <f>IF(Calculation2!$S$12&gt;$E$10,$E$10,Calculation2!$S$12)</f>
        <v>0</v>
      </c>
      <c r="M34" s="56" t="str">
        <f t="shared" si="1"/>
        <v/>
      </c>
    </row>
    <row r="35" spans="1:13" ht="18" customHeight="1">
      <c r="A35" s="131" t="str">
        <f>Calculation2!T$4</f>
        <v>Target Performance Bonus</v>
      </c>
      <c r="B35" s="132"/>
      <c r="C35" s="132"/>
      <c r="D35" s="53">
        <f>IF(Calculation2!$T$14="","",Calculation2!$T$14)</f>
        <v>330059.50</v>
      </c>
      <c r="E35" s="53">
        <f>IF(Calculation2!$T$15="","",Calculation2!$T$15)</f>
        <v>509473.55249999999</v>
      </c>
      <c r="F35" s="53">
        <f>IF(Calculation2!$T$16="","",Calculation2!$T$16)</f>
        <v>766395.10499999882</v>
      </c>
      <c r="G35" s="53">
        <f>IF(Calculation2!$T$17="","",Calculation2!$T$17)</f>
        <v>900003</v>
      </c>
      <c r="H35" s="53">
        <f>IF(Calculation2!$T$18="","",Calculation2!$T$18)</f>
        <v>1912500.75</v>
      </c>
      <c r="I35" s="53">
        <f>IF(Calculation2!$T$19="","",Calculation2!$T$19)</f>
        <v>2725000</v>
      </c>
      <c r="J35" s="53">
        <f>IF(Calculation2!$T$20="","",Calculation2!$T$20)</f>
        <v>1273818.2016666667</v>
      </c>
      <c r="K35" s="93"/>
      <c r="L35" s="55">
        <f>IF(Calculation2!$T$12&gt;$E$10,$E$10,Calculation2!$T$12)</f>
        <v>6</v>
      </c>
      <c r="M35" s="56">
        <f t="shared" si="1"/>
        <v>100</v>
      </c>
    </row>
    <row r="36" spans="1:13" ht="18" customHeight="1">
      <c r="A36" s="108" t="str">
        <f>Calculation2!U$4</f>
        <v>- As % of Basic Salary</v>
      </c>
      <c r="B36" s="109"/>
      <c r="C36" s="109"/>
      <c r="D36" s="64">
        <f>IF(Calculation2!$U$14="","",Calculation2!$U$14)</f>
        <v>0.29761015683345782</v>
      </c>
      <c r="E36" s="64">
        <f>IF(Calculation2!$U$15="","",Calculation2!$U$15)</f>
        <v>0.45193785213781584</v>
      </c>
      <c r="F36" s="64">
        <f>IF(Calculation2!$U$16="","",Calculation2!$U$16)</f>
        <v>0.79950677223679656</v>
      </c>
      <c r="G36" s="64">
        <f>IF(Calculation2!$U$17="","",Calculation2!$U$17)</f>
        <v>1</v>
      </c>
      <c r="H36" s="64">
        <f>IF(Calculation2!$U$18="","",Calculation2!$U$18)</f>
        <v>1.6923076923076918</v>
      </c>
      <c r="I36" s="64">
        <f>IF(Calculation2!$U$19="","",Calculation2!$U$19)</f>
        <v>1.9329427478598735</v>
      </c>
      <c r="J36" s="64">
        <f>IF(Calculation2!$U$20="","",Calculation2!$U$20)</f>
        <v>1.0100198923100432</v>
      </c>
      <c r="K36" s="93"/>
      <c r="L36" s="55">
        <f>IF(Calculation2!$U$12&gt;$E$10,$E$10,Calculation2!$U$12)</f>
        <v>6</v>
      </c>
      <c r="M36" s="56">
        <f t="shared" si="1"/>
        <v>100</v>
      </c>
    </row>
    <row r="37" spans="1:13" ht="18" customHeight="1">
      <c r="A37" s="131" t="str">
        <f>Calculation2!V$4</f>
        <v>Target Other Short-Term Incentives</v>
      </c>
      <c r="B37" s="132"/>
      <c r="C37" s="132"/>
      <c r="D37" s="53" t="str">
        <f>IF(Calculation2!$V$14="","",Calculation2!$V$14)</f>
        <v/>
      </c>
      <c r="E37" s="53" t="str">
        <f>IF(Calculation2!$V$15="","",Calculation2!$V$15)</f>
        <v/>
      </c>
      <c r="F37" s="53" t="str">
        <f>IF(Calculation2!$V$16="","",Calculation2!$V$16)</f>
        <v/>
      </c>
      <c r="G37" s="53" t="str">
        <f>IF(Calculation2!$V$17="","",Calculation2!$V$17)</f>
        <v/>
      </c>
      <c r="H37" s="53" t="str">
        <f>IF(Calculation2!$V$18="","",Calculation2!$V$18)</f>
        <v/>
      </c>
      <c r="I37" s="53" t="str">
        <f>IF(Calculation2!$V$19="","",Calculation2!$V$19)</f>
        <v/>
      </c>
      <c r="J37" s="53" t="str">
        <f>IF(Calculation2!$V$20="","",Calculation2!$V$20)</f>
        <v/>
      </c>
      <c r="K37" s="93"/>
      <c r="L37" s="55">
        <f>IF(Calculation2!$V$12&gt;$E$10,$E$10,Calculation2!$V$12)</f>
        <v>0</v>
      </c>
      <c r="M37" s="56" t="str">
        <f t="shared" si="1"/>
        <v/>
      </c>
    </row>
    <row r="38" spans="1:13" ht="18" customHeight="1">
      <c r="A38" s="108" t="str">
        <f>Calculation2!W$4</f>
        <v>- As % of Basic Salary</v>
      </c>
      <c r="B38" s="109"/>
      <c r="C38" s="109"/>
      <c r="D38" s="64" t="str">
        <f>IF(Calculation2!$W$14="","",Calculation2!$W$14)</f>
        <v/>
      </c>
      <c r="E38" s="64" t="str">
        <f>IF(Calculation2!$W$15="","",Calculation2!$W$15)</f>
        <v/>
      </c>
      <c r="F38" s="64" t="str">
        <f>IF(Calculation2!$W$16="","",Calculation2!$W$16)</f>
        <v/>
      </c>
      <c r="G38" s="64" t="str">
        <f>IF(Calculation2!$W$17="","",Calculation2!$W$17)</f>
        <v/>
      </c>
      <c r="H38" s="64" t="str">
        <f>IF(Calculation2!$W$18="","",Calculation2!$W$18)</f>
        <v/>
      </c>
      <c r="I38" s="64" t="str">
        <f>IF(Calculation2!$W$19="","",Calculation2!$W$19)</f>
        <v/>
      </c>
      <c r="J38" s="64" t="str">
        <f>IF(Calculation2!$W$20="","",Calculation2!$W$20)</f>
        <v/>
      </c>
      <c r="K38" s="93"/>
      <c r="L38" s="55">
        <f>IF(Calculation2!$W$12&gt;$E$10,$E$10,Calculation2!$W$12)</f>
        <v>0</v>
      </c>
      <c r="M38" s="56" t="str">
        <f t="shared" si="1"/>
        <v/>
      </c>
    </row>
    <row r="39" spans="1:13" ht="18" customHeight="1">
      <c r="A39" s="106" t="str">
        <f>Calculation2!X$4</f>
        <v>Target Total Short-Term Variable Cash</v>
      </c>
      <c r="B39" s="107"/>
      <c r="C39" s="107"/>
      <c r="D39" s="53">
        <f>IF(Calculation2!$X$14="","",Calculation2!$X$14)</f>
        <v>330059.50</v>
      </c>
      <c r="E39" s="53">
        <f>IF(Calculation2!$X$15="","",Calculation2!$X$15)</f>
        <v>509473.55249999999</v>
      </c>
      <c r="F39" s="53">
        <f>IF(Calculation2!$X$16="","",Calculation2!$X$16)</f>
        <v>766395.10499999882</v>
      </c>
      <c r="G39" s="53">
        <f>IF(Calculation2!$X$17="","",Calculation2!$X$17)</f>
        <v>900003</v>
      </c>
      <c r="H39" s="53">
        <f>IF(Calculation2!$X$18="","",Calculation2!$X$18)</f>
        <v>1912500.75</v>
      </c>
      <c r="I39" s="53">
        <f>IF(Calculation2!$X$19="","",Calculation2!$X$19)</f>
        <v>2725000</v>
      </c>
      <c r="J39" s="53">
        <f>IF(Calculation2!$X$20="","",Calculation2!$X$20)</f>
        <v>1273818.2016666667</v>
      </c>
      <c r="K39" s="93"/>
      <c r="L39" s="55">
        <f>IF(Calculation2!$X$12&gt;$E$10,$E$10,Calculation2!$X$12)</f>
        <v>6</v>
      </c>
      <c r="M39" s="56">
        <f t="shared" si="1"/>
        <v>100</v>
      </c>
    </row>
    <row r="40" spans="1:13" ht="18" customHeight="1">
      <c r="A40" s="108" t="str">
        <f>Calculation2!Y$4</f>
        <v>- As % of Basic Salary</v>
      </c>
      <c r="B40" s="109"/>
      <c r="C40" s="109"/>
      <c r="D40" s="64">
        <f>IF(Calculation2!$Y$14="","",Calculation2!$Y$14)</f>
        <v>0.29761015683345782</v>
      </c>
      <c r="E40" s="64">
        <f>IF(Calculation2!$Y$15="","",Calculation2!$Y$15)</f>
        <v>0.45193785213781584</v>
      </c>
      <c r="F40" s="64">
        <f>IF(Calculation2!$Y$16="","",Calculation2!$Y$16)</f>
        <v>0.79950677223679656</v>
      </c>
      <c r="G40" s="64">
        <f>IF(Calculation2!$Y$17="","",Calculation2!$Y$17)</f>
        <v>1</v>
      </c>
      <c r="H40" s="64">
        <f>IF(Calculation2!$Y$18="","",Calculation2!$Y$18)</f>
        <v>1.6923076923076918</v>
      </c>
      <c r="I40" s="64">
        <f>IF(Calculation2!$Y$19="","",Calculation2!$Y$19)</f>
        <v>1.9329427478598735</v>
      </c>
      <c r="J40" s="64">
        <f>IF(Calculation2!$Y$20="","",Calculation2!$Y$20)</f>
        <v>1.0100198923100432</v>
      </c>
      <c r="K40" s="93"/>
      <c r="L40" s="55">
        <f>IF(Calculation2!$Y$12&gt;$E$10,$E$10,Calculation2!$Y$12)</f>
        <v>6</v>
      </c>
      <c r="M40" s="56">
        <f t="shared" si="1"/>
        <v>100</v>
      </c>
    </row>
    <row r="41" spans="1:13" ht="18" customHeight="1">
      <c r="A41" s="58" t="s">
        <v>53</v>
      </c>
      <c r="B41" s="110" t="str">
        <f>Calculation2!Z$4</f>
        <v>Target Total Cash</v>
      </c>
      <c r="C41" s="111"/>
      <c r="D41" s="59">
        <f>IF(Calculation2!$Z$14="","",Calculation2!$Z$14)</f>
        <v>1461678.50</v>
      </c>
      <c r="E41" s="59">
        <f>IF(Calculation2!$Z$15="","",Calculation2!$Z$15)</f>
        <v>1743872.5875000001</v>
      </c>
      <c r="F41" s="59">
        <f>IF(Calculation2!$Z$16="","",Calculation2!$Z$16)</f>
        <v>1785987.675</v>
      </c>
      <c r="G41" s="59">
        <f>IF(Calculation2!$Z$17="","",Calculation2!$Z$17)</f>
        <v>1800006</v>
      </c>
      <c r="H41" s="59">
        <f>IF(Calculation2!$Z$18="","",Calculation2!$Z$18)</f>
        <v>3081961.50</v>
      </c>
      <c r="I41" s="59">
        <f>IF(Calculation2!$Z$19="","",Calculation2!$Z$19)</f>
        <v>4222830</v>
      </c>
      <c r="J41" s="59">
        <f>IF(Calculation2!$Z$20="","",Calculation2!$Z$20)</f>
        <v>2490165.3916666657</v>
      </c>
      <c r="K41" s="60"/>
      <c r="L41" s="61">
        <f>IF(Calculation2!$Z$12&gt;$E$10,$E$10,Calculation2!$Z$12)</f>
        <v>6</v>
      </c>
      <c r="M41" s="62">
        <f t="shared" si="1"/>
        <v>100</v>
      </c>
    </row>
    <row r="42" spans="1:13" ht="20.1" customHeight="1">
      <c r="A42" s="106" t="str">
        <f>Calculation2!AA$4</f>
        <v>C1 + Target Total Short-Term Variable Cash</v>
      </c>
      <c r="B42" s="107"/>
      <c r="C42" s="107"/>
      <c r="D42" s="53">
        <f>IF(Calculation2!$AA$14="","",Calculation2!$AA$14)</f>
        <v>1409838.50</v>
      </c>
      <c r="E42" s="53">
        <f>IF(Calculation2!$AA$15="","",Calculation2!$AA$15)</f>
        <v>1645412.5875000001</v>
      </c>
      <c r="F42" s="53">
        <f>IF(Calculation2!$AA$16="","",Calculation2!$AA$16)</f>
        <v>1744587.675</v>
      </c>
      <c r="G42" s="53">
        <f>IF(Calculation2!$AA$17="","",Calculation2!$AA$17)</f>
        <v>1800006</v>
      </c>
      <c r="H42" s="53">
        <f>IF(Calculation2!$AA$18="","",Calculation2!$AA$18)</f>
        <v>3015001.50</v>
      </c>
      <c r="I42" s="53">
        <f>IF(Calculation2!$AA$19="","",Calculation2!$AA$19)</f>
        <v>4133550</v>
      </c>
      <c r="J42" s="53">
        <f>IF(Calculation2!$AA$20="","",Calculation2!$AA$20)</f>
        <v>2429325.3916666657</v>
      </c>
      <c r="K42" s="93"/>
      <c r="L42" s="55">
        <f>IF(Calculation2!$AA$12&gt;$E$10,$E$10,Calculation2!$AA$12)</f>
        <v>6</v>
      </c>
      <c r="M42" s="56">
        <f t="shared" si="1"/>
        <v>100</v>
      </c>
    </row>
    <row r="43" spans="1:13" ht="5.1" customHeight="1">
      <c r="A43" s="39"/>
      <c r="B43" s="39"/>
      <c r="C43" s="39"/>
      <c r="D43" s="39" t="s">
        <v>394</v>
      </c>
      <c r="E43" s="39" t="s">
        <v>394</v>
      </c>
      <c r="F43" s="39" t="s">
        <v>394</v>
      </c>
      <c r="G43" s="39" t="s">
        <v>394</v>
      </c>
      <c r="H43" s="39" t="s">
        <v>394</v>
      </c>
      <c r="I43" s="39" t="s">
        <v>394</v>
      </c>
      <c r="J43" s="39" t="s">
        <v>394</v>
      </c>
      <c r="K43" s="39"/>
      <c r="L43" s="39"/>
      <c r="M43" s="39"/>
    </row>
    <row r="44" spans="1:13" ht="15.9" customHeight="1">
      <c r="A44" s="112"/>
      <c r="B44" s="113"/>
      <c r="C44" s="113"/>
      <c r="D44" s="136" t="s">
        <v>54</v>
      </c>
      <c r="E44" s="137"/>
      <c r="F44" s="137"/>
      <c r="G44" s="137"/>
      <c r="H44" s="137"/>
      <c r="I44" s="137"/>
      <c r="J44" s="112"/>
      <c r="K44" s="63"/>
      <c r="L44" s="138"/>
      <c r="M44" s="136"/>
    </row>
    <row r="45" spans="1:13" ht="18" customHeight="1">
      <c r="A45" s="131" t="str">
        <f>Calculation2!AB$4</f>
        <v>Stock Option</v>
      </c>
      <c r="B45" s="132"/>
      <c r="C45" s="132"/>
      <c r="D45" s="53" t="str">
        <f>IF(Calculation2!$AB$14="","",Calculation2!$AB$14)</f>
        <v/>
      </c>
      <c r="E45" s="53" t="str">
        <f>IF(Calculation2!$AB$15="","",Calculation2!$AB$15)</f>
        <v/>
      </c>
      <c r="F45" s="53">
        <f>IF(Calculation2!$AB$16="","",Calculation2!$AB$16)</f>
        <v>360413.17804800003</v>
      </c>
      <c r="G45" s="53" t="str">
        <f>IF(Calculation2!$AB$17="","",Calculation2!$AB$17)</f>
        <v/>
      </c>
      <c r="H45" s="53" t="str">
        <f>IF(Calculation2!$AB$18="","",Calculation2!$AB$18)</f>
        <v/>
      </c>
      <c r="I45" s="53" t="str">
        <f>IF(Calculation2!$AB$19="","",Calculation2!$AB$19)</f>
        <v/>
      </c>
      <c r="J45" s="53">
        <f>IF(Calculation2!$AB$20="","",Calculation2!$AB$20)</f>
        <v>360413.17804800003</v>
      </c>
      <c r="K45" s="93"/>
      <c r="L45" s="55">
        <f>IF(Calculation2!$AB$12&gt;$E$10,$E$10,Calculation2!$AB$12)</f>
        <v>1</v>
      </c>
      <c r="M45" s="56">
        <f t="shared" si="2" ref="M45:M57">IF($L45&gt;0,$L45/$E$10*100,"")</f>
        <v>16.666666666666664</v>
      </c>
    </row>
    <row r="46" spans="1:13" ht="18" customHeight="1">
      <c r="A46" s="108" t="str">
        <f>Calculation2!AC$4</f>
        <v>- As % of Basic Salary</v>
      </c>
      <c r="B46" s="109"/>
      <c r="C46" s="109"/>
      <c r="D46" s="64" t="str">
        <f>IF(Calculation2!$AC$14="","",Calculation2!$AC$14)</f>
        <v/>
      </c>
      <c r="E46" s="64" t="str">
        <f>IF(Calculation2!$AC$15="","",Calculation2!$AC$15)</f>
        <v/>
      </c>
      <c r="F46" s="64">
        <f>IF(Calculation2!$AC$16="","",Calculation2!$AC$16)</f>
        <v>0.34117689461126255</v>
      </c>
      <c r="G46" s="64" t="str">
        <f>IF(Calculation2!$AC$17="","",Calculation2!$AC$17)</f>
        <v/>
      </c>
      <c r="H46" s="64" t="str">
        <f>IF(Calculation2!$AC$18="","",Calculation2!$AC$18)</f>
        <v/>
      </c>
      <c r="I46" s="64" t="str">
        <f>IF(Calculation2!$AC$19="","",Calculation2!$AC$19)</f>
        <v/>
      </c>
      <c r="J46" s="64">
        <f>IF(Calculation2!$AC$20="","",Calculation2!$AC$20)</f>
        <v>0.34117689461126255</v>
      </c>
      <c r="K46" s="93"/>
      <c r="L46" s="55">
        <f>IF(Calculation2!$AC$12&gt;$E$10,$E$10,Calculation2!$AC$12)</f>
        <v>1</v>
      </c>
      <c r="M46" s="56">
        <f t="shared" si="2"/>
        <v>16.666666666666664</v>
      </c>
    </row>
    <row r="47" spans="1:13" ht="18" customHeight="1">
      <c r="A47" s="131" t="str">
        <f>Calculation2!AD$4</f>
        <v>Stock Appreciation Right</v>
      </c>
      <c r="B47" s="132"/>
      <c r="C47" s="132"/>
      <c r="D47" s="53" t="str">
        <f>IF(Calculation2!$AD$14="","",Calculation2!$AD$14)</f>
        <v/>
      </c>
      <c r="E47" s="53" t="str">
        <f>IF(Calculation2!$AD$15="","",Calculation2!$AD$15)</f>
        <v/>
      </c>
      <c r="F47" s="53" t="str">
        <f>IF(Calculation2!$AD$16="","",Calculation2!$AD$16)</f>
        <v/>
      </c>
      <c r="G47" s="53" t="str">
        <f>IF(Calculation2!$AD$17="","",Calculation2!$AD$17)</f>
        <v/>
      </c>
      <c r="H47" s="53" t="str">
        <f>IF(Calculation2!$AD$18="","",Calculation2!$AD$18)</f>
        <v/>
      </c>
      <c r="I47" s="53" t="str">
        <f>IF(Calculation2!$AD$19="","",Calculation2!$AD$19)</f>
        <v/>
      </c>
      <c r="J47" s="53" t="str">
        <f>IF(Calculation2!$AD$20="","",Calculation2!$AD$20)</f>
        <v/>
      </c>
      <c r="K47" s="93"/>
      <c r="L47" s="55">
        <f>IF(Calculation2!$AD$12&gt;$E$10,$E$10,Calculation2!$AD$12)</f>
        <v>0</v>
      </c>
      <c r="M47" s="56" t="str">
        <f t="shared" si="2"/>
        <v/>
      </c>
    </row>
    <row r="48" spans="1:13" ht="18" customHeight="1">
      <c r="A48" s="108" t="str">
        <f>Calculation2!AE$4</f>
        <v>- As % of Basic Salary</v>
      </c>
      <c r="B48" s="109"/>
      <c r="C48" s="109"/>
      <c r="D48" s="64" t="str">
        <f>IF(Calculation2!$AE$14="","",Calculation2!$AE$14)</f>
        <v/>
      </c>
      <c r="E48" s="64" t="str">
        <f>IF(Calculation2!$AE$15="","",Calculation2!$AE$15)</f>
        <v/>
      </c>
      <c r="F48" s="64" t="str">
        <f>IF(Calculation2!$AE$16="","",Calculation2!$AE$16)</f>
        <v/>
      </c>
      <c r="G48" s="64" t="str">
        <f>IF(Calculation2!$AE$17="","",Calculation2!$AE$17)</f>
        <v/>
      </c>
      <c r="H48" s="64" t="str">
        <f>IF(Calculation2!$AE$18="","",Calculation2!$AE$18)</f>
        <v/>
      </c>
      <c r="I48" s="64" t="str">
        <f>IF(Calculation2!$AE$19="","",Calculation2!$AE$19)</f>
        <v/>
      </c>
      <c r="J48" s="64" t="str">
        <f>IF(Calculation2!$AE$20="","",Calculation2!$AE$20)</f>
        <v/>
      </c>
      <c r="K48" s="93"/>
      <c r="L48" s="55">
        <f>IF(Calculation2!$AE$12&gt;$E$10,$E$10,Calculation2!$AE$12)</f>
        <v>0</v>
      </c>
      <c r="M48" s="56" t="str">
        <f t="shared" si="2"/>
        <v/>
      </c>
    </row>
    <row r="49" spans="1:13" ht="18" customHeight="1">
      <c r="A49" s="131" t="str">
        <f>Calculation2!AF$4</f>
        <v>Restricted Stock/Unit</v>
      </c>
      <c r="B49" s="132"/>
      <c r="C49" s="132"/>
      <c r="D49" s="53" t="str">
        <f>IF(Calculation2!$AF$14="","",Calculation2!$AF$14)</f>
        <v/>
      </c>
      <c r="E49" s="53" t="str">
        <f>IF(Calculation2!$AF$15="","",Calculation2!$AF$15)</f>
        <v/>
      </c>
      <c r="F49" s="53">
        <f>IF(Calculation2!$AF$16="","",Calculation2!$AF$16)</f>
        <v>615024.48479999881</v>
      </c>
      <c r="G49" s="53" t="str">
        <f>IF(Calculation2!$AF$17="","",Calculation2!$AF$17)</f>
        <v/>
      </c>
      <c r="H49" s="53" t="str">
        <f>IF(Calculation2!$AF$18="","",Calculation2!$AF$18)</f>
        <v/>
      </c>
      <c r="I49" s="53" t="str">
        <f>IF(Calculation2!$AF$19="","",Calculation2!$AF$19)</f>
        <v/>
      </c>
      <c r="J49" s="53">
        <f>IF(Calculation2!$AF$20="","",Calculation2!$AF$20)</f>
        <v>615024.48479999881</v>
      </c>
      <c r="K49" s="93"/>
      <c r="L49" s="55">
        <f>IF(Calculation2!$AF$12&gt;$E$10,$E$10,Calculation2!$AF$12)</f>
        <v>2</v>
      </c>
      <c r="M49" s="56">
        <f t="shared" si="2"/>
        <v>33.333333333333329</v>
      </c>
    </row>
    <row r="50" spans="1:13" ht="18" customHeight="1">
      <c r="A50" s="108" t="str">
        <f>Calculation2!AG$4</f>
        <v>- As % of Basic Salary</v>
      </c>
      <c r="B50" s="109"/>
      <c r="C50" s="109"/>
      <c r="D50" s="64" t="str">
        <f>IF(Calculation2!$AG$14="","",Calculation2!$AG$14)</f>
        <v/>
      </c>
      <c r="E50" s="64" t="str">
        <f>IF(Calculation2!$AG$15="","",Calculation2!$AG$15)</f>
        <v/>
      </c>
      <c r="F50" s="64">
        <f>IF(Calculation2!$AG$16="","",Calculation2!$AG$16)</f>
        <v>0.60946377887790704</v>
      </c>
      <c r="G50" s="64" t="str">
        <f>IF(Calculation2!$AG$17="","",Calculation2!$AG$17)</f>
        <v/>
      </c>
      <c r="H50" s="64" t="str">
        <f>IF(Calculation2!$AG$18="","",Calculation2!$AG$18)</f>
        <v/>
      </c>
      <c r="I50" s="64" t="str">
        <f>IF(Calculation2!$AG$19="","",Calculation2!$AG$19)</f>
        <v/>
      </c>
      <c r="J50" s="64">
        <f>IF(Calculation2!$AG$20="","",Calculation2!$AG$20)</f>
        <v>0.60946377887790704</v>
      </c>
      <c r="K50" s="93"/>
      <c r="L50" s="55">
        <f>IF(Calculation2!$AG$12&gt;$E$10,$E$10,Calculation2!$AG$12)</f>
        <v>2</v>
      </c>
      <c r="M50" s="56">
        <f t="shared" si="2"/>
        <v>33.333333333333329</v>
      </c>
    </row>
    <row r="51" spans="1:13" ht="18" customHeight="1">
      <c r="A51" s="131" t="str">
        <f>Calculation2!AH$4</f>
        <v>Performance Share</v>
      </c>
      <c r="B51" s="132"/>
      <c r="C51" s="132"/>
      <c r="D51" s="53" t="str">
        <f>IF(Calculation2!$AH$14="","",Calculation2!$AH$14)</f>
        <v/>
      </c>
      <c r="E51" s="53" t="str">
        <f>IF(Calculation2!$AH$15="","",Calculation2!$AH$15)</f>
        <v/>
      </c>
      <c r="F51" s="53">
        <f>IF(Calculation2!$AH$16="","",Calculation2!$AH$16)</f>
        <v>892544</v>
      </c>
      <c r="G51" s="53" t="str">
        <f>IF(Calculation2!$AH$17="","",Calculation2!$AH$17)</f>
        <v/>
      </c>
      <c r="H51" s="53" t="str">
        <f>IF(Calculation2!$AH$18="","",Calculation2!$AH$18)</f>
        <v/>
      </c>
      <c r="I51" s="53" t="str">
        <f>IF(Calculation2!$AH$19="","",Calculation2!$AH$19)</f>
        <v/>
      </c>
      <c r="J51" s="53">
        <f>IF(Calculation2!$AH$20="","",Calculation2!$AH$20)</f>
        <v>892544</v>
      </c>
      <c r="K51" s="93"/>
      <c r="L51" s="55">
        <f>IF(Calculation2!$AH$12&gt;$E$10,$E$10,Calculation2!$AH$12)</f>
        <v>1</v>
      </c>
      <c r="M51" s="56">
        <f t="shared" si="2"/>
        <v>16.666666666666664</v>
      </c>
    </row>
    <row r="52" spans="1:13" ht="18" customHeight="1">
      <c r="A52" s="108" t="str">
        <f>Calculation2!AI$4</f>
        <v>- As % of Basic Salary</v>
      </c>
      <c r="B52" s="109"/>
      <c r="C52" s="109"/>
      <c r="D52" s="64" t="str">
        <f>IF(Calculation2!$AI$14="","",Calculation2!$AI$14)</f>
        <v/>
      </c>
      <c r="E52" s="64" t="str">
        <f>IF(Calculation2!$AI$15="","",Calculation2!$AI$15)</f>
        <v/>
      </c>
      <c r="F52" s="64">
        <f>IF(Calculation2!$AI$16="","",Calculation2!$AI$16)</f>
        <v>0.89513990572660618</v>
      </c>
      <c r="G52" s="64" t="str">
        <f>IF(Calculation2!$AI$17="","",Calculation2!$AI$17)</f>
        <v/>
      </c>
      <c r="H52" s="64" t="str">
        <f>IF(Calculation2!$AI$18="","",Calculation2!$AI$18)</f>
        <v/>
      </c>
      <c r="I52" s="64" t="str">
        <f>IF(Calculation2!$AI$19="","",Calculation2!$AI$19)</f>
        <v/>
      </c>
      <c r="J52" s="64">
        <f>IF(Calculation2!$AI$20="","",Calculation2!$AI$20)</f>
        <v>0.89513990572660618</v>
      </c>
      <c r="K52" s="94"/>
      <c r="L52" s="55">
        <f>IF(Calculation2!$AI$12&gt;$E$10,$E$10,Calculation2!$AI$12)</f>
        <v>1</v>
      </c>
      <c r="M52" s="56">
        <f t="shared" si="2"/>
        <v>16.666666666666664</v>
      </c>
    </row>
    <row r="53" spans="1:13" ht="18" customHeight="1">
      <c r="A53" s="131" t="str">
        <f>Calculation2!AJ$4</f>
        <v>L-T Performance Cash</v>
      </c>
      <c r="B53" s="132"/>
      <c r="C53" s="132"/>
      <c r="D53" s="53" t="str">
        <f>IF(Calculation2!$AJ$14="","",Calculation2!$AJ$14)</f>
        <v/>
      </c>
      <c r="E53" s="53" t="str">
        <f>IF(Calculation2!$AJ$15="","",Calculation2!$AJ$15)</f>
        <v/>
      </c>
      <c r="F53" s="53">
        <f>IF(Calculation2!$AJ$16="","",Calculation2!$AJ$16)</f>
        <v>755001.50</v>
      </c>
      <c r="G53" s="53" t="str">
        <f>IF(Calculation2!$AJ$17="","",Calculation2!$AJ$17)</f>
        <v/>
      </c>
      <c r="H53" s="53" t="str">
        <f>IF(Calculation2!$AJ$18="","",Calculation2!$AJ$18)</f>
        <v/>
      </c>
      <c r="I53" s="53" t="str">
        <f>IF(Calculation2!$AJ$19="","",Calculation2!$AJ$19)</f>
        <v/>
      </c>
      <c r="J53" s="53">
        <f>IF(Calculation2!$AJ$20="","",Calculation2!$AJ$20)</f>
        <v>755001.50</v>
      </c>
      <c r="K53" s="93"/>
      <c r="L53" s="55">
        <f>IF(Calculation2!$AJ$12&gt;$E$10,$E$10,Calculation2!$AJ$12)</f>
        <v>2</v>
      </c>
      <c r="M53" s="56">
        <f t="shared" si="2"/>
        <v>33.333333333333329</v>
      </c>
    </row>
    <row r="54" spans="1:13" ht="18" customHeight="1">
      <c r="A54" s="108" t="str">
        <f>Calculation2!AK$4</f>
        <v>- As % of Basic Salary</v>
      </c>
      <c r="B54" s="109"/>
      <c r="C54" s="109"/>
      <c r="D54" s="64" t="str">
        <f>IF(Calculation2!$AK$14="","",Calculation2!$AK$14)</f>
        <v/>
      </c>
      <c r="E54" s="64" t="str">
        <f>IF(Calculation2!$AK$15="","",Calculation2!$AK$15)</f>
        <v/>
      </c>
      <c r="F54" s="64">
        <f>IF(Calculation2!$AK$16="","",Calculation2!$AK$16)</f>
        <v>0.76237507075524447</v>
      </c>
      <c r="G54" s="64" t="str">
        <f>IF(Calculation2!$AK$17="","",Calculation2!$AK$17)</f>
        <v/>
      </c>
      <c r="H54" s="64" t="str">
        <f>IF(Calculation2!$AK$18="","",Calculation2!$AK$18)</f>
        <v/>
      </c>
      <c r="I54" s="64" t="str">
        <f>IF(Calculation2!$AK$19="","",Calculation2!$AK$19)</f>
        <v/>
      </c>
      <c r="J54" s="64">
        <f>IF(Calculation2!$AK$20="","",Calculation2!$AK$20)</f>
        <v>0.76237507075524447</v>
      </c>
      <c r="K54" s="94"/>
      <c r="L54" s="55">
        <f>IF(Calculation2!$AK$12&gt;$E$10,$E$10,Calculation2!$AK$12)</f>
        <v>2</v>
      </c>
      <c r="M54" s="56">
        <f t="shared" si="2"/>
        <v>33.333333333333329</v>
      </c>
    </row>
    <row r="55" spans="1:13" ht="18" customHeight="1">
      <c r="A55" s="106" t="str">
        <f>Calculation2!AL$4</f>
        <v>Total Equity/Long-Term Incentive</v>
      </c>
      <c r="B55" s="107"/>
      <c r="C55" s="107"/>
      <c r="D55" s="53" t="str">
        <f>IF(Calculation2!$AL$14="","",Calculation2!$AL$14)</f>
        <v/>
      </c>
      <c r="E55" s="53" t="str">
        <f>IF(Calculation2!$AL$15="","",Calculation2!$AL$15)</f>
        <v/>
      </c>
      <c r="F55" s="53">
        <f>IF(Calculation2!$AL$16="","",Calculation2!$AL$16)</f>
        <v>760792.57382400043</v>
      </c>
      <c r="G55" s="53" t="str">
        <f>IF(Calculation2!$AL$17="","",Calculation2!$AL$17)</f>
        <v/>
      </c>
      <c r="H55" s="53" t="str">
        <f>IF(Calculation2!$AL$18="","",Calculation2!$AL$18)</f>
        <v/>
      </c>
      <c r="I55" s="53" t="str">
        <f>IF(Calculation2!$AL$19="","",Calculation2!$AL$19)</f>
        <v/>
      </c>
      <c r="J55" s="53">
        <f>IF(Calculation2!$AL$20="","",Calculation2!$AL$20)</f>
        <v>998252.28691199922</v>
      </c>
      <c r="K55" s="93"/>
      <c r="L55" s="55">
        <f>IF(Calculation2!$AL$12&gt;$E$10,$E$10,Calculation2!$AL$12)</f>
        <v>4</v>
      </c>
      <c r="M55" s="56">
        <f t="shared" si="2"/>
        <v>66.666666666666657</v>
      </c>
    </row>
    <row r="56" spans="1:13" ht="18" customHeight="1">
      <c r="A56" s="108" t="str">
        <f>Calculation2!AM$4</f>
        <v>- As % of Basic Salary</v>
      </c>
      <c r="B56" s="109"/>
      <c r="C56" s="109"/>
      <c r="D56" s="64" t="str">
        <f>IF(Calculation2!$AM$14="","",Calculation2!$AM$14)</f>
        <v/>
      </c>
      <c r="E56" s="64" t="str">
        <f>IF(Calculation2!$AM$15="","",Calculation2!$AM$15)</f>
        <v/>
      </c>
      <c r="F56" s="64">
        <f>IF(Calculation2!$AM$16="","",Calculation2!$AM$16)</f>
        <v>0.79420326419376885</v>
      </c>
      <c r="G56" s="64" t="str">
        <f>IF(Calculation2!$AM$17="","",Calculation2!$AM$17)</f>
        <v/>
      </c>
      <c r="H56" s="64" t="str">
        <f>IF(Calculation2!$AM$18="","",Calculation2!$AM$18)</f>
        <v/>
      </c>
      <c r="I56" s="64" t="str">
        <f>IF(Calculation2!$AM$19="","",Calculation2!$AM$19)</f>
        <v/>
      </c>
      <c r="J56" s="64">
        <f>IF(Calculation2!$AM$20="","",Calculation2!$AM$20)</f>
        <v>0.99499862490104407</v>
      </c>
      <c r="K56" s="93"/>
      <c r="L56" s="55">
        <f>IF(Calculation2!$AM$12&gt;$E$10,$E$10,Calculation2!$AM$12)</f>
        <v>4</v>
      </c>
      <c r="M56" s="56">
        <f t="shared" si="2"/>
        <v>66.666666666666657</v>
      </c>
    </row>
    <row r="57" spans="1:13" ht="18" customHeight="1">
      <c r="A57" s="58" t="s">
        <v>369</v>
      </c>
      <c r="B57" s="110" t="str">
        <f>Calculation2!AN$4</f>
        <v>Actual Total Direct Compensation</v>
      </c>
      <c r="C57" s="111"/>
      <c r="D57" s="59">
        <f>IF(Calculation2!$AN$14="","",Calculation2!$AN$14)</f>
        <v>2820566.1363240001</v>
      </c>
      <c r="E57" s="59">
        <f>IF(Calculation2!$AN$15="","",Calculation2!$AN$15)</f>
        <v>2977944.8794859964</v>
      </c>
      <c r="F57" s="59">
        <f>IF(Calculation2!$AN$16="","",Calculation2!$AN$16)</f>
        <v>3298840.35</v>
      </c>
      <c r="G57" s="59">
        <f>IF(Calculation2!$AN$17="","",Calculation2!$AN$17)</f>
        <v>3509280</v>
      </c>
      <c r="H57" s="59">
        <f>IF(Calculation2!$AN$18="","",Calculation2!$AN$18)</f>
        <v>3629646</v>
      </c>
      <c r="I57" s="59">
        <f>IF(Calculation2!$AN$19="","",Calculation2!$AN$19)</f>
        <v>4303074</v>
      </c>
      <c r="J57" s="59">
        <f>IF(Calculation2!$AN$20="","",Calculation2!$AN$20)</f>
        <v>3474160.1621079966</v>
      </c>
      <c r="K57" s="60"/>
      <c r="L57" s="61">
        <f>IF(Calculation2!$AN$12&gt;$E$10,$E$10,Calculation2!$AN$12)</f>
        <v>6</v>
      </c>
      <c r="M57" s="62">
        <f t="shared" si="2"/>
        <v>100</v>
      </c>
    </row>
    <row r="58" spans="1:13" ht="5.1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ht="18" customHeight="1">
      <c r="A59" s="58" t="s">
        <v>368</v>
      </c>
      <c r="B59" s="110" t="str">
        <f>Calculation2!AO$4</f>
        <v>Target Total Direct Compensation</v>
      </c>
      <c r="C59" s="111"/>
      <c r="D59" s="59">
        <f>IF(Calculation2!$AO$14="","",Calculation2!$AO$14)</f>
        <v>2369029.2488240022</v>
      </c>
      <c r="E59" s="59">
        <f>IF(Calculation2!$AO$15="","",Calculation2!$AO$15)</f>
        <v>2470165.8732360001</v>
      </c>
      <c r="F59" s="59">
        <f>IF(Calculation2!$AO$16="","",Calculation2!$AO$16)</f>
        <v>2875141.50</v>
      </c>
      <c r="G59" s="59">
        <f>IF(Calculation2!$AO$17="","",Calculation2!$AO$17)</f>
        <v>3050274</v>
      </c>
      <c r="H59" s="59">
        <f>IF(Calculation2!$AO$18="","",Calculation2!$AO$18)</f>
        <v>3394528.50</v>
      </c>
      <c r="I59" s="59">
        <f>IF(Calculation2!$AO$19="","",Calculation2!$AO$19)</f>
        <v>4222830</v>
      </c>
      <c r="J59" s="59">
        <f>IF(Calculation2!$AO$20="","",Calculation2!$AO$20)</f>
        <v>3155666.9162746668</v>
      </c>
      <c r="K59" s="60"/>
      <c r="L59" s="61">
        <f>IF(Calculation2!$AO$12&gt;$E$10,$E$10,Calculation2!$AO$12)</f>
        <v>6</v>
      </c>
      <c r="M59" s="62">
        <f>IF($L59&gt;0,$L59/$E$10*100,"")</f>
        <v>100</v>
      </c>
    </row>
    <row r="60" spans="1:13" ht="5.1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ht="15.9" customHeight="1">
      <c r="A61" s="112"/>
      <c r="B61" s="113"/>
      <c r="C61" s="113"/>
      <c r="D61" s="136" t="s">
        <v>115</v>
      </c>
      <c r="E61" s="137"/>
      <c r="F61" s="137"/>
      <c r="G61" s="137"/>
      <c r="H61" s="137"/>
      <c r="I61" s="137"/>
      <c r="J61" s="112"/>
      <c r="K61" s="63"/>
      <c r="L61" s="138"/>
      <c r="M61" s="136"/>
    </row>
    <row r="62" spans="1:13" ht="18" customHeight="1">
      <c r="A62" s="131" t="str">
        <f>Calculation2!AP$4</f>
        <v>Car Allowance (in lieu of car)</v>
      </c>
      <c r="B62" s="132"/>
      <c r="C62" s="132"/>
      <c r="D62" s="53" t="str">
        <f>IF(Calculation2!$AP$14="","",Calculation2!$AP$14)</f>
        <v/>
      </c>
      <c r="E62" s="53" t="str">
        <f>IF(Calculation2!$AP$15="","",Calculation2!$AP$15)</f>
        <v/>
      </c>
      <c r="F62" s="53">
        <f>IF(Calculation2!$AP$16="","",Calculation2!$AP$16)</f>
        <v>54000</v>
      </c>
      <c r="G62" s="53" t="str">
        <f>IF(Calculation2!$AP$17="","",Calculation2!$AP$17)</f>
        <v/>
      </c>
      <c r="H62" s="53" t="str">
        <f>IF(Calculation2!$AP$18="","",Calculation2!$AP$18)</f>
        <v/>
      </c>
      <c r="I62" s="53" t="str">
        <f>IF(Calculation2!$AP$19="","",Calculation2!$AP$19)</f>
        <v/>
      </c>
      <c r="J62" s="53">
        <f>IF(Calculation2!$AP$20="","",Calculation2!$AP$20)</f>
        <v>56668</v>
      </c>
      <c r="K62" s="93"/>
      <c r="L62" s="55">
        <f>IF(Calculation2!$AP$12&gt;$E$10,$E$10,Calculation2!$AP$12)</f>
        <v>3</v>
      </c>
      <c r="M62" s="56">
        <f t="shared" si="3" ref="M62:M69">IF($L62&gt;0,$L62/$E$10*100,"")</f>
        <v>50</v>
      </c>
    </row>
    <row r="63" spans="1:13" ht="18" customHeight="1">
      <c r="A63" s="131" t="str">
        <f>Calculation2!AQ$4</f>
        <v>Car Cost</v>
      </c>
      <c r="B63" s="132"/>
      <c r="C63" s="132"/>
      <c r="D63" s="53" t="str">
        <f>IF(Calculation2!$AQ$14="","",Calculation2!$AQ$14)</f>
        <v/>
      </c>
      <c r="E63" s="53" t="str">
        <f>IF(Calculation2!$AQ$15="","",Calculation2!$AQ$15)</f>
        <v/>
      </c>
      <c r="F63" s="53">
        <f>IF(Calculation2!$AQ$16="","",Calculation2!$AQ$16)</f>
        <v>38775</v>
      </c>
      <c r="G63" s="53" t="str">
        <f>IF(Calculation2!$AQ$17="","",Calculation2!$AQ$17)</f>
        <v/>
      </c>
      <c r="H63" s="53" t="str">
        <f>IF(Calculation2!$AQ$18="","",Calculation2!$AQ$18)</f>
        <v/>
      </c>
      <c r="I63" s="53" t="str">
        <f>IF(Calculation2!$AQ$19="","",Calculation2!$AQ$19)</f>
        <v/>
      </c>
      <c r="J63" s="53">
        <f>IF(Calculation2!$AQ$20="","",Calculation2!$AQ$20)</f>
        <v>38775</v>
      </c>
      <c r="K63" s="93"/>
      <c r="L63" s="55">
        <f>IF(Calculation2!$AQ$12&gt;$E$10,$E$10,Calculation2!$AQ$12)</f>
        <v>2</v>
      </c>
      <c r="M63" s="56">
        <f t="shared" si="3"/>
        <v>33.333333333333329</v>
      </c>
    </row>
    <row r="64" spans="1:13" ht="18" customHeight="1">
      <c r="A64" s="131" t="str">
        <f>Calculation2!AR$4</f>
        <v>Housing</v>
      </c>
      <c r="B64" s="132"/>
      <c r="C64" s="132"/>
      <c r="D64" s="53" t="str">
        <f>IF(Calculation2!$AR$14="","",Calculation2!$AR$14)</f>
        <v/>
      </c>
      <c r="E64" s="53" t="str">
        <f>IF(Calculation2!$AR$15="","",Calculation2!$AR$15)</f>
        <v/>
      </c>
      <c r="F64" s="53">
        <f>IF(Calculation2!$AR$16="","",Calculation2!$AR$16)</f>
        <v>216000</v>
      </c>
      <c r="G64" s="53" t="str">
        <f>IF(Calculation2!$AR$17="","",Calculation2!$AR$17)</f>
        <v/>
      </c>
      <c r="H64" s="53" t="str">
        <f>IF(Calculation2!$AR$18="","",Calculation2!$AR$18)</f>
        <v/>
      </c>
      <c r="I64" s="53" t="str">
        <f>IF(Calculation2!$AR$19="","",Calculation2!$AR$19)</f>
        <v/>
      </c>
      <c r="J64" s="53">
        <f>IF(Calculation2!$AR$20="","",Calculation2!$AR$20)</f>
        <v>216000</v>
      </c>
      <c r="K64" s="93"/>
      <c r="L64" s="55">
        <f>IF(Calculation2!$AR$12&gt;$E$10,$E$10,Calculation2!$AR$12)</f>
        <v>1</v>
      </c>
      <c r="M64" s="56">
        <f t="shared" si="3"/>
        <v>16.666666666666664</v>
      </c>
    </row>
    <row r="65" spans="1:13" ht="18" customHeight="1">
      <c r="A65" s="131" t="str">
        <f>Calculation2!AS$4</f>
        <v>Club Membership</v>
      </c>
      <c r="B65" s="132"/>
      <c r="C65" s="132"/>
      <c r="D65" s="53">
        <f>IF(Calculation2!$AS$14="","",Calculation2!$AS$14)</f>
        <v>2115.60</v>
      </c>
      <c r="E65" s="53">
        <f>IF(Calculation2!$AS$15="","",Calculation2!$AS$15)</f>
        <v>2400</v>
      </c>
      <c r="F65" s="53">
        <f>IF(Calculation2!$AS$16="","",Calculation2!$AS$16)</f>
        <v>2406</v>
      </c>
      <c r="G65" s="53">
        <f>IF(Calculation2!$AS$17="","",Calculation2!$AS$17)</f>
        <v>2833.60</v>
      </c>
      <c r="H65" s="53">
        <f>IF(Calculation2!$AS$18="","",Calculation2!$AS$18)</f>
        <v>3475</v>
      </c>
      <c r="I65" s="53">
        <f>IF(Calculation2!$AS$19="","",Calculation2!$AS$19)</f>
        <v>3730</v>
      </c>
      <c r="J65" s="53">
        <f>IF(Calculation2!$AS$20="","",Calculation2!$AS$20)</f>
        <v>2821.40</v>
      </c>
      <c r="K65" s="93"/>
      <c r="L65" s="55">
        <f>IF(Calculation2!$AS$12&gt;$E$10,$E$10,Calculation2!$AS$12)</f>
        <v>5</v>
      </c>
      <c r="M65" s="56">
        <f t="shared" si="3"/>
        <v>83.333333333333258</v>
      </c>
    </row>
    <row r="66" spans="1:13" ht="18" customHeight="1">
      <c r="A66" s="131" t="str">
        <f>Calculation2!AT$4</f>
        <v>Children's Education Cost</v>
      </c>
      <c r="B66" s="132"/>
      <c r="C66" s="132"/>
      <c r="D66" s="53" t="str">
        <f>IF(Calculation2!$AT$14="","",Calculation2!$AT$14)</f>
        <v/>
      </c>
      <c r="E66" s="53" t="str">
        <f>IF(Calculation2!$AT$15="","",Calculation2!$AT$15)</f>
        <v/>
      </c>
      <c r="F66" s="53" t="str">
        <f>IF(Calculation2!$AT$16="","",Calculation2!$AT$16)</f>
        <v/>
      </c>
      <c r="G66" s="53" t="str">
        <f>IF(Calculation2!$AT$17="","",Calculation2!$AT$17)</f>
        <v/>
      </c>
      <c r="H66" s="53" t="str">
        <f>IF(Calculation2!$AT$18="","",Calculation2!$AT$18)</f>
        <v/>
      </c>
      <c r="I66" s="53" t="str">
        <f>IF(Calculation2!$AT$19="","",Calculation2!$AT$19)</f>
        <v/>
      </c>
      <c r="J66" s="53" t="str">
        <f>IF(Calculation2!$AT$20="","",Calculation2!$AT$20)</f>
        <v/>
      </c>
      <c r="K66" s="93"/>
      <c r="L66" s="55">
        <f>IF(Calculation2!$AT$12&gt;$E$10,$E$10,Calculation2!$AT$12)</f>
        <v>0</v>
      </c>
      <c r="M66" s="56" t="str">
        <f t="shared" si="3"/>
        <v/>
      </c>
    </row>
    <row r="67" spans="1:13" ht="18" customHeight="1">
      <c r="A67" s="106" t="str">
        <f>Calculation2!AU$4</f>
        <v>Total Perquisites</v>
      </c>
      <c r="B67" s="107"/>
      <c r="C67" s="107"/>
      <c r="D67" s="53">
        <f>IF(Calculation2!$AU$14="","",Calculation2!$AU$14)</f>
        <v>32840.40</v>
      </c>
      <c r="E67" s="53">
        <f>IF(Calculation2!$AU$15="","",Calculation2!$AU$15)</f>
        <v>55926</v>
      </c>
      <c r="F67" s="53">
        <f>IF(Calculation2!$AU$16="","",Calculation2!$AU$16)</f>
        <v>65975</v>
      </c>
      <c r="G67" s="53">
        <f>IF(Calculation2!$AU$17="","",Calculation2!$AU$17)</f>
        <v>66947.399999999994</v>
      </c>
      <c r="H67" s="53">
        <f>IF(Calculation2!$AU$18="","",Calculation2!$AU$18)</f>
        <v>68406</v>
      </c>
      <c r="I67" s="53">
        <f>IF(Calculation2!$AU$19="","",Calculation2!$AU$19)</f>
        <v>189304.79999999993</v>
      </c>
      <c r="J67" s="53">
        <f>IF(Calculation2!$AU$20="","",Calculation2!$AU$20)</f>
        <v>95532.20</v>
      </c>
      <c r="K67" s="93"/>
      <c r="L67" s="55">
        <f>IF(Calculation2!$AU$12&gt;$E$10,$E$10,Calculation2!$AU$12)</f>
        <v>5</v>
      </c>
      <c r="M67" s="56">
        <f t="shared" si="3"/>
        <v>83.333333333333258</v>
      </c>
    </row>
    <row r="68" spans="1:13" ht="18" customHeight="1">
      <c r="A68" s="108" t="str">
        <f>Calculation2!AV$4</f>
        <v>- As % of Basic Salary</v>
      </c>
      <c r="B68" s="109"/>
      <c r="C68" s="109"/>
      <c r="D68" s="64">
        <f>IF(Calculation2!$AV$14="","",Calculation2!$AV$14)</f>
        <v>0.02561924742156629</v>
      </c>
      <c r="E68" s="64">
        <f>IF(Calculation2!$AV$15="","",Calculation2!$AV$15)</f>
        <v>0.041531176006314126</v>
      </c>
      <c r="F68" s="64">
        <f>IF(Calculation2!$AV$16="","",Calculation2!$AV$16)</f>
        <v>0.047800000000000002</v>
      </c>
      <c r="G68" s="64">
        <f>IF(Calculation2!$AV$17="","",Calculation2!$AV$17)</f>
        <v>0.058002124481807311</v>
      </c>
      <c r="H68" s="64">
        <f>IF(Calculation2!$AV$18="","",Calculation2!$AV$18)</f>
        <v>0.073305311204518178</v>
      </c>
      <c r="I68" s="64">
        <f>IF(Calculation2!$AV$19="","",Calculation2!$AV$19)</f>
        <v>0.19173552333849159</v>
      </c>
      <c r="J68" s="64">
        <f>IF(Calculation2!$AV$20="","",Calculation2!$AV$20)</f>
        <v>0.089667356067408041</v>
      </c>
      <c r="K68" s="93"/>
      <c r="L68" s="55">
        <f>IF(Calculation2!$AV$12&gt;$E$10,$E$10,Calculation2!$AV$12)</f>
        <v>5</v>
      </c>
      <c r="M68" s="56">
        <f t="shared" si="3"/>
        <v>83.333333333333258</v>
      </c>
    </row>
    <row r="69" spans="1:13" ht="18" customHeight="1">
      <c r="A69" s="58" t="s">
        <v>372</v>
      </c>
      <c r="B69" s="110" t="str">
        <f>Calculation2!AW$4</f>
        <v>Actual Total Remuneration</v>
      </c>
      <c r="C69" s="111"/>
      <c r="D69" s="59">
        <f>IF(Calculation2!$AW$14="","",Calculation2!$AW$14)</f>
        <v>2853553.6363240001</v>
      </c>
      <c r="E69" s="59">
        <f>IF(Calculation2!$AW$15="","",Calculation2!$AW$15)</f>
        <v>2982307.3794859964</v>
      </c>
      <c r="F69" s="59">
        <f>IF(Calculation2!$AW$16="","",Calculation2!$AW$16)</f>
        <v>3335528.35</v>
      </c>
      <c r="G69" s="59">
        <f>IF(Calculation2!$AW$17="","",Calculation2!$AW$17)</f>
        <v>3565206</v>
      </c>
      <c r="H69" s="59">
        <f>IF(Calculation2!$AW$18="","",Calculation2!$AW$18)</f>
        <v>3846055.50</v>
      </c>
      <c r="I69" s="59">
        <f>IF(Calculation2!$AW$19="","",Calculation2!$AW$19)</f>
        <v>4472229</v>
      </c>
      <c r="J69" s="59">
        <f>IF(Calculation2!$AW$20="","",Calculation2!$AW$20)</f>
        <v>3553770.3287746664</v>
      </c>
      <c r="K69" s="60"/>
      <c r="L69" s="61">
        <f>IF(Calculation2!$AW$12&gt;$E$10,$E$10,Calculation2!$AW$12)</f>
        <v>6</v>
      </c>
      <c r="M69" s="62">
        <f t="shared" si="3"/>
        <v>100</v>
      </c>
    </row>
    <row r="70" spans="1:13" ht="5.1" customHeight="1">
      <c r="A70" s="39"/>
      <c r="B70" s="39"/>
      <c r="C70" s="39"/>
      <c r="D70" s="39" t="s">
        <v>394</v>
      </c>
      <c r="E70" s="39" t="s">
        <v>394</v>
      </c>
      <c r="F70" s="39" t="s">
        <v>394</v>
      </c>
      <c r="G70" s="39" t="s">
        <v>394</v>
      </c>
      <c r="H70" s="39" t="s">
        <v>394</v>
      </c>
      <c r="I70" s="39" t="s">
        <v>394</v>
      </c>
      <c r="J70" s="39" t="s">
        <v>394</v>
      </c>
      <c r="K70" s="39"/>
      <c r="L70" s="39"/>
      <c r="M70" s="39"/>
    </row>
    <row r="71" spans="1:13" ht="18" customHeight="1">
      <c r="A71" s="58" t="s">
        <v>371</v>
      </c>
      <c r="B71" s="110" t="str">
        <f>Calculation2!AX$4</f>
        <v>Target Total Remuneration</v>
      </c>
      <c r="C71" s="111"/>
      <c r="D71" s="59">
        <f>IF(Calculation2!$AX$14="","",Calculation2!$AX$14)</f>
        <v>2377754.2488240022</v>
      </c>
      <c r="E71" s="59">
        <f>IF(Calculation2!$AX$15="","",Calculation2!$AX$15)</f>
        <v>2486659.6232360033</v>
      </c>
      <c r="F71" s="59">
        <f>IF(Calculation2!$AX$16="","",Calculation2!$AX$16)</f>
        <v>3043081</v>
      </c>
      <c r="G71" s="59">
        <f>IF(Calculation2!$AX$17="","",Calculation2!$AX$17)</f>
        <v>3320178</v>
      </c>
      <c r="H71" s="59">
        <f>IF(Calculation2!$AX$18="","",Calculation2!$AX$18)</f>
        <v>3503949</v>
      </c>
      <c r="I71" s="59">
        <f>IF(Calculation2!$AX$19="","",Calculation2!$AX$19)</f>
        <v>4284996</v>
      </c>
      <c r="J71" s="59">
        <f>IF(Calculation2!$AX$20="","",Calculation2!$AX$20)</f>
        <v>3235277.0829413272</v>
      </c>
      <c r="K71" s="60"/>
      <c r="L71" s="61">
        <f>IF(Calculation2!$AX$12&gt;$E$10,$E$10,Calculation2!$AX$12)</f>
        <v>6</v>
      </c>
      <c r="M71" s="62">
        <f>IF($L71&gt;0,$L71/$E$10*100,"")</f>
        <v>100</v>
      </c>
    </row>
    <row r="72" spans="1:13" ht="5.1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ht="15.9" customHeight="1">
      <c r="A73" s="112"/>
      <c r="B73" s="113"/>
      <c r="C73" s="113"/>
      <c r="D73" s="136" t="s">
        <v>55</v>
      </c>
      <c r="E73" s="137"/>
      <c r="F73" s="137"/>
      <c r="G73" s="137"/>
      <c r="H73" s="137"/>
      <c r="I73" s="137"/>
      <c r="J73" s="112"/>
      <c r="K73" s="63"/>
      <c r="L73" s="138"/>
      <c r="M73" s="136"/>
    </row>
    <row r="74" spans="1:13" ht="18" customHeight="1">
      <c r="A74" s="131" t="str">
        <f>Calculation2!AY$4</f>
        <v>Mandatory Social Benefits Contribution</v>
      </c>
      <c r="B74" s="132"/>
      <c r="C74" s="132"/>
      <c r="D74" s="53">
        <f>IF(Calculation2!$AY$14="","",Calculation2!$AY$14)</f>
        <v>6395.50</v>
      </c>
      <c r="E74" s="53">
        <f>IF(Calculation2!$AY$15="","",Calculation2!$AY$15)</f>
        <v>7654.50</v>
      </c>
      <c r="F74" s="53">
        <f>IF(Calculation2!$AY$16="","",Calculation2!$AY$16)</f>
        <v>11537</v>
      </c>
      <c r="G74" s="53">
        <f>IF(Calculation2!$AY$17="","",Calculation2!$AY$17)</f>
        <v>13600</v>
      </c>
      <c r="H74" s="53">
        <f>IF(Calculation2!$AY$18="","",Calculation2!$AY$18)</f>
        <v>13600</v>
      </c>
      <c r="I74" s="53">
        <f>IF(Calculation2!$AY$19="","",Calculation2!$AY$19)</f>
        <v>13600</v>
      </c>
      <c r="J74" s="53">
        <f>IF(Calculation2!$AY$20="","",Calculation2!$AY$20)</f>
        <v>10510.833333333327</v>
      </c>
      <c r="K74" s="93"/>
      <c r="L74" s="55">
        <f>IF(Calculation2!$AY$12&gt;$E$10,$E$10,Calculation2!$AY$12)</f>
        <v>6</v>
      </c>
      <c r="M74" s="56">
        <f>IF($L74&gt;0,$L74/$E$10*100,"")</f>
        <v>100</v>
      </c>
    </row>
    <row r="75" spans="1:13" ht="18" customHeight="1">
      <c r="A75" s="131" t="str">
        <f>Calculation2!AZ$4</f>
        <v>Supplementary Social Benefits Contribution</v>
      </c>
      <c r="B75" s="132"/>
      <c r="C75" s="132"/>
      <c r="D75" s="53" t="str">
        <f>IF(Calculation2!$AZ$14="","",Calculation2!$AZ$14)</f>
        <v/>
      </c>
      <c r="E75" s="53" t="str">
        <f>IF(Calculation2!$AZ$15="","",Calculation2!$AZ$15)</f>
        <v/>
      </c>
      <c r="F75" s="53" t="str">
        <f>IF(Calculation2!$AZ$16="","",Calculation2!$AZ$16)</f>
        <v/>
      </c>
      <c r="G75" s="53" t="str">
        <f>IF(Calculation2!$AZ$17="","",Calculation2!$AZ$17)</f>
        <v/>
      </c>
      <c r="H75" s="53" t="str">
        <f>IF(Calculation2!$AZ$18="","",Calculation2!$AZ$18)</f>
        <v/>
      </c>
      <c r="I75" s="53" t="str">
        <f>IF(Calculation2!$AZ$19="","",Calculation2!$AZ$19)</f>
        <v/>
      </c>
      <c r="J75" s="53" t="str">
        <f>IF(Calculation2!$AZ$20="","",Calculation2!$AZ$20)</f>
        <v/>
      </c>
      <c r="K75" s="93"/>
      <c r="L75" s="55">
        <f>IF(Calculation2!$AZ$12&gt;$E$10,$E$10,Calculation2!$AZ$12)</f>
        <v>0</v>
      </c>
      <c r="M75" s="56" t="str">
        <f>IF($L75&gt;0,$L75/$E$10*100,"")</f>
        <v/>
      </c>
    </row>
    <row r="76" spans="1:13" ht="18" customHeight="1">
      <c r="A76" s="106" t="str">
        <f>Calculation2!BA$4</f>
        <v>Total Social Benefits Contribution</v>
      </c>
      <c r="B76" s="107"/>
      <c r="C76" s="107"/>
      <c r="D76" s="53">
        <f>IF(Calculation2!$BA$14="","",Calculation2!$BA$14)</f>
        <v>6395.50</v>
      </c>
      <c r="E76" s="53">
        <f>IF(Calculation2!$BA$15="","",Calculation2!$BA$15)</f>
        <v>7654.50</v>
      </c>
      <c r="F76" s="53">
        <f>IF(Calculation2!$BA$16="","",Calculation2!$BA$16)</f>
        <v>11537</v>
      </c>
      <c r="G76" s="53">
        <f>IF(Calculation2!$BA$17="","",Calculation2!$BA$17)</f>
        <v>13600</v>
      </c>
      <c r="H76" s="53">
        <f>IF(Calculation2!$BA$18="","",Calculation2!$BA$18)</f>
        <v>13600</v>
      </c>
      <c r="I76" s="53">
        <f>IF(Calculation2!$BA$19="","",Calculation2!$BA$19)</f>
        <v>13600</v>
      </c>
      <c r="J76" s="53">
        <f>IF(Calculation2!$BA$20="","",Calculation2!$BA$20)</f>
        <v>10510.833333333327</v>
      </c>
      <c r="K76" s="93"/>
      <c r="L76" s="55">
        <f>IF(Calculation2!$BA$12&gt;$E$10,$E$10,Calculation2!$BA$12)</f>
        <v>6</v>
      </c>
      <c r="M76" s="56">
        <f>IF($L76&gt;0,$L76/$E$10*100,"")</f>
        <v>100</v>
      </c>
    </row>
    <row r="77" spans="1:13" ht="18" customHeight="1">
      <c r="A77" s="108" t="str">
        <f>Calculation2!BB$4</f>
        <v>- As % of Basic Salary</v>
      </c>
      <c r="B77" s="109"/>
      <c r="C77" s="109"/>
      <c r="D77" s="64">
        <f>IF(Calculation2!$BB$14="","",Calculation2!$BB$14)</f>
        <v>0.0053461605878909399</v>
      </c>
      <c r="E77" s="64">
        <f>IF(Calculation2!$BB$15="","",Calculation2!$BB$15)</f>
        <v>0.0058199286287684065</v>
      </c>
      <c r="F77" s="64">
        <f>IF(Calculation2!$BB$16="","",Calculation2!$BB$16)</f>
        <v>0.0094490303386341647</v>
      </c>
      <c r="G77" s="64">
        <f>IF(Calculation2!$BB$17="","",Calculation2!$BB$17)</f>
        <v>0.012874129053336725</v>
      </c>
      <c r="H77" s="64">
        <f>IF(Calculation2!$BB$18="","",Calculation2!$BB$18)</f>
        <v>0.013448198294825488</v>
      </c>
      <c r="I77" s="64">
        <f>IF(Calculation2!$BB$19="","",Calculation2!$BB$19)</f>
        <v>0.01437530772478187</v>
      </c>
      <c r="J77" s="64">
        <f>IF(Calculation2!$BB$20="","",Calculation2!$BB$20)</f>
        <v>0.0097234995504356294</v>
      </c>
      <c r="K77" s="93"/>
      <c r="L77" s="55">
        <f>IF(Calculation2!$BB$12&gt;$E$10,$E$10,Calculation2!$BB$12)</f>
        <v>6</v>
      </c>
      <c r="M77" s="56">
        <f>IF($L77&gt;0,$L77/$E$10*100,"")</f>
        <v>100</v>
      </c>
    </row>
    <row r="78" spans="1:13" ht="18" customHeight="1">
      <c r="A78" s="58" t="s">
        <v>374</v>
      </c>
      <c r="B78" s="110" t="str">
        <f>Calculation2!BC$4</f>
        <v>Actual Total Cost to Company</v>
      </c>
      <c r="C78" s="111"/>
      <c r="D78" s="59">
        <f>IF(Calculation2!$BC$14="","",Calculation2!$BC$14)</f>
        <v>2867153.6363240001</v>
      </c>
      <c r="E78" s="59">
        <f>IF(Calculation2!$BC$15="","",Calculation2!$BC$15)</f>
        <v>2993943.1294860002</v>
      </c>
      <c r="F78" s="59">
        <f>IF(Calculation2!$BC$16="","",Calculation2!$BC$16)</f>
        <v>3341923.85</v>
      </c>
      <c r="G78" s="59">
        <f>IF(Calculation2!$BC$17="","",Calculation2!$BC$17)</f>
        <v>3572254</v>
      </c>
      <c r="H78" s="59">
        <f>IF(Calculation2!$BC$18="","",Calculation2!$BC$18)</f>
        <v>3858017.50</v>
      </c>
      <c r="I78" s="59">
        <f>IF(Calculation2!$BC$19="","",Calculation2!$BC$19)</f>
        <v>4483766</v>
      </c>
      <c r="J78" s="59">
        <f>IF(Calculation2!$BC$20="","",Calculation2!$BC$20)</f>
        <v>3564281.1621079966</v>
      </c>
      <c r="K78" s="60"/>
      <c r="L78" s="61">
        <f>IF(Calculation2!$BC$12&gt;$E$10,$E$10,Calculation2!$BC$12)</f>
        <v>6</v>
      </c>
      <c r="M78" s="62">
        <f>IF($L78&gt;0,$L78/$E$10*100,"")</f>
        <v>100</v>
      </c>
    </row>
    <row r="79" spans="1:13" ht="5.1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ht="20.1" customHeight="1">
      <c r="A80" s="58" t="s">
        <v>375</v>
      </c>
      <c r="B80" s="110" t="str">
        <f>Calculation2!BD$4</f>
        <v>Target Total Cost to Company</v>
      </c>
      <c r="C80" s="111"/>
      <c r="D80" s="59">
        <f>IF(Calculation2!$BD$14="","",Calculation2!$BD$14)</f>
        <v>2387425.7488240022</v>
      </c>
      <c r="E80" s="59">
        <f>IF(Calculation2!$BD$15="","",Calculation2!$BD$15)</f>
        <v>2500259.6232360033</v>
      </c>
      <c r="F80" s="59">
        <f>IF(Calculation2!$BD$16="","",Calculation2!$BD$16)</f>
        <v>3056681</v>
      </c>
      <c r="G80" s="59">
        <f>IF(Calculation2!$BD$17="","",Calculation2!$BD$17)</f>
        <v>3333778</v>
      </c>
      <c r="H80" s="59">
        <f>IF(Calculation2!$BD$18="","",Calculation2!$BD$18)</f>
        <v>3512635</v>
      </c>
      <c r="I80" s="59">
        <f>IF(Calculation2!$BD$19="","",Calculation2!$BD$19)</f>
        <v>4293257</v>
      </c>
      <c r="J80" s="59">
        <f>IF(Calculation2!$BD$20="","",Calculation2!$BD$20)</f>
        <v>3245787.9162746668</v>
      </c>
      <c r="K80" s="60"/>
      <c r="L80" s="61">
        <f>IF(Calculation2!$BD$12&gt;$E$10,$E$10,Calculation2!$BD$12)</f>
        <v>6</v>
      </c>
      <c r="M80" s="62">
        <f>IF($L80&gt;0,$L80/$E$10*100,"")</f>
        <v>100</v>
      </c>
    </row>
    <row r="81" spans="1:13" ht="5.1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ht="20.1" customHeight="1">
      <c r="A82" s="106" t="str">
        <f>Calculation2!BE$4</f>
        <v>Fixed Cash Allowances  + Total Perquisites</v>
      </c>
      <c r="B82" s="107"/>
      <c r="C82" s="107"/>
      <c r="D82" s="53">
        <f>IF(Calculation2!$BE$14="","",Calculation2!$BE$14)</f>
        <v>74387.50</v>
      </c>
      <c r="E82" s="53">
        <f>IF(Calculation2!$BE$15="","",Calculation2!$BE$15)</f>
        <v>92382.50</v>
      </c>
      <c r="F82" s="53">
        <f>IF(Calculation2!$BE$16="","",Calculation2!$BE$16)</f>
        <v>133168</v>
      </c>
      <c r="G82" s="53">
        <f>IF(Calculation2!$BE$17="","",Calculation2!$BE$17)</f>
        <v>145206</v>
      </c>
      <c r="H82" s="53">
        <f>IF(Calculation2!$BE$18="","",Calculation2!$BE$18)</f>
        <v>154566</v>
      </c>
      <c r="I82" s="53">
        <f>IF(Calculation2!$BE$19="","",Calculation2!$BE$19)</f>
        <v>213795</v>
      </c>
      <c r="J82" s="53">
        <f>IF(Calculation2!$BE$20="","",Calculation2!$BE$20)</f>
        <v>140450.16666666666</v>
      </c>
      <c r="K82" s="93"/>
      <c r="L82" s="55">
        <f>IF(Calculation2!$BE$12&gt;$E$10,$E$10,Calculation2!$BE$12)</f>
        <v>6</v>
      </c>
      <c r="M82" s="56">
        <f>IF($L82&gt;0,$L82/$E$10*100,"")</f>
        <v>100</v>
      </c>
    </row>
    <row r="83" spans="1:13" ht="20.1" customHeight="1">
      <c r="A83" s="106" t="str">
        <f>Calculation2!BF$4</f>
        <v>Fixed Cash + Total Perquisites</v>
      </c>
      <c r="B83" s="107"/>
      <c r="C83" s="107"/>
      <c r="D83" s="53">
        <f>IF(Calculation2!$BF$14="","",Calculation2!$BF$14)</f>
        <v>1052580.07</v>
      </c>
      <c r="E83" s="53">
        <f>IF(Calculation2!$BF$15="","",Calculation2!$BF$15)</f>
        <v>1171137.605</v>
      </c>
      <c r="F83" s="53">
        <f>IF(Calculation2!$BF$16="","",Calculation2!$BF$16)</f>
        <v>1275296</v>
      </c>
      <c r="G83" s="53">
        <f>IF(Calculation2!$BF$17="","",Calculation2!$BF$17)</f>
        <v>1283588</v>
      </c>
      <c r="H83" s="53">
        <f>IF(Calculation2!$BF$18="","",Calculation2!$BF$18)</f>
        <v>1307301.50</v>
      </c>
      <c r="I83" s="53">
        <f>IF(Calculation2!$BF$19="","",Calculation2!$BF$19)</f>
        <v>1559996</v>
      </c>
      <c r="J83" s="53">
        <f>IF(Calculation2!$BF$20="","",Calculation2!$BF$20)</f>
        <v>1295957.3566666681</v>
      </c>
      <c r="K83" s="93"/>
      <c r="L83" s="55">
        <f>IF(Calculation2!$BF$12&gt;$E$10,$E$10,Calculation2!$BF$12)</f>
        <v>6</v>
      </c>
      <c r="M83" s="56">
        <f>IF($L83&gt;0,$L83/$E$10*100,"")</f>
        <v>100</v>
      </c>
    </row>
    <row r="84" spans="1:13" ht="20.1" customHeight="1">
      <c r="A84" s="106" t="str">
        <f>Calculation2!BG$4</f>
        <v>Fixed Cash + Total Perquisites + Total Social Benefits Contribution</v>
      </c>
      <c r="B84" s="107"/>
      <c r="C84" s="107"/>
      <c r="D84" s="53">
        <f>IF(Calculation2!$BG$14="","",Calculation2!$BG$14)</f>
        <v>1066180.07</v>
      </c>
      <c r="E84" s="53">
        <f>IF(Calculation2!$BG$15="","",Calculation2!$BG$15)</f>
        <v>1184737.605</v>
      </c>
      <c r="F84" s="53">
        <f>IF(Calculation2!$BG$16="","",Calculation2!$BG$16)</f>
        <v>1284967.50</v>
      </c>
      <c r="G84" s="53">
        <f>IF(Calculation2!$BG$17="","",Calculation2!$BG$17)</f>
        <v>1289331</v>
      </c>
      <c r="H84" s="53">
        <f>IF(Calculation2!$BG$18="","",Calculation2!$BG$18)</f>
        <v>1314023.25</v>
      </c>
      <c r="I84" s="53">
        <f>IF(Calculation2!$BG$19="","",Calculation2!$BG$19)</f>
        <v>1568257</v>
      </c>
      <c r="J84" s="53">
        <f>IF(Calculation2!$BG$20="","",Calculation2!$BG$20)</f>
        <v>1306468.1900000011</v>
      </c>
      <c r="K84" s="93"/>
      <c r="L84" s="55">
        <f>IF(Calculation2!$BG$12&gt;$E$10,$E$10,Calculation2!$BG$12)</f>
        <v>6</v>
      </c>
      <c r="M84" s="56">
        <f>IF($L84&gt;0,$L84/$E$10*100,"")</f>
        <v>100</v>
      </c>
    </row>
    <row r="85" spans="1:13" ht="20.1" customHeight="1">
      <c r="A85" s="106" t="str">
        <f>Calculation2!BH$4</f>
        <v>Actual Total Cash + Total Perquisites</v>
      </c>
      <c r="B85" s="107"/>
      <c r="C85" s="107"/>
      <c r="D85" s="53">
        <f>IF(Calculation2!$BH$14="","",Calculation2!$BH$14)</f>
        <v>1972113</v>
      </c>
      <c r="E85" s="53">
        <f>IF(Calculation2!$BH$15="","",Calculation2!$BH$15)</f>
        <v>2138572.03125</v>
      </c>
      <c r="F85" s="53">
        <f>IF(Calculation2!$BH$16="","",Calculation2!$BH$16)</f>
        <v>2407697.4124999959</v>
      </c>
      <c r="G85" s="53">
        <f>IF(Calculation2!$BH$17="","",Calculation2!$BH$17)</f>
        <v>2495850.7000000002</v>
      </c>
      <c r="H85" s="53">
        <f>IF(Calculation2!$BH$18="","",Calculation2!$BH$18)</f>
        <v>3297867.1749999998</v>
      </c>
      <c r="I85" s="53">
        <f>IF(Calculation2!$BH$19="","",Calculation2!$BH$19)</f>
        <v>4284996</v>
      </c>
      <c r="J85" s="53">
        <f>IF(Calculation2!$BH$20="","",Calculation2!$BH$20)</f>
        <v>2888268.8041666667</v>
      </c>
      <c r="K85" s="93"/>
      <c r="L85" s="55">
        <f>IF(Calculation2!$BH$12&gt;$E$10,$E$10,Calculation2!$BH$12)</f>
        <v>6</v>
      </c>
      <c r="M85" s="56">
        <f>IF($L85&gt;0,$L85/$E$10*100,"")</f>
        <v>100</v>
      </c>
    </row>
    <row r="86" spans="1:13" ht="20.1" customHeight="1">
      <c r="A86" s="106" t="str">
        <f>Calculation2!BI$4</f>
        <v>Actual Total Cash + Total Perquisites + Total Social Benefits Contribution</v>
      </c>
      <c r="B86" s="107"/>
      <c r="C86" s="107"/>
      <c r="D86" s="53">
        <f>IF(Calculation2!$BI$14="","",Calculation2!$BI$14)</f>
        <v>1985713</v>
      </c>
      <c r="E86" s="53">
        <f>IF(Calculation2!$BI$15="","",Calculation2!$BI$15)</f>
        <v>2152172.03125</v>
      </c>
      <c r="F86" s="53">
        <f>IF(Calculation2!$BI$16="","",Calculation2!$BI$16)</f>
        <v>2417368.9124999959</v>
      </c>
      <c r="G86" s="53">
        <f>IF(Calculation2!$BI$17="","",Calculation2!$BI$17)</f>
        <v>2501593.7000000002</v>
      </c>
      <c r="H86" s="53">
        <f>IF(Calculation2!$BI$18="","",Calculation2!$BI$18)</f>
        <v>3304588.9249999998</v>
      </c>
      <c r="I86" s="53">
        <f>IF(Calculation2!$BI$19="","",Calculation2!$BI$19)</f>
        <v>4293257</v>
      </c>
      <c r="J86" s="53">
        <f>IF(Calculation2!$BI$20="","",Calculation2!$BI$20)</f>
        <v>2898779.6374999997</v>
      </c>
      <c r="K86" s="93"/>
      <c r="L86" s="55">
        <f>IF(Calculation2!$BI$12&gt;$E$10,$E$10,Calculation2!$BI$12)</f>
        <v>6</v>
      </c>
      <c r="M86" s="56">
        <f>IF($L86&gt;0,$L86/$E$10*100,"")</f>
        <v>100</v>
      </c>
    </row>
    <row r="87" spans="1:13" ht="5.1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ht="20.1" customHeight="1">
      <c r="A88" s="106" t="str">
        <f>Calculation2!BJ$4</f>
        <v>Age</v>
      </c>
      <c r="B88" s="107"/>
      <c r="C88" s="107"/>
      <c r="D88" s="53">
        <f>IF(Calculation2!$BJ$14="","",Calculation2!$BJ$14)</f>
        <v>60</v>
      </c>
      <c r="E88" s="53">
        <f>IF(Calculation2!$BJ$15="","",Calculation2!$BJ$15)</f>
        <v>61.50</v>
      </c>
      <c r="F88" s="53">
        <f>IF(Calculation2!$BJ$16="","",Calculation2!$BJ$16)</f>
        <v>63</v>
      </c>
      <c r="G88" s="53">
        <f>IF(Calculation2!$BJ$17="","",Calculation2!$BJ$17)</f>
        <v>63</v>
      </c>
      <c r="H88" s="53">
        <f>IF(Calculation2!$BJ$18="","",Calculation2!$BJ$18)</f>
        <v>63.75</v>
      </c>
      <c r="I88" s="53">
        <f>IF(Calculation2!$BJ$19="","",Calculation2!$BJ$19)</f>
        <v>64</v>
      </c>
      <c r="J88" s="53">
        <f>IF(Calculation2!$BJ$20="","",Calculation2!$BJ$20)</f>
        <v>62.333333333333336</v>
      </c>
      <c r="K88" s="93"/>
      <c r="L88" s="55">
        <f>IF(Calculation2!$BJ$12&gt;$E$10,$E$10,Calculation2!$BJ$12)</f>
        <v>6</v>
      </c>
      <c r="M88" s="56">
        <f>IF($L88&gt;0,$L88/$E$10*100,"")</f>
        <v>100</v>
      </c>
    </row>
    <row r="89" spans="1:13" ht="20.1" customHeight="1">
      <c r="A89" s="106" t="str">
        <f>Calculation2!BK$4</f>
        <v>Year of Service</v>
      </c>
      <c r="B89" s="107"/>
      <c r="C89" s="107"/>
      <c r="D89" s="53">
        <f>IF(Calculation2!$BK$14="","",Calculation2!$BK$14)</f>
        <v>8</v>
      </c>
      <c r="E89" s="53">
        <f>IF(Calculation2!$BK$15="","",Calculation2!$BK$15)</f>
        <v>9.75</v>
      </c>
      <c r="F89" s="53">
        <f>IF(Calculation2!$BK$16="","",Calculation2!$BK$16)</f>
        <v>12.50</v>
      </c>
      <c r="G89" s="53">
        <f>IF(Calculation2!$BK$17="","",Calculation2!$BK$17)</f>
        <v>13</v>
      </c>
      <c r="H89" s="53">
        <f>IF(Calculation2!$BK$18="","",Calculation2!$BK$18)</f>
        <v>24.25</v>
      </c>
      <c r="I89" s="53">
        <f>IF(Calculation2!$BK$19="","",Calculation2!$BK$19)</f>
        <v>32.50</v>
      </c>
      <c r="J89" s="53">
        <f>IF(Calculation2!$BK$20="","",Calculation2!$BK$20)</f>
        <v>17.666666666666668</v>
      </c>
      <c r="K89" s="93"/>
      <c r="L89" s="55">
        <f>IF(Calculation2!$BK$12&gt;$E$10,$E$10,Calculation2!$BK$12)</f>
        <v>6</v>
      </c>
      <c r="M89" s="56">
        <f>IF($L89&gt;0,$L89/$E$10*100,"")</f>
        <v>100</v>
      </c>
    </row>
    <row r="90" spans="1:13" ht="5.1" customHeight="1" thickBot="1">
      <c r="A90" s="39"/>
      <c r="B90" s="39"/>
      <c r="C90" s="39"/>
      <c r="D90" s="39"/>
      <c r="E90" s="39"/>
      <c r="F90" s="39"/>
      <c r="G90" s="45"/>
      <c r="H90" s="66"/>
      <c r="I90" s="45"/>
      <c r="J90" s="45"/>
      <c r="K90" s="45"/>
      <c r="L90" s="45"/>
      <c r="M90" s="45"/>
    </row>
    <row r="91" spans="1:13" ht="15.9" customHeight="1" thickBot="1">
      <c r="A91" s="39"/>
      <c r="B91" s="83" t="s">
        <v>58</v>
      </c>
      <c r="C91" s="84" t="s">
        <v>59</v>
      </c>
      <c r="D91" s="85" t="s">
        <v>58</v>
      </c>
      <c r="E91" s="86" t="s">
        <v>59</v>
      </c>
      <c r="F91" s="83" t="s">
        <v>58</v>
      </c>
      <c r="G91" s="83" t="s">
        <v>59</v>
      </c>
      <c r="H91" s="80" t="s">
        <v>56</v>
      </c>
      <c r="I91" s="39"/>
      <c r="J91" s="39"/>
      <c r="K91" s="39"/>
      <c r="L91" s="39"/>
      <c r="M91" s="39"/>
    </row>
    <row r="92" spans="1:13" ht="15.9" customHeight="1">
      <c r="A92" s="39"/>
      <c r="B92" s="87" t="s">
        <v>112</v>
      </c>
      <c r="C92" s="88">
        <f>SUM(C93:C97)</f>
        <v>0</v>
      </c>
      <c r="D92" s="87" t="s">
        <v>113</v>
      </c>
      <c r="E92" s="88">
        <f>SUM(E93:E100)+SUM(G92:G100)</f>
        <v>0</v>
      </c>
      <c r="F92" s="89" t="s">
        <v>22</v>
      </c>
      <c r="G92" s="90">
        <f>Calculation2!L36</f>
        <v>0</v>
      </c>
      <c r="H92" s="81" t="s">
        <v>380</v>
      </c>
      <c r="I92" s="45"/>
      <c r="J92" s="45"/>
      <c r="K92" s="45"/>
      <c r="L92" s="45"/>
      <c r="M92" s="45"/>
    </row>
    <row r="93" spans="1:13" ht="15.9" customHeight="1">
      <c r="A93" s="39"/>
      <c r="B93" s="89" t="s">
        <v>269</v>
      </c>
      <c r="C93" s="90">
        <f>Calculation2!L23</f>
        <v>0</v>
      </c>
      <c r="D93" s="89" t="s">
        <v>13</v>
      </c>
      <c r="E93" s="90">
        <f>Calculation2!L28</f>
        <v>0</v>
      </c>
      <c r="F93" s="89" t="s">
        <v>25</v>
      </c>
      <c r="G93" s="90">
        <f>Calculation2!L37</f>
        <v>0</v>
      </c>
      <c r="H93" s="81" t="s">
        <v>57</v>
      </c>
      <c r="I93" s="71"/>
      <c r="J93" s="71"/>
      <c r="K93" s="71"/>
      <c r="L93" s="71"/>
      <c r="M93" s="71"/>
    </row>
    <row r="94" spans="1:13" ht="15.9" customHeight="1">
      <c r="A94" s="39"/>
      <c r="B94" s="89" t="s">
        <v>15</v>
      </c>
      <c r="C94" s="90">
        <f>Calculation2!L24</f>
        <v>0</v>
      </c>
      <c r="D94" s="89" t="s">
        <v>23</v>
      </c>
      <c r="E94" s="90">
        <f>Calculation2!L29</f>
        <v>0</v>
      </c>
      <c r="F94" s="89" t="s">
        <v>26</v>
      </c>
      <c r="G94" s="90">
        <f>Calculation2!L38</f>
        <v>0</v>
      </c>
      <c r="H94" s="82" t="s">
        <v>225</v>
      </c>
      <c r="I94" s="71"/>
      <c r="J94" s="71"/>
      <c r="K94" s="71"/>
      <c r="L94" s="71"/>
      <c r="M94" s="71"/>
    </row>
    <row r="95" spans="1:13" ht="15.9" customHeight="1">
      <c r="A95" s="39"/>
      <c r="B95" s="89" t="s">
        <v>267</v>
      </c>
      <c r="C95" s="90">
        <f>Calculation2!L25</f>
        <v>0</v>
      </c>
      <c r="D95" s="89" t="s">
        <v>17</v>
      </c>
      <c r="E95" s="90">
        <f>Calculation2!L30</f>
        <v>0</v>
      </c>
      <c r="F95" s="89" t="s">
        <v>268</v>
      </c>
      <c r="G95" s="90">
        <f>Calculation2!L39</f>
        <v>0</v>
      </c>
      <c r="H95" s="82" t="s">
        <v>226</v>
      </c>
      <c r="I95" s="71"/>
      <c r="J95" s="71"/>
      <c r="K95" s="71"/>
      <c r="L95" s="71"/>
      <c r="M95" s="71"/>
    </row>
    <row r="96" spans="1:13" ht="15.9" customHeight="1">
      <c r="A96" s="39"/>
      <c r="B96" s="89" t="s">
        <v>14</v>
      </c>
      <c r="C96" s="90">
        <f>Calculation2!L26</f>
        <v>0</v>
      </c>
      <c r="D96" s="89" t="s">
        <v>109</v>
      </c>
      <c r="E96" s="90">
        <f>Calculation2!L31</f>
        <v>0</v>
      </c>
      <c r="F96" s="89" t="s">
        <v>110</v>
      </c>
      <c r="G96" s="90">
        <f>Calculation2!L40</f>
        <v>0</v>
      </c>
      <c r="H96" s="82" t="s">
        <v>377</v>
      </c>
      <c r="I96" s="71"/>
      <c r="J96" s="71"/>
      <c r="K96" s="71"/>
      <c r="L96" s="71"/>
      <c r="M96" s="71"/>
    </row>
    <row r="97" spans="1:13" ht="15.9" customHeight="1" thickBot="1">
      <c r="A97" s="39"/>
      <c r="B97" s="89" t="s">
        <v>16</v>
      </c>
      <c r="C97" s="90">
        <f>Calculation2!L27</f>
        <v>0</v>
      </c>
      <c r="D97" s="89" t="s">
        <v>18</v>
      </c>
      <c r="E97" s="90">
        <f>Calculation2!L32</f>
        <v>0</v>
      </c>
      <c r="F97" s="89" t="s">
        <v>27</v>
      </c>
      <c r="G97" s="90">
        <f>Calculation2!L41</f>
        <v>0</v>
      </c>
      <c r="H97" s="82" t="s">
        <v>381</v>
      </c>
      <c r="I97" s="45"/>
      <c r="J97" s="45"/>
      <c r="K97" s="45"/>
      <c r="L97" s="45"/>
      <c r="M97" s="45"/>
    </row>
    <row r="98" spans="1:13" ht="15.9" customHeight="1">
      <c r="A98" s="39"/>
      <c r="B98" s="87" t="s">
        <v>24</v>
      </c>
      <c r="C98" s="88">
        <f>Calculation2!L43+C99+C100</f>
        <v>0</v>
      </c>
      <c r="D98" s="89" t="s">
        <v>19</v>
      </c>
      <c r="E98" s="90">
        <f>Calculation2!L33</f>
        <v>0</v>
      </c>
      <c r="F98" s="89" t="s">
        <v>114</v>
      </c>
      <c r="G98" s="90">
        <f>Calculation2!L42</f>
        <v>0</v>
      </c>
      <c r="H98" s="82" t="s">
        <v>378</v>
      </c>
      <c r="I98" s="45"/>
      <c r="J98" s="45"/>
      <c r="K98" s="45"/>
      <c r="L98" s="45"/>
      <c r="M98" s="45"/>
    </row>
    <row r="99" spans="1:13" ht="15.9" customHeight="1">
      <c r="A99" s="39"/>
      <c r="B99" s="89" t="s">
        <v>266</v>
      </c>
      <c r="C99" s="90">
        <f>Calculation2!L44</f>
        <v>0</v>
      </c>
      <c r="D99" s="89" t="s">
        <v>20</v>
      </c>
      <c r="E99" s="90">
        <f>Calculation2!L34</f>
        <v>0</v>
      </c>
      <c r="F99" s="89"/>
      <c r="G99" s="90"/>
      <c r="H99" s="82" t="s">
        <v>379</v>
      </c>
      <c r="I99" s="45"/>
      <c r="J99" s="45"/>
      <c r="K99" s="45"/>
      <c r="L99" s="45"/>
      <c r="M99" s="45"/>
    </row>
    <row r="100" spans="2:7" ht="15.9" customHeight="1" thickBot="1">
      <c r="B100" s="91" t="s">
        <v>265</v>
      </c>
      <c r="C100" s="92">
        <f>Calculation2!L45</f>
        <v>0</v>
      </c>
      <c r="D100" s="91" t="s">
        <v>21</v>
      </c>
      <c r="E100" s="92">
        <f>Calculation2!L35</f>
        <v>0</v>
      </c>
      <c r="F100" s="91"/>
      <c r="G100" s="92"/>
    </row>
  </sheetData>
  <mergeCells count="92">
    <mergeCell ref="A86:C86"/>
    <mergeCell ref="A88:C88"/>
    <mergeCell ref="A89:C89"/>
    <mergeCell ref="B80:C80"/>
    <mergeCell ref="A82:C82"/>
    <mergeCell ref="A83:C83"/>
    <mergeCell ref="A84:C84"/>
    <mergeCell ref="A85:C85"/>
    <mergeCell ref="A74:C74"/>
    <mergeCell ref="A75:C75"/>
    <mergeCell ref="A76:C76"/>
    <mergeCell ref="A77:C77"/>
    <mergeCell ref="B78:C78"/>
    <mergeCell ref="D73:J73"/>
    <mergeCell ref="L73:M73"/>
    <mergeCell ref="A66:C66"/>
    <mergeCell ref="A67:C67"/>
    <mergeCell ref="A68:C68"/>
    <mergeCell ref="B69:C69"/>
    <mergeCell ref="B71:C71"/>
    <mergeCell ref="A73:C73"/>
    <mergeCell ref="A48:C48"/>
    <mergeCell ref="A49:C49"/>
    <mergeCell ref="L44:M44"/>
    <mergeCell ref="D44:J44"/>
    <mergeCell ref="L61:M61"/>
    <mergeCell ref="D61:J61"/>
    <mergeCell ref="A50:C50"/>
    <mergeCell ref="A51:C51"/>
    <mergeCell ref="A52:C52"/>
    <mergeCell ref="A53:C53"/>
    <mergeCell ref="A54:C54"/>
    <mergeCell ref="A55:C55"/>
    <mergeCell ref="A56:C56"/>
    <mergeCell ref="B57:C57"/>
    <mergeCell ref="B59:C59"/>
    <mergeCell ref="A61:C61"/>
    <mergeCell ref="L21:M21"/>
    <mergeCell ref="B30:C30"/>
    <mergeCell ref="A31:C31"/>
    <mergeCell ref="A33:C33"/>
    <mergeCell ref="A34:C34"/>
    <mergeCell ref="A22:C22"/>
    <mergeCell ref="A21:C21"/>
    <mergeCell ref="A23:C23"/>
    <mergeCell ref="A24:C24"/>
    <mergeCell ref="D21:J21"/>
    <mergeCell ref="A25:C25"/>
    <mergeCell ref="A26:C26"/>
    <mergeCell ref="A27:C27"/>
    <mergeCell ref="A28:C28"/>
    <mergeCell ref="A29:C29"/>
    <mergeCell ref="A15:C15"/>
    <mergeCell ref="A16:C16"/>
    <mergeCell ref="B17:C17"/>
    <mergeCell ref="A18:C18"/>
    <mergeCell ref="B19:C19"/>
    <mergeCell ref="D12:J12"/>
    <mergeCell ref="L12:M12"/>
    <mergeCell ref="A6:B6"/>
    <mergeCell ref="C6:E6"/>
    <mergeCell ref="G6:H6"/>
    <mergeCell ref="J6:M6"/>
    <mergeCell ref="A7:B7"/>
    <mergeCell ref="C7:E7"/>
    <mergeCell ref="A9:B9"/>
    <mergeCell ref="C9:E9"/>
    <mergeCell ref="G9:H9"/>
    <mergeCell ref="J9:M9"/>
    <mergeCell ref="A10:B10"/>
    <mergeCell ref="A1:B1"/>
    <mergeCell ref="B3:M3"/>
    <mergeCell ref="A5:B5"/>
    <mergeCell ref="C5:E5"/>
    <mergeCell ref="G5:H5"/>
    <mergeCell ref="J5:M5"/>
    <mergeCell ref="A62:C62"/>
    <mergeCell ref="A63:C63"/>
    <mergeCell ref="A64:C64"/>
    <mergeCell ref="A65:C65"/>
    <mergeCell ref="A35:C35"/>
    <mergeCell ref="A36:C36"/>
    <mergeCell ref="A37:C37"/>
    <mergeCell ref="A38:C38"/>
    <mergeCell ref="A39:C39"/>
    <mergeCell ref="A40:C40"/>
    <mergeCell ref="B41:C41"/>
    <mergeCell ref="A42:C42"/>
    <mergeCell ref="A44:C44"/>
    <mergeCell ref="A45:C45"/>
    <mergeCell ref="A46:C46"/>
    <mergeCell ref="A47:C47"/>
  </mergeCells>
  <printOptions horizontalCentered="1"/>
  <pageMargins left="0.31496062992126" right="0.31496062992126" top="0.31496062992126" bottom="0.0787401574803149" header="0.0393700787401575" footer="0.0393700787401575"/>
  <pageSetup orientation="portrait" paperSize="9" scale="5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139" t="s">
        <v>454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140" t="s">
        <v>454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2.75"/>
  <sheetData>
    <row r="5" ht="23.25" customHeight="1">
      <c r="A5" s="141" t="s">
        <v>454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>HR Business Solutions (Asia)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EPS Position Report</dc:title>
  <dc:subject/>
  <dc:creator>HRBSAsia</dc:creator>
  <cp:keywords/>
  <dc:description/>
  <cp:lastModifiedBy>jusinyah</cp:lastModifiedBy>
  <cp:lastPrinted>2012-06-24T11:33:47Z</cp:lastPrinted>
  <dcterms:created xsi:type="dcterms:W3CDTF">2008-04-29T01:46:58Z</dcterms:created>
  <dcterms:modified xsi:type="dcterms:W3CDTF">2016-07-19T07:07:08Z</dcterms:modified>
  <cp:category/>
  <cp:contentType/>
  <cp:contentStatus/>
</cp:coreProperties>
</file>