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9715\OneDrive\Desktop\Module 1 Assignment\"/>
    </mc:Choice>
  </mc:AlternateContent>
  <xr:revisionPtr revIDLastSave="0" documentId="13_ncr:1_{621093D7-6728-4A12-90CF-53ECA048E00C}" xr6:coauthVersionLast="47" xr6:coauthVersionMax="47" xr10:uidLastSave="{00000000-0000-0000-0000-000000000000}"/>
  <bookViews>
    <workbookView xWindow="-19310" yWindow="640" windowWidth="19420" windowHeight="10300" activeTab="5" xr2:uid="{00000000-000D-0000-FFFF-FFFF00000000}"/>
  </bookViews>
  <sheets>
    <sheet name="Crowdfunding" sheetId="1" r:id="rId1"/>
    <sheet name="Outcome by Category" sheetId="3" r:id="rId2"/>
    <sheet name="Outcome by Sub-Category" sheetId="4" r:id="rId3"/>
    <sheet name="Outcome by Month" sheetId="8" r:id="rId4"/>
    <sheet name="Outcomes Based on Goal" sheetId="9" r:id="rId5"/>
    <sheet name="Statistical Analysis" sheetId="15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H18" i="15" l="1"/>
  <c r="H9" i="15"/>
  <c r="E3" i="9"/>
  <c r="G3" i="9"/>
  <c r="H10" i="15"/>
  <c r="H19" i="15"/>
  <c r="H6" i="15"/>
  <c r="H5" i="15"/>
  <c r="G14" i="3"/>
  <c r="G6" i="3"/>
  <c r="G7" i="3"/>
  <c r="G8" i="3"/>
  <c r="G9" i="3"/>
  <c r="G10" i="3"/>
  <c r="G11" i="3"/>
  <c r="G12" i="3"/>
  <c r="G13" i="3"/>
  <c r="G5" i="3"/>
  <c r="E15" i="3"/>
  <c r="D15" i="3"/>
  <c r="C15" i="3"/>
  <c r="B15" i="3"/>
  <c r="H17" i="15"/>
  <c r="H16" i="15"/>
  <c r="H15" i="15"/>
  <c r="H14" i="15"/>
  <c r="H8" i="15"/>
  <c r="H7" i="15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4" i="9"/>
  <c r="C4" i="9"/>
  <c r="D5" i="9"/>
  <c r="C5" i="9"/>
  <c r="D3" i="9"/>
  <c r="C3" i="9"/>
  <c r="D2" i="9"/>
  <c r="C2" i="9"/>
  <c r="B13" i="9"/>
  <c r="B12" i="9"/>
  <c r="B11" i="9"/>
  <c r="B10" i="9"/>
  <c r="B9" i="9"/>
  <c r="B8" i="9"/>
  <c r="E8" i="9"/>
  <c r="B7" i="9"/>
  <c r="E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9" i="9"/>
  <c r="G9" i="9"/>
  <c r="H7" i="9"/>
  <c r="E10" i="9"/>
  <c r="G10" i="9"/>
  <c r="H8" i="9"/>
  <c r="H10" i="9"/>
  <c r="F6" i="9"/>
  <c r="G7" i="9"/>
  <c r="G8" i="9"/>
  <c r="H9" i="9"/>
  <c r="E2" i="9"/>
  <c r="G2" i="9"/>
  <c r="E6" i="9"/>
  <c r="G6" i="9"/>
  <c r="F10" i="9"/>
  <c r="E13" i="9"/>
  <c r="G13" i="9"/>
  <c r="E5" i="9"/>
  <c r="G5" i="9"/>
  <c r="E12" i="9"/>
  <c r="F12" i="9"/>
  <c r="E4" i="9"/>
  <c r="G4" i="9"/>
  <c r="F8" i="9"/>
  <c r="E11" i="9"/>
  <c r="G11" i="9"/>
  <c r="F7" i="9"/>
  <c r="F9" i="9"/>
  <c r="F11" i="9"/>
  <c r="F3" i="9"/>
  <c r="H6" i="9"/>
  <c r="F2" i="9"/>
  <c r="H2" i="9"/>
  <c r="H13" i="9"/>
  <c r="H11" i="9"/>
  <c r="H3" i="9"/>
  <c r="F13" i="9"/>
  <c r="H5" i="9"/>
  <c r="F4" i="9"/>
  <c r="H12" i="9"/>
  <c r="H4" i="9"/>
  <c r="F5" i="9"/>
  <c r="G12" i="9"/>
  <c r="G15" i="3" l="1"/>
</calcChain>
</file>

<file path=xl/sharedStrings.xml><?xml version="1.0" encoding="utf-8"?>
<sst xmlns="http://schemas.openxmlformats.org/spreadsheetml/2006/main" count="9072" uniqueCount="2116">
  <si>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</si>
  <si>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</si>
  <si>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</si>
  <si>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</si>
  <si>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</si>
  <si>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</si>
  <si>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</si>
  <si>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</si>
  <si>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</si>
  <si>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</si>
  <si>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</si>
  <si>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</si>
  <si>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</si>
  <si>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</si>
  <si>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</si>
  <si>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</si>
  <si>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</si>
  <si>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</si>
  <si>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</si>
  <si>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</si>
  <si>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</si>
  <si>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</si>
  <si>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</si>
  <si>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</si>
  <si>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</si>
  <si>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</si>
  <si>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</si>
  <si>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</si>
  <si>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</si>
  <si>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</si>
  <si>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</si>
  <si>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</si>
  <si>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</si>
  <si>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</si>
  <si>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</si>
  <si>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</si>
  <si>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</si>
  <si>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</si>
  <si>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</si>
  <si>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</si>
  <si>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</si>
  <si>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</si>
  <si>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</si>
  <si>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</si>
  <si>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</si>
  <si>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</si>
  <si>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</si>
  <si>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</si>
  <si>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</si>
  <si>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</si>
  <si>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</si>
  <si>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</si>
  <si>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</si>
  <si>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</si>
  <si>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</si>
  <si>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</si>
  <si>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</si>
  <si>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</si>
  <si>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</si>
  <si>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</si>
  <si>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</si>
  <si>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</si>
  <si>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</si>
  <si>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</si>
  <si>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</si>
  <si>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</si>
  <si>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</si>
  <si>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</si>
  <si>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</si>
  <si>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</si>
  <si>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</si>
  <si>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</si>
  <si>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</si>
  <si>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</si>
  <si>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</si>
  <si>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</si>
  <si>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</si>
  <si>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</si>
  <si>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</si>
  <si>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</si>
  <si>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</si>
  <si>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</si>
  <si>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</si>
  <si>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</si>
  <si>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</si>
  <si>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</si>
  <si>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</si>
  <si>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</si>
  <si>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</si>
  <si>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</si>
  <si>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</si>
  <si>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</si>
  <si>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</si>
  <si>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</si>
  <si>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</si>
  <si>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</si>
  <si>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</si>
  <si>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</si>
  <si>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</si>
  <si>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</si>
  <si>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</si>
  <si>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</si>
  <si>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</si>
  <si>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</si>
  <si>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</si>
  <si>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</si>
  <si>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</si>
  <si>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</si>
  <si>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</si>
  <si>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</si>
  <si>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</si>
  <si>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</si>
  <si>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</si>
  <si>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</si>
  <si>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</si>
  <si>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</si>
  <si>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</si>
  <si>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</si>
  <si>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</si>
  <si>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</si>
  <si>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</si>
  <si>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</si>
  <si>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</si>
  <si>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</si>
  <si>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</si>
  <si>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</si>
  <si>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</si>
  <si>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</si>
  <si>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</si>
  <si>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</si>
  <si>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</si>
  <si>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</si>
  <si>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</si>
  <si>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</si>
  <si>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</si>
  <si>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</si>
  <si>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</si>
  <si>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</si>
  <si>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</si>
  <si>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</si>
  <si>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</si>
  <si>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</si>
  <si>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</si>
  <si>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</si>
  <si>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</si>
  <si>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</si>
  <si>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</si>
  <si>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</si>
  <si>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</si>
  <si>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</si>
  <si>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</si>
  <si>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</si>
  <si>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</si>
  <si>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</si>
  <si>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</si>
  <si>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</si>
  <si>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</si>
  <si>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</si>
  <si>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</si>
  <si>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</si>
  <si>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</si>
  <si>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</si>
  <si>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</si>
  <si>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</si>
  <si>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</si>
  <si>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</si>
  <si>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</si>
  <si>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</si>
  <si>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</si>
  <si>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</si>
  <si>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</si>
  <si>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</si>
  <si>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</si>
  <si>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</si>
  <si>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</si>
  <si>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</si>
  <si>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</si>
  <si>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</si>
  <si>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</si>
  <si>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</si>
  <si>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</si>
  <si>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</si>
  <si>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</si>
  <si>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</si>
  <si>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</si>
  <si>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</si>
  <si>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</si>
  <si>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</si>
  <si>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</si>
  <si>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</si>
  <si>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</si>
  <si>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</si>
  <si>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</si>
  <si>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</si>
  <si>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</si>
  <si>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</si>
  <si>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</si>
  <si>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</si>
  <si>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</si>
  <si>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</si>
  <si>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</si>
  <si>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</si>
  <si>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</si>
  <si>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</si>
  <si>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</si>
  <si>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</si>
  <si>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</si>
  <si>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</si>
  <si>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</si>
  <si>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</si>
  <si>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</si>
  <si>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</si>
  <si>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</si>
  <si>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</si>
  <si>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</si>
  <si>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</si>
  <si>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</si>
  <si>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</si>
  <si>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</si>
  <si>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</si>
  <si>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</si>
  <si>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</si>
  <si>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</si>
  <si>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</si>
  <si>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</si>
  <si>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</si>
  <si>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</si>
  <si>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</si>
  <si>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</si>
  <si>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</si>
  <si>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</si>
  <si>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</si>
  <si>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</si>
  <si>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</si>
  <si>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</si>
  <si>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</si>
  <si>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</si>
  <si>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</si>
  <si>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</si>
  <si>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</si>
  <si>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</si>
  <si>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</si>
  <si>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</si>
  <si>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</si>
  <si>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</si>
  <si>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</si>
  <si>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</si>
  <si>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</si>
  <si>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</si>
  <si>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</si>
  <si>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</si>
  <si>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</si>
  <si>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</si>
  <si>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</si>
  <si>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</si>
  <si>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</si>
  <si>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</si>
  <si>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</si>
  <si>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</si>
  <si>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</si>
  <si>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</si>
  <si>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</si>
  <si>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</si>
  <si>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</si>
  <si>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</si>
  <si>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</si>
  <si>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</si>
  <si>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</si>
  <si>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</si>
  <si>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</si>
  <si>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</si>
  <si>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</si>
  <si>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</si>
  <si>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</si>
  <si>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</si>
  <si>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</si>
  <si>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</si>
  <si>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</si>
  <si>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</si>
  <si>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</si>
  <si>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</si>
  <si>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</si>
  <si>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</si>
  <si>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</si>
  <si>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</si>
  <si>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</si>
  <si>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</si>
  <si>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</si>
  <si>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</si>
  <si>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</si>
  <si>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</si>
  <si>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</si>
  <si>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</si>
  <si>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</si>
  <si>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</si>
  <si>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</si>
  <si>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</si>
  <si>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</si>
  <si>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</si>
  <si>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</si>
  <si>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</si>
  <si>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</si>
  <si>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</si>
  <si>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</si>
  <si>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</si>
  <si>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</si>
  <si>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</si>
  <si>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</si>
  <si>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</si>
  <si>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</si>
  <si>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</si>
  <si>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</si>
  <si>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</si>
  <si>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</si>
  <si>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</si>
  <si>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</si>
  <si>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</si>
  <si>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</si>
  <si>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</si>
  <si>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</si>
  <si>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</si>
  <si>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</si>
  <si>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</si>
  <si>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</si>
  <si>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</si>
  <si>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</si>
  <si>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</si>
  <si>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</si>
  <si>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</si>
  <si>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</si>
  <si>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</si>
  <si>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</si>
  <si>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</si>
  <si>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</si>
  <si>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</si>
  <si>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</si>
  <si>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</si>
  <si>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</si>
  <si>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</si>
  <si>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</si>
  <si>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</si>
  <si>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</si>
  <si>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</si>
  <si>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</si>
  <si>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</si>
  <si>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</si>
  <si>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</si>
  <si>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</si>
  <si>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</si>
  <si>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</si>
  <si>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</si>
  <si>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</si>
  <si>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</si>
  <si>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</si>
  <si>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</si>
  <si>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</si>
  <si>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</si>
  <si>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</si>
  <si>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</si>
  <si>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</si>
  <si>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</si>
  <si>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</si>
  <si>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</si>
  <si>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</si>
  <si>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</si>
  <si>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</si>
  <si>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</si>
  <si>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</si>
  <si>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</si>
  <si>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</si>
  <si>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</si>
  <si>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</si>
  <si>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</si>
  <si>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</si>
  <si>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</si>
  <si>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</si>
  <si>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</si>
  <si>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</si>
  <si>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</si>
  <si>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</si>
  <si>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</si>
  <si>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</si>
  <si>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</si>
  <si>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</si>
  <si>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</si>
  <si>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</si>
  <si>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</si>
  <si>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</si>
  <si>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</si>
  <si>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</si>
  <si>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</si>
  <si>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</si>
  <si>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</si>
  <si>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</si>
  <si>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</si>
  <si>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</si>
  <si>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</si>
  <si>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</si>
  <si>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</si>
  <si>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</si>
  <si>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</si>
  <si>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</si>
  <si>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</si>
  <si>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</si>
  <si>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</si>
  <si>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</si>
  <si>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</si>
  <si>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</si>
  <si>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</si>
  <si>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</si>
  <si>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</si>
  <si>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</si>
  <si>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</si>
  <si>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</si>
  <si>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</si>
  <si>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</si>
  <si>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</si>
  <si>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</si>
  <si>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</si>
  <si>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</si>
  <si>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</si>
  <si>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</si>
  <si>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</si>
  <si>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</si>
  <si>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</si>
  <si>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</si>
  <si>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</si>
  <si>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</si>
  <si>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</si>
  <si>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</si>
  <si>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</si>
  <si>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</si>
  <si>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</si>
  <si>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</si>
  <si>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</si>
  <si>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</si>
  <si>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</si>
  <si>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</si>
  <si>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</si>
  <si>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</si>
  <si>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</si>
  <si>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</si>
  <si>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</si>
  <si>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</si>
  <si>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</si>
  <si>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</si>
  <si>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</si>
  <si>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</si>
  <si>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</si>
  <si>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</si>
  <si>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</si>
  <si>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</si>
  <si>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</si>
  <si>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</si>
  <si>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</si>
  <si>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</si>
  <si>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</si>
  <si>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</si>
  <si>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</si>
  <si>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</si>
  <si>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</si>
  <si>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</si>
  <si>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</si>
  <si>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</si>
  <si>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</si>
  <si>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</si>
  <si>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</si>
  <si>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</si>
  <si>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</si>
  <si>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</si>
  <si>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</si>
  <si>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</si>
  <si>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</si>
  <si>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</si>
  <si>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</si>
  <si>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</si>
  <si>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</si>
  <si>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</si>
  <si>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</si>
  <si>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</si>
  <si>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</si>
  <si>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</si>
  <si>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</si>
  <si>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</si>
  <si>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</si>
  <si>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</si>
  <si>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</si>
  <si>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</si>
  <si>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</si>
  <si>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</si>
  <si>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</si>
  <si>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</si>
  <si>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</si>
  <si>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</si>
  <si>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</si>
  <si>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</si>
  <si>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</si>
  <si>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</si>
  <si>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</si>
  <si>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</si>
  <si>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</si>
  <si>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</si>
  <si>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</si>
  <si>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</si>
  <si>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</si>
  <si>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</si>
  <si>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</si>
  <si>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</si>
  <si>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</si>
  <si>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</si>
  <si>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</si>
  <si>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</si>
  <si>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</si>
  <si>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</si>
  <si>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</si>
  <si>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</si>
  <si>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</si>
  <si>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</si>
  <si>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</si>
  <si>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</si>
  <si>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</si>
  <si>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</si>
  <si>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</si>
  <si>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</si>
  <si>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</si>
  <si>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</si>
  <si>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</si>
  <si>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</si>
  <si>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</si>
  <si>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</si>
  <si>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</si>
  <si>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</si>
  <si>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</si>
  <si>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</si>
  <si>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</si>
  <si>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</si>
  <si>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</si>
  <si>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</si>
  <si>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</si>
  <si>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</si>
  <si>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</si>
  <si>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</si>
  <si>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</si>
  <si>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</si>
  <si>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</si>
  <si>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</si>
  <si>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</si>
  <si>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</si>
  <si>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</si>
  <si>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</si>
  <si>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</si>
  <si>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</si>
  <si>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</si>
  <si>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</si>
  <si>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</si>
  <si>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</si>
  <si>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</si>
  <si>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</si>
  <si>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</si>
  <si>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</si>
  <si>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</si>
  <si>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</si>
  <si>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</si>
  <si>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</si>
  <si>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</si>
  <si>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</si>
  <si>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</si>
  <si>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</si>
  <si>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</si>
  <si>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</si>
  <si>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</si>
  <si>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</si>
  <si>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</si>
  <si>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</si>
  <si>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</si>
  <si>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</si>
  <si>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</si>
  <si>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</si>
  <si>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</si>
  <si>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</si>
  <si>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</si>
  <si>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</si>
  <si>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</si>
  <si>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</si>
  <si>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</si>
  <si>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</si>
  <si>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</si>
  <si>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</si>
  <si>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</si>
  <si>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</si>
  <si>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</si>
  <si>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</si>
  <si>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</si>
  <si>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</si>
  <si>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</si>
  <si>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</si>
  <si>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</si>
  <si>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</si>
  <si>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</si>
  <si>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</si>
  <si>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</si>
  <si>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</si>
  <si>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</si>
  <si>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</si>
  <si>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</si>
  <si>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</si>
  <si>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</si>
  <si>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</si>
  <si>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</si>
  <si>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</si>
  <si>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</si>
  <si>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</si>
  <si>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</si>
  <si>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</si>
  <si>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</si>
  <si>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</si>
  <si>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</si>
  <si>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</si>
  <si>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</si>
  <si>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</si>
  <si>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</si>
  <si>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</si>
  <si>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</si>
  <si>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</si>
  <si>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</si>
  <si>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</si>
  <si>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</si>
  <si>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</si>
  <si>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</si>
  <si>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</si>
  <si>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</si>
  <si>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</si>
  <si>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</si>
  <si>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</si>
  <si>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</si>
  <si>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</si>
  <si>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</si>
  <si>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</si>
  <si>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</si>
  <si>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</si>
  <si>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</si>
  <si>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</si>
  <si>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</si>
  <si>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</si>
  <si>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</si>
  <si>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</si>
  <si>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</si>
  <si>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</si>
  <si>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</si>
  <si>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</si>
  <si>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</si>
  <si>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</si>
  <si>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</si>
  <si>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</si>
  <si>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</si>
  <si>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</si>
  <si>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</si>
  <si>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</si>
  <si>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</si>
  <si>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</si>
  <si>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</si>
  <si>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</si>
  <si>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</si>
  <si>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</si>
  <si>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</si>
  <si>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</si>
  <si>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</si>
  <si>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</si>
  <si>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</si>
  <si>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</si>
  <si>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</si>
  <si>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</si>
  <si>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</si>
  <si>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</si>
  <si>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</si>
  <si>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</si>
  <si>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</si>
  <si>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</si>
  <si>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</si>
  <si>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</si>
  <si>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</si>
  <si>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</si>
  <si>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</si>
  <si>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</si>
  <si>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</si>
  <si>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</si>
  <si>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</si>
  <si>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</si>
  <si>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</si>
  <si>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</si>
  <si>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</si>
  <si>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</si>
  <si>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</si>
  <si>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</si>
  <si>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</si>
  <si>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</si>
  <si>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</si>
  <si>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</si>
  <si>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</si>
  <si>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</si>
  <si>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</si>
  <si>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</si>
  <si>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</si>
  <si>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</si>
  <si>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</si>
  <si>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</si>
  <si>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</si>
  <si>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</si>
  <si>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</si>
  <si>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</si>
  <si>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</si>
  <si>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</si>
  <si>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</si>
  <si>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</si>
  <si>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</si>
  <si>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</si>
  <si>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</si>
  <si>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</si>
  <si>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</si>
  <si>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</si>
  <si>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</si>
  <si>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</si>
  <si>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</si>
  <si>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</si>
  <si>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</si>
  <si>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</si>
  <si>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</si>
  <si>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</si>
  <si>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</si>
  <si>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</si>
  <si>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</si>
  <si>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</si>
  <si>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</si>
  <si>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</si>
  <si>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</si>
  <si>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</si>
  <si>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</si>
  <si>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</si>
  <si>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</si>
  <si>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</si>
  <si>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</si>
  <si>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</si>
  <si>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</si>
  <si>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</si>
  <si>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</si>
  <si>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</si>
  <si>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</si>
  <si>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</si>
  <si>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</si>
  <si>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</si>
  <si>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</si>
  <si>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</si>
  <si>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</si>
  <si>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</si>
  <si>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</si>
  <si>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</si>
  <si>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</si>
  <si>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</si>
  <si>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</si>
  <si>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</si>
  <si>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</si>
  <si>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</si>
  <si>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</si>
  <si>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</si>
  <si>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</si>
  <si>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</si>
  <si>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</si>
  <si>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</si>
  <si>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</si>
  <si>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</si>
  <si>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</si>
  <si>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</si>
  <si>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</si>
  <si>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</si>
  <si>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</si>
  <si>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</si>
  <si>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</si>
  <si>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</si>
  <si>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</si>
  <si>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</si>
  <si>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</si>
  <si>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</si>
  <si>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</si>
  <si>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</si>
  <si>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</si>
  <si>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</si>
  <si>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</si>
  <si>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</si>
  <si>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</si>
  <si>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</si>
  <si>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</si>
  <si>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</si>
  <si>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</si>
  <si>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</si>
  <si>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</si>
  <si>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</si>
  <si>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</si>
  <si>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</si>
  <si>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</si>
  <si>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</si>
  <si>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</si>
  <si>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</si>
  <si>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</si>
  <si>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</si>
  <si>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</si>
  <si>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</si>
  <si>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</si>
  <si>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</si>
  <si>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</si>
  <si>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</si>
  <si>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</si>
  <si>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</si>
  <si>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</si>
  <si>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</si>
  <si>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</si>
  <si>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</si>
  <si>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</si>
  <si>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</si>
  <si>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</si>
  <si>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</si>
  <si>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</si>
  <si>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</si>
  <si>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</si>
  <si>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</si>
  <si>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</si>
  <si>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</si>
  <si>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</si>
  <si>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</si>
  <si>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</si>
  <si>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</si>
  <si>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</si>
  <si>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</si>
  <si>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</si>
  <si>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</si>
  <si>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</si>
  <si>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</si>
  <si>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</si>
  <si>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</si>
  <si>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</si>
  <si>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</si>
  <si>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</si>
  <si>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</si>
  <si>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</si>
  <si>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</si>
  <si>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</si>
  <si>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</si>
  <si>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</si>
  <si>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</si>
  <si>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</si>
  <si>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</si>
  <si>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</si>
  <si>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</si>
  <si>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</si>
  <si>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</si>
  <si>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</si>
  <si>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</si>
  <si>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</si>
  <si>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</si>
  <si>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</si>
  <si>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</si>
  <si>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</si>
  <si>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</si>
  <si>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</si>
  <si>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</si>
  <si>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</si>
  <si>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</si>
  <si>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</si>
  <si>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</si>
  <si>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</si>
  <si>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</si>
  <si>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</si>
  <si>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</si>
  <si>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</si>
  <si>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</si>
  <si>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</si>
  <si>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</si>
  <si>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</si>
  <si>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</si>
  <si>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</si>
  <si>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</si>
  <si>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</si>
  <si>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</si>
  <si>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</si>
  <si>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</si>
  <si>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</si>
  <si>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</si>
  <si>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</si>
  <si>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</si>
  <si>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</si>
  <si>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</si>
  <si>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</si>
  <si>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</si>
  <si>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</si>
  <si>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</si>
  <si>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</si>
  <si>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</si>
  <si>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</si>
  <si>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</si>
  <si>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</si>
  <si>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</si>
  <si>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</si>
  <si>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</si>
  <si>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</si>
  <si>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</si>
  <si>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</si>
  <si>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</si>
  <si>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</si>
  <si>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</si>
  <si>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</si>
  <si>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</si>
  <si>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</si>
  <si>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</si>
  <si>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</si>
  <si>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</si>
  <si>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</si>
  <si>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</si>
  <si>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</si>
  <si>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</si>
  <si>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</si>
  <si>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</si>
  <si>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</si>
  <si>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</si>
  <si>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</si>
  <si>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</si>
  <si>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</si>
  <si>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</si>
  <si>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</si>
  <si>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</si>
  <si>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</si>
  <si>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</si>
  <si>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</si>
  <si>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</si>
  <si>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</si>
  <si>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</si>
  <si>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</si>
  <si>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</si>
  <si>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</si>
  <si>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</si>
  <si>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</si>
  <si>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</si>
  <si>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</si>
  <si>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</si>
  <si>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</si>
  <si>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</si>
  <si>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</si>
  <si>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</si>
  <si>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</si>
  <si>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</si>
  <si>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</si>
  <si>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</si>
  <si>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</si>
  <si>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</si>
  <si>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</si>
  <si>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</si>
  <si>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</si>
  <si>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</si>
  <si>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</si>
  <si>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</si>
  <si>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</si>
  <si>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</si>
  <si>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</si>
  <si>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</si>
  <si>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</si>
  <si>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</si>
  <si>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</si>
  <si>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</si>
  <si>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</si>
  <si>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</si>
  <si>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</si>
  <si>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</si>
  <si>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</si>
  <si>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</si>
  <si>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</si>
  <si>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</si>
  <si>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</si>
  <si>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</si>
  <si>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</si>
  <si>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</si>
  <si>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</si>
  <si>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</si>
  <si>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</si>
  <si>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</si>
  <si>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</si>
  <si>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</si>
  <si>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</si>
  <si>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</si>
  <si>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</si>
  <si>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</si>
  <si>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</si>
  <si>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</si>
  <si>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</si>
  <si>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</si>
  <si>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</si>
  <si>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</si>
  <si>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</si>
  <si>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</si>
  <si>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</si>
  <si>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</si>
  <si>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</si>
  <si>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</si>
  <si>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</si>
  <si>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</si>
  <si>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</si>
  <si>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</si>
  <si>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</si>
  <si>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</si>
  <si>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</si>
  <si>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</si>
  <si>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</si>
  <si>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</si>
  <si>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</si>
  <si>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</si>
  <si>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</si>
  <si>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</si>
  <si>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</si>
  <si>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</si>
  <si>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</si>
  <si>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</si>
  <si>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</si>
  <si>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</si>
  <si>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</si>
  <si>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</si>
  <si>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</si>
  <si>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</si>
  <si>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</si>
  <si>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</si>
  <si>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</si>
  <si>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</si>
  <si>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</si>
  <si>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</si>
  <si>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</si>
  <si>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</si>
  <si>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</si>
  <si>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</si>
  <si>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</si>
  <si>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</si>
  <si>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</si>
  <si>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</si>
  <si>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</si>
  <si>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</si>
  <si>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</si>
  <si>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</si>
  <si>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</si>
  <si>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</si>
  <si>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</si>
  <si>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</si>
  <si>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</si>
  <si>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</si>
  <si>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</si>
  <si>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</si>
  <si>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</si>
  <si>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</si>
  <si>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</si>
  <si>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</si>
  <si>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</si>
  <si>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</si>
  <si>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</si>
  <si>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</si>
  <si>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</si>
  <si>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</si>
  <si>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</si>
  <si>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</si>
  <si>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</si>
  <si>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</si>
  <si>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</si>
  <si>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</si>
  <si>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</si>
  <si>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</si>
  <si>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</si>
  <si>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</si>
  <si>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</si>
  <si>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</si>
  <si>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</si>
  <si>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</si>
  <si>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</si>
  <si>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</si>
  <si>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</si>
  <si>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</si>
  <si>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</si>
  <si>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</si>
  <si>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</si>
  <si>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</si>
  <si>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</si>
  <si>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</si>
  <si>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</si>
  <si>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</si>
  <si>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</si>
  <si>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</si>
  <si>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</si>
  <si>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</si>
  <si>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</si>
  <si>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</si>
  <si>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</si>
  <si>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</si>
  <si>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</si>
  <si>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</si>
  <si>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</si>
  <si>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</si>
  <si>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</si>
  <si>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</si>
  <si>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</si>
  <si>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</si>
  <si>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</si>
  <si>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</si>
  <si>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</si>
  <si>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</si>
  <si>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</si>
  <si>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</si>
  <si>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</si>
  <si>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</si>
  <si>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</si>
  <si>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</si>
  <si>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</si>
  <si>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</si>
  <si>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</si>
  <si>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</si>
  <si>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</si>
  <si>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</si>
  <si>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</si>
  <si>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</si>
  <si>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</si>
  <si>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</si>
  <si>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</si>
  <si>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</si>
  <si>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</si>
  <si>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</si>
  <si>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</si>
  <si>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</si>
  <si>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</si>
  <si>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</si>
  <si>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</si>
  <si>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</si>
  <si>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</si>
  <si>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</si>
  <si>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</si>
  <si>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</si>
  <si>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</si>
  <si>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</si>
  <si>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</si>
  <si>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</si>
  <si>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</si>
  <si>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</si>
  <si>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</si>
  <si>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</si>
  <si>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</si>
  <si>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</si>
  <si>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</si>
  <si>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</si>
  <si>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</si>
  <si>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</si>
  <si>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</si>
  <si>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</si>
  <si>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</si>
  <si>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</si>
  <si>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</si>
  <si>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</si>
  <si>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</si>
  <si>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</si>
  <si>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</si>
  <si>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</si>
  <si>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</si>
  <si>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</si>
  <si>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</si>
  <si>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</si>
  <si>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</si>
  <si>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</si>
  <si>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</si>
  <si>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</si>
  <si>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</si>
  <si>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</si>
  <si>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</si>
  <si>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</si>
  <si>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</si>
  <si>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</si>
  <si>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</si>
  <si>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</si>
  <si>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</si>
  <si>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</si>
  <si>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</si>
  <si>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</si>
  <si>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</si>
  <si>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</si>
  <si>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</si>
  <si>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</si>
  <si>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</si>
  <si>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</si>
  <si>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</si>
  <si>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</si>
  <si>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</si>
  <si>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</si>
  <si>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</si>
  <si>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</si>
  <si>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</si>
  <si>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</si>
  <si>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</si>
  <si>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</si>
  <si>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</si>
  <si>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</si>
  <si>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</si>
  <si>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</si>
  <si>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</si>
  <si>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</si>
  <si>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</si>
  <si>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</si>
  <si>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</si>
  <si>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</si>
  <si>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</si>
  <si>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</si>
  <si>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</si>
  <si>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</si>
  <si>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</si>
  <si>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</si>
  <si>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</si>
  <si>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</si>
  <si>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</si>
  <si>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</si>
  <si>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</si>
  <si>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</si>
  <si>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</si>
  <si>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</si>
  <si>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</si>
  <si>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</si>
  <si>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</si>
  <si>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</si>
  <si>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</si>
  <si>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</si>
  <si>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</si>
  <si>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</si>
  <si>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</si>
  <si>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</si>
  <si>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</si>
  <si>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</si>
  <si>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</si>
  <si>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</si>
  <si>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</si>
  <si>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</si>
  <si>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</si>
  <si>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</si>
  <si>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</si>
  <si>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</si>
  <si>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</si>
  <si>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</si>
  <si>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</si>
  <si>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</si>
  <si>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</si>
  <si>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</si>
  <si>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</si>
  <si>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</si>
  <si>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</si>
  <si>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</si>
  <si>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</si>
  <si>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</si>
  <si>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</si>
  <si>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</si>
  <si>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</si>
  <si>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</si>
  <si>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</si>
  <si>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</si>
  <si>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</si>
  <si>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</si>
  <si>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</si>
  <si>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</si>
  <si>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</si>
  <si>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</si>
  <si>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</si>
  <si>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</si>
  <si>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</si>
  <si>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</si>
  <si>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</si>
  <si>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</si>
  <si>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</si>
  <si>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</si>
  <si>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</si>
  <si>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</si>
  <si>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</si>
  <si>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</si>
  <si>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</si>
  <si>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</si>
  <si>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</si>
  <si>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</si>
  <si>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</si>
  <si>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</si>
  <si>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</si>
  <si>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</si>
  <si>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</si>
  <si>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</si>
  <si>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</si>
  <si>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</si>
  <si>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</si>
  <si>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</si>
  <si>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</si>
  <si>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</si>
  <si>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</si>
  <si>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</si>
  <si>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</si>
  <si>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</si>
  <si>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</si>
  <si>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</si>
  <si>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</si>
  <si>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</si>
  <si>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</si>
  <si>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</si>
  <si>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</si>
  <si>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</si>
  <si>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</si>
  <si>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</si>
  <si>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</si>
  <si>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</si>
  <si>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</si>
  <si>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</si>
  <si>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</si>
  <si>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</si>
  <si>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</si>
  <si>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</si>
  <si>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</si>
  <si>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</si>
  <si>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</si>
  <si>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</si>
  <si>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</si>
  <si>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</si>
  <si>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</si>
  <si>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</si>
  <si>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</si>
  <si>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</si>
  <si>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</si>
  <si>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</si>
  <si>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</si>
  <si>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</si>
  <si>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</si>
  <si>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</si>
  <si>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</si>
  <si>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</si>
  <si>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</si>
  <si>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</si>
  <si>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</si>
  <si>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</si>
  <si>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</si>
  <si>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</si>
  <si>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</si>
  <si>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</si>
  <si>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</si>
  <si>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</si>
  <si>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</si>
  <si>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</si>
  <si>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</si>
  <si>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</si>
  <si>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</si>
  <si>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</si>
  <si>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</si>
  <si>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</si>
  <si>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</si>
  <si>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</si>
  <si>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</si>
  <si>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</si>
  <si>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</si>
  <si>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</si>
  <si>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</si>
  <si>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</si>
  <si>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</si>
  <si>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</si>
  <si>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</si>
  <si>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</si>
  <si>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</si>
  <si>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</si>
  <si>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</si>
  <si>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</si>
  <si>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</si>
  <si>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</si>
  <si>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</si>
  <si>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</si>
  <si>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</si>
  <si>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</si>
  <si>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</si>
  <si>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</si>
  <si>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</si>
  <si>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</si>
  <si>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</si>
  <si>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</si>
  <si>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</si>
  <si>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</si>
  <si>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</si>
  <si>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</si>
  <si>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</si>
  <si>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</si>
  <si>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</si>
  <si>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</si>
  <si>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</si>
  <si>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</si>
  <si>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</si>
  <si>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</si>
  <si>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</si>
  <si>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</si>
  <si>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</si>
  <si>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</si>
  <si>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</si>
  <si>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</si>
  <si>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</si>
  <si>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</si>
  <si>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</si>
  <si>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</si>
  <si>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</si>
  <si>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</si>
  <si>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</si>
  <si>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</si>
  <si>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</si>
  <si>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</si>
  <si>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</si>
  <si>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</si>
  <si>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</si>
  <si>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</si>
  <si>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</si>
  <si>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</si>
  <si>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</si>
  <si>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</si>
  <si>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</si>
  <si>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</si>
  <si>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</si>
  <si>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</si>
  <si>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</si>
  <si>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</si>
  <si>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</si>
  <si>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</si>
  <si>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</si>
  <si>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</si>
  <si>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</si>
  <si>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</si>
  <si>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</si>
  <si>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</si>
  <si>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</si>
  <si>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</si>
  <si>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</si>
  <si>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</si>
  <si>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</si>
  <si>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</si>
  <si>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</si>
  <si>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</si>
  <si>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</si>
  <si>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</si>
  <si>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</si>
  <si>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</si>
  <si>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</si>
  <si>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</si>
  <si>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</si>
  <si>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</si>
  <si>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</si>
  <si>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</si>
  <si>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</si>
  <si>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</si>
  <si>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</si>
  <si>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</si>
  <si>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</si>
  <si>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</si>
  <si>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</si>
  <si>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</si>
  <si>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</si>
  <si>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</si>
  <si>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</si>
  <si>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</si>
  <si>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</si>
  <si>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</si>
  <si>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</si>
  <si>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</si>
  <si>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</si>
  <si>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</si>
  <si>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</si>
  <si>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</si>
  <si>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</si>
  <si>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</si>
  <si>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</si>
  <si>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</si>
  <si>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</si>
  <si>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</si>
  <si>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</si>
  <si>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</si>
  <si>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</si>
  <si>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</si>
  <si>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</si>
  <si>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</si>
  <si>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</si>
  <si>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</si>
  <si>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</si>
  <si>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</si>
  <si>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</si>
  <si>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</si>
  <si>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</si>
  <si>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</si>
  <si>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</si>
  <si>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</si>
  <si>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</si>
  <si>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</si>
  <si>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</si>
  <si>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</si>
  <si>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</si>
  <si>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</si>
  <si>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</si>
  <si>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</si>
  <si>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</si>
  <si>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</si>
  <si>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</si>
  <si>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</si>
  <si>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</si>
  <si>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</si>
  <si>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</si>
  <si>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</si>
  <si>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</si>
  <si>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</si>
  <si>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</si>
  <si>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</si>
  <si>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</si>
  <si>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</si>
  <si>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</si>
  <si>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</si>
  <si>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</si>
  <si>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</si>
  <si>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</si>
  <si>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</si>
  <si>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</si>
  <si>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</si>
  <si>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</si>
  <si>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</si>
  <si>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</si>
  <si>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</si>
  <si>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</si>
  <si>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</si>
  <si>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</si>
  <si>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</si>
  <si>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</si>
  <si>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</si>
  <si>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</si>
  <si>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</si>
  <si>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</si>
  <si>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</si>
  <si>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</si>
  <si>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</si>
  <si>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</si>
  <si>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</si>
  <si>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</si>
  <si>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</si>
  <si>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</si>
  <si>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</si>
  <si>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</si>
  <si>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</si>
  <si>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</si>
  <si>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</si>
  <si>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</si>
  <si>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</si>
  <si>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</si>
  <si>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</si>
  <si>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</si>
  <si>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</si>
  <si>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</si>
  <si>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</si>
  <si>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</si>
  <si>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</si>
  <si>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</si>
  <si>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</si>
  <si>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</si>
  <si>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</si>
  <si>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</si>
  <si>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</si>
  <si>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</si>
  <si>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</si>
  <si>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</si>
  <si>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</si>
  <si>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</si>
  <si>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</si>
  <si>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</si>
  <si>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</si>
  <si>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</si>
  <si>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</si>
  <si>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</si>
  <si>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</si>
  <si>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</si>
  <si>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</si>
  <si>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</si>
  <si>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</si>
  <si>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</si>
  <si>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</si>
  <si>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</si>
  <si>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</si>
  <si>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</si>
  <si>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</si>
  <si>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</si>
  <si>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</si>
  <si>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</si>
  <si>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</si>
  <si>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</si>
  <si>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</si>
  <si>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</si>
  <si>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</si>
  <si>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</si>
  <si>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</si>
  <si>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</si>
  <si>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</si>
  <si>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</si>
  <si>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</si>
  <si>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</si>
  <si>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</si>
  <si>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</si>
  <si>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</si>
  <si>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</si>
  <si>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</si>
  <si>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</si>
  <si>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</si>
  <si>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</si>
  <si>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</si>
  <si>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</si>
  <si>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</si>
  <si>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</si>
  <si>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</si>
  <si>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</si>
  <si>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</si>
  <si>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</si>
  <si>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</si>
  <si>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</si>
  <si>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</si>
  <si>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</si>
  <si>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</si>
  <si>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</si>
  <si>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</si>
  <si>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</si>
  <si>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</si>
  <si>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</si>
  <si>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</si>
  <si>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</si>
  <si>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</si>
  <si>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</si>
  <si>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</si>
  <si>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</si>
  <si>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</si>
  <si>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</si>
  <si>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</si>
  <si>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</si>
  <si>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</si>
  <si>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</si>
  <si>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</si>
  <si>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</si>
  <si>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</si>
  <si>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</si>
  <si>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</si>
  <si>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</si>
  <si>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</si>
  <si>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</si>
  <si>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</si>
  <si>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</si>
  <si>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</si>
  <si>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</si>
  <si>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</si>
  <si>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</si>
  <si>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</si>
  <si>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</si>
  <si>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</si>
  <si>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</si>
  <si>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</si>
  <si>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</si>
  <si>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</si>
  <si>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</si>
  <si>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</si>
  <si>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</si>
  <si>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</si>
  <si>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</si>
  <si>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</si>
  <si>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</si>
  <si>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</si>
  <si>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</si>
  <si>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</si>
  <si>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</si>
  <si>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</si>
  <si>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</si>
  <si>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</si>
  <si>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</si>
  <si>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</si>
  <si>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</si>
  <si>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</si>
  <si>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</si>
  <si>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</si>
  <si>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</si>
  <si>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</si>
  <si>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</si>
  <si>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</si>
  <si>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</si>
  <si>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</si>
  <si>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</si>
  <si>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</si>
  <si>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</si>
  <si>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</si>
  <si>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</si>
  <si>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</si>
  <si>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</si>
  <si>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</si>
  <si>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</si>
  <si>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</si>
  <si>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</si>
  <si>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</si>
  <si>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</si>
  <si>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</si>
  <si>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</si>
  <si>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</si>
  <si>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</si>
  <si>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</si>
  <si>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</si>
  <si>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</si>
  <si>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</si>
  <si>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</si>
  <si>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</si>
  <si>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</si>
  <si>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</si>
  <si>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</si>
  <si>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</si>
  <si>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</si>
  <si>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</si>
  <si>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</si>
  <si>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</si>
  <si>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</si>
  <si>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</si>
  <si>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</si>
  <si>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</si>
  <si>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</si>
  <si>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</si>
  <si>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</si>
  <si>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</si>
  <si>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</si>
  <si>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</si>
  <si>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</si>
  <si>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</si>
  <si>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</si>
  <si>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</si>
  <si>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</si>
  <si>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</si>
  <si>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</si>
  <si>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</si>
  <si>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</si>
  <si>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</si>
  <si>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</si>
  <si>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</si>
  <si>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</si>
  <si>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</si>
  <si>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</si>
  <si>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</si>
  <si>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</si>
  <si>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</si>
  <si>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</si>
  <si>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</si>
  <si>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</si>
  <si>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</si>
  <si>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</si>
  <si>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</si>
  <si>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</si>
  <si>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</si>
  <si>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</si>
  <si>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</si>
  <si>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</si>
  <si>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</si>
  <si>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</si>
  <si>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</si>
  <si>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</si>
  <si>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</si>
  <si>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</si>
  <si>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</si>
  <si>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</si>
  <si>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</si>
  <si>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</si>
  <si>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</si>
  <si>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</si>
  <si>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</si>
  <si>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</si>
  <si>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</si>
  <si>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</si>
  <si>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</si>
  <si>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</si>
  <si>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</si>
  <si>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</si>
  <si>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</si>
  <si>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</si>
  <si>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</si>
  <si>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</si>
  <si>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</si>
  <si>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</si>
  <si>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</si>
  <si>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</si>
  <si>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</si>
  <si>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</si>
  <si>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</si>
  <si>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</si>
  <si>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</si>
  <si>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</si>
  <si>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</si>
  <si>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</si>
  <si>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</si>
  <si>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</si>
  <si>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</si>
  <si>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</si>
  <si>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</si>
  <si>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</si>
  <si>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</si>
  <si>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</si>
  <si>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</si>
  <si>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</si>
  <si>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</si>
  <si>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</si>
  <si>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</si>
  <si>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</si>
  <si>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</si>
  <si>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</si>
  <si>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</si>
  <si>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</si>
  <si>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</si>
  <si>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</si>
  <si>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</si>
  <si>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</si>
  <si>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</si>
  <si>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</si>
  <si>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</si>
  <si>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</si>
  <si>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</si>
  <si>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</si>
  <si>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</si>
  <si>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</si>
  <si>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</si>
  <si>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</si>
  <si>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</si>
  <si>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</si>
  <si>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</si>
  <si>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</si>
  <si>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</si>
  <si>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</si>
  <si>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</si>
  <si>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</si>
  <si>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</si>
  <si>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</si>
  <si>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</si>
  <si>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</si>
  <si>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</si>
  <si>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</si>
  <si>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</si>
  <si>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</si>
  <si>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</si>
  <si>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</si>
  <si>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</si>
  <si>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</si>
  <si>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</si>
  <si>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</si>
  <si>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</si>
  <si>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</si>
  <si>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</si>
  <si>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</si>
  <si>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</si>
  <si>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</si>
  <si>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</si>
  <si>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</si>
  <si>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</si>
  <si>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</si>
  <si>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</si>
  <si>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</si>
  <si>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</si>
  <si>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</si>
  <si>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</si>
  <si>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</si>
  <si>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</si>
  <si>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</si>
  <si>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</si>
  <si>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</si>
  <si>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</si>
  <si>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</si>
  <si>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</si>
  <si>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</si>
  <si>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</si>
  <si>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</si>
  <si>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</si>
  <si>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</si>
  <si>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</si>
  <si>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</si>
  <si>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</si>
  <si>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</si>
  <si>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</si>
  <si>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</si>
  <si>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</si>
  <si>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</si>
  <si>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</si>
  <si>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</si>
  <si>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</si>
  <si>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</si>
  <si>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</si>
  <si>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</si>
  <si>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</si>
  <si>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</si>
  <si>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</si>
  <si>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</si>
  <si>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</si>
  <si>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</si>
  <si>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</si>
  <si>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</si>
  <si>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</si>
  <si>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</si>
  <si>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</si>
  <si>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</si>
  <si>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</si>
  <si>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</si>
  <si>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</si>
  <si>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</si>
  <si>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</si>
  <si>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</si>
  <si>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</si>
  <si>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</si>
  <si>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</si>
  <si>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</si>
  <si>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</si>
  <si>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</si>
  <si>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</si>
  <si>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</si>
  <si>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</si>
  <si>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</si>
  <si>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</si>
  <si>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</si>
  <si>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</si>
  <si>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</si>
  <si>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</si>
  <si>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</si>
  <si>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</si>
  <si>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</si>
  <si>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</si>
  <si>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</si>
  <si>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</si>
  <si>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</si>
  <si>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</si>
  <si>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</si>
  <si>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</si>
  <si>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</si>
  <si>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</si>
  <si>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</si>
  <si>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</si>
  <si>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</si>
  <si>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</si>
  <si>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</si>
  <si>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</si>
  <si>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</si>
  <si>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</si>
  <si>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</si>
  <si>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</si>
  <si>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</si>
  <si>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</si>
  <si>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</si>
  <si>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</si>
  <si>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</si>
  <si>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</si>
  <si>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</si>
  <si>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</si>
  <si>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</si>
  <si>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</si>
  <si>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</si>
  <si>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</si>
  <si>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</si>
  <si>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</si>
  <si>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</si>
  <si>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</si>
  <si>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</si>
  <si>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</si>
  <si>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</si>
  <si>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</si>
  <si>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</si>
  <si>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</si>
  <si>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</si>
  <si>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</si>
  <si>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</si>
  <si>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</si>
  <si>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</si>
  <si>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</si>
  <si>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</si>
  <si>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</si>
  <si>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</si>
  <si>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</si>
  <si>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</si>
  <si>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</si>
  <si>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</si>
  <si>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</si>
  <si>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</si>
  <si>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</si>
  <si>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</si>
  <si>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</si>
  <si>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</si>
  <si>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</si>
  <si>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</si>
  <si>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</si>
  <si>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</si>
  <si>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</si>
  <si>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</si>
  <si>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</si>
  <si>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</si>
  <si>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</si>
  <si>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</si>
  <si>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</si>
  <si>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</si>
  <si>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</si>
  <si>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</si>
  <si>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</si>
  <si>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</si>
  <si>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</si>
  <si>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</si>
  <si>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</si>
  <si>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</si>
  <si>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</si>
  <si>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</si>
  <si>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</si>
  <si>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</si>
  <si>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</si>
  <si>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</si>
  <si>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</si>
  <si>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</si>
  <si>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</si>
  <si>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</si>
  <si>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</si>
  <si>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</si>
  <si>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</si>
  <si>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</si>
  <si>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</si>
  <si>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</si>
  <si>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</si>
  <si>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</si>
  <si>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</si>
  <si>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</si>
  <si>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</si>
  <si>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</si>
  <si>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</si>
  <si>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</si>
  <si>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</si>
  <si>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</si>
  <si>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</si>
  <si>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</si>
  <si>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</si>
  <si>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</si>
  <si>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</si>
  <si>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</si>
  <si>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</si>
  <si>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</si>
  <si>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</si>
  <si>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</si>
  <si>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</si>
  <si>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</si>
  <si>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</si>
  <si>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</si>
  <si>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</si>
  <si>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</si>
  <si>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</si>
  <si>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</si>
  <si>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</si>
  <si>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</si>
  <si>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</si>
  <si>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</si>
  <si>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</si>
  <si>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</si>
  <si>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</si>
  <si>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</si>
  <si>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</si>
  <si>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</si>
  <si>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</si>
  <si>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</si>
  <si>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</si>
  <si>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</si>
  <si>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</si>
  <si>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</si>
  <si>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</si>
  <si>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</si>
  <si>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</si>
  <si>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</si>
  <si>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</si>
  <si>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</si>
  <si>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</si>
  <si>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</si>
  <si>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</si>
  <si>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</si>
  <si>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</si>
  <si>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</si>
  <si>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</si>
  <si>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</si>
  <si>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</si>
  <si>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</si>
  <si>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</si>
  <si>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</si>
  <si>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</si>
  <si>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</si>
  <si>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</si>
  <si>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</si>
  <si>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</si>
  <si>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</si>
  <si>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</si>
  <si>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</si>
  <si>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</si>
  <si>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</si>
  <si>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</si>
  <si>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</si>
  <si>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</si>
  <si>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</si>
  <si>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</si>
  <si>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</si>
  <si>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</si>
  <si>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</si>
  <si>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</si>
  <si>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</si>
  <si>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</si>
  <si>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</si>
  <si>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</si>
  <si>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</si>
  <si>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</si>
  <si>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</si>
  <si>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</si>
  <si>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</si>
  <si>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</si>
  <si>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</si>
  <si>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Median</t>
  </si>
  <si>
    <t>Minimum</t>
  </si>
  <si>
    <t>Maximum</t>
  </si>
  <si>
    <t>Value</t>
  </si>
  <si>
    <t>Mean</t>
  </si>
  <si>
    <t>Variance</t>
  </si>
  <si>
    <t>Standard Deviation</t>
  </si>
  <si>
    <t>Standard Devation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</si>
</sst>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2B2B2B"/>
      <name val="Consolas"/>
      <family val="3"/>
    </font>
    <font>
      <b/>
      <sz val="10"/>
      <color rgb="FF2B2B2B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35" borderId="0" xfId="0" applyFill="1"/>
    <xf numFmtId="0" fontId="16" fillId="35" borderId="0" xfId="0" applyFont="1" applyFill="1"/>
    <xf numFmtId="0" fontId="16" fillId="35" borderId="0" xfId="0" applyFont="1" applyFill="1" applyAlignment="1">
      <alignment horizontal="left"/>
    </xf>
    <xf numFmtId="0" fontId="19" fillId="0" borderId="0" xfId="0" applyFont="1" applyAlignment="1">
      <alignment horizontal="left" vertical="center" wrapText="1"/>
    </xf>
    <xf numFmtId="9" fontId="19" fillId="0" borderId="0" xfId="0" applyNumberFormat="1" applyFont="1" applyAlignment="1">
      <alignment horizontal="left" vertical="center" wrapText="1"/>
    </xf>
    <xf numFmtId="9" fontId="19" fillId="0" borderId="0" xfId="42" applyFont="1" applyAlignment="1">
      <alignment horizontal="left" vertical="center" wrapText="1"/>
    </xf>
    <xf numFmtId="9" fontId="16" fillId="0" borderId="0" xfId="0" applyNumberFormat="1" applyFont="1"/>
    <xf numFmtId="9" fontId="16" fillId="0" borderId="0" xfId="42" applyFont="1"/>
    <xf numFmtId="0" fontId="20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9-4BD5-AB9C-50A0EDBF3D5F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9-4BD5-AB9C-50A0EDBF3D5F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9-4BD5-AB9C-50A0EDBF3D5F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9-4BD5-AB9C-50A0EDBF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4767"/>
        <c:axId val="229621807"/>
      </c:barChart>
      <c:catAx>
        <c:axId val="2296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21807"/>
        <c:crosses val="autoZero"/>
        <c:auto val="1"/>
        <c:lblAlgn val="ctr"/>
        <c:lblOffset val="100"/>
        <c:noMultiLvlLbl val="0"/>
      </c:catAx>
      <c:valAx>
        <c:axId val="2296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FE3-9F3E-5534FC3C4386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F-4FE3-9F3E-5534FC3C4386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F-4FE3-9F3E-5534FC3C4386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F-4FE3-9F3E-5534FC3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629984"/>
        <c:axId val="1134631904"/>
      </c:barChart>
      <c:catAx>
        <c:axId val="11346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1904"/>
        <c:crosses val="autoZero"/>
        <c:auto val="1"/>
        <c:lblAlgn val="ctr"/>
        <c:lblOffset val="100"/>
        <c:noMultiLvlLbl val="0"/>
      </c:catAx>
      <c:valAx>
        <c:axId val="1134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5-46EC-8EB0-606EA3AC83DD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5-46EC-8EB0-606EA3AC83DD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5-46EC-8EB0-606EA3AC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02591"/>
        <c:axId val="412000671"/>
      </c:lineChart>
      <c:catAx>
        <c:axId val="4120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00671"/>
        <c:crosses val="autoZero"/>
        <c:auto val="1"/>
        <c:lblAlgn val="ctr"/>
        <c:lblOffset val="100"/>
        <c:noMultiLvlLbl val="0"/>
      </c:catAx>
      <c:valAx>
        <c:axId val="4120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39643368587684935"/>
          <c:y val="6.1673817699964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0-4D96-92C5-F85733353A2A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0-4D96-92C5-F85733353A2A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0-4D96-92C5-F8573335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76159"/>
        <c:axId val="1726578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20-4D96-92C5-F85733353A2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20-4D96-92C5-F85733353A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20-4D96-92C5-F85733353A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20-4D96-92C5-F85733353A2A}"/>
                  </c:ext>
                </c:extLst>
              </c15:ser>
            </c15:filteredLineSeries>
          </c:ext>
        </c:extLst>
      </c:lineChart>
      <c:catAx>
        <c:axId val="17265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8559"/>
        <c:crosses val="autoZero"/>
        <c:auto val="1"/>
        <c:lblAlgn val="ctr"/>
        <c:lblOffset val="100"/>
        <c:noMultiLvlLbl val="0"/>
      </c:catAx>
      <c:valAx>
        <c:axId val="17265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160337</xdr:colOff>
      <xdr:row>1</xdr:row>
      <xdr:rowOff>6350</xdr:rowOff>
    </xdr:from>
    <xdr:to>
      <xdr:col>17</xdr:col>
      <xdr:colOff>136525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4F23-15D3-14A6-3B3B-46576A499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15</xdr:col>
      <xdr:colOff>57150</xdr:colOff>
      <xdr:row>30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87B45-1E39-B3F9-61B7-00B55FB18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92074</xdr:colOff>
      <xdr:row>1</xdr:row>
      <xdr:rowOff>184150</xdr:rowOff>
    </xdr:from>
    <xdr:to>
      <xdr:col>12</xdr:col>
      <xdr:colOff>196850</xdr:colOff>
      <xdr:row>18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5F8B7-7DB5-6D91-2705-FDF4D97D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143386</xdr:colOff>
      <xdr:row>13</xdr:row>
      <xdr:rowOff>11061</xdr:rowOff>
    </xdr:from>
    <xdr:to>
      <xdr:col>7</xdr:col>
      <xdr:colOff>116074</xdr:colOff>
      <xdr:row>28</xdr:row>
      <xdr:rowOff>136559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D8B6C-A1BE-D54F-47AF-C90EBE00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715" refreshedDate="45637.68195914352" createdVersion="8" refreshedVersion="8" minRefreshableVersion="3" recordCount="1001" xr:uid="{79C37F01-0623-433F-8985-8179A3B9C45F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  <r>
    <m/>
    <m/>
    <m/>
    <m/>
    <m/>
    <m/>
    <x v="4"/>
    <m/>
    <m/>
    <x v="7"/>
    <m/>
    <m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4ABD2-9F23-4429-93D9-57C0AF9D6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11C5A-952A-4EF8-A839-046CBC1FE1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0D426-F308-499A-B541-235A1A9B66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1"/>
        <item x="3"/>
        <item x="0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7">
    <field x="20"/>
    <field x="21"/>
    <field x="22"/>
    <field x="13"/>
    <field x="24"/>
    <field x="23"/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2">
    <pageField fld="18" hier="-1"/>
    <pageField fld="25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B2B36-12FF-4F3C-8625-B2B0667AD2A2}" name="Table1" displayName="Table1" ref="G4:H11" totalsRowCount="1">
  <autoFilter ref="G4:H10" xr:uid="{BC2B2B36-12FF-4F3C-8625-B2B0667AD2A2}"/>
  <tableColumns count="2">
    <tableColumn id="1" xr3:uid="{A6A76F7F-4D8A-4F36-9E2F-A52415C45897}" name="Successful"/>
    <tableColumn id="2" xr3:uid="{CA06F9C5-44CE-4C20-BDA3-AD0D1B8BFFFD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2B9C9A-10B7-4D75-B148-8B120BE16179}" name="Table2" displayName="Table2" ref="G13:H19" totalsRowShown="0">
  <autoFilter ref="G13:H19" xr:uid="{5D2B9C9A-10B7-4D75-B148-8B120BE16179}"/>
  <tableColumns count="2">
    <tableColumn id="1" xr3:uid="{9523FCD1-BD87-4FDE-AE54-2281C598054B}" name="Failed"/>
    <tableColumn id="2" xr3:uid="{6EE817BF-3C86-4CEC-AFAD-C8F5EFAE782F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1" workbookViewId="0">
      <selection activeCell="H1" activeCellId="1" sqref="G1:G1048576 H1:H1048576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625" customWidth="1"/>
    <col min="8" max="8" width="13.625" customWidth="1"/>
    <col min="9" max="9" width="15.375" customWidth="1"/>
    <col min="12" max="13" width="11.125" bestFit="1" customWidth="1"/>
    <col min="14" max="14" width="21.125" customWidth="1"/>
    <col min="15" max="15" width="19.375" customWidth="1"/>
    <col min="18" max="18" width="24.375" customWidth="1"/>
    <col min="19" max="19" width="15.25" customWidth="1"/>
    <col min="20" max="20" width="12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 s="4">
        <v>0</v>
      </c>
      <c r="F2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8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8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8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8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8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8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8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8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8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8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8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8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8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8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8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8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8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8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8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8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8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8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8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8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8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8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8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8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8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8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8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8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8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8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6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7">
      <colorScale>
        <cfvo type="num" val="0"/>
        <cfvo type="percentile" val="100"/>
        <cfvo type="num" val="200"/>
        <color rgb="FFFF0000"/>
        <color rgb="FF00B050"/>
        <color rgb="FF0070C0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00FC-85E5-4EB1-8626-83B58FB28D1B}">
  <sheetPr codeName="Sheet2"/>
  <dimension ref="A1:G15"/>
  <sheetViews>
    <sheetView workbookViewId="0">
      <selection activeCell="J1" sqref="J1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6.875" hidden="1" customWidth="1"/>
    <col min="7" max="7" width="11" bestFit="1" customWidth="1"/>
    <col min="8" max="8" width="15.25" bestFit="1" customWidth="1"/>
    <col min="9" max="9" width="11" bestFit="1" customWidth="1"/>
  </cols>
  <sheetData>
    <row r="1" spans="1:7" x14ac:dyDescent="0.25">
      <c r="A1" s="6" t="s">
        <v>6</v>
      </c>
      <c r="B1" t="s">
        <v>2069</v>
      </c>
    </row>
    <row r="3" spans="1:7" x14ac:dyDescent="0.25">
      <c r="A3" s="6" t="s">
        <v>2070</v>
      </c>
      <c r="B3" s="6" t="s">
        <v>2068</v>
      </c>
      <c r="G3" s="15"/>
    </row>
    <row r="4" spans="1:7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s="16" t="s">
        <v>2067</v>
      </c>
    </row>
    <row r="5" spans="1:7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  <c r="G5">
        <f>SUM(B5:E5)</f>
        <v>178</v>
      </c>
    </row>
    <row r="6" spans="1:7" x14ac:dyDescent="0.25">
      <c r="A6" s="7" t="s">
        <v>2033</v>
      </c>
      <c r="B6">
        <v>4</v>
      </c>
      <c r="C6">
        <v>20</v>
      </c>
      <c r="E6">
        <v>22</v>
      </c>
      <c r="F6">
        <v>46</v>
      </c>
      <c r="G6">
        <f t="shared" ref="G6:G15" si="0">SUM(B6:E6)</f>
        <v>46</v>
      </c>
    </row>
    <row r="7" spans="1:7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  <c r="G7">
        <f t="shared" si="0"/>
        <v>48</v>
      </c>
    </row>
    <row r="8" spans="1:7" x14ac:dyDescent="0.25">
      <c r="A8" s="7" t="s">
        <v>2064</v>
      </c>
      <c r="E8">
        <v>4</v>
      </c>
      <c r="F8">
        <v>4</v>
      </c>
      <c r="G8">
        <f t="shared" si="0"/>
        <v>4</v>
      </c>
    </row>
    <row r="9" spans="1:7" x14ac:dyDescent="0.25">
      <c r="A9" s="7" t="s">
        <v>2035</v>
      </c>
      <c r="B9">
        <v>10</v>
      </c>
      <c r="C9">
        <v>66</v>
      </c>
      <c r="E9">
        <v>99</v>
      </c>
      <c r="F9">
        <v>175</v>
      </c>
      <c r="G9">
        <f t="shared" si="0"/>
        <v>175</v>
      </c>
    </row>
    <row r="10" spans="1:7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  <c r="G10">
        <f t="shared" si="0"/>
        <v>42</v>
      </c>
    </row>
    <row r="11" spans="1:7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  <c r="G11">
        <f t="shared" si="0"/>
        <v>67</v>
      </c>
    </row>
    <row r="12" spans="1:7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  <c r="G12">
        <f t="shared" si="0"/>
        <v>96</v>
      </c>
    </row>
    <row r="13" spans="1:7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  <c r="G13">
        <f t="shared" si="0"/>
        <v>344</v>
      </c>
    </row>
    <row r="14" spans="1:7" hidden="1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  <c r="G14">
        <f t="shared" si="0"/>
        <v>1000</v>
      </c>
    </row>
    <row r="15" spans="1:7" x14ac:dyDescent="0.25">
      <c r="A15" s="17" t="s">
        <v>2067</v>
      </c>
      <c r="B15" s="16">
        <f>SUM(B5:B13)</f>
        <v>57</v>
      </c>
      <c r="C15" s="16">
        <f>SUM(C5:C13)</f>
        <v>364</v>
      </c>
      <c r="D15" s="16">
        <f>SUM(D5:D13)</f>
        <v>14</v>
      </c>
      <c r="E15" s="16">
        <f>SUM(E5:E13)</f>
        <v>565</v>
      </c>
      <c r="F15" s="16"/>
      <c r="G15" s="16">
        <f t="shared" si="0"/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F6AA-71E5-498A-B810-A498E9C5EEDA}">
  <sheetPr codeName="Sheet3"/>
  <dimension ref="A1:F30"/>
  <sheetViews>
    <sheetView topLeftCell="C15" workbookViewId="0">
      <selection activeCell="P1" sqref="P1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6.875" hidden="1" customWidth="1"/>
    <col min="7" max="7" width="10.625" bestFit="1" customWidth="1"/>
    <col min="8" max="10" width="15.25" bestFit="1" customWidth="1"/>
    <col min="11" max="11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2070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hidden="1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6FB3-4EB8-496E-9AEF-7016EE9401B8}">
  <sheetPr codeName="Sheet4"/>
  <dimension ref="A1:E18"/>
  <sheetViews>
    <sheetView workbookViewId="0">
      <selection activeCell="K19" sqref="K19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8.125" bestFit="1" customWidth="1"/>
    <col min="4" max="4" width="5.5" bestFit="1" customWidth="1"/>
    <col min="5" max="6" width="10.625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2085</v>
      </c>
      <c r="B2" t="s">
        <v>2069</v>
      </c>
    </row>
    <row r="4" spans="1:5" x14ac:dyDescent="0.25">
      <c r="A4" s="6" t="s">
        <v>2070</v>
      </c>
      <c r="B4" s="6" t="s">
        <v>2068</v>
      </c>
    </row>
    <row r="5" spans="1:5" x14ac:dyDescent="0.25">
      <c r="A5" s="6" t="s">
        <v>2066</v>
      </c>
      <c r="B5" t="s">
        <v>20</v>
      </c>
      <c r="C5" t="s">
        <v>74</v>
      </c>
      <c r="D5" t="s">
        <v>14</v>
      </c>
      <c r="E5" t="s">
        <v>2067</v>
      </c>
    </row>
    <row r="6" spans="1:5" x14ac:dyDescent="0.25">
      <c r="A6" s="7" t="s">
        <v>2073</v>
      </c>
      <c r="B6">
        <v>49</v>
      </c>
      <c r="C6">
        <v>6</v>
      </c>
      <c r="D6">
        <v>36</v>
      </c>
      <c r="E6">
        <v>91</v>
      </c>
    </row>
    <row r="7" spans="1:5" x14ac:dyDescent="0.25">
      <c r="A7" s="7" t="s">
        <v>2074</v>
      </c>
      <c r="B7">
        <v>44</v>
      </c>
      <c r="C7">
        <v>7</v>
      </c>
      <c r="D7">
        <v>28</v>
      </c>
      <c r="E7">
        <v>79</v>
      </c>
    </row>
    <row r="8" spans="1:5" x14ac:dyDescent="0.25">
      <c r="A8" s="7" t="s">
        <v>2075</v>
      </c>
      <c r="B8">
        <v>49</v>
      </c>
      <c r="C8">
        <v>4</v>
      </c>
      <c r="D8">
        <v>33</v>
      </c>
      <c r="E8">
        <v>86</v>
      </c>
    </row>
    <row r="9" spans="1:5" x14ac:dyDescent="0.25">
      <c r="A9" s="7" t="s">
        <v>2076</v>
      </c>
      <c r="B9">
        <v>46</v>
      </c>
      <c r="C9">
        <v>1</v>
      </c>
      <c r="D9">
        <v>30</v>
      </c>
      <c r="E9">
        <v>77</v>
      </c>
    </row>
    <row r="10" spans="1:5" x14ac:dyDescent="0.25">
      <c r="A10" s="7" t="s">
        <v>2077</v>
      </c>
      <c r="B10">
        <v>46</v>
      </c>
      <c r="C10">
        <v>3</v>
      </c>
      <c r="D10">
        <v>35</v>
      </c>
      <c r="E10">
        <v>84</v>
      </c>
    </row>
    <row r="11" spans="1:5" x14ac:dyDescent="0.25">
      <c r="A11" s="7" t="s">
        <v>2078</v>
      </c>
      <c r="B11">
        <v>55</v>
      </c>
      <c r="C11">
        <v>3</v>
      </c>
      <c r="D11">
        <v>28</v>
      </c>
      <c r="E11">
        <v>86</v>
      </c>
    </row>
    <row r="12" spans="1:5" x14ac:dyDescent="0.25">
      <c r="A12" s="7" t="s">
        <v>2079</v>
      </c>
      <c r="B12">
        <v>58</v>
      </c>
      <c r="C12">
        <v>4</v>
      </c>
      <c r="D12">
        <v>31</v>
      </c>
      <c r="E12">
        <v>93</v>
      </c>
    </row>
    <row r="13" spans="1:5" x14ac:dyDescent="0.25">
      <c r="A13" s="7" t="s">
        <v>2080</v>
      </c>
      <c r="B13">
        <v>41</v>
      </c>
      <c r="C13">
        <v>8</v>
      </c>
      <c r="D13">
        <v>35</v>
      </c>
      <c r="E13">
        <v>84</v>
      </c>
    </row>
    <row r="14" spans="1:5" x14ac:dyDescent="0.25">
      <c r="A14" s="7" t="s">
        <v>2081</v>
      </c>
      <c r="B14">
        <v>45</v>
      </c>
      <c r="C14">
        <v>5</v>
      </c>
      <c r="D14">
        <v>23</v>
      </c>
      <c r="E14">
        <v>73</v>
      </c>
    </row>
    <row r="15" spans="1:5" x14ac:dyDescent="0.25">
      <c r="A15" s="7" t="s">
        <v>2082</v>
      </c>
      <c r="B15">
        <v>45</v>
      </c>
      <c r="C15">
        <v>6</v>
      </c>
      <c r="D15">
        <v>26</v>
      </c>
      <c r="E15">
        <v>77</v>
      </c>
    </row>
    <row r="16" spans="1:5" x14ac:dyDescent="0.25">
      <c r="A16" s="7" t="s">
        <v>2083</v>
      </c>
      <c r="B16">
        <v>45</v>
      </c>
      <c r="C16">
        <v>3</v>
      </c>
      <c r="D16">
        <v>27</v>
      </c>
      <c r="E16">
        <v>75</v>
      </c>
    </row>
    <row r="17" spans="1:5" x14ac:dyDescent="0.25">
      <c r="A17" s="7" t="s">
        <v>2084</v>
      </c>
      <c r="B17">
        <v>42</v>
      </c>
      <c r="C17">
        <v>7</v>
      </c>
      <c r="D17">
        <v>32</v>
      </c>
      <c r="E17">
        <v>81</v>
      </c>
    </row>
    <row r="18" spans="1:5" x14ac:dyDescent="0.25">
      <c r="A18" s="7" t="s">
        <v>2067</v>
      </c>
      <c r="B18">
        <v>565</v>
      </c>
      <c r="C18">
        <v>57</v>
      </c>
      <c r="D18">
        <v>364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9E57-D8C8-4CB4-BB0E-DC5BB2F54CE7}">
  <sheetPr codeName="Sheet5"/>
  <dimension ref="A1:H13"/>
  <sheetViews>
    <sheetView zoomScale="93" workbookViewId="0">
      <selection activeCell="H17" sqref="H17"/>
    </sheetView>
  </sheetViews>
  <sheetFormatPr defaultRowHeight="15.75" x14ac:dyDescent="0.25"/>
  <cols>
    <col min="1" max="1" width="23.625" customWidth="1"/>
    <col min="2" max="2" width="18.875" customWidth="1"/>
    <col min="3" max="3" width="14.25" customWidth="1"/>
    <col min="4" max="4" width="14.75" customWidth="1"/>
    <col min="5" max="5" width="15.125" customWidth="1"/>
    <col min="6" max="6" width="21.875" customWidth="1"/>
    <col min="7" max="7" width="18.625" style="10" customWidth="1"/>
    <col min="8" max="8" width="18.625" style="11" customWidth="1"/>
  </cols>
  <sheetData>
    <row r="1" spans="1:8" ht="25.5" customHeight="1" x14ac:dyDescent="0.25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9" t="s">
        <v>2092</v>
      </c>
      <c r="H1" s="20" t="s">
        <v>2093</v>
      </c>
    </row>
    <row r="2" spans="1:8" x14ac:dyDescent="0.25">
      <c r="A2" s="14" t="s">
        <v>2094</v>
      </c>
      <c r="B2" s="14">
        <f>COUNTIFS(Crowdfunding!D:D,"&lt;1000",Crowdfunding!G:G,"successful")</f>
        <v>30</v>
      </c>
      <c r="C2" s="14">
        <f>COUNTIFS(Crowdfunding!D:D,"&lt;1000",Crowdfunding!G:G,"failed")</f>
        <v>20</v>
      </c>
      <c r="D2" s="14">
        <f>COUNTIFS(Crowdfunding!D:D,"&lt;1000",Crowdfunding!G:G,"canceled")</f>
        <v>1</v>
      </c>
      <c r="E2" s="14">
        <f>SUM(B2:D2)</f>
        <v>51</v>
      </c>
      <c r="F2" s="21">
        <f>B2/E2</f>
        <v>0.58823529411764708</v>
      </c>
      <c r="G2" s="21">
        <f>C2/E2</f>
        <v>0.39215686274509803</v>
      </c>
      <c r="H2" s="22">
        <f>D2/E2</f>
        <v>1.9607843137254902E-2</v>
      </c>
    </row>
    <row r="3" spans="1:8" x14ac:dyDescent="0.25">
      <c r="A3" s="23" t="s">
        <v>2095</v>
      </c>
      <c r="B3" s="14">
        <f>COUNTIFS(Crowdfunding!G:G,"successful",Crowdfunding!D:D,"&gt;999",Crowdfunding!D:D,"&lt;5000")</f>
        <v>191</v>
      </c>
      <c r="C3" s="14">
        <f>COUNTIFS(Crowdfunding!G:G,"failed",Crowdfunding!D:D,"&gt;999",Crowdfunding!D:D,"&lt;5000")</f>
        <v>38</v>
      </c>
      <c r="D3" s="14">
        <f>COUNTIFS(Crowdfunding!G:G,"canceled",Crowdfunding!D:D,"&gt;999",Crowdfunding!D:D,"&lt;5000")</f>
        <v>2</v>
      </c>
      <c r="E3" s="14">
        <f>SUM(B3:D3)</f>
        <v>231</v>
      </c>
      <c r="F3" s="21">
        <f t="shared" ref="F3:F13" si="0">B3/E3</f>
        <v>0.82683982683982682</v>
      </c>
      <c r="G3" s="21">
        <f>C3/E3</f>
        <v>0.16450216450216451</v>
      </c>
      <c r="H3" s="22">
        <f t="shared" ref="H3:H13" si="1">D3/E3</f>
        <v>8.658008658008658E-3</v>
      </c>
    </row>
    <row r="4" spans="1:8" x14ac:dyDescent="0.25">
      <c r="A4" s="23" t="s">
        <v>2096</v>
      </c>
      <c r="B4" s="14">
        <f>COUNTIFS(Crowdfunding!G:G,"successful",Crowdfunding!D:D,"&gt;4999",Crowdfunding!D:D,"&lt;10000")</f>
        <v>164</v>
      </c>
      <c r="C4" s="14">
        <f>COUNTIFS(Crowdfunding!G:G,"failed",Crowdfunding!D:D,"&gt;4999",Crowdfunding!D:D,"&lt;10000")</f>
        <v>126</v>
      </c>
      <c r="D4" s="14">
        <f>COUNTIFS(Crowdfunding!G:G,"canceled",Crowdfunding!D:D,"&gt;4999",Crowdfunding!D:D,"&lt;10000")</f>
        <v>25</v>
      </c>
      <c r="E4" s="14">
        <f t="shared" ref="E4:E13" si="2">SUM(B4:D4)</f>
        <v>315</v>
      </c>
      <c r="F4" s="21">
        <f t="shared" si="0"/>
        <v>0.52063492063492067</v>
      </c>
      <c r="G4" s="21">
        <f t="shared" ref="G4:G13" si="3">C4/E4</f>
        <v>0.4</v>
      </c>
      <c r="H4" s="22">
        <f t="shared" si="1"/>
        <v>7.9365079365079361E-2</v>
      </c>
    </row>
    <row r="5" spans="1:8" x14ac:dyDescent="0.25">
      <c r="A5" s="23" t="s">
        <v>2097</v>
      </c>
      <c r="B5" s="14">
        <f>COUNTIFS(Crowdfunding!G:G,"successful",Crowdfunding!D:D,"&gt;9999",Crowdfunding!D:D,"&lt;15000")</f>
        <v>4</v>
      </c>
      <c r="C5" s="14">
        <f>COUNTIFS(Crowdfunding!G:G,"failed",Crowdfunding!D:D,"&gt;9999",Crowdfunding!D:D,"&lt;15000")</f>
        <v>5</v>
      </c>
      <c r="D5" s="14">
        <f>COUNTIFS(Crowdfunding!G:G,"canceled",Crowdfunding!D:D,"&gt;9999",Crowdfunding!D:D,"&lt;15000")</f>
        <v>0</v>
      </c>
      <c r="E5" s="14">
        <f t="shared" si="2"/>
        <v>9</v>
      </c>
      <c r="F5" s="21">
        <f t="shared" si="0"/>
        <v>0.44444444444444442</v>
      </c>
      <c r="G5" s="21">
        <f t="shared" si="3"/>
        <v>0.55555555555555558</v>
      </c>
      <c r="H5" s="22">
        <f t="shared" si="1"/>
        <v>0</v>
      </c>
    </row>
    <row r="6" spans="1:8" x14ac:dyDescent="0.25">
      <c r="A6" s="23" t="s">
        <v>2098</v>
      </c>
      <c r="B6" s="14">
        <f>COUNTIFS(Crowdfunding!G:G,"successful",Crowdfunding!D:D,"&gt;14999",Crowdfunding!D:D,"&lt;20000")</f>
        <v>10</v>
      </c>
      <c r="C6" s="14">
        <f>COUNTIFS(Crowdfunding!G:G,"failed",Crowdfunding!D:D,"&gt;14999",Crowdfunding!D:D,"&lt;20000")</f>
        <v>0</v>
      </c>
      <c r="D6" s="14">
        <f>COUNTIFS(Crowdfunding!G:G,"canceled",Crowdfunding!D:D,"&gt;14999",Crowdfunding!D:D,"&lt;20000")</f>
        <v>0</v>
      </c>
      <c r="E6" s="14">
        <f t="shared" si="2"/>
        <v>10</v>
      </c>
      <c r="F6" s="21">
        <f t="shared" si="0"/>
        <v>1</v>
      </c>
      <c r="G6" s="21">
        <f t="shared" si="3"/>
        <v>0</v>
      </c>
      <c r="H6" s="22">
        <f t="shared" si="1"/>
        <v>0</v>
      </c>
    </row>
    <row r="7" spans="1:8" x14ac:dyDescent="0.25">
      <c r="A7" s="23" t="s">
        <v>2099</v>
      </c>
      <c r="B7" s="14">
        <f>COUNTIFS(Crowdfunding!G:G,"successful",Crowdfunding!D:D,"&gt;19999",Crowdfunding!D:D,"&lt;25000")</f>
        <v>7</v>
      </c>
      <c r="C7" s="14">
        <f>COUNTIFS(Crowdfunding!G:G,"failed",Crowdfunding!D:D,"&gt;19999",Crowdfunding!D:D,"&lt;25000")</f>
        <v>0</v>
      </c>
      <c r="D7" s="14">
        <f>COUNTIFS(Crowdfunding!G:G,"canceled",Crowdfunding!D:D,"&gt;19999",Crowdfunding!D:D,"&lt;25000")</f>
        <v>0</v>
      </c>
      <c r="E7" s="14">
        <f t="shared" si="2"/>
        <v>7</v>
      </c>
      <c r="F7" s="21">
        <f t="shared" si="0"/>
        <v>1</v>
      </c>
      <c r="G7" s="21">
        <f t="shared" si="3"/>
        <v>0</v>
      </c>
      <c r="H7" s="22">
        <f t="shared" si="1"/>
        <v>0</v>
      </c>
    </row>
    <row r="8" spans="1:8" x14ac:dyDescent="0.25">
      <c r="A8" s="23" t="s">
        <v>2100</v>
      </c>
      <c r="B8" s="14">
        <f>COUNTIFS(Crowdfunding!G:G,"successful",Crowdfunding!D:D,"&gt;24999",Crowdfunding!D:D,"&lt;30000")</f>
        <v>11</v>
      </c>
      <c r="C8" s="14">
        <f>COUNTIFS(Crowdfunding!G:G,"failed",Crowdfunding!D:D,"&gt;24999",Crowdfunding!D:D,"&lt;30000")</f>
        <v>3</v>
      </c>
      <c r="D8" s="14">
        <f>COUNTIFS(Crowdfunding!G:G,"canceled",Crowdfunding!D:D,"&gt;24999",Crowdfunding!D:D,"&lt;30000")</f>
        <v>0</v>
      </c>
      <c r="E8" s="14">
        <f t="shared" si="2"/>
        <v>14</v>
      </c>
      <c r="F8" s="21">
        <f t="shared" si="0"/>
        <v>0.7857142857142857</v>
      </c>
      <c r="G8" s="21">
        <f t="shared" si="3"/>
        <v>0.21428571428571427</v>
      </c>
      <c r="H8" s="22">
        <f t="shared" si="1"/>
        <v>0</v>
      </c>
    </row>
    <row r="9" spans="1:8" x14ac:dyDescent="0.25">
      <c r="A9" s="23" t="s">
        <v>2101</v>
      </c>
      <c r="B9" s="14">
        <f>COUNTIFS(Crowdfunding!G:G,"successful",Crowdfunding!D:D,"&gt;29999",Crowdfunding!D:D,"&lt;35000")</f>
        <v>7</v>
      </c>
      <c r="C9" s="14">
        <f>COUNTIFS(Crowdfunding!G:G,"failed",Crowdfunding!D:D,"&gt;29999",Crowdfunding!D:D,"&lt;35000")</f>
        <v>0</v>
      </c>
      <c r="D9" s="14">
        <f>COUNTIFS(Crowdfunding!G:G,"canceled",Crowdfunding!D:D,"&gt;29999",Crowdfunding!D:D,"&lt;35000")</f>
        <v>0</v>
      </c>
      <c r="E9" s="14">
        <f t="shared" si="2"/>
        <v>7</v>
      </c>
      <c r="F9" s="21">
        <f t="shared" si="0"/>
        <v>1</v>
      </c>
      <c r="G9" s="21">
        <f t="shared" si="3"/>
        <v>0</v>
      </c>
      <c r="H9" s="22">
        <f t="shared" si="1"/>
        <v>0</v>
      </c>
    </row>
    <row r="10" spans="1:8" x14ac:dyDescent="0.25">
      <c r="A10" s="23" t="s">
        <v>2102</v>
      </c>
      <c r="B10" s="14">
        <f>COUNTIFS(Crowdfunding!G:G,"successful",Crowdfunding!D:D,"&gt;34999",Crowdfunding!D:D,"&lt;40000")</f>
        <v>8</v>
      </c>
      <c r="C10" s="14">
        <f>COUNTIFS(Crowdfunding!G:G,"failed",Crowdfunding!D:D,"&gt;34999",Crowdfunding!D:D,"&lt;40000")</f>
        <v>3</v>
      </c>
      <c r="D10" s="14">
        <f>COUNTIFS(Crowdfunding!G:G,"canceled",Crowdfunding!D:D,"&gt;34999",Crowdfunding!D:D,"&lt;40000")</f>
        <v>1</v>
      </c>
      <c r="E10" s="14">
        <f t="shared" si="2"/>
        <v>12</v>
      </c>
      <c r="F10" s="21">
        <f t="shared" si="0"/>
        <v>0.66666666666666663</v>
      </c>
      <c r="G10" s="21">
        <f t="shared" si="3"/>
        <v>0.25</v>
      </c>
      <c r="H10" s="22">
        <f t="shared" si="1"/>
        <v>8.3333333333333329E-2</v>
      </c>
    </row>
    <row r="11" spans="1:8" x14ac:dyDescent="0.25">
      <c r="A11" s="23" t="s">
        <v>2103</v>
      </c>
      <c r="B11" s="14">
        <f>COUNTIFS(Crowdfunding!G:G,"successful",Crowdfunding!D:D,"&gt;39999",Crowdfunding!D:D,"&lt;45000")</f>
        <v>11</v>
      </c>
      <c r="C11" s="14">
        <f>COUNTIFS(Crowdfunding!G:G,"failed",Crowdfunding!D:D,"&gt;39999",Crowdfunding!D:D,"&lt;45000")</f>
        <v>3</v>
      </c>
      <c r="D11" s="14">
        <f>COUNTIFS(Crowdfunding!G:G,"canceled",Crowdfunding!D:D,"&gt;39999",Crowdfunding!D:D,"&lt;45000")</f>
        <v>0</v>
      </c>
      <c r="E11" s="14">
        <f t="shared" si="2"/>
        <v>14</v>
      </c>
      <c r="F11" s="21">
        <f t="shared" si="0"/>
        <v>0.7857142857142857</v>
      </c>
      <c r="G11" s="21">
        <f t="shared" si="3"/>
        <v>0.21428571428571427</v>
      </c>
      <c r="H11" s="22">
        <f t="shared" si="1"/>
        <v>0</v>
      </c>
    </row>
    <row r="12" spans="1:8" x14ac:dyDescent="0.25">
      <c r="A12" s="23" t="s">
        <v>2104</v>
      </c>
      <c r="B12" s="14">
        <f>COUNTIFS(Crowdfunding!G:G,"successful",Crowdfunding!D:D,"&gt;44999",Crowdfunding!D:D,"&lt;50000")</f>
        <v>8</v>
      </c>
      <c r="C12" s="14">
        <f>COUNTIFS(Crowdfunding!G:G,"failed",Crowdfunding!D:D,"&gt;44999",Crowdfunding!D:D,"&lt;50000")</f>
        <v>3</v>
      </c>
      <c r="D12" s="14">
        <f>COUNTIFS(Crowdfunding!G:G,"canceled",Crowdfunding!D:D,"&gt;44999",Crowdfunding!D:D,"&lt;50000")</f>
        <v>0</v>
      </c>
      <c r="E12" s="14">
        <f t="shared" si="2"/>
        <v>11</v>
      </c>
      <c r="F12" s="21">
        <f t="shared" si="0"/>
        <v>0.72727272727272729</v>
      </c>
      <c r="G12" s="21">
        <f t="shared" si="3"/>
        <v>0.27272727272727271</v>
      </c>
      <c r="H12" s="22">
        <f t="shared" si="1"/>
        <v>0</v>
      </c>
    </row>
    <row r="13" spans="1:8" ht="25.5" x14ac:dyDescent="0.25">
      <c r="A13" s="23" t="s">
        <v>2105</v>
      </c>
      <c r="B13" s="14">
        <f>COUNTIFS(Crowdfunding!D:D,"&gt;=50000",Crowdfunding!G:G,"successful")</f>
        <v>114</v>
      </c>
      <c r="C13" s="14">
        <f>COUNTIFS(Crowdfunding!D:D,"&gt;=50000",Crowdfunding!G:G,"failed")</f>
        <v>163</v>
      </c>
      <c r="D13" s="14">
        <f>COUNTIFS(Crowdfunding!D:D,"&gt;=50000",Crowdfunding!G:G,"canceled")</f>
        <v>28</v>
      </c>
      <c r="E13" s="14">
        <f t="shared" si="2"/>
        <v>305</v>
      </c>
      <c r="F13" s="21">
        <f t="shared" si="0"/>
        <v>0.3737704918032787</v>
      </c>
      <c r="G13" s="21">
        <f t="shared" si="3"/>
        <v>0.53442622950819674</v>
      </c>
      <c r="H13" s="22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0D1-74AC-404C-87F1-4DC364C4B2CF}">
  <sheetPr codeName="Sheet6"/>
  <dimension ref="A1:H566"/>
  <sheetViews>
    <sheetView tabSelected="1" zoomScaleNormal="100" workbookViewId="0">
      <selection activeCell="J5" sqref="J5"/>
    </sheetView>
  </sheetViews>
  <sheetFormatPr defaultRowHeight="15.75" x14ac:dyDescent="0.25"/>
  <cols>
    <col min="1" max="1" width="10.625"/>
    <col min="2" max="2" width="13.625" customWidth="1"/>
    <col min="3" max="3" width="11.75" customWidth="1"/>
    <col min="4" max="4" width="8.625" customWidth="1"/>
    <col min="5" max="5" width="12.5" customWidth="1"/>
    <col min="6" max="6" width="21.5" customWidth="1"/>
    <col min="7" max="7" width="16.375" customWidth="1"/>
    <col min="8" max="8" width="17.25" customWidth="1"/>
    <col min="9" max="9" width="17.375" customWidth="1"/>
  </cols>
  <sheetData>
    <row r="1" spans="1:8" x14ac:dyDescent="0.25">
      <c r="A1" s="1" t="s">
        <v>4</v>
      </c>
      <c r="B1" s="1" t="s">
        <v>5</v>
      </c>
      <c r="D1" t="s">
        <v>4</v>
      </c>
      <c r="E1" t="s">
        <v>5</v>
      </c>
    </row>
    <row r="2" spans="1:8" x14ac:dyDescent="0.25">
      <c r="A2" t="s">
        <v>20</v>
      </c>
      <c r="B2">
        <v>158</v>
      </c>
      <c r="D2" t="s">
        <v>14</v>
      </c>
      <c r="E2">
        <v>0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s="13" t="s">
        <v>2106</v>
      </c>
      <c r="H4" s="13" t="s">
        <v>2111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t="s">
        <v>2112</v>
      </c>
      <c r="H5" s="5">
        <f>AVERAGE(B:B)</f>
        <v>851.14690265486729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t="s">
        <v>2108</v>
      </c>
      <c r="H6">
        <f>MEDIAN(B:B)</f>
        <v>201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MIN(B:B)</f>
        <v>16</v>
      </c>
    </row>
    <row r="8" spans="1:8" x14ac:dyDescent="0.25">
      <c r="A8" t="s">
        <v>20</v>
      </c>
      <c r="B8">
        <v>100</v>
      </c>
      <c r="D8" t="s">
        <v>14</v>
      </c>
      <c r="E8">
        <v>55</v>
      </c>
      <c r="G8" t="s">
        <v>2110</v>
      </c>
      <c r="H8">
        <f>MAX(B:B)</f>
        <v>7295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t="s">
        <v>2113</v>
      </c>
      <c r="H9" s="5">
        <f>_xlfn.VAR.S(B:B)</f>
        <v>1606216.5936295739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t="s">
        <v>2114</v>
      </c>
      <c r="H10" s="5">
        <f>_xlfn.STDEV.S(B:B)</f>
        <v>1267.366006183523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s="12" t="s">
        <v>2107</v>
      </c>
      <c r="H13" s="12" t="s">
        <v>2111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t="s">
        <v>2112</v>
      </c>
      <c r="H14" s="5">
        <f>AVERAGE(E:E)</f>
        <v>585.61538461538464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  <c r="G15" t="s">
        <v>2108</v>
      </c>
      <c r="H15" s="5">
        <f>MEDIAN(E:E)</f>
        <v>114.5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  <c r="G16" t="s">
        <v>2109</v>
      </c>
      <c r="H16">
        <f>MIN(E:E)</f>
        <v>0</v>
      </c>
    </row>
    <row r="17" spans="1:8" x14ac:dyDescent="0.25">
      <c r="A17" t="s">
        <v>20</v>
      </c>
      <c r="B17">
        <v>129</v>
      </c>
      <c r="D17" t="s">
        <v>14</v>
      </c>
      <c r="E17">
        <v>1</v>
      </c>
      <c r="G17" t="s">
        <v>2110</v>
      </c>
      <c r="H17">
        <f>MAX(E:E)</f>
        <v>6080</v>
      </c>
    </row>
    <row r="18" spans="1:8" x14ac:dyDescent="0.25">
      <c r="A18" t="s">
        <v>20</v>
      </c>
      <c r="B18">
        <v>226</v>
      </c>
      <c r="D18" t="s">
        <v>14</v>
      </c>
      <c r="E18">
        <v>1467</v>
      </c>
      <c r="G18" t="s">
        <v>2113</v>
      </c>
      <c r="H18" s="5">
        <f>_xlfn.VAR.S(E:E)</f>
        <v>924113.45496927318</v>
      </c>
    </row>
    <row r="19" spans="1:8" x14ac:dyDescent="0.25">
      <c r="A19" t="s">
        <v>20</v>
      </c>
      <c r="B19">
        <v>5419</v>
      </c>
      <c r="D19" t="s">
        <v>14</v>
      </c>
      <c r="E19">
        <v>75</v>
      </c>
      <c r="G19" t="s">
        <v>2115</v>
      </c>
      <c r="H19" s="5">
        <f>_xlfn.STDEV.S(E:E)</f>
        <v>961.30819978260524</v>
      </c>
    </row>
    <row r="20" spans="1:8" x14ac:dyDescent="0.25">
      <c r="A20" t="s">
        <v>20</v>
      </c>
      <c r="B20">
        <v>165</v>
      </c>
      <c r="D20" t="s">
        <v>14</v>
      </c>
      <c r="E20">
        <v>120</v>
      </c>
    </row>
    <row r="21" spans="1:8" x14ac:dyDescent="0.25">
      <c r="A21" t="s">
        <v>20</v>
      </c>
      <c r="B21">
        <v>1965</v>
      </c>
      <c r="D21" t="s">
        <v>14</v>
      </c>
      <c r="E21">
        <v>2253</v>
      </c>
    </row>
    <row r="22" spans="1:8" x14ac:dyDescent="0.25">
      <c r="A22" t="s">
        <v>20</v>
      </c>
      <c r="B22">
        <v>16</v>
      </c>
      <c r="D22" t="s">
        <v>14</v>
      </c>
      <c r="E22">
        <v>5</v>
      </c>
    </row>
    <row r="23" spans="1:8" x14ac:dyDescent="0.25">
      <c r="A23" t="s">
        <v>20</v>
      </c>
      <c r="B23">
        <v>107</v>
      </c>
      <c r="D23" t="s">
        <v>14</v>
      </c>
      <c r="E23">
        <v>38</v>
      </c>
    </row>
    <row r="24" spans="1:8" x14ac:dyDescent="0.25">
      <c r="A24" t="s">
        <v>20</v>
      </c>
      <c r="B24">
        <v>134</v>
      </c>
      <c r="D24" t="s">
        <v>14</v>
      </c>
      <c r="E24">
        <v>12</v>
      </c>
    </row>
    <row r="25" spans="1:8" x14ac:dyDescent="0.25">
      <c r="A25" t="s">
        <v>20</v>
      </c>
      <c r="B25">
        <v>198</v>
      </c>
      <c r="D25" t="s">
        <v>14</v>
      </c>
      <c r="E25">
        <v>1684</v>
      </c>
    </row>
    <row r="26" spans="1:8" x14ac:dyDescent="0.25">
      <c r="A26" t="s">
        <v>20</v>
      </c>
      <c r="B26">
        <v>111</v>
      </c>
      <c r="D26" t="s">
        <v>14</v>
      </c>
      <c r="E26">
        <v>56</v>
      </c>
    </row>
    <row r="27" spans="1:8" x14ac:dyDescent="0.25">
      <c r="A27" t="s">
        <v>20</v>
      </c>
      <c r="B27">
        <v>222</v>
      </c>
      <c r="D27" t="s">
        <v>14</v>
      </c>
      <c r="E27">
        <v>838</v>
      </c>
    </row>
    <row r="28" spans="1:8" x14ac:dyDescent="0.25">
      <c r="A28" t="s">
        <v>20</v>
      </c>
      <c r="B28">
        <v>6212</v>
      </c>
      <c r="D28" t="s">
        <v>14</v>
      </c>
      <c r="E28">
        <v>1000</v>
      </c>
    </row>
    <row r="29" spans="1:8" x14ac:dyDescent="0.25">
      <c r="A29" t="s">
        <v>20</v>
      </c>
      <c r="B29">
        <v>98</v>
      </c>
      <c r="D29" t="s">
        <v>14</v>
      </c>
      <c r="E29">
        <v>1482</v>
      </c>
    </row>
    <row r="30" spans="1:8" x14ac:dyDescent="0.25">
      <c r="A30" t="s">
        <v>20</v>
      </c>
      <c r="B30">
        <v>92</v>
      </c>
      <c r="D30" t="s">
        <v>14</v>
      </c>
      <c r="E30">
        <v>106</v>
      </c>
    </row>
    <row r="31" spans="1:8" x14ac:dyDescent="0.25">
      <c r="A31" t="s">
        <v>20</v>
      </c>
      <c r="B31">
        <v>149</v>
      </c>
      <c r="D31" t="s">
        <v>14</v>
      </c>
      <c r="E31">
        <v>679</v>
      </c>
    </row>
    <row r="32" spans="1:8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A2:B930">
    <sortCondition ref="A1:A930"/>
  </sortState>
  <phoneticPr fontId="18" type="noConversion"/>
  <conditionalFormatting sqref="A1:A566 D2:D365 A931:A1048576">
    <cfRule type="containsText" dxfId="3" priority="9" operator="containsText" text="canceled">
      <formula>NOT(ISERROR(SEARCH("canceled",A1)))</formula>
    </cfRule>
    <cfRule type="containsText" dxfId="2" priority="10" operator="containsText" text="live">
      <formula>NOT(ISERROR(SEARCH("live",A1)))</formula>
    </cfRule>
    <cfRule type="containsText" dxfId="1" priority="11" operator="containsText" text="successful">
      <formula>NOT(ISERROR(SEARCH("successful",A1)))</formula>
    </cfRule>
    <cfRule type="containsText" dxfId="0" priority="12" operator="containsText" text="failed">
      <formula>NOT(ISERROR(SEARCH("failed",A1)))</formula>
    </cfRule>
  </conditionalFormatting>
  <conditionalFormatting sqref="A931:A1048576 D2:D365 A1:A5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Month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Asres Dagnew</cp:lastModifiedBy>
  <dcterms:created xsi:type="dcterms:W3CDTF">2021-09-29T18:52:28Z</dcterms:created>
  <dcterms:modified xsi:type="dcterms:W3CDTF">2024-12-12T06:45:47Z</dcterms:modified>
</cp:coreProperties>
</file>