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charts/chart1.xml" ContentType="application/vnd.openxmlformats-officedocument.drawingml.chart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90" windowWidth="12255" windowHeight="6210" firstSheet="91" activeTab="95"/>
  </bookViews>
  <sheets>
    <sheet name="DECEMBER" sheetId="8" r:id="rId1"/>
    <sheet name="JANUARY" sheetId="9" r:id="rId2"/>
    <sheet name="FEBRUARY" sheetId="10" r:id="rId3"/>
    <sheet name="MARCH" sheetId="11" r:id="rId4"/>
    <sheet name="APRIL" sheetId="12" r:id="rId5"/>
    <sheet name="MAY" sheetId="13" r:id="rId6"/>
    <sheet name="JUNE" sheetId="14" r:id="rId7"/>
    <sheet name="JULY" sheetId="15" r:id="rId8"/>
    <sheet name="AUGUST" sheetId="16" r:id="rId9"/>
    <sheet name="SEP" sheetId="17" r:id="rId10"/>
    <sheet name="OCT" sheetId="18" r:id="rId11"/>
    <sheet name="NOV" sheetId="19" r:id="rId12"/>
    <sheet name="APRIL 2015" sheetId="20" r:id="rId13"/>
    <sheet name="MAY 2015" sheetId="21" r:id="rId14"/>
    <sheet name="JUNE 2015 " sheetId="22" r:id="rId15"/>
    <sheet name="JULY 2015" sheetId="23" r:id="rId16"/>
    <sheet name="AUGUST 2015" sheetId="24" r:id="rId17"/>
    <sheet name="OCTO" sheetId="25" r:id="rId18"/>
    <sheet name="NOV 2015" sheetId="26" r:id="rId19"/>
    <sheet name="DEC" sheetId="27" r:id="rId20"/>
    <sheet name="JAN" sheetId="28" r:id="rId21"/>
    <sheet name="FEB" sheetId="29" r:id="rId22"/>
    <sheet name="MARCH 2016" sheetId="30" r:id="rId23"/>
    <sheet name="APRI;" sheetId="31" r:id="rId24"/>
    <sheet name="Sheet3" sheetId="32" r:id="rId25"/>
    <sheet name="Sheet1" sheetId="33" r:id="rId26"/>
    <sheet name="Sheet2" sheetId="34" r:id="rId27"/>
    <sheet name="JUNE 2016" sheetId="35" r:id="rId28"/>
    <sheet name="JUNE 2016  1" sheetId="36" r:id="rId29"/>
    <sheet name="AUGUST  2016" sheetId="37" r:id="rId30"/>
    <sheet name="Sheet4" sheetId="38" r:id="rId31"/>
    <sheet name="Sheet5" sheetId="39" r:id="rId32"/>
    <sheet name="Sheet6" sheetId="40" r:id="rId33"/>
    <sheet name="Sheet7" sheetId="41" r:id="rId34"/>
    <sheet name="Sheet8" sheetId="42" r:id="rId35"/>
    <sheet name="Sheet9" sheetId="43" r:id="rId36"/>
    <sheet name="Sheet10" sheetId="44" r:id="rId37"/>
    <sheet name="MARCH 2017" sheetId="45" r:id="rId38"/>
    <sheet name="Sheet12" sheetId="46" r:id="rId39"/>
    <sheet name="MAY2017" sheetId="47" r:id="rId40"/>
    <sheet name="JUNE 2017" sheetId="48" r:id="rId41"/>
    <sheet name="JULY 2017" sheetId="49" r:id="rId42"/>
    <sheet name="AUGUST 2017" sheetId="50" r:id="rId43"/>
    <sheet name="Chart4" sheetId="52" r:id="rId44"/>
    <sheet name="SEPTEMBER 2017" sheetId="51" r:id="rId45"/>
    <sheet name="OCTOMBER" sheetId="53" r:id="rId46"/>
    <sheet name="NOV 2017" sheetId="54" r:id="rId47"/>
    <sheet name="DECE" sheetId="55" r:id="rId48"/>
    <sheet name="JAN 18" sheetId="56" r:id="rId49"/>
    <sheet name="FEB18" sheetId="57" r:id="rId50"/>
    <sheet name="MARCH 18" sheetId="58" r:id="rId51"/>
    <sheet name="APRL" sheetId="59" r:id="rId52"/>
    <sheet name="MAY 18" sheetId="60" r:id="rId53"/>
    <sheet name="JUNE " sheetId="61" r:id="rId54"/>
    <sheet name="JULY7" sheetId="62" r:id="rId55"/>
    <sheet name="AUG" sheetId="63" r:id="rId56"/>
    <sheet name="SEPT" sheetId="64" r:id="rId57"/>
    <sheet name="OCTOBER" sheetId="65" r:id="rId58"/>
    <sheet name="NOVEMBER" sheetId="66" r:id="rId59"/>
    <sheet name="DECEM" sheetId="67" r:id="rId60"/>
    <sheet name="JANUARY " sheetId="68" r:id="rId61"/>
    <sheet name="FEB " sheetId="69" r:id="rId62"/>
    <sheet name="MARCH " sheetId="70" r:id="rId63"/>
    <sheet name="APR" sheetId="71" r:id="rId64"/>
    <sheet name="MAY " sheetId="72" r:id="rId65"/>
    <sheet name="JUNEE" sheetId="73" r:id="rId66"/>
    <sheet name="JULY  " sheetId="74" r:id="rId67"/>
    <sheet name="AUGUST 2019" sheetId="75" r:id="rId68"/>
    <sheet name="SEPTEMBER 19" sheetId="76" r:id="rId69"/>
    <sheet name="OCTOBER 19 " sheetId="77" r:id="rId70"/>
    <sheet name="NOVEMBER 19" sheetId="78" r:id="rId71"/>
    <sheet name="DECEMBER 19" sheetId="79" r:id="rId72"/>
    <sheet name="JANUARY 20" sheetId="80" r:id="rId73"/>
    <sheet name="FEBRUARY 20" sheetId="81" r:id="rId74"/>
    <sheet name="MARCH 20" sheetId="82" r:id="rId75"/>
    <sheet name="APRIL 20" sheetId="83" r:id="rId76"/>
    <sheet name="MAY 20" sheetId="84" r:id="rId77"/>
    <sheet name="JUNE 20" sheetId="85" r:id="rId78"/>
    <sheet name="JULY 20" sheetId="86" r:id="rId79"/>
    <sheet name="AUGUST 20" sheetId="87" r:id="rId80"/>
    <sheet name="SEPTEMBER 20" sheetId="88" r:id="rId81"/>
    <sheet name="OCTOBER 20" sheetId="89" r:id="rId82"/>
    <sheet name="NOVEMBER 20" sheetId="90" r:id="rId83"/>
    <sheet name="DECEMBER 20" sheetId="91" r:id="rId84"/>
    <sheet name="JANUARY 21" sheetId="92" r:id="rId85"/>
    <sheet name="FEBRUARY 21" sheetId="93" r:id="rId86"/>
    <sheet name="MARCH 21" sheetId="94" r:id="rId87"/>
    <sheet name="APRIL 21" sheetId="95" r:id="rId88"/>
    <sheet name="MAY 21" sheetId="96" r:id="rId89"/>
    <sheet name="JUNE 21" sheetId="97" r:id="rId90"/>
    <sheet name="JULY 21" sheetId="98" r:id="rId91"/>
    <sheet name="AUGUST 21" sheetId="99" r:id="rId92"/>
    <sheet name="SEPT 21" sheetId="100" r:id="rId93"/>
    <sheet name="OCTOBER 21" sheetId="101" r:id="rId94"/>
    <sheet name="NOVEMBER 21" sheetId="102" r:id="rId95"/>
    <sheet name="DECEMBER 21" sheetId="103" r:id="rId96"/>
  </sheets>
  <calcPr calcId="144525"/>
</workbook>
</file>

<file path=xl/calcChain.xml><?xml version="1.0" encoding="utf-8"?>
<calcChain xmlns="http://schemas.openxmlformats.org/spreadsheetml/2006/main">
  <c r="L82" i="103" l="1"/>
  <c r="L81" i="103"/>
  <c r="L83" i="103" s="1"/>
  <c r="N73" i="103"/>
  <c r="G61" i="102" l="1"/>
  <c r="G60" i="102" l="1"/>
  <c r="G52" i="102"/>
  <c r="D40" i="103" l="1"/>
  <c r="D57" i="103"/>
  <c r="F57" i="103" s="1"/>
  <c r="D7" i="103"/>
  <c r="D8" i="103"/>
  <c r="D11" i="103"/>
  <c r="D12" i="103"/>
  <c r="D13" i="103"/>
  <c r="D14" i="103"/>
  <c r="C90" i="103"/>
  <c r="G76" i="103"/>
  <c r="G90" i="103" s="1"/>
  <c r="D64" i="103"/>
  <c r="J63" i="103"/>
  <c r="I63" i="103"/>
  <c r="G63" i="103"/>
  <c r="F68" i="103" s="1"/>
  <c r="E63" i="103"/>
  <c r="B68" i="103" s="1"/>
  <c r="N70" i="103" s="1"/>
  <c r="C63" i="103"/>
  <c r="F46" i="103"/>
  <c r="H46" i="103" s="1"/>
  <c r="G26" i="103"/>
  <c r="G32" i="103" s="1"/>
  <c r="C26" i="103"/>
  <c r="C32" i="103" s="1"/>
  <c r="G18" i="103"/>
  <c r="F22" i="103" s="1"/>
  <c r="E18" i="103"/>
  <c r="B22" i="103" s="1"/>
  <c r="F14" i="103"/>
  <c r="N72" i="103" l="1"/>
  <c r="N74" i="103" s="1"/>
  <c r="N76" i="103" s="1"/>
  <c r="C71" i="103"/>
  <c r="N71" i="103" s="1"/>
  <c r="C24" i="103"/>
  <c r="G24" i="103" s="1"/>
  <c r="G71" i="103"/>
  <c r="I46" i="101"/>
  <c r="G54" i="101" l="1"/>
  <c r="J84" i="100"/>
  <c r="D40" i="102" l="1"/>
  <c r="D57" i="102"/>
  <c r="D7" i="102"/>
  <c r="D8" i="102"/>
  <c r="D11" i="102"/>
  <c r="D12" i="102"/>
  <c r="D13" i="102"/>
  <c r="D14" i="102"/>
  <c r="C90" i="102"/>
  <c r="G76" i="102"/>
  <c r="G90" i="102" s="1"/>
  <c r="N73" i="102"/>
  <c r="D64" i="102"/>
  <c r="J63" i="102"/>
  <c r="I63" i="102"/>
  <c r="E63" i="102"/>
  <c r="C63" i="102"/>
  <c r="G63" i="102"/>
  <c r="G26" i="102"/>
  <c r="G32" i="102" s="1"/>
  <c r="C26" i="102"/>
  <c r="C32" i="102" s="1"/>
  <c r="G18" i="102"/>
  <c r="F22" i="102" s="1"/>
  <c r="E18" i="102"/>
  <c r="B22" i="102" s="1"/>
  <c r="F14" i="102"/>
  <c r="F68" i="102" l="1"/>
  <c r="G71" i="102"/>
  <c r="C24" i="102"/>
  <c r="G24" i="102" s="1"/>
  <c r="B68" i="102"/>
  <c r="N70" i="102"/>
  <c r="N62" i="100"/>
  <c r="C71" i="102" l="1"/>
  <c r="N71" i="102" s="1"/>
  <c r="N72" i="102" s="1"/>
  <c r="N74" i="102" s="1"/>
  <c r="N76" i="102" s="1"/>
  <c r="N73" i="101" l="1"/>
  <c r="G78" i="100" l="1"/>
  <c r="C78" i="100"/>
  <c r="G62" i="100" l="1"/>
  <c r="D40" i="101" l="1"/>
  <c r="D57" i="101"/>
  <c r="D64" i="101"/>
  <c r="D7" i="101"/>
  <c r="D8" i="101"/>
  <c r="D11" i="101"/>
  <c r="D12" i="101"/>
  <c r="D13" i="101"/>
  <c r="D14" i="101"/>
  <c r="C90" i="101"/>
  <c r="G76" i="101"/>
  <c r="G90" i="101" s="1"/>
  <c r="J63" i="101"/>
  <c r="I63" i="101"/>
  <c r="E63" i="101"/>
  <c r="C63" i="101"/>
  <c r="F61" i="101"/>
  <c r="H61" i="101" s="1"/>
  <c r="D61" i="102" s="1"/>
  <c r="F61" i="102" s="1"/>
  <c r="H61" i="102" s="1"/>
  <c r="D61" i="103" s="1"/>
  <c r="F61" i="103" s="1"/>
  <c r="H61" i="103" s="1"/>
  <c r="F55" i="101"/>
  <c r="H55" i="101" s="1"/>
  <c r="F55" i="102" s="1"/>
  <c r="H55" i="102" s="1"/>
  <c r="F55" i="103" s="1"/>
  <c r="H55" i="103" s="1"/>
  <c r="F51" i="101"/>
  <c r="H51" i="101" s="1"/>
  <c r="D51" i="102" s="1"/>
  <c r="F51" i="102" s="1"/>
  <c r="H51" i="102" s="1"/>
  <c r="D51" i="103" s="1"/>
  <c r="F51" i="103" s="1"/>
  <c r="H51" i="103" s="1"/>
  <c r="F46" i="101"/>
  <c r="H46" i="101" s="1"/>
  <c r="F46" i="102" s="1"/>
  <c r="H46" i="102" s="1"/>
  <c r="G63" i="101"/>
  <c r="F68" i="101" s="1"/>
  <c r="G26" i="101"/>
  <c r="G32" i="101" s="1"/>
  <c r="C26" i="101"/>
  <c r="C32" i="101" s="1"/>
  <c r="G18" i="101"/>
  <c r="F22" i="101" s="1"/>
  <c r="E18" i="101"/>
  <c r="B22" i="101" s="1"/>
  <c r="F14" i="101"/>
  <c r="B68" i="101" l="1"/>
  <c r="N70" i="101"/>
  <c r="C71" i="101"/>
  <c r="N71" i="101" s="1"/>
  <c r="C24" i="101"/>
  <c r="G24" i="101" s="1"/>
  <c r="G71" i="101"/>
  <c r="N72" i="101" l="1"/>
  <c r="N74" i="101" s="1"/>
  <c r="G54" i="100"/>
  <c r="G45" i="100"/>
  <c r="G52" i="100"/>
  <c r="G47" i="100" l="1"/>
  <c r="G38" i="100" l="1"/>
  <c r="G41" i="100" l="1"/>
  <c r="G60" i="100" l="1"/>
  <c r="G51" i="100" l="1"/>
  <c r="G55" i="100" l="1"/>
  <c r="G58" i="100" l="1"/>
  <c r="G49" i="100" l="1"/>
  <c r="O73" i="100" l="1"/>
  <c r="G46" i="100" l="1"/>
  <c r="D40" i="100" l="1"/>
  <c r="D57" i="100"/>
  <c r="C90" i="100"/>
  <c r="G76" i="100"/>
  <c r="D64" i="100"/>
  <c r="J63" i="100"/>
  <c r="I63" i="100"/>
  <c r="E63" i="100"/>
  <c r="B68" i="100" s="1"/>
  <c r="O70" i="100" s="1"/>
  <c r="C63" i="100"/>
  <c r="F55" i="100"/>
  <c r="H55" i="100" s="1"/>
  <c r="G63" i="100"/>
  <c r="F68" i="100" s="1"/>
  <c r="F46" i="100"/>
  <c r="H46" i="100" s="1"/>
  <c r="G26" i="100"/>
  <c r="G32" i="100" s="1"/>
  <c r="C26" i="100"/>
  <c r="C32" i="100" s="1"/>
  <c r="G18" i="100"/>
  <c r="F22" i="100" s="1"/>
  <c r="E18" i="100"/>
  <c r="B22" i="100" s="1"/>
  <c r="D18" i="100"/>
  <c r="F17" i="100"/>
  <c r="H17" i="100" s="1"/>
  <c r="D17" i="101" s="1"/>
  <c r="F17" i="101" s="1"/>
  <c r="H17" i="101" s="1"/>
  <c r="D17" i="102" s="1"/>
  <c r="F17" i="102" s="1"/>
  <c r="H17" i="102" s="1"/>
  <c r="D17" i="103" s="1"/>
  <c r="F17" i="103" s="1"/>
  <c r="H17" i="103" s="1"/>
  <c r="F16" i="100"/>
  <c r="H16" i="100" s="1"/>
  <c r="D16" i="101" s="1"/>
  <c r="F16" i="101" s="1"/>
  <c r="H16" i="101" s="1"/>
  <c r="D16" i="102" s="1"/>
  <c r="F16" i="102" s="1"/>
  <c r="H16" i="102" s="1"/>
  <c r="D16" i="103" s="1"/>
  <c r="F16" i="103" s="1"/>
  <c r="H16" i="103" s="1"/>
  <c r="F15" i="100"/>
  <c r="H15" i="100" s="1"/>
  <c r="D15" i="101" s="1"/>
  <c r="F15" i="101" s="1"/>
  <c r="H15" i="101" s="1"/>
  <c r="D15" i="102" s="1"/>
  <c r="F15" i="102" s="1"/>
  <c r="H15" i="102" s="1"/>
  <c r="D15" i="103" s="1"/>
  <c r="F15" i="103" s="1"/>
  <c r="H15" i="103" s="1"/>
  <c r="F14" i="100"/>
  <c r="F10" i="100"/>
  <c r="H10" i="100" s="1"/>
  <c r="D10" i="101" s="1"/>
  <c r="F10" i="101" s="1"/>
  <c r="H10" i="101" s="1"/>
  <c r="D10" i="102" s="1"/>
  <c r="F10" i="102" s="1"/>
  <c r="H10" i="102" s="1"/>
  <c r="D10" i="103" s="1"/>
  <c r="F10" i="103" s="1"/>
  <c r="H10" i="103" s="1"/>
  <c r="F9" i="100"/>
  <c r="H9" i="100" s="1"/>
  <c r="D9" i="101" s="1"/>
  <c r="F9" i="101" s="1"/>
  <c r="H9" i="101" s="1"/>
  <c r="D9" i="102" s="1"/>
  <c r="F9" i="102" s="1"/>
  <c r="H9" i="102" s="1"/>
  <c r="D9" i="103" s="1"/>
  <c r="F9" i="103" s="1"/>
  <c r="H9" i="103" s="1"/>
  <c r="F6" i="100"/>
  <c r="H6" i="100" s="1"/>
  <c r="D6" i="101" s="1"/>
  <c r="F6" i="101" s="1"/>
  <c r="H6" i="101" s="1"/>
  <c r="F18" i="100" l="1"/>
  <c r="D6" i="102"/>
  <c r="H18" i="101"/>
  <c r="G90" i="100"/>
  <c r="O75" i="100"/>
  <c r="C24" i="100"/>
  <c r="G24" i="100" s="1"/>
  <c r="C71" i="100"/>
  <c r="O71" i="100" s="1"/>
  <c r="O72" i="100" s="1"/>
  <c r="O74" i="100" s="1"/>
  <c r="H18" i="100"/>
  <c r="D18" i="101" s="1"/>
  <c r="F18" i="101" s="1"/>
  <c r="G71" i="100"/>
  <c r="G55" i="99"/>
  <c r="O76" i="100" l="1"/>
  <c r="M86" i="100" s="1"/>
  <c r="D18" i="102"/>
  <c r="F18" i="102" s="1"/>
  <c r="F6" i="102"/>
  <c r="H6" i="102" s="1"/>
  <c r="G51" i="99"/>
  <c r="G61" i="99"/>
  <c r="G54" i="99"/>
  <c r="G46" i="99"/>
  <c r="H18" i="102" l="1"/>
  <c r="D6" i="103"/>
  <c r="I63" i="99"/>
  <c r="D18" i="103" l="1"/>
  <c r="F18" i="103" s="1"/>
  <c r="F6" i="103"/>
  <c r="H6" i="103" s="1"/>
  <c r="H18" i="103" s="1"/>
  <c r="G52" i="99"/>
  <c r="G76" i="99" l="1"/>
  <c r="P69" i="99"/>
  <c r="M102" i="98"/>
  <c r="M69" i="98"/>
  <c r="M73" i="99"/>
  <c r="G48" i="96" l="1"/>
  <c r="G50" i="98" l="1"/>
  <c r="G52" i="98"/>
  <c r="D40" i="99" l="1"/>
  <c r="D57" i="99"/>
  <c r="G90" i="99"/>
  <c r="C90" i="99"/>
  <c r="D64" i="99"/>
  <c r="J63" i="99"/>
  <c r="E63" i="99"/>
  <c r="B68" i="99" s="1"/>
  <c r="M68" i="99" s="1"/>
  <c r="C63" i="99"/>
  <c r="F60" i="99"/>
  <c r="H60" i="99" s="1"/>
  <c r="D60" i="100" s="1"/>
  <c r="F60" i="100" s="1"/>
  <c r="H60" i="100" s="1"/>
  <c r="D60" i="101" s="1"/>
  <c r="F60" i="101" s="1"/>
  <c r="H60" i="101" s="1"/>
  <c r="D60" i="102" s="1"/>
  <c r="F60" i="102" s="1"/>
  <c r="H60" i="102" s="1"/>
  <c r="D60" i="103" s="1"/>
  <c r="H60" i="103" s="1"/>
  <c r="F42" i="99"/>
  <c r="H42" i="99" s="1"/>
  <c r="D42" i="100" s="1"/>
  <c r="F42" i="100" s="1"/>
  <c r="H42" i="100" s="1"/>
  <c r="D42" i="101" s="1"/>
  <c r="F42" i="101" s="1"/>
  <c r="H42" i="101" s="1"/>
  <c r="D42" i="102" s="1"/>
  <c r="F42" i="102" s="1"/>
  <c r="H42" i="102" s="1"/>
  <c r="D42" i="103" s="1"/>
  <c r="F42" i="103" s="1"/>
  <c r="H42" i="103" s="1"/>
  <c r="G63" i="99"/>
  <c r="F68" i="99" s="1"/>
  <c r="G26" i="99"/>
  <c r="G32" i="99" s="1"/>
  <c r="C26" i="99"/>
  <c r="C32" i="99" s="1"/>
  <c r="G18" i="99"/>
  <c r="F22" i="99" s="1"/>
  <c r="E18" i="99"/>
  <c r="B22" i="99" s="1"/>
  <c r="D18" i="99"/>
  <c r="F18" i="99" s="1"/>
  <c r="F17" i="99"/>
  <c r="H17" i="99" s="1"/>
  <c r="F16" i="99"/>
  <c r="H16" i="99" s="1"/>
  <c r="F15" i="99"/>
  <c r="H15" i="99" s="1"/>
  <c r="F14" i="99"/>
  <c r="F10" i="99"/>
  <c r="H10" i="99" s="1"/>
  <c r="F9" i="99"/>
  <c r="H9" i="99" s="1"/>
  <c r="F6" i="99"/>
  <c r="H6" i="99" s="1"/>
  <c r="H18" i="99" l="1"/>
  <c r="C24" i="99"/>
  <c r="G24" i="99" s="1"/>
  <c r="C71" i="99"/>
  <c r="M69" i="99" s="1"/>
  <c r="M70" i="99" s="1"/>
  <c r="M72" i="99" s="1"/>
  <c r="M74" i="99" s="1"/>
  <c r="G71" i="99"/>
  <c r="G46" i="98"/>
  <c r="G51" i="98" l="1"/>
  <c r="F48" i="101" l="1"/>
  <c r="G39" i="98"/>
  <c r="H48" i="101" l="1"/>
  <c r="G54" i="98"/>
  <c r="D48" i="102" l="1"/>
  <c r="F48" i="102" s="1"/>
  <c r="H48" i="102" s="1"/>
  <c r="D48" i="103" s="1"/>
  <c r="F48" i="103" s="1"/>
  <c r="H48" i="103" s="1"/>
  <c r="K81" i="97"/>
  <c r="C76" i="97"/>
  <c r="G61" i="98" l="1"/>
  <c r="I54" i="97" l="1"/>
  <c r="G54" i="97"/>
  <c r="G58" i="98" l="1"/>
  <c r="G51" i="97" l="1"/>
  <c r="D40" i="98"/>
  <c r="D57" i="98"/>
  <c r="J93" i="98"/>
  <c r="G76" i="98"/>
  <c r="C76" i="98"/>
  <c r="C90" i="98" s="1"/>
  <c r="D64" i="98"/>
  <c r="J63" i="98"/>
  <c r="I63" i="98"/>
  <c r="E63" i="98"/>
  <c r="B68" i="98" s="1"/>
  <c r="C63" i="98"/>
  <c r="F55" i="98"/>
  <c r="H55" i="98" s="1"/>
  <c r="F55" i="99" s="1"/>
  <c r="H55" i="99" s="1"/>
  <c r="F48" i="98"/>
  <c r="H48" i="98" s="1"/>
  <c r="D48" i="99" s="1"/>
  <c r="F48" i="99" s="1"/>
  <c r="H48" i="99" s="1"/>
  <c r="D48" i="100" s="1"/>
  <c r="F48" i="100" s="1"/>
  <c r="H48" i="100" s="1"/>
  <c r="F46" i="98"/>
  <c r="H46" i="98" s="1"/>
  <c r="D46" i="99" s="1"/>
  <c r="F46" i="99" s="1"/>
  <c r="H46" i="99" s="1"/>
  <c r="G63" i="98"/>
  <c r="F68" i="98" s="1"/>
  <c r="G26" i="98"/>
  <c r="G32" i="98" s="1"/>
  <c r="C26" i="98"/>
  <c r="C32" i="98" s="1"/>
  <c r="G18" i="98"/>
  <c r="F22" i="98" s="1"/>
  <c r="E18" i="98"/>
  <c r="B22" i="98" s="1"/>
  <c r="D18" i="98"/>
  <c r="F17" i="98"/>
  <c r="H17" i="98" s="1"/>
  <c r="F16" i="98"/>
  <c r="H16" i="98" s="1"/>
  <c r="F15" i="98"/>
  <c r="H15" i="98" s="1"/>
  <c r="F14" i="98"/>
  <c r="F10" i="98"/>
  <c r="H10" i="98" s="1"/>
  <c r="F9" i="98"/>
  <c r="H9" i="98" s="1"/>
  <c r="F6" i="98"/>
  <c r="H6" i="98" s="1"/>
  <c r="F18" i="98" l="1"/>
  <c r="H18" i="98"/>
  <c r="G90" i="98"/>
  <c r="M71" i="98"/>
  <c r="C24" i="98"/>
  <c r="G24" i="98" s="1"/>
  <c r="C71" i="98"/>
  <c r="G71" i="98"/>
  <c r="M67" i="98" s="1"/>
  <c r="M68" i="98" s="1"/>
  <c r="G76" i="97"/>
  <c r="M70" i="98" l="1"/>
  <c r="M72" i="98" s="1"/>
  <c r="G60" i="97"/>
  <c r="G61" i="97"/>
  <c r="M64" i="96" l="1"/>
  <c r="M65" i="96" s="1"/>
  <c r="G52" i="97" l="1"/>
  <c r="G38" i="97" l="1"/>
  <c r="G41" i="97"/>
  <c r="G44" i="97" l="1"/>
  <c r="G52" i="96" l="1"/>
  <c r="G49" i="96"/>
  <c r="G45" i="97" l="1"/>
  <c r="G50" i="97" l="1"/>
  <c r="O76" i="97" l="1"/>
  <c r="O74" i="97"/>
  <c r="O71" i="97"/>
  <c r="J93" i="97" l="1"/>
  <c r="G90" i="97"/>
  <c r="C90" i="97"/>
  <c r="D64" i="97"/>
  <c r="J63" i="97"/>
  <c r="I63" i="97"/>
  <c r="E63" i="97"/>
  <c r="B68" i="97" s="1"/>
  <c r="O67" i="97" s="1"/>
  <c r="C63" i="97"/>
  <c r="F55" i="97"/>
  <c r="H55" i="97" s="1"/>
  <c r="F48" i="97"/>
  <c r="H48" i="97" s="1"/>
  <c r="F46" i="97"/>
  <c r="H46" i="97" s="1"/>
  <c r="G63" i="97"/>
  <c r="F68" i="97" s="1"/>
  <c r="G26" i="97"/>
  <c r="G32" i="97" s="1"/>
  <c r="C26" i="97"/>
  <c r="C32" i="97" s="1"/>
  <c r="G18" i="97"/>
  <c r="F22" i="97" s="1"/>
  <c r="E18" i="97"/>
  <c r="B22" i="97" s="1"/>
  <c r="D18" i="97"/>
  <c r="F17" i="97"/>
  <c r="H17" i="97" s="1"/>
  <c r="F16" i="97"/>
  <c r="H16" i="97" s="1"/>
  <c r="F15" i="97"/>
  <c r="H15" i="97" s="1"/>
  <c r="F14" i="97"/>
  <c r="F10" i="97"/>
  <c r="H10" i="97" s="1"/>
  <c r="F9" i="97"/>
  <c r="H9" i="97" s="1"/>
  <c r="F6" i="97"/>
  <c r="H6" i="97" s="1"/>
  <c r="H18" i="97" l="1"/>
  <c r="F18" i="97"/>
  <c r="C24" i="97"/>
  <c r="G24" i="97" s="1"/>
  <c r="C71" i="97"/>
  <c r="G71" i="97"/>
  <c r="G60" i="96"/>
  <c r="G55" i="96"/>
  <c r="O69" i="97" l="1"/>
  <c r="O70" i="97" s="1"/>
  <c r="O72" i="97" s="1"/>
  <c r="O75" i="97" s="1"/>
  <c r="O77" i="97" s="1"/>
  <c r="O79" i="97" s="1"/>
  <c r="G38" i="96"/>
  <c r="G41" i="96"/>
  <c r="G51" i="95" l="1"/>
  <c r="G50" i="96" l="1"/>
  <c r="G58" i="96" l="1"/>
  <c r="G76" i="96" l="1"/>
  <c r="C76" i="96"/>
  <c r="L80" i="95"/>
  <c r="G46" i="96"/>
  <c r="G78" i="95"/>
  <c r="C78" i="95"/>
  <c r="L81" i="95" s="1"/>
  <c r="L82" i="95" l="1"/>
  <c r="K84" i="95" s="1"/>
  <c r="J93" i="96" l="1"/>
  <c r="G90" i="96"/>
  <c r="C90" i="96"/>
  <c r="D64" i="96"/>
  <c r="J63" i="96"/>
  <c r="I63" i="96"/>
  <c r="E63" i="96"/>
  <c r="C63" i="96"/>
  <c r="F55" i="96"/>
  <c r="H55" i="96" s="1"/>
  <c r="F48" i="96"/>
  <c r="H48" i="96" s="1"/>
  <c r="F46" i="96"/>
  <c r="H46" i="96" s="1"/>
  <c r="G63" i="96"/>
  <c r="F68" i="96" s="1"/>
  <c r="F40" i="96"/>
  <c r="H40" i="96" s="1"/>
  <c r="G26" i="96"/>
  <c r="G32" i="96" s="1"/>
  <c r="C26" i="96"/>
  <c r="C32" i="96" s="1"/>
  <c r="G18" i="96"/>
  <c r="F22" i="96" s="1"/>
  <c r="E18" i="96"/>
  <c r="B22" i="96" s="1"/>
  <c r="D18" i="96"/>
  <c r="F18" i="96" s="1"/>
  <c r="F17" i="96"/>
  <c r="H17" i="96" s="1"/>
  <c r="F16" i="96"/>
  <c r="H16" i="96" s="1"/>
  <c r="F15" i="96"/>
  <c r="H15" i="96" s="1"/>
  <c r="F14" i="96"/>
  <c r="F10" i="96"/>
  <c r="H10" i="96" s="1"/>
  <c r="F9" i="96"/>
  <c r="H9" i="96" s="1"/>
  <c r="F6" i="96"/>
  <c r="H6" i="96" s="1"/>
  <c r="H18" i="96" l="1"/>
  <c r="G71" i="96"/>
  <c r="C24" i="96"/>
  <c r="G24" i="96" s="1"/>
  <c r="B68" i="96"/>
  <c r="C71" i="96" s="1"/>
  <c r="G40" i="92"/>
  <c r="G48" i="95" l="1"/>
  <c r="O76" i="95" l="1"/>
  <c r="M60" i="95"/>
  <c r="M59" i="95"/>
  <c r="M61" i="95" s="1"/>
  <c r="N53" i="95" l="1"/>
  <c r="N54" i="95" s="1"/>
  <c r="O55" i="95" s="1"/>
  <c r="O56" i="95" s="1"/>
  <c r="B70" i="95" l="1"/>
  <c r="O70" i="94" l="1"/>
  <c r="C87" i="94"/>
  <c r="L85" i="94" s="1"/>
  <c r="G62" i="94" l="1"/>
  <c r="G40" i="95"/>
  <c r="F52" i="95" l="1"/>
  <c r="G40" i="94"/>
  <c r="N44" i="95" l="1"/>
  <c r="D51" i="95"/>
  <c r="J93" i="95"/>
  <c r="G90" i="95"/>
  <c r="C90" i="95"/>
  <c r="D64" i="95"/>
  <c r="J63" i="95"/>
  <c r="I63" i="95"/>
  <c r="G63" i="95"/>
  <c r="E63" i="95"/>
  <c r="C63" i="95"/>
  <c r="F54" i="95"/>
  <c r="H54" i="95" s="1"/>
  <c r="D54" i="96" s="1"/>
  <c r="F54" i="96" s="1"/>
  <c r="H54" i="96" s="1"/>
  <c r="D54" i="97" s="1"/>
  <c r="F54" i="97" s="1"/>
  <c r="H54" i="97" s="1"/>
  <c r="D54" i="98" s="1"/>
  <c r="F54" i="98" s="1"/>
  <c r="H54" i="98" s="1"/>
  <c r="D54" i="99" s="1"/>
  <c r="F54" i="99" s="1"/>
  <c r="H54" i="99" s="1"/>
  <c r="D54" i="100" s="1"/>
  <c r="F54" i="100" s="1"/>
  <c r="H54" i="100" s="1"/>
  <c r="D54" i="101" s="1"/>
  <c r="F54" i="101" s="1"/>
  <c r="H54" i="101" s="1"/>
  <c r="F54" i="102" s="1"/>
  <c r="H54" i="102" s="1"/>
  <c r="D54" i="103" s="1"/>
  <c r="F54" i="103" s="1"/>
  <c r="H54" i="103" s="1"/>
  <c r="H52" i="95"/>
  <c r="D52" i="96" s="1"/>
  <c r="F52" i="96" s="1"/>
  <c r="H52" i="96" s="1"/>
  <c r="D52" i="97" s="1"/>
  <c r="F52" i="97" s="1"/>
  <c r="H52" i="97" s="1"/>
  <c r="D52" i="98" s="1"/>
  <c r="F52" i="98" s="1"/>
  <c r="H52" i="98" s="1"/>
  <c r="D52" i="99" s="1"/>
  <c r="F52" i="99" s="1"/>
  <c r="H52" i="99" s="1"/>
  <c r="F51" i="95"/>
  <c r="H51" i="95" s="1"/>
  <c r="D51" i="96" s="1"/>
  <c r="F51" i="96" s="1"/>
  <c r="H51" i="96" s="1"/>
  <c r="D51" i="97" s="1"/>
  <c r="F51" i="97" s="1"/>
  <c r="F47" i="95"/>
  <c r="H47" i="95" s="1"/>
  <c r="D47" i="96" s="1"/>
  <c r="F47" i="96" s="1"/>
  <c r="H47" i="96" s="1"/>
  <c r="D47" i="97" s="1"/>
  <c r="F47" i="97" s="1"/>
  <c r="H47" i="97" s="1"/>
  <c r="D47" i="98" s="1"/>
  <c r="F47" i="98" s="1"/>
  <c r="H47" i="98" s="1"/>
  <c r="D47" i="99" s="1"/>
  <c r="F47" i="99" s="1"/>
  <c r="H47" i="99" s="1"/>
  <c r="D47" i="100" s="1"/>
  <c r="F47" i="100" s="1"/>
  <c r="H47" i="100" s="1"/>
  <c r="D47" i="101" s="1"/>
  <c r="F47" i="101" s="1"/>
  <c r="H47" i="101" s="1"/>
  <c r="D47" i="102" s="1"/>
  <c r="F47" i="102" s="1"/>
  <c r="H47" i="102" s="1"/>
  <c r="D47" i="103" s="1"/>
  <c r="F47" i="103" s="1"/>
  <c r="H47" i="103" s="1"/>
  <c r="F46" i="95"/>
  <c r="H46" i="95" s="1"/>
  <c r="F45" i="95"/>
  <c r="H45" i="95" s="1"/>
  <c r="D45" i="96" s="1"/>
  <c r="F45" i="96" s="1"/>
  <c r="H45" i="96" s="1"/>
  <c r="D45" i="97" s="1"/>
  <c r="F45" i="97" s="1"/>
  <c r="H45" i="97" s="1"/>
  <c r="D45" i="98" s="1"/>
  <c r="F45" i="98" s="1"/>
  <c r="H45" i="98" s="1"/>
  <c r="D45" i="99" s="1"/>
  <c r="F45" i="99" s="1"/>
  <c r="H45" i="99" s="1"/>
  <c r="D45" i="100" s="1"/>
  <c r="F45" i="100" s="1"/>
  <c r="H45" i="100" s="1"/>
  <c r="D45" i="101" s="1"/>
  <c r="F45" i="101" s="1"/>
  <c r="H45" i="101" s="1"/>
  <c r="D45" i="102" s="1"/>
  <c r="F45" i="102" s="1"/>
  <c r="H45" i="102" s="1"/>
  <c r="D45" i="103" s="1"/>
  <c r="F45" i="103" s="1"/>
  <c r="H45" i="103" s="1"/>
  <c r="F40" i="95"/>
  <c r="H40" i="95" s="1"/>
  <c r="G26" i="95"/>
  <c r="G32" i="95" s="1"/>
  <c r="C26" i="95"/>
  <c r="C32" i="95" s="1"/>
  <c r="G18" i="95"/>
  <c r="F22" i="95" s="1"/>
  <c r="E18" i="95"/>
  <c r="B22" i="95" s="1"/>
  <c r="D18" i="95"/>
  <c r="F18" i="95" s="1"/>
  <c r="F17" i="95"/>
  <c r="H17" i="95" s="1"/>
  <c r="F16" i="95"/>
  <c r="H16" i="95" s="1"/>
  <c r="F15" i="95"/>
  <c r="H15" i="95" s="1"/>
  <c r="F14" i="95"/>
  <c r="F10" i="95"/>
  <c r="H10" i="95" s="1"/>
  <c r="F9" i="95"/>
  <c r="H9" i="95" s="1"/>
  <c r="F6" i="95"/>
  <c r="H6" i="95" s="1"/>
  <c r="H18" i="95" l="1"/>
  <c r="D52" i="100"/>
  <c r="F52" i="100" s="1"/>
  <c r="H52" i="100" s="1"/>
  <c r="D52" i="101" s="1"/>
  <c r="F52" i="101" s="1"/>
  <c r="H52" i="101" s="1"/>
  <c r="D52" i="102" s="1"/>
  <c r="F52" i="102" s="1"/>
  <c r="H52" i="102" s="1"/>
  <c r="D52" i="103" s="1"/>
  <c r="F52" i="103" s="1"/>
  <c r="H52" i="103" s="1"/>
  <c r="H51" i="97"/>
  <c r="F68" i="95"/>
  <c r="B68" i="95"/>
  <c r="P65" i="95"/>
  <c r="G71" i="95"/>
  <c r="C24" i="95"/>
  <c r="C71" i="95"/>
  <c r="J94" i="94"/>
  <c r="G87" i="94"/>
  <c r="D51" i="98" l="1"/>
  <c r="G24" i="95"/>
  <c r="P69" i="95"/>
  <c r="F51" i="98" l="1"/>
  <c r="G51" i="94"/>
  <c r="H51" i="98" l="1"/>
  <c r="G51" i="93"/>
  <c r="D51" i="99" l="1"/>
  <c r="F51" i="99" s="1"/>
  <c r="H51" i="99" s="1"/>
  <c r="D51" i="100" s="1"/>
  <c r="F51" i="100" s="1"/>
  <c r="H51" i="100" s="1"/>
  <c r="G45" i="94"/>
  <c r="G48" i="94" l="1"/>
  <c r="K77" i="78" l="1"/>
  <c r="L72" i="76"/>
  <c r="O93" i="94"/>
  <c r="Q74" i="94"/>
  <c r="Q72" i="94"/>
  <c r="N83" i="94"/>
  <c r="M55" i="94"/>
  <c r="C76" i="94" l="1"/>
  <c r="O71" i="94" l="1"/>
  <c r="O72" i="94" s="1"/>
  <c r="L76" i="94" s="1"/>
  <c r="P78" i="94"/>
  <c r="O47" i="94"/>
  <c r="L46" i="93" l="1"/>
  <c r="F59" i="94"/>
  <c r="G91" i="94"/>
  <c r="D64" i="94"/>
  <c r="J63" i="94"/>
  <c r="I63" i="94"/>
  <c r="E63" i="94"/>
  <c r="B68" i="94" s="1"/>
  <c r="C63" i="94"/>
  <c r="F61" i="94"/>
  <c r="H61" i="94" s="1"/>
  <c r="F56" i="94"/>
  <c r="H56" i="94" s="1"/>
  <c r="D56" i="95" s="1"/>
  <c r="F56" i="95" s="1"/>
  <c r="H56" i="95" s="1"/>
  <c r="D56" i="96" s="1"/>
  <c r="F56" i="96" s="1"/>
  <c r="H56" i="96" s="1"/>
  <c r="D56" i="97" s="1"/>
  <c r="F56" i="97" s="1"/>
  <c r="H56" i="97" s="1"/>
  <c r="D56" i="98" s="1"/>
  <c r="F56" i="98" s="1"/>
  <c r="H56" i="98" s="1"/>
  <c r="D56" i="99" s="1"/>
  <c r="F56" i="99" s="1"/>
  <c r="H56" i="99" s="1"/>
  <c r="D56" i="100" s="1"/>
  <c r="F56" i="100" s="1"/>
  <c r="H56" i="100" s="1"/>
  <c r="D56" i="101" s="1"/>
  <c r="F56" i="101" s="1"/>
  <c r="H56" i="101" s="1"/>
  <c r="D56" i="102" s="1"/>
  <c r="F56" i="102" s="1"/>
  <c r="H56" i="102" s="1"/>
  <c r="D56" i="103" s="1"/>
  <c r="F56" i="103" s="1"/>
  <c r="H56" i="103" s="1"/>
  <c r="F54" i="94"/>
  <c r="H54" i="94" s="1"/>
  <c r="H52" i="94"/>
  <c r="F47" i="94"/>
  <c r="H47" i="94" s="1"/>
  <c r="L46" i="94"/>
  <c r="L47" i="94" s="1"/>
  <c r="F46" i="94"/>
  <c r="H46" i="94" s="1"/>
  <c r="F45" i="94"/>
  <c r="H45" i="94" s="1"/>
  <c r="F44" i="94"/>
  <c r="H44" i="94" s="1"/>
  <c r="D44" i="95" s="1"/>
  <c r="F42" i="94"/>
  <c r="H42" i="94" s="1"/>
  <c r="D42" i="95" s="1"/>
  <c r="F42" i="95" s="1"/>
  <c r="H42" i="95" s="1"/>
  <c r="D42" i="96" s="1"/>
  <c r="F42" i="96" s="1"/>
  <c r="H42" i="96" s="1"/>
  <c r="D42" i="97" s="1"/>
  <c r="F42" i="97" s="1"/>
  <c r="H42" i="97" s="1"/>
  <c r="D42" i="98" s="1"/>
  <c r="F42" i="98" s="1"/>
  <c r="H42" i="98" s="1"/>
  <c r="G63" i="94"/>
  <c r="F68" i="94" s="1"/>
  <c r="F40" i="94"/>
  <c r="H40" i="94" s="1"/>
  <c r="G26" i="94"/>
  <c r="G32" i="94" s="1"/>
  <c r="C26" i="94"/>
  <c r="C32" i="94" s="1"/>
  <c r="G18" i="94"/>
  <c r="F22" i="94" s="1"/>
  <c r="E18" i="94"/>
  <c r="B22" i="94" s="1"/>
  <c r="D18" i="94"/>
  <c r="F17" i="94"/>
  <c r="H17" i="94" s="1"/>
  <c r="F16" i="94"/>
  <c r="H16" i="94" s="1"/>
  <c r="F15" i="94"/>
  <c r="H15" i="94" s="1"/>
  <c r="F14" i="94"/>
  <c r="F10" i="94"/>
  <c r="H10" i="94" s="1"/>
  <c r="F9" i="94"/>
  <c r="H9" i="94" s="1"/>
  <c r="F6" i="94"/>
  <c r="H6" i="94" s="1"/>
  <c r="G40" i="93"/>
  <c r="F18" i="94" l="1"/>
  <c r="F44" i="95"/>
  <c r="H44" i="95" s="1"/>
  <c r="D44" i="96" s="1"/>
  <c r="F44" i="96" s="1"/>
  <c r="H44" i="96" s="1"/>
  <c r="D44" i="97" s="1"/>
  <c r="F44" i="97" s="1"/>
  <c r="H44" i="97" s="1"/>
  <c r="D44" i="98" s="1"/>
  <c r="F44" i="98" s="1"/>
  <c r="H44" i="98" s="1"/>
  <c r="D44" i="99" s="1"/>
  <c r="F44" i="99" s="1"/>
  <c r="H44" i="99" s="1"/>
  <c r="D44" i="100" s="1"/>
  <c r="F44" i="100" s="1"/>
  <c r="H44" i="100" s="1"/>
  <c r="D44" i="101" s="1"/>
  <c r="F44" i="101" s="1"/>
  <c r="H44" i="101" s="1"/>
  <c r="D44" i="102" s="1"/>
  <c r="F44" i="102" s="1"/>
  <c r="H44" i="102" s="1"/>
  <c r="D44" i="103" s="1"/>
  <c r="F44" i="103" s="1"/>
  <c r="H44" i="103" s="1"/>
  <c r="L46" i="95"/>
  <c r="L47" i="95" s="1"/>
  <c r="H18" i="94"/>
  <c r="F61" i="95"/>
  <c r="L71" i="94"/>
  <c r="L73" i="94" s="1"/>
  <c r="G71" i="94"/>
  <c r="H59" i="94"/>
  <c r="D59" i="95" s="1"/>
  <c r="F59" i="95" s="1"/>
  <c r="H59" i="95" s="1"/>
  <c r="D59" i="96" s="1"/>
  <c r="F59" i="96" s="1"/>
  <c r="H59" i="96" s="1"/>
  <c r="D59" i="97" s="1"/>
  <c r="F59" i="97" s="1"/>
  <c r="H59" i="97" s="1"/>
  <c r="D59" i="98" s="1"/>
  <c r="F59" i="98" s="1"/>
  <c r="H59" i="98" s="1"/>
  <c r="D59" i="99" s="1"/>
  <c r="F59" i="99" s="1"/>
  <c r="H59" i="99" s="1"/>
  <c r="D59" i="100" s="1"/>
  <c r="F59" i="100" s="1"/>
  <c r="H59" i="100" s="1"/>
  <c r="D59" i="101" s="1"/>
  <c r="F59" i="101" s="1"/>
  <c r="H59" i="101" s="1"/>
  <c r="F59" i="102" s="1"/>
  <c r="H59" i="102" s="1"/>
  <c r="D59" i="103" s="1"/>
  <c r="C71" i="94"/>
  <c r="L74" i="94" s="1"/>
  <c r="C24" i="94"/>
  <c r="G24" i="94" s="1"/>
  <c r="C91" i="94"/>
  <c r="L47" i="93"/>
  <c r="G44" i="93"/>
  <c r="F59" i="103" l="1"/>
  <c r="L75" i="94"/>
  <c r="L77" i="94" s="1"/>
  <c r="L80" i="94" s="1"/>
  <c r="L83" i="94" s="1"/>
  <c r="L87" i="94" s="1"/>
  <c r="H61" i="95"/>
  <c r="D61" i="96" s="1"/>
  <c r="F61" i="96" s="1"/>
  <c r="G47" i="93"/>
  <c r="H59" i="103" l="1"/>
  <c r="H61" i="96"/>
  <c r="G75" i="93"/>
  <c r="C75" i="93"/>
  <c r="D61" i="97" l="1"/>
  <c r="F61" i="97" s="1"/>
  <c r="H61" i="97" s="1"/>
  <c r="D61" i="98" s="1"/>
  <c r="F61" i="98" s="1"/>
  <c r="H61" i="98" s="1"/>
  <c r="D61" i="99" s="1"/>
  <c r="F61" i="99" s="1"/>
  <c r="H61" i="99" s="1"/>
  <c r="D61" i="100" s="1"/>
  <c r="F61" i="100" s="1"/>
  <c r="H61" i="100" s="1"/>
  <c r="K50" i="93"/>
  <c r="C72" i="93"/>
  <c r="G48" i="93" l="1"/>
  <c r="G60" i="93" l="1"/>
  <c r="G63" i="93" s="1"/>
  <c r="G50" i="92" l="1"/>
  <c r="G49" i="92"/>
  <c r="G48" i="92"/>
  <c r="G43" i="92"/>
  <c r="G45" i="92"/>
  <c r="G42" i="92"/>
  <c r="G62" i="92"/>
  <c r="D64" i="93"/>
  <c r="J63" i="93"/>
  <c r="I63" i="93"/>
  <c r="F68" i="93"/>
  <c r="E63" i="93"/>
  <c r="G71" i="93" s="1"/>
  <c r="C63" i="93"/>
  <c r="F56" i="93"/>
  <c r="H56" i="93" s="1"/>
  <c r="H52" i="93"/>
  <c r="D52" i="94" s="1"/>
  <c r="F47" i="93"/>
  <c r="H47" i="93" s="1"/>
  <c r="F46" i="93"/>
  <c r="H46" i="93" s="1"/>
  <c r="F45" i="93"/>
  <c r="H45" i="93" s="1"/>
  <c r="F44" i="93"/>
  <c r="H44" i="93" s="1"/>
  <c r="F40" i="93"/>
  <c r="H40" i="93" s="1"/>
  <c r="G26" i="93"/>
  <c r="G32" i="93" s="1"/>
  <c r="C26" i="93"/>
  <c r="C32" i="93" s="1"/>
  <c r="G18" i="93"/>
  <c r="F22" i="93" s="1"/>
  <c r="E18" i="93"/>
  <c r="B22" i="93" s="1"/>
  <c r="D18" i="93"/>
  <c r="F17" i="93"/>
  <c r="H17" i="93" s="1"/>
  <c r="F16" i="93"/>
  <c r="H16" i="93" s="1"/>
  <c r="F15" i="93"/>
  <c r="H15" i="93" s="1"/>
  <c r="F14" i="93"/>
  <c r="F10" i="93"/>
  <c r="H10" i="93" s="1"/>
  <c r="F9" i="93"/>
  <c r="H9" i="93" s="1"/>
  <c r="F6" i="93"/>
  <c r="H6" i="93" s="1"/>
  <c r="F18" i="93" l="1"/>
  <c r="F62" i="95"/>
  <c r="H18" i="93"/>
  <c r="G72" i="93"/>
  <c r="G83" i="93" s="1"/>
  <c r="C24" i="93"/>
  <c r="G24" i="93" s="1"/>
  <c r="B68" i="93"/>
  <c r="C71" i="93" s="1"/>
  <c r="H62" i="95" l="1"/>
  <c r="D62" i="96" s="1"/>
  <c r="F62" i="96" s="1"/>
  <c r="H62" i="96" s="1"/>
  <c r="D62" i="97" s="1"/>
  <c r="F62" i="97" s="1"/>
  <c r="H62" i="97" s="1"/>
  <c r="D62" i="98" s="1"/>
  <c r="F62" i="98" s="1"/>
  <c r="H62" i="98" s="1"/>
  <c r="D62" i="99" s="1"/>
  <c r="F62" i="99" s="1"/>
  <c r="H62" i="99" s="1"/>
  <c r="D62" i="100" s="1"/>
  <c r="F62" i="100" s="1"/>
  <c r="H62" i="100" s="1"/>
  <c r="D62" i="101" s="1"/>
  <c r="F62" i="101" s="1"/>
  <c r="H62" i="101" s="1"/>
  <c r="D62" i="102" s="1"/>
  <c r="F62" i="102" s="1"/>
  <c r="H62" i="102" s="1"/>
  <c r="F62" i="103" s="1"/>
  <c r="H62" i="103" s="1"/>
  <c r="C72" i="92" l="1"/>
  <c r="C83" i="92" s="1"/>
  <c r="J84" i="88" l="1"/>
  <c r="C81" i="88" l="1"/>
  <c r="G81" i="88" s="1"/>
  <c r="G78" i="88"/>
  <c r="G79" i="87"/>
  <c r="G42" i="91" l="1"/>
  <c r="P74" i="91"/>
  <c r="B70" i="92" l="1"/>
  <c r="G47" i="92" l="1"/>
  <c r="G44" i="92" l="1"/>
  <c r="G72" i="92" l="1"/>
  <c r="G83" i="92" s="1"/>
  <c r="G60" i="92" l="1"/>
  <c r="G55" i="92" l="1"/>
  <c r="G63" i="92" s="1"/>
  <c r="D42" i="92" l="1"/>
  <c r="E49" i="92" l="1"/>
  <c r="D64" i="92"/>
  <c r="J63" i="92"/>
  <c r="E63" i="92"/>
  <c r="C63" i="92"/>
  <c r="I63" i="92"/>
  <c r="H52" i="92"/>
  <c r="D52" i="93" s="1"/>
  <c r="F42" i="92"/>
  <c r="H42" i="92" s="1"/>
  <c r="D42" i="93" s="1"/>
  <c r="F42" i="93" s="1"/>
  <c r="H42" i="93" s="1"/>
  <c r="G26" i="92"/>
  <c r="G32" i="92" s="1"/>
  <c r="C26" i="92"/>
  <c r="C32" i="92" s="1"/>
  <c r="G18" i="92"/>
  <c r="F22" i="92" s="1"/>
  <c r="E18" i="92"/>
  <c r="B22" i="92" s="1"/>
  <c r="D18" i="92"/>
  <c r="F17" i="92"/>
  <c r="H17" i="92" s="1"/>
  <c r="F16" i="92"/>
  <c r="H16" i="92" s="1"/>
  <c r="F15" i="92"/>
  <c r="H15" i="92" s="1"/>
  <c r="F14" i="92"/>
  <c r="F10" i="92"/>
  <c r="H10" i="92" s="1"/>
  <c r="F9" i="92"/>
  <c r="H9" i="92" s="1"/>
  <c r="F6" i="92"/>
  <c r="H6" i="92" s="1"/>
  <c r="H18" i="92" l="1"/>
  <c r="F68" i="92"/>
  <c r="B68" i="92"/>
  <c r="F18" i="92"/>
  <c r="C71" i="92"/>
  <c r="G71" i="92"/>
  <c r="C24" i="92"/>
  <c r="G24" i="92" s="1"/>
  <c r="G48" i="91"/>
  <c r="G47" i="91"/>
  <c r="G43" i="91"/>
  <c r="G62" i="91"/>
  <c r="G44" i="91" l="1"/>
  <c r="G56" i="91" l="1"/>
  <c r="G40" i="91" l="1"/>
  <c r="C71" i="91" l="1"/>
  <c r="E63" i="91"/>
  <c r="L82" i="90"/>
  <c r="G59" i="91" l="1"/>
  <c r="G61" i="91"/>
  <c r="G71" i="91" l="1"/>
  <c r="G43" i="90" l="1"/>
  <c r="G83" i="91"/>
  <c r="C83" i="91"/>
  <c r="D64" i="91"/>
  <c r="J63" i="91"/>
  <c r="I63" i="91"/>
  <c r="B68" i="91"/>
  <c r="C63" i="91"/>
  <c r="F57" i="91"/>
  <c r="H57" i="91" s="1"/>
  <c r="D57" i="92" s="1"/>
  <c r="F57" i="92" s="1"/>
  <c r="H57" i="92" s="1"/>
  <c r="D57" i="93" s="1"/>
  <c r="F57" i="93" s="1"/>
  <c r="H57" i="93" s="1"/>
  <c r="D57" i="94" s="1"/>
  <c r="F57" i="94" s="1"/>
  <c r="H57" i="94" s="1"/>
  <c r="D57" i="95" s="1"/>
  <c r="F57" i="95" s="1"/>
  <c r="H57" i="95" s="1"/>
  <c r="D57" i="96" s="1"/>
  <c r="F57" i="96" s="1"/>
  <c r="H57" i="96" s="1"/>
  <c r="F56" i="91"/>
  <c r="H56" i="91" s="1"/>
  <c r="F56" i="92" s="1"/>
  <c r="H56" i="92" s="1"/>
  <c r="F54" i="91"/>
  <c r="H54" i="91" s="1"/>
  <c r="F54" i="92" s="1"/>
  <c r="H54" i="92" s="1"/>
  <c r="H52" i="91"/>
  <c r="D52" i="92" s="1"/>
  <c r="F51" i="91"/>
  <c r="H51" i="91" s="1"/>
  <c r="D51" i="92" s="1"/>
  <c r="F51" i="92" s="1"/>
  <c r="H51" i="92" s="1"/>
  <c r="D51" i="93" s="1"/>
  <c r="F51" i="93" s="1"/>
  <c r="H51" i="93" s="1"/>
  <c r="D51" i="94" s="1"/>
  <c r="F51" i="94" s="1"/>
  <c r="F47" i="91"/>
  <c r="H47" i="91" s="1"/>
  <c r="F47" i="92" s="1"/>
  <c r="H47" i="92" s="1"/>
  <c r="F46" i="91"/>
  <c r="H46" i="91" s="1"/>
  <c r="F46" i="92" s="1"/>
  <c r="H46" i="92" s="1"/>
  <c r="F45" i="91"/>
  <c r="H45" i="91" s="1"/>
  <c r="F45" i="92" s="1"/>
  <c r="H45" i="92" s="1"/>
  <c r="F44" i="91"/>
  <c r="H44" i="91" s="1"/>
  <c r="D44" i="92" s="1"/>
  <c r="F44" i="92" s="1"/>
  <c r="H44" i="92" s="1"/>
  <c r="G63" i="91"/>
  <c r="F40" i="91"/>
  <c r="H40" i="91" s="1"/>
  <c r="F40" i="92" s="1"/>
  <c r="H40" i="92" s="1"/>
  <c r="G26" i="91"/>
  <c r="G32" i="91" s="1"/>
  <c r="C26" i="91"/>
  <c r="C32" i="91" s="1"/>
  <c r="G18" i="91"/>
  <c r="F22" i="91" s="1"/>
  <c r="E18" i="91"/>
  <c r="B22" i="91" s="1"/>
  <c r="D18" i="91"/>
  <c r="F17" i="91"/>
  <c r="H17" i="91" s="1"/>
  <c r="F16" i="91"/>
  <c r="H16" i="91" s="1"/>
  <c r="F15" i="91"/>
  <c r="H15" i="91" s="1"/>
  <c r="F14" i="91"/>
  <c r="F10" i="91"/>
  <c r="H10" i="91" s="1"/>
  <c r="F9" i="91"/>
  <c r="H9" i="91" s="1"/>
  <c r="F6" i="91"/>
  <c r="H6" i="91" s="1"/>
  <c r="L45" i="92" l="1"/>
  <c r="F54" i="93"/>
  <c r="H18" i="91"/>
  <c r="F68" i="91"/>
  <c r="F18" i="91"/>
  <c r="C72" i="91"/>
  <c r="C24" i="91"/>
  <c r="G24" i="91" s="1"/>
  <c r="J63" i="90"/>
  <c r="G48" i="90"/>
  <c r="G44" i="90"/>
  <c r="H54" i="93" l="1"/>
  <c r="E87" i="91"/>
  <c r="G72" i="91"/>
  <c r="G56" i="90"/>
  <c r="G46" i="90" l="1"/>
  <c r="G63" i="90" s="1"/>
  <c r="C78" i="83" l="1"/>
  <c r="G78" i="83" s="1"/>
  <c r="G79" i="83" s="1"/>
  <c r="G47" i="89" l="1"/>
  <c r="G46" i="88"/>
  <c r="G83" i="90" l="1"/>
  <c r="C83" i="90"/>
  <c r="G71" i="90"/>
  <c r="C71" i="90"/>
  <c r="D64" i="90"/>
  <c r="I63" i="90"/>
  <c r="F68" i="90"/>
  <c r="E63" i="90"/>
  <c r="B68" i="90" s="1"/>
  <c r="C63" i="90"/>
  <c r="F59" i="90"/>
  <c r="H59" i="90" s="1"/>
  <c r="D59" i="91" s="1"/>
  <c r="F59" i="91" s="1"/>
  <c r="H59" i="91" s="1"/>
  <c r="D59" i="92" s="1"/>
  <c r="F59" i="92" s="1"/>
  <c r="H59" i="92" s="1"/>
  <c r="D59" i="93" s="1"/>
  <c r="F59" i="93" s="1"/>
  <c r="F57" i="90"/>
  <c r="F56" i="90"/>
  <c r="H56" i="90" s="1"/>
  <c r="F54" i="90"/>
  <c r="H54" i="90" s="1"/>
  <c r="H52" i="90"/>
  <c r="D52" i="91" s="1"/>
  <c r="F51" i="90"/>
  <c r="F46" i="90"/>
  <c r="H46" i="90" s="1"/>
  <c r="F45" i="90"/>
  <c r="H45" i="90" s="1"/>
  <c r="F44" i="90"/>
  <c r="H44" i="90" s="1"/>
  <c r="F42" i="90"/>
  <c r="H42" i="90" s="1"/>
  <c r="D42" i="91" s="1"/>
  <c r="F42" i="91" s="1"/>
  <c r="F40" i="90"/>
  <c r="H40" i="90" s="1"/>
  <c r="G26" i="90"/>
  <c r="G32" i="90" s="1"/>
  <c r="C26" i="90"/>
  <c r="C32" i="90" s="1"/>
  <c r="G18" i="90"/>
  <c r="F22" i="90" s="1"/>
  <c r="E18" i="90"/>
  <c r="B22" i="90" s="1"/>
  <c r="D18" i="90"/>
  <c r="F17" i="90"/>
  <c r="H17" i="90" s="1"/>
  <c r="F16" i="90"/>
  <c r="H16" i="90" s="1"/>
  <c r="F15" i="90"/>
  <c r="H15" i="90" s="1"/>
  <c r="F14" i="90"/>
  <c r="F10" i="90"/>
  <c r="H10" i="90" s="1"/>
  <c r="F9" i="90"/>
  <c r="H9" i="90" s="1"/>
  <c r="F6" i="90"/>
  <c r="H6" i="90" s="1"/>
  <c r="H59" i="93" l="1"/>
  <c r="F18" i="90"/>
  <c r="H18" i="90"/>
  <c r="C24" i="90"/>
  <c r="G24" i="90" s="1"/>
  <c r="C72" i="90"/>
  <c r="P83" i="87"/>
  <c r="E87" i="90" l="1"/>
  <c r="G72" i="90"/>
  <c r="G44" i="89"/>
  <c r="G62" i="89" l="1"/>
  <c r="F62" i="89"/>
  <c r="B70" i="89"/>
  <c r="G40" i="89"/>
  <c r="G53" i="89" l="1"/>
  <c r="G42" i="89" l="1"/>
  <c r="G43" i="89" l="1"/>
  <c r="G56" i="89" l="1"/>
  <c r="G48" i="89" l="1"/>
  <c r="G46" i="89" l="1"/>
  <c r="G60" i="89" l="1"/>
  <c r="G45" i="89" l="1"/>
  <c r="G59" i="89" l="1"/>
  <c r="G58" i="89" l="1"/>
  <c r="I80" i="89" l="1"/>
  <c r="M84" i="89"/>
  <c r="M85" i="89" s="1"/>
  <c r="G71" i="89"/>
  <c r="C71" i="89"/>
  <c r="H52" i="89"/>
  <c r="D52" i="90" s="1"/>
  <c r="G56" i="88" l="1"/>
  <c r="G45" i="88"/>
  <c r="G44" i="88"/>
  <c r="D51" i="88"/>
  <c r="D51" i="89"/>
  <c r="F40" i="89"/>
  <c r="H40" i="89" s="1"/>
  <c r="G41" i="88"/>
  <c r="G49" i="88" l="1"/>
  <c r="G91" i="88"/>
  <c r="G51" i="89" l="1"/>
  <c r="D64" i="89" l="1"/>
  <c r="G92" i="89"/>
  <c r="C92" i="89"/>
  <c r="J87" i="89"/>
  <c r="J84" i="89"/>
  <c r="I63" i="89"/>
  <c r="G63" i="89"/>
  <c r="F68" i="89" s="1"/>
  <c r="E63" i="89"/>
  <c r="B68" i="89" s="1"/>
  <c r="C63" i="89"/>
  <c r="H62" i="89"/>
  <c r="D62" i="90" s="1"/>
  <c r="F62" i="90" s="1"/>
  <c r="H62" i="90" s="1"/>
  <c r="D62" i="91" s="1"/>
  <c r="F62" i="91" s="1"/>
  <c r="H62" i="91" s="1"/>
  <c r="D62" i="92" s="1"/>
  <c r="F62" i="92" s="1"/>
  <c r="H62" i="92" s="1"/>
  <c r="D62" i="93" s="1"/>
  <c r="F62" i="93" s="1"/>
  <c r="H62" i="93" s="1"/>
  <c r="D62" i="94" s="1"/>
  <c r="F62" i="94" s="1"/>
  <c r="H62" i="94" s="1"/>
  <c r="F61" i="89"/>
  <c r="H61" i="89" s="1"/>
  <c r="D61" i="90" s="1"/>
  <c r="F61" i="90" s="1"/>
  <c r="H61" i="90" s="1"/>
  <c r="D61" i="91" s="1"/>
  <c r="F61" i="91" s="1"/>
  <c r="H61" i="91" s="1"/>
  <c r="D61" i="92" s="1"/>
  <c r="F61" i="92" s="1"/>
  <c r="H61" i="92" s="1"/>
  <c r="D61" i="93" s="1"/>
  <c r="F61" i="93" s="1"/>
  <c r="F60" i="89"/>
  <c r="H60" i="89" s="1"/>
  <c r="D60" i="90" s="1"/>
  <c r="F60" i="90" s="1"/>
  <c r="H60" i="90" s="1"/>
  <c r="D60" i="91" s="1"/>
  <c r="F60" i="91" s="1"/>
  <c r="H60" i="91" s="1"/>
  <c r="D60" i="92" s="1"/>
  <c r="F60" i="92" s="1"/>
  <c r="H60" i="92" s="1"/>
  <c r="D60" i="93" s="1"/>
  <c r="F60" i="93" s="1"/>
  <c r="H60" i="93" s="1"/>
  <c r="D60" i="94" s="1"/>
  <c r="F60" i="94" s="1"/>
  <c r="H60" i="94" s="1"/>
  <c r="D60" i="95" s="1"/>
  <c r="F60" i="95" s="1"/>
  <c r="H60" i="95" s="1"/>
  <c r="D60" i="96" s="1"/>
  <c r="F60" i="96" s="1"/>
  <c r="H60" i="96" s="1"/>
  <c r="D60" i="97" s="1"/>
  <c r="F60" i="97" s="1"/>
  <c r="H60" i="97" s="1"/>
  <c r="D60" i="98" s="1"/>
  <c r="F60" i="98" s="1"/>
  <c r="H60" i="98" s="1"/>
  <c r="G26" i="89"/>
  <c r="G32" i="89" s="1"/>
  <c r="C26" i="89"/>
  <c r="C32" i="89" s="1"/>
  <c r="G18" i="89"/>
  <c r="F22" i="89" s="1"/>
  <c r="E18" i="89"/>
  <c r="B22" i="89" s="1"/>
  <c r="D18" i="89"/>
  <c r="F17" i="89"/>
  <c r="H17" i="89" s="1"/>
  <c r="F16" i="89"/>
  <c r="H16" i="89" s="1"/>
  <c r="F15" i="89"/>
  <c r="H15" i="89" s="1"/>
  <c r="F14" i="89"/>
  <c r="F10" i="89"/>
  <c r="H10" i="89" s="1"/>
  <c r="F9" i="89"/>
  <c r="H9" i="89" s="1"/>
  <c r="F6" i="89"/>
  <c r="H6" i="89" s="1"/>
  <c r="H61" i="93" l="1"/>
  <c r="C77" i="93"/>
  <c r="C83" i="93" s="1"/>
  <c r="F18" i="89"/>
  <c r="C24" i="89"/>
  <c r="G24" i="89" s="1"/>
  <c r="C72" i="89"/>
  <c r="H18" i="89"/>
  <c r="E96" i="89" l="1"/>
  <c r="G72" i="89"/>
  <c r="Q68" i="88" l="1"/>
  <c r="G43" i="88" l="1"/>
  <c r="G55" i="88" l="1"/>
  <c r="G59" i="88" l="1"/>
  <c r="R68" i="88" l="1"/>
  <c r="O70" i="88"/>
  <c r="O72" i="88" s="1"/>
  <c r="O74" i="88" s="1"/>
  <c r="O76" i="88" s="1"/>
  <c r="O78" i="88" s="1"/>
  <c r="K81" i="87"/>
  <c r="K84" i="87" s="1"/>
  <c r="G47" i="88" l="1"/>
  <c r="G49" i="87" l="1"/>
  <c r="C91" i="88" l="1"/>
  <c r="I62" i="88"/>
  <c r="E62" i="88"/>
  <c r="B67" i="88" s="1"/>
  <c r="C62" i="88"/>
  <c r="H61" i="88"/>
  <c r="G62" i="88"/>
  <c r="F67" i="88" s="1"/>
  <c r="G26" i="88"/>
  <c r="G32" i="88" s="1"/>
  <c r="C26" i="88"/>
  <c r="C32" i="88" s="1"/>
  <c r="G18" i="88"/>
  <c r="F22" i="88" s="1"/>
  <c r="E18" i="88"/>
  <c r="B22" i="88" s="1"/>
  <c r="D18" i="88"/>
  <c r="F17" i="88"/>
  <c r="H17" i="88" s="1"/>
  <c r="F16" i="88"/>
  <c r="H16" i="88" s="1"/>
  <c r="F15" i="88"/>
  <c r="H15" i="88" s="1"/>
  <c r="F14" i="88"/>
  <c r="F10" i="88"/>
  <c r="H10" i="88" s="1"/>
  <c r="F9" i="88"/>
  <c r="H9" i="88" s="1"/>
  <c r="F6" i="88"/>
  <c r="H6" i="88" s="1"/>
  <c r="F18" i="88" l="1"/>
  <c r="H18" i="88"/>
  <c r="C71" i="88"/>
  <c r="Q71" i="88" s="1"/>
  <c r="C24" i="88"/>
  <c r="G24" i="88" s="1"/>
  <c r="E95" i="88" l="1"/>
  <c r="G71" i="88"/>
  <c r="G46" i="87"/>
  <c r="P75" i="87" l="1"/>
  <c r="P78" i="87"/>
  <c r="G47" i="87" l="1"/>
  <c r="G41" i="87"/>
  <c r="P79" i="87" l="1"/>
  <c r="G42" i="87" l="1"/>
  <c r="P77" i="87" l="1"/>
  <c r="P94" i="87" s="1"/>
  <c r="P95" i="87" s="1"/>
  <c r="G44" i="87" l="1"/>
  <c r="G62" i="87" s="1"/>
  <c r="D51" i="87" l="1"/>
  <c r="G81" i="87" l="1"/>
  <c r="C81" i="87"/>
  <c r="I62" i="87"/>
  <c r="E62" i="87"/>
  <c r="B67" i="87" s="1"/>
  <c r="C62" i="87"/>
  <c r="H61" i="87"/>
  <c r="F56" i="87"/>
  <c r="H56" i="87" s="1"/>
  <c r="F56" i="88" s="1"/>
  <c r="H56" i="88" s="1"/>
  <c r="F56" i="89" s="1"/>
  <c r="H56" i="89" s="1"/>
  <c r="F55" i="87"/>
  <c r="H55" i="87" s="1"/>
  <c r="F55" i="88" s="1"/>
  <c r="H55" i="88" s="1"/>
  <c r="F46" i="87"/>
  <c r="H46" i="87" s="1"/>
  <c r="F46" i="88" s="1"/>
  <c r="H46" i="88" s="1"/>
  <c r="F45" i="87"/>
  <c r="H45" i="87" s="1"/>
  <c r="F45" i="88" s="1"/>
  <c r="H45" i="88" s="1"/>
  <c r="F46" i="89" s="1"/>
  <c r="H46" i="89" s="1"/>
  <c r="F44" i="87"/>
  <c r="H44" i="87" s="1"/>
  <c r="F44" i="88" s="1"/>
  <c r="H44" i="88" s="1"/>
  <c r="F45" i="89" s="1"/>
  <c r="H45" i="89" s="1"/>
  <c r="F43" i="87"/>
  <c r="H43" i="87" s="1"/>
  <c r="F43" i="88" s="1"/>
  <c r="H43" i="88" s="1"/>
  <c r="D44" i="89" s="1"/>
  <c r="F44" i="89" s="1"/>
  <c r="H44" i="89" s="1"/>
  <c r="F41" i="87"/>
  <c r="H41" i="87" s="1"/>
  <c r="F41" i="88" s="1"/>
  <c r="H41" i="88" s="1"/>
  <c r="F67" i="87"/>
  <c r="G26" i="87"/>
  <c r="G32" i="87" s="1"/>
  <c r="C26" i="87"/>
  <c r="C32" i="87" s="1"/>
  <c r="G18" i="87"/>
  <c r="F22" i="87" s="1"/>
  <c r="E18" i="87"/>
  <c r="B22" i="87" s="1"/>
  <c r="D18" i="87"/>
  <c r="F17" i="87"/>
  <c r="H17" i="87" s="1"/>
  <c r="F16" i="87"/>
  <c r="H16" i="87" s="1"/>
  <c r="F15" i="87"/>
  <c r="H15" i="87" s="1"/>
  <c r="F14" i="87"/>
  <c r="F10" i="87"/>
  <c r="H10" i="87" s="1"/>
  <c r="F9" i="87"/>
  <c r="H9" i="87" s="1"/>
  <c r="F6" i="87"/>
  <c r="H6" i="87" s="1"/>
  <c r="G77" i="86"/>
  <c r="G76" i="86"/>
  <c r="C76" i="86"/>
  <c r="C77" i="86"/>
  <c r="L76" i="86" l="1"/>
  <c r="L77" i="86" s="1"/>
  <c r="L78" i="86" s="1"/>
  <c r="F18" i="87"/>
  <c r="D42" i="89"/>
  <c r="K74" i="87"/>
  <c r="K75" i="87" s="1"/>
  <c r="K70" i="87"/>
  <c r="K71" i="87" s="1"/>
  <c r="H18" i="87"/>
  <c r="C71" i="87"/>
  <c r="C24" i="87"/>
  <c r="G24" i="87" s="1"/>
  <c r="G45" i="85"/>
  <c r="G49" i="86"/>
  <c r="K42" i="86"/>
  <c r="L46" i="86"/>
  <c r="D51" i="86"/>
  <c r="K48" i="86"/>
  <c r="G47" i="86"/>
  <c r="F42" i="89" l="1"/>
  <c r="H42" i="89" s="1"/>
  <c r="K72" i="87"/>
  <c r="K76" i="87"/>
  <c r="K77" i="87" s="1"/>
  <c r="K78" i="87" s="1"/>
  <c r="K79" i="87" s="1"/>
  <c r="G71" i="87"/>
  <c r="G41" i="86"/>
  <c r="I57" i="85" l="1"/>
  <c r="G39" i="86" l="1"/>
  <c r="G50" i="85" l="1"/>
  <c r="G46" i="86" l="1"/>
  <c r="G44" i="86" l="1"/>
  <c r="G44" i="85"/>
  <c r="G80" i="86" l="1"/>
  <c r="C80" i="86"/>
  <c r="E62" i="86"/>
  <c r="B67" i="86" s="1"/>
  <c r="C62" i="86"/>
  <c r="H61" i="86"/>
  <c r="F58" i="86"/>
  <c r="H58" i="86" s="1"/>
  <c r="D58" i="87" s="1"/>
  <c r="F58" i="87" s="1"/>
  <c r="H58" i="87" s="1"/>
  <c r="D58" i="88" s="1"/>
  <c r="F58" i="88" s="1"/>
  <c r="H58" i="88" s="1"/>
  <c r="D58" i="89" s="1"/>
  <c r="F58" i="89" s="1"/>
  <c r="H58" i="89" s="1"/>
  <c r="D58" i="90" s="1"/>
  <c r="F58" i="90" s="1"/>
  <c r="H58" i="90" s="1"/>
  <c r="D58" i="91" s="1"/>
  <c r="F58" i="91" s="1"/>
  <c r="H58" i="91" s="1"/>
  <c r="D58" i="92" s="1"/>
  <c r="I62" i="86"/>
  <c r="F57" i="86"/>
  <c r="H57" i="86" s="1"/>
  <c r="D57" i="87" s="1"/>
  <c r="F57" i="87" s="1"/>
  <c r="H57" i="87" s="1"/>
  <c r="D57" i="88" s="1"/>
  <c r="F57" i="88" s="1"/>
  <c r="H57" i="88" s="1"/>
  <c r="D57" i="89" s="1"/>
  <c r="F57" i="89" s="1"/>
  <c r="H57" i="89" s="1"/>
  <c r="F55" i="86"/>
  <c r="H55" i="86" s="1"/>
  <c r="F46" i="86"/>
  <c r="H46" i="86" s="1"/>
  <c r="F44" i="86"/>
  <c r="H44" i="86" s="1"/>
  <c r="F43" i="86"/>
  <c r="H43" i="86" s="1"/>
  <c r="G62" i="86"/>
  <c r="F67" i="86" s="1"/>
  <c r="F41" i="86"/>
  <c r="H41" i="86" s="1"/>
  <c r="G26" i="86"/>
  <c r="G32" i="86" s="1"/>
  <c r="C26" i="86"/>
  <c r="C32" i="86" s="1"/>
  <c r="G18" i="86"/>
  <c r="F22" i="86" s="1"/>
  <c r="E18" i="86"/>
  <c r="B22" i="86" s="1"/>
  <c r="D18" i="86"/>
  <c r="F17" i="86"/>
  <c r="H17" i="86" s="1"/>
  <c r="F16" i="86"/>
  <c r="H16" i="86" s="1"/>
  <c r="F15" i="86"/>
  <c r="H15" i="86" s="1"/>
  <c r="F14" i="86"/>
  <c r="F10" i="86"/>
  <c r="H10" i="86" s="1"/>
  <c r="F9" i="86"/>
  <c r="H9" i="86" s="1"/>
  <c r="F6" i="86"/>
  <c r="H6" i="86" s="1"/>
  <c r="F58" i="92" l="1"/>
  <c r="F18" i="86"/>
  <c r="F51" i="89"/>
  <c r="H51" i="89" s="1"/>
  <c r="H18" i="86"/>
  <c r="C24" i="86"/>
  <c r="G24" i="86" s="1"/>
  <c r="C71" i="86"/>
  <c r="J72" i="86" s="1"/>
  <c r="G76" i="85"/>
  <c r="H58" i="92" l="1"/>
  <c r="D58" i="93" s="1"/>
  <c r="F58" i="93" s="1"/>
  <c r="H58" i="93" s="1"/>
  <c r="D58" i="94" s="1"/>
  <c r="F58" i="94" s="1"/>
  <c r="H58" i="94" s="1"/>
  <c r="D58" i="95" s="1"/>
  <c r="F58" i="95" s="1"/>
  <c r="H58" i="95" s="1"/>
  <c r="D58" i="96" s="1"/>
  <c r="F58" i="96" s="1"/>
  <c r="H58" i="96" s="1"/>
  <c r="D58" i="97" s="1"/>
  <c r="F58" i="97" s="1"/>
  <c r="H58" i="97" s="1"/>
  <c r="D58" i="98" s="1"/>
  <c r="F58" i="98" s="1"/>
  <c r="H58" i="98" s="1"/>
  <c r="D58" i="99" s="1"/>
  <c r="F58" i="99" s="1"/>
  <c r="H58" i="99" s="1"/>
  <c r="D58" i="100" s="1"/>
  <c r="F58" i="100" s="1"/>
  <c r="H58" i="100" s="1"/>
  <c r="D58" i="101" s="1"/>
  <c r="F58" i="101" s="1"/>
  <c r="H58" i="101" s="1"/>
  <c r="D58" i="102" s="1"/>
  <c r="F58" i="102" s="1"/>
  <c r="H58" i="102" s="1"/>
  <c r="D58" i="103" s="1"/>
  <c r="F58" i="103" s="1"/>
  <c r="H58" i="103" s="1"/>
  <c r="E84" i="86"/>
  <c r="G71" i="86"/>
  <c r="G43" i="85"/>
  <c r="G41" i="85" l="1"/>
  <c r="G60" i="85" l="1"/>
  <c r="G49" i="85" l="1"/>
  <c r="G48" i="85"/>
  <c r="C79" i="85" l="1"/>
  <c r="C79" i="84"/>
  <c r="G43" i="84" l="1"/>
  <c r="D43" i="85" l="1"/>
  <c r="K47" i="85"/>
  <c r="K48" i="85" s="1"/>
  <c r="D41" i="85"/>
  <c r="D51" i="85"/>
  <c r="G41" i="84"/>
  <c r="G45" i="84"/>
  <c r="G47" i="84"/>
  <c r="G50" i="84"/>
  <c r="G54" i="84"/>
  <c r="G56" i="84"/>
  <c r="G57" i="84"/>
  <c r="I56" i="84"/>
  <c r="G79" i="85" l="1"/>
  <c r="E62" i="85"/>
  <c r="B67" i="85" s="1"/>
  <c r="C62" i="85"/>
  <c r="H61" i="85"/>
  <c r="F58" i="85"/>
  <c r="H58" i="85" s="1"/>
  <c r="F57" i="85"/>
  <c r="H57" i="85" s="1"/>
  <c r="I62" i="85"/>
  <c r="F55" i="85"/>
  <c r="H55" i="85" s="1"/>
  <c r="F54" i="85"/>
  <c r="H54" i="85" s="1"/>
  <c r="D54" i="86" s="1"/>
  <c r="F54" i="86" s="1"/>
  <c r="H54" i="86" s="1"/>
  <c r="D54" i="87" s="1"/>
  <c r="F54" i="87" s="1"/>
  <c r="H54" i="87" s="1"/>
  <c r="D54" i="88" s="1"/>
  <c r="F54" i="88" s="1"/>
  <c r="H54" i="88" s="1"/>
  <c r="F46" i="85"/>
  <c r="H46" i="85" s="1"/>
  <c r="F44" i="85"/>
  <c r="H44" i="85" s="1"/>
  <c r="F43" i="85"/>
  <c r="H43" i="85" s="1"/>
  <c r="G62" i="85"/>
  <c r="F67" i="85" s="1"/>
  <c r="F41" i="85"/>
  <c r="H41" i="85" s="1"/>
  <c r="G26" i="85"/>
  <c r="G32" i="85" s="1"/>
  <c r="C26" i="85"/>
  <c r="C32" i="85" s="1"/>
  <c r="G18" i="85"/>
  <c r="F22" i="85" s="1"/>
  <c r="E18" i="85"/>
  <c r="B22" i="85" s="1"/>
  <c r="D18" i="85"/>
  <c r="F17" i="85"/>
  <c r="H17" i="85" s="1"/>
  <c r="F16" i="85"/>
  <c r="H16" i="85" s="1"/>
  <c r="F15" i="85"/>
  <c r="H15" i="85" s="1"/>
  <c r="F14" i="85"/>
  <c r="F10" i="85"/>
  <c r="H10" i="85" s="1"/>
  <c r="F9" i="85"/>
  <c r="H9" i="85" s="1"/>
  <c r="F6" i="85"/>
  <c r="H6" i="85" s="1"/>
  <c r="H18" i="85" l="1"/>
  <c r="D61" i="88"/>
  <c r="D61" i="87"/>
  <c r="D61" i="86"/>
  <c r="F18" i="85"/>
  <c r="D54" i="89"/>
  <c r="F54" i="89" s="1"/>
  <c r="H54" i="89" s="1"/>
  <c r="D55" i="89"/>
  <c r="F55" i="89" s="1"/>
  <c r="H55" i="89" s="1"/>
  <c r="D55" i="90" s="1"/>
  <c r="F55" i="90" s="1"/>
  <c r="H55" i="90" s="1"/>
  <c r="D55" i="91" s="1"/>
  <c r="F55" i="91" s="1"/>
  <c r="H55" i="91" s="1"/>
  <c r="D55" i="92" s="1"/>
  <c r="F55" i="92" s="1"/>
  <c r="H55" i="92" s="1"/>
  <c r="D55" i="93" s="1"/>
  <c r="F55" i="93" s="1"/>
  <c r="H55" i="93" s="1"/>
  <c r="D55" i="94" s="1"/>
  <c r="C24" i="85"/>
  <c r="G24" i="85" s="1"/>
  <c r="C71" i="85"/>
  <c r="F55" i="94" l="1"/>
  <c r="E83" i="85"/>
  <c r="G71" i="85"/>
  <c r="H55" i="94" l="1"/>
  <c r="D43" i="84"/>
  <c r="G55" i="83"/>
  <c r="D57" i="84"/>
  <c r="F57" i="84" s="1"/>
  <c r="H57" i="84" s="1"/>
  <c r="D51" i="84"/>
  <c r="G43" i="83"/>
  <c r="G79" i="84"/>
  <c r="I62" i="84"/>
  <c r="G62" i="84"/>
  <c r="F67" i="84" s="1"/>
  <c r="E62" i="84"/>
  <c r="B67" i="84" s="1"/>
  <c r="C62" i="84"/>
  <c r="H61" i="84"/>
  <c r="D61" i="85" s="1"/>
  <c r="F58" i="84"/>
  <c r="H58" i="84" s="1"/>
  <c r="F55" i="84"/>
  <c r="H55" i="84" s="1"/>
  <c r="F54" i="84"/>
  <c r="H54" i="84" s="1"/>
  <c r="F46" i="84"/>
  <c r="H46" i="84" s="1"/>
  <c r="F44" i="84"/>
  <c r="H44" i="84" s="1"/>
  <c r="F43" i="84"/>
  <c r="H43" i="84" s="1"/>
  <c r="F41" i="84"/>
  <c r="H41" i="84" s="1"/>
  <c r="G26" i="84"/>
  <c r="G32" i="84" s="1"/>
  <c r="C26" i="84"/>
  <c r="C32" i="84" s="1"/>
  <c r="G18" i="84"/>
  <c r="F22" i="84" s="1"/>
  <c r="E18" i="84"/>
  <c r="B22" i="84" s="1"/>
  <c r="D18" i="84"/>
  <c r="F17" i="84"/>
  <c r="H17" i="84" s="1"/>
  <c r="F16" i="84"/>
  <c r="H16" i="84" s="1"/>
  <c r="F15" i="84"/>
  <c r="H15" i="84" s="1"/>
  <c r="F14" i="84"/>
  <c r="F10" i="84"/>
  <c r="H10" i="84" s="1"/>
  <c r="F9" i="84"/>
  <c r="H9" i="84" s="1"/>
  <c r="F6" i="84"/>
  <c r="H6" i="84" s="1"/>
  <c r="D55" i="95" l="1"/>
  <c r="F18" i="84"/>
  <c r="H18" i="84"/>
  <c r="C24" i="84"/>
  <c r="G24" i="84" s="1"/>
  <c r="C71" i="84"/>
  <c r="J72" i="84" s="1"/>
  <c r="J73" i="84" s="1"/>
  <c r="J74" i="84" s="1"/>
  <c r="L58" i="83"/>
  <c r="F55" i="95" l="1"/>
  <c r="E83" i="84"/>
  <c r="G71" i="84"/>
  <c r="H55" i="95" l="1"/>
  <c r="G47" i="82"/>
  <c r="H61" i="83" l="1"/>
  <c r="D61" i="84" s="1"/>
  <c r="D51" i="83"/>
  <c r="D60" i="83"/>
  <c r="H61" i="82" l="1"/>
  <c r="D61" i="83" s="1"/>
  <c r="C79" i="83" l="1"/>
  <c r="I62" i="83"/>
  <c r="E62" i="83"/>
  <c r="B67" i="83" s="1"/>
  <c r="C62" i="83"/>
  <c r="F60" i="83"/>
  <c r="H60" i="83" s="1"/>
  <c r="D60" i="84" s="1"/>
  <c r="F60" i="84" s="1"/>
  <c r="H60" i="84" s="1"/>
  <c r="D60" i="85" s="1"/>
  <c r="F60" i="85" s="1"/>
  <c r="H60" i="85" s="1"/>
  <c r="D60" i="86" s="1"/>
  <c r="F60" i="86" s="1"/>
  <c r="H60" i="86" s="1"/>
  <c r="D60" i="87" s="1"/>
  <c r="F60" i="87" s="1"/>
  <c r="H60" i="87" s="1"/>
  <c r="D60" i="88" s="1"/>
  <c r="F60" i="88" s="1"/>
  <c r="H60" i="88" s="1"/>
  <c r="F58" i="83"/>
  <c r="H58" i="83" s="1"/>
  <c r="F57" i="83"/>
  <c r="H57" i="83" s="1"/>
  <c r="F54" i="83"/>
  <c r="H54" i="83" s="1"/>
  <c r="G62" i="83"/>
  <c r="F46" i="83"/>
  <c r="H46" i="83" s="1"/>
  <c r="F43" i="83"/>
  <c r="H43" i="83" s="1"/>
  <c r="F41" i="83"/>
  <c r="H41" i="83" s="1"/>
  <c r="G26" i="83"/>
  <c r="G32" i="83" s="1"/>
  <c r="C26" i="83"/>
  <c r="C32" i="83" s="1"/>
  <c r="G18" i="83"/>
  <c r="F22" i="83" s="1"/>
  <c r="E18" i="83"/>
  <c r="B22" i="83" s="1"/>
  <c r="D18" i="83"/>
  <c r="F17" i="83"/>
  <c r="H17" i="83" s="1"/>
  <c r="F16" i="83"/>
  <c r="H16" i="83" s="1"/>
  <c r="F15" i="83"/>
  <c r="H15" i="83" s="1"/>
  <c r="F14" i="83"/>
  <c r="F10" i="83"/>
  <c r="H10" i="83" s="1"/>
  <c r="F9" i="83"/>
  <c r="H9" i="83" s="1"/>
  <c r="F6" i="83"/>
  <c r="H6" i="83" s="1"/>
  <c r="F18" i="83" l="1"/>
  <c r="H18" i="83"/>
  <c r="F67" i="83"/>
  <c r="C71" i="83"/>
  <c r="C24" i="83"/>
  <c r="G24" i="83" s="1"/>
  <c r="C79" i="82"/>
  <c r="C70" i="82"/>
  <c r="I82" i="81"/>
  <c r="J84" i="81" s="1"/>
  <c r="G71" i="83" l="1"/>
  <c r="E83" i="83"/>
  <c r="C86" i="81"/>
  <c r="G62" i="82"/>
  <c r="I83" i="81" l="1"/>
  <c r="I85" i="81" s="1"/>
  <c r="I88" i="81"/>
  <c r="C89" i="81"/>
  <c r="C71" i="80" l="1"/>
  <c r="G70" i="82"/>
  <c r="B69" i="81"/>
  <c r="D51" i="82"/>
  <c r="G79" i="82"/>
  <c r="I62" i="82"/>
  <c r="E62" i="82"/>
  <c r="B67" i="82" s="1"/>
  <c r="C62" i="82"/>
  <c r="F58" i="82"/>
  <c r="H58" i="82" s="1"/>
  <c r="F57" i="82"/>
  <c r="H57" i="82" s="1"/>
  <c r="F55" i="82"/>
  <c r="H55" i="82" s="1"/>
  <c r="F55" i="83" s="1"/>
  <c r="H55" i="83" s="1"/>
  <c r="F54" i="82"/>
  <c r="H54" i="82" s="1"/>
  <c r="F46" i="82"/>
  <c r="H46" i="82" s="1"/>
  <c r="F44" i="82"/>
  <c r="H44" i="82" s="1"/>
  <c r="F44" i="83" s="1"/>
  <c r="H44" i="83" s="1"/>
  <c r="F43" i="82"/>
  <c r="H43" i="82" s="1"/>
  <c r="F41" i="82"/>
  <c r="H41" i="82" s="1"/>
  <c r="G26" i="82"/>
  <c r="G32" i="82" s="1"/>
  <c r="C26" i="82"/>
  <c r="C32" i="82" s="1"/>
  <c r="G18" i="82"/>
  <c r="F22" i="82" s="1"/>
  <c r="E18" i="82"/>
  <c r="B22" i="82" s="1"/>
  <c r="D18" i="82"/>
  <c r="F17" i="82"/>
  <c r="H17" i="82" s="1"/>
  <c r="F16" i="82"/>
  <c r="H16" i="82" s="1"/>
  <c r="F15" i="82"/>
  <c r="H15" i="82" s="1"/>
  <c r="F14" i="82"/>
  <c r="F10" i="82"/>
  <c r="H10" i="82" s="1"/>
  <c r="F9" i="82"/>
  <c r="H9" i="82" s="1"/>
  <c r="F6" i="82"/>
  <c r="H6" i="82" s="1"/>
  <c r="H18" i="82" s="1"/>
  <c r="F18" i="82" l="1"/>
  <c r="L75" i="82"/>
  <c r="F67" i="82"/>
  <c r="C24" i="82"/>
  <c r="G24" i="82" s="1"/>
  <c r="C71" i="82"/>
  <c r="G48" i="81"/>
  <c r="L76" i="82" l="1"/>
  <c r="G71" i="82"/>
  <c r="E83" i="82"/>
  <c r="G47" i="81"/>
  <c r="G53" i="80" l="1"/>
  <c r="I62" i="81" l="1"/>
  <c r="G76" i="80" l="1"/>
  <c r="G71" i="80" l="1"/>
  <c r="G89" i="81" l="1"/>
  <c r="E62" i="81"/>
  <c r="B67" i="81" s="1"/>
  <c r="C62" i="81"/>
  <c r="H61" i="81"/>
  <c r="D61" i="82" s="1"/>
  <c r="F57" i="81"/>
  <c r="H57" i="81" s="1"/>
  <c r="F55" i="81"/>
  <c r="H55" i="81" s="1"/>
  <c r="F54" i="81"/>
  <c r="H54" i="81" s="1"/>
  <c r="D51" i="81"/>
  <c r="F46" i="81"/>
  <c r="H46" i="81" s="1"/>
  <c r="F44" i="81"/>
  <c r="H44" i="81" s="1"/>
  <c r="F43" i="81"/>
  <c r="H43" i="81" s="1"/>
  <c r="F41" i="81"/>
  <c r="H41" i="81" s="1"/>
  <c r="G62" i="81"/>
  <c r="F67" i="81" s="1"/>
  <c r="G26" i="81"/>
  <c r="G32" i="81" s="1"/>
  <c r="C26" i="81"/>
  <c r="C32" i="81" s="1"/>
  <c r="G18" i="81"/>
  <c r="F22" i="81" s="1"/>
  <c r="E18" i="81"/>
  <c r="B22" i="81" s="1"/>
  <c r="D18" i="81"/>
  <c r="F17" i="81"/>
  <c r="H17" i="81" s="1"/>
  <c r="F16" i="81"/>
  <c r="H16" i="81" s="1"/>
  <c r="F15" i="81"/>
  <c r="H15" i="81" s="1"/>
  <c r="F14" i="81"/>
  <c r="F10" i="81"/>
  <c r="H10" i="81" s="1"/>
  <c r="F9" i="81"/>
  <c r="H9" i="81" s="1"/>
  <c r="F6" i="81"/>
  <c r="H6" i="81" s="1"/>
  <c r="B69" i="80"/>
  <c r="G40" i="80"/>
  <c r="G47" i="80"/>
  <c r="G60" i="80"/>
  <c r="D51" i="80"/>
  <c r="H39" i="75"/>
  <c r="C76" i="80"/>
  <c r="C79" i="80" s="1"/>
  <c r="F18" i="81" l="1"/>
  <c r="H18" i="81"/>
  <c r="C70" i="81"/>
  <c r="G70" i="81" s="1"/>
  <c r="C24" i="81"/>
  <c r="G24" i="81" s="1"/>
  <c r="G79" i="80" l="1"/>
  <c r="I62" i="80"/>
  <c r="E62" i="80"/>
  <c r="B67" i="80" s="1"/>
  <c r="C62" i="80"/>
  <c r="H61" i="80"/>
  <c r="F57" i="80"/>
  <c r="H57" i="80" s="1"/>
  <c r="F55" i="80"/>
  <c r="H55" i="80" s="1"/>
  <c r="F54" i="80"/>
  <c r="H54" i="80" s="1"/>
  <c r="F53" i="80"/>
  <c r="H53" i="80" s="1"/>
  <c r="D53" i="81" s="1"/>
  <c r="F53" i="81" s="1"/>
  <c r="H53" i="81" s="1"/>
  <c r="D53" i="82" s="1"/>
  <c r="F53" i="82" s="1"/>
  <c r="H53" i="82" s="1"/>
  <c r="D53" i="83" s="1"/>
  <c r="F53" i="83" s="1"/>
  <c r="H53" i="83" s="1"/>
  <c r="D53" i="84" s="1"/>
  <c r="F53" i="84" s="1"/>
  <c r="H53" i="84" s="1"/>
  <c r="D53" i="85" s="1"/>
  <c r="F53" i="85" s="1"/>
  <c r="H53" i="85" s="1"/>
  <c r="D53" i="86" s="1"/>
  <c r="F53" i="86" s="1"/>
  <c r="H53" i="86" s="1"/>
  <c r="D53" i="87" s="1"/>
  <c r="F53" i="87" s="1"/>
  <c r="F53" i="88" s="1"/>
  <c r="H53" i="88" s="1"/>
  <c r="D53" i="89" s="1"/>
  <c r="F53" i="89" s="1"/>
  <c r="H53" i="89" s="1"/>
  <c r="D53" i="90" s="1"/>
  <c r="F53" i="90" s="1"/>
  <c r="H53" i="90" s="1"/>
  <c r="F53" i="91" s="1"/>
  <c r="H53" i="91" s="1"/>
  <c r="D53" i="92" s="1"/>
  <c r="F53" i="92" s="1"/>
  <c r="H53" i="92" s="1"/>
  <c r="D53" i="93" s="1"/>
  <c r="F53" i="93" s="1"/>
  <c r="H53" i="93" s="1"/>
  <c r="D53" i="94" s="1"/>
  <c r="F53" i="94" s="1"/>
  <c r="H53" i="94" s="1"/>
  <c r="D53" i="95" s="1"/>
  <c r="F53" i="95" s="1"/>
  <c r="H53" i="95" s="1"/>
  <c r="D53" i="96" s="1"/>
  <c r="F53" i="96" s="1"/>
  <c r="H53" i="96" s="1"/>
  <c r="D53" i="97" s="1"/>
  <c r="F53" i="97" s="1"/>
  <c r="H53" i="97" s="1"/>
  <c r="D53" i="98" s="1"/>
  <c r="F53" i="98" s="1"/>
  <c r="H53" i="98" s="1"/>
  <c r="D53" i="99" s="1"/>
  <c r="F53" i="99" s="1"/>
  <c r="H53" i="99" s="1"/>
  <c r="D53" i="100" s="1"/>
  <c r="F53" i="100" s="1"/>
  <c r="H53" i="100" s="1"/>
  <c r="D53" i="101" s="1"/>
  <c r="F53" i="101" s="1"/>
  <c r="H53" i="101" s="1"/>
  <c r="D53" i="102" s="1"/>
  <c r="F53" i="102" s="1"/>
  <c r="H53" i="102" s="1"/>
  <c r="D53" i="103" s="1"/>
  <c r="F53" i="103" s="1"/>
  <c r="H53" i="103" s="1"/>
  <c r="F46" i="80"/>
  <c r="H46" i="80" s="1"/>
  <c r="F44" i="80"/>
  <c r="H44" i="80" s="1"/>
  <c r="F43" i="80"/>
  <c r="H43" i="80" s="1"/>
  <c r="F41" i="80"/>
  <c r="H41" i="80" s="1"/>
  <c r="G62" i="80"/>
  <c r="F67" i="80" s="1"/>
  <c r="G26" i="80"/>
  <c r="G32" i="80" s="1"/>
  <c r="C26" i="80"/>
  <c r="C32" i="80" s="1"/>
  <c r="G18" i="80"/>
  <c r="F22" i="80" s="1"/>
  <c r="E18" i="80"/>
  <c r="B22" i="80" s="1"/>
  <c r="D18" i="80"/>
  <c r="F17" i="80"/>
  <c r="H17" i="80" s="1"/>
  <c r="F16" i="80"/>
  <c r="H16" i="80" s="1"/>
  <c r="F15" i="80"/>
  <c r="H15" i="80" s="1"/>
  <c r="F14" i="80"/>
  <c r="F10" i="80"/>
  <c r="H10" i="80" s="1"/>
  <c r="F9" i="80"/>
  <c r="H9" i="80" s="1"/>
  <c r="F6" i="80"/>
  <c r="H6" i="80" s="1"/>
  <c r="F18" i="80" l="1"/>
  <c r="H18" i="80"/>
  <c r="C24" i="80"/>
  <c r="G24" i="80" s="1"/>
  <c r="C70" i="80"/>
  <c r="G70" i="80" l="1"/>
  <c r="H47" i="79"/>
  <c r="H60" i="79" l="1"/>
  <c r="H39" i="79"/>
  <c r="E51" i="79" l="1"/>
  <c r="K77" i="79"/>
  <c r="H94" i="79"/>
  <c r="D94" i="79"/>
  <c r="J62" i="79"/>
  <c r="F62" i="79"/>
  <c r="C67" i="79" s="1"/>
  <c r="D62" i="79"/>
  <c r="I61" i="79"/>
  <c r="G46" i="79"/>
  <c r="I46" i="79" s="1"/>
  <c r="H62" i="79"/>
  <c r="G67" i="79" s="1"/>
  <c r="G44" i="79"/>
  <c r="I44" i="79" s="1"/>
  <c r="G43" i="79"/>
  <c r="I43" i="79" s="1"/>
  <c r="G41" i="79"/>
  <c r="I41" i="79" s="1"/>
  <c r="H26" i="79"/>
  <c r="H32" i="79" s="1"/>
  <c r="D26" i="79"/>
  <c r="D32" i="79" s="1"/>
  <c r="H18" i="79"/>
  <c r="G22" i="79" s="1"/>
  <c r="F18" i="79"/>
  <c r="C22" i="79" s="1"/>
  <c r="E18" i="79"/>
  <c r="G17" i="79"/>
  <c r="I17" i="79" s="1"/>
  <c r="G16" i="79"/>
  <c r="I16" i="79" s="1"/>
  <c r="G15" i="79"/>
  <c r="I15" i="79" s="1"/>
  <c r="G14" i="79"/>
  <c r="G10" i="79"/>
  <c r="I10" i="79" s="1"/>
  <c r="G9" i="79"/>
  <c r="I9" i="79" s="1"/>
  <c r="G6" i="79"/>
  <c r="I6" i="79" s="1"/>
  <c r="G18" i="79" l="1"/>
  <c r="D61" i="81"/>
  <c r="D61" i="80"/>
  <c r="I18" i="79"/>
  <c r="D24" i="79"/>
  <c r="H24" i="79" s="1"/>
  <c r="D70" i="79"/>
  <c r="M78" i="79" s="1"/>
  <c r="M79" i="79" s="1"/>
  <c r="M80" i="79" s="1"/>
  <c r="M81" i="79" s="1"/>
  <c r="K77" i="77"/>
  <c r="M80" i="77" s="1"/>
  <c r="H70" i="79" l="1"/>
  <c r="K71" i="79"/>
  <c r="D26" i="78"/>
  <c r="H26" i="78"/>
  <c r="H45" i="78" l="1"/>
  <c r="D74" i="78" l="1"/>
  <c r="D94" i="78" s="1"/>
  <c r="G37" i="71" l="1"/>
  <c r="H38" i="77"/>
  <c r="H124" i="55"/>
  <c r="G20" i="56"/>
  <c r="H74" i="78"/>
  <c r="H83" i="77" l="1"/>
  <c r="D83" i="77"/>
  <c r="H60" i="77" l="1"/>
  <c r="I61" i="77"/>
  <c r="D62" i="77"/>
  <c r="F62" i="77"/>
  <c r="K61" i="77" s="1"/>
  <c r="J62" i="77"/>
  <c r="H79" i="77"/>
  <c r="D79" i="77"/>
  <c r="C69" i="77" l="1"/>
  <c r="H26" i="77" l="1"/>
  <c r="D26" i="77"/>
  <c r="E51" i="78"/>
  <c r="E61" i="78"/>
  <c r="H94" i="78"/>
  <c r="J62" i="78"/>
  <c r="F62" i="78"/>
  <c r="D62" i="78"/>
  <c r="I61" i="78"/>
  <c r="E61" i="79" s="1"/>
  <c r="G47" i="78"/>
  <c r="I47" i="78" s="1"/>
  <c r="E47" i="79" s="1"/>
  <c r="G47" i="79" s="1"/>
  <c r="I47" i="79" s="1"/>
  <c r="G46" i="78"/>
  <c r="I46" i="78" s="1"/>
  <c r="G44" i="78"/>
  <c r="I44" i="78" s="1"/>
  <c r="H62" i="78"/>
  <c r="G67" i="78" s="1"/>
  <c r="G43" i="78"/>
  <c r="I43" i="78" s="1"/>
  <c r="G41" i="78"/>
  <c r="I41" i="78" s="1"/>
  <c r="H32" i="78"/>
  <c r="D32" i="78"/>
  <c r="H18" i="78"/>
  <c r="G22" i="78" s="1"/>
  <c r="F18" i="78"/>
  <c r="C22" i="78" s="1"/>
  <c r="E18" i="78"/>
  <c r="G18" i="78" s="1"/>
  <c r="G17" i="78"/>
  <c r="I17" i="78" s="1"/>
  <c r="G16" i="78"/>
  <c r="I16" i="78" s="1"/>
  <c r="G15" i="78"/>
  <c r="I15" i="78" s="1"/>
  <c r="G14" i="78"/>
  <c r="G10" i="78"/>
  <c r="I10" i="78" s="1"/>
  <c r="G9" i="78"/>
  <c r="I9" i="78" s="1"/>
  <c r="G6" i="78"/>
  <c r="I6" i="78" s="1"/>
  <c r="C69" i="76"/>
  <c r="H59" i="77"/>
  <c r="D47" i="81" l="1"/>
  <c r="F47" i="81" s="1"/>
  <c r="H47" i="81" s="1"/>
  <c r="D47" i="82" s="1"/>
  <c r="F47" i="82" s="1"/>
  <c r="H47" i="82" s="1"/>
  <c r="D47" i="83" s="1"/>
  <c r="F47" i="83" s="1"/>
  <c r="H47" i="83" s="1"/>
  <c r="D47" i="84" s="1"/>
  <c r="F47" i="84" s="1"/>
  <c r="H47" i="84" s="1"/>
  <c r="D47" i="85" s="1"/>
  <c r="F47" i="85" s="1"/>
  <c r="H47" i="85" s="1"/>
  <c r="D47" i="86" s="1"/>
  <c r="F47" i="86" s="1"/>
  <c r="H47" i="86" s="1"/>
  <c r="D47" i="87" s="1"/>
  <c r="F47" i="87" s="1"/>
  <c r="H47" i="87" s="1"/>
  <c r="D47" i="80"/>
  <c r="F47" i="80" s="1"/>
  <c r="H47" i="80" s="1"/>
  <c r="C67" i="78"/>
  <c r="D24" i="78"/>
  <c r="H24" i="78" s="1"/>
  <c r="I18" i="78"/>
  <c r="D74" i="77"/>
  <c r="D47" i="88" l="1"/>
  <c r="F47" i="88" s="1"/>
  <c r="H47" i="88" s="1"/>
  <c r="D70" i="78"/>
  <c r="M80" i="78" l="1"/>
  <c r="M81" i="78" s="1"/>
  <c r="F47" i="89"/>
  <c r="H47" i="89" s="1"/>
  <c r="D48" i="89"/>
  <c r="F48" i="89" s="1"/>
  <c r="H48" i="89" s="1"/>
  <c r="D48" i="90" s="1"/>
  <c r="F48" i="90" s="1"/>
  <c r="H48" i="90" s="1"/>
  <c r="D48" i="91" s="1"/>
  <c r="F48" i="91" s="1"/>
  <c r="H48" i="91" s="1"/>
  <c r="D48" i="92" s="1"/>
  <c r="F48" i="92" s="1"/>
  <c r="H48" i="92" s="1"/>
  <c r="D48" i="93" s="1"/>
  <c r="F48" i="93" s="1"/>
  <c r="H48" i="93" s="1"/>
  <c r="D48" i="94" s="1"/>
  <c r="F48" i="94" s="1"/>
  <c r="H48" i="94" s="1"/>
  <c r="F48" i="95" s="1"/>
  <c r="H48" i="95" s="1"/>
  <c r="K71" i="78"/>
  <c r="H70" i="78"/>
  <c r="H43" i="77"/>
  <c r="H62" i="77" s="1"/>
  <c r="F47" i="90" l="1"/>
  <c r="H74" i="77"/>
  <c r="H47" i="90" l="1"/>
  <c r="H26" i="76" l="1"/>
  <c r="D26" i="76" l="1"/>
  <c r="K76" i="75" l="1"/>
  <c r="D70" i="77" l="1"/>
  <c r="D94" i="77"/>
  <c r="H70" i="77"/>
  <c r="C67" i="77"/>
  <c r="G58" i="77"/>
  <c r="I58" i="77" s="1"/>
  <c r="E58" i="78" s="1"/>
  <c r="G58" i="78" s="1"/>
  <c r="I58" i="78" s="1"/>
  <c r="G48" i="77"/>
  <c r="I48" i="77" s="1"/>
  <c r="E48" i="78" s="1"/>
  <c r="G48" i="78" s="1"/>
  <c r="I48" i="78" s="1"/>
  <c r="E48" i="79" s="1"/>
  <c r="G48" i="79" s="1"/>
  <c r="I48" i="79" s="1"/>
  <c r="G47" i="77"/>
  <c r="I47" i="77" s="1"/>
  <c r="G46" i="77"/>
  <c r="I46" i="77" s="1"/>
  <c r="G44" i="77"/>
  <c r="I44" i="77" s="1"/>
  <c r="G43" i="77"/>
  <c r="I43" i="77" s="1"/>
  <c r="G41" i="77"/>
  <c r="I41" i="77" s="1"/>
  <c r="H32" i="77"/>
  <c r="D32" i="77"/>
  <c r="H18" i="77"/>
  <c r="G22" i="77" s="1"/>
  <c r="F18" i="77"/>
  <c r="C22" i="77" s="1"/>
  <c r="E18" i="77"/>
  <c r="G17" i="77"/>
  <c r="I17" i="77" s="1"/>
  <c r="G16" i="77"/>
  <c r="I16" i="77" s="1"/>
  <c r="G15" i="77"/>
  <c r="I15" i="77" s="1"/>
  <c r="G14" i="77"/>
  <c r="G10" i="77"/>
  <c r="I10" i="77" s="1"/>
  <c r="G9" i="77"/>
  <c r="I9" i="77" s="1"/>
  <c r="G6" i="77"/>
  <c r="I6" i="77" s="1"/>
  <c r="D26" i="75"/>
  <c r="H26" i="75"/>
  <c r="I18" i="77" l="1"/>
  <c r="D48" i="80"/>
  <c r="F48" i="80" s="1"/>
  <c r="H48" i="80" s="1"/>
  <c r="D48" i="81"/>
  <c r="F48" i="81" s="1"/>
  <c r="H48" i="81" s="1"/>
  <c r="D48" i="82" s="1"/>
  <c r="F48" i="82" s="1"/>
  <c r="H48" i="82" s="1"/>
  <c r="D48" i="83" s="1"/>
  <c r="F48" i="83" s="1"/>
  <c r="H48" i="83" s="1"/>
  <c r="D48" i="84" s="1"/>
  <c r="F48" i="84" s="1"/>
  <c r="H48" i="84" s="1"/>
  <c r="D48" i="85" s="1"/>
  <c r="F48" i="85" s="1"/>
  <c r="H48" i="85" s="1"/>
  <c r="D48" i="86" s="1"/>
  <c r="F48" i="86" s="1"/>
  <c r="H48" i="86" s="1"/>
  <c r="D48" i="87" s="1"/>
  <c r="F48" i="87" s="1"/>
  <c r="H48" i="87" s="1"/>
  <c r="D48" i="88" s="1"/>
  <c r="F48" i="88" s="1"/>
  <c r="H48" i="88" s="1"/>
  <c r="D49" i="89" s="1"/>
  <c r="G58" i="79"/>
  <c r="I58" i="79" s="1"/>
  <c r="G18" i="77"/>
  <c r="G67" i="77"/>
  <c r="D24" i="77"/>
  <c r="H24" i="77" s="1"/>
  <c r="H94" i="77"/>
  <c r="I61" i="76"/>
  <c r="E61" i="77" s="1"/>
  <c r="G58" i="76"/>
  <c r="I58" i="76" s="1"/>
  <c r="G59" i="76"/>
  <c r="I59" i="76" s="1"/>
  <c r="E59" i="77" s="1"/>
  <c r="G59" i="77" s="1"/>
  <c r="I59" i="77" s="1"/>
  <c r="E59" i="78" s="1"/>
  <c r="G59" i="78" s="1"/>
  <c r="I59" i="78" s="1"/>
  <c r="E59" i="79" s="1"/>
  <c r="G59" i="79" s="1"/>
  <c r="I59" i="79" s="1"/>
  <c r="G60" i="76"/>
  <c r="I60" i="76" s="1"/>
  <c r="E60" i="77" s="1"/>
  <c r="G60" i="77" s="1"/>
  <c r="I60" i="77" s="1"/>
  <c r="E60" i="78" s="1"/>
  <c r="G60" i="78" s="1"/>
  <c r="I60" i="78" s="1"/>
  <c r="E60" i="79" s="1"/>
  <c r="G60" i="79" s="1"/>
  <c r="I60" i="79" s="1"/>
  <c r="D59" i="81" l="1"/>
  <c r="F59" i="81" s="1"/>
  <c r="H59" i="81" s="1"/>
  <c r="D59" i="82" s="1"/>
  <c r="F59" i="82" s="1"/>
  <c r="H59" i="82" s="1"/>
  <c r="D59" i="83" s="1"/>
  <c r="F59" i="83" s="1"/>
  <c r="H59" i="83" s="1"/>
  <c r="D59" i="84" s="1"/>
  <c r="F59" i="84" s="1"/>
  <c r="H59" i="84" s="1"/>
  <c r="D59" i="80"/>
  <c r="F59" i="80" s="1"/>
  <c r="H59" i="80" s="1"/>
  <c r="D60" i="80"/>
  <c r="F60" i="80" s="1"/>
  <c r="H60" i="80" s="1"/>
  <c r="D60" i="81"/>
  <c r="F60" i="81" s="1"/>
  <c r="H60" i="81" s="1"/>
  <c r="D60" i="82" s="1"/>
  <c r="F60" i="82" s="1"/>
  <c r="D58" i="80"/>
  <c r="F58" i="80" s="1"/>
  <c r="H58" i="80" s="1"/>
  <c r="D58" i="81"/>
  <c r="F58" i="81" s="1"/>
  <c r="H58" i="81" s="1"/>
  <c r="G57" i="76"/>
  <c r="I57" i="76" s="1"/>
  <c r="E57" i="77" s="1"/>
  <c r="G57" i="77" s="1"/>
  <c r="I57" i="77" s="1"/>
  <c r="E57" i="78" s="1"/>
  <c r="G57" i="78" s="1"/>
  <c r="I57" i="78" s="1"/>
  <c r="G57" i="79" s="1"/>
  <c r="I57" i="79" s="1"/>
  <c r="D59" i="85" l="1"/>
  <c r="F59" i="85" s="1"/>
  <c r="H59" i="85" s="1"/>
  <c r="D59" i="86" s="1"/>
  <c r="F59" i="86" s="1"/>
  <c r="H59" i="86" s="1"/>
  <c r="D59" i="87" s="1"/>
  <c r="F59" i="87" s="1"/>
  <c r="H59" i="87" s="1"/>
  <c r="D59" i="88" s="1"/>
  <c r="F59" i="88" s="1"/>
  <c r="H59" i="88" s="1"/>
  <c r="D59" i="89" s="1"/>
  <c r="F59" i="89" s="1"/>
  <c r="H59" i="89" s="1"/>
  <c r="D94" i="76"/>
  <c r="D87" i="75" l="1"/>
  <c r="H76" i="76" l="1"/>
  <c r="H75" i="76"/>
  <c r="H94" i="76" s="1"/>
  <c r="H87" i="75" l="1"/>
  <c r="J62" i="76" l="1"/>
  <c r="F62" i="76"/>
  <c r="N55" i="76" s="1"/>
  <c r="D70" i="76" s="1"/>
  <c r="D62" i="76"/>
  <c r="G41" i="76"/>
  <c r="I41" i="76" s="1"/>
  <c r="H62" i="76"/>
  <c r="H32" i="76"/>
  <c r="D32" i="76"/>
  <c r="H18" i="76"/>
  <c r="F18" i="76"/>
  <c r="C22" i="76" s="1"/>
  <c r="E18" i="76"/>
  <c r="G17" i="76"/>
  <c r="I17" i="76" s="1"/>
  <c r="G16" i="76"/>
  <c r="I16" i="76" s="1"/>
  <c r="G15" i="76"/>
  <c r="I15" i="76" s="1"/>
  <c r="G14" i="76"/>
  <c r="G10" i="76"/>
  <c r="I10" i="76" s="1"/>
  <c r="G9" i="76"/>
  <c r="I9" i="76" s="1"/>
  <c r="G6" i="76"/>
  <c r="I6" i="76" s="1"/>
  <c r="G55" i="79" l="1"/>
  <c r="I55" i="79" s="1"/>
  <c r="G22" i="76"/>
  <c r="I18" i="76"/>
  <c r="G18" i="76"/>
  <c r="C67" i="76"/>
  <c r="G67" i="76"/>
  <c r="D24" i="76"/>
  <c r="H24" i="76" s="1"/>
  <c r="H70" i="76" l="1"/>
  <c r="F58" i="75"/>
  <c r="D58" i="75"/>
  <c r="G57" i="75"/>
  <c r="G58" i="75" l="1"/>
  <c r="F49" i="89" l="1"/>
  <c r="H49" i="89" s="1"/>
  <c r="D49" i="90" s="1"/>
  <c r="F49" i="90" s="1"/>
  <c r="H49" i="90" s="1"/>
  <c r="D49" i="91" s="1"/>
  <c r="F49" i="91" s="1"/>
  <c r="H49" i="91" s="1"/>
  <c r="D49" i="92" s="1"/>
  <c r="F49" i="92" s="1"/>
  <c r="H49" i="92" s="1"/>
  <c r="D49" i="93" s="1"/>
  <c r="F49" i="93" s="1"/>
  <c r="H49" i="93" s="1"/>
  <c r="D49" i="94" s="1"/>
  <c r="F49" i="94" s="1"/>
  <c r="H49" i="94" s="1"/>
  <c r="F49" i="95" s="1"/>
  <c r="H49" i="95" s="1"/>
  <c r="D49" i="96" s="1"/>
  <c r="F49" i="96" s="1"/>
  <c r="H49" i="96" s="1"/>
  <c r="D49" i="97" s="1"/>
  <c r="F49" i="97" s="1"/>
  <c r="H49" i="97" s="1"/>
  <c r="D49" i="98" s="1"/>
  <c r="F49" i="98" s="1"/>
  <c r="H49" i="98" s="1"/>
  <c r="D49" i="99" s="1"/>
  <c r="F49" i="99" s="1"/>
  <c r="H49" i="99" s="1"/>
  <c r="D49" i="100" s="1"/>
  <c r="F49" i="100" s="1"/>
  <c r="H49" i="100" s="1"/>
  <c r="D49" i="101" s="1"/>
  <c r="F49" i="101" s="1"/>
  <c r="H49" i="101" s="1"/>
  <c r="D49" i="102" s="1"/>
  <c r="F49" i="102" s="1"/>
  <c r="H49" i="102" s="1"/>
  <c r="D49" i="103" s="1"/>
  <c r="F49" i="103" l="1"/>
  <c r="C65" i="75"/>
  <c r="H49" i="103" l="1"/>
  <c r="H18" i="75"/>
  <c r="H58" i="75" l="1"/>
  <c r="I58" i="75" s="1"/>
  <c r="H70" i="75"/>
  <c r="H69" i="75"/>
  <c r="M72" i="75" l="1"/>
  <c r="I73" i="74" l="1"/>
  <c r="D71" i="75" l="1"/>
  <c r="D69" i="75"/>
  <c r="D88" i="75" s="1"/>
  <c r="I57" i="75" l="1"/>
  <c r="H71" i="75" l="1"/>
  <c r="H88" i="75" s="1"/>
  <c r="J58" i="75" l="1"/>
  <c r="I57" i="74"/>
  <c r="G57" i="74"/>
  <c r="G39" i="75"/>
  <c r="I39" i="75" s="1"/>
  <c r="E39" i="76" s="1"/>
  <c r="G39" i="76" s="1"/>
  <c r="I39" i="76" s="1"/>
  <c r="E39" i="77" s="1"/>
  <c r="G39" i="77" s="1"/>
  <c r="I39" i="77" s="1"/>
  <c r="E39" i="78" s="1"/>
  <c r="G40" i="75"/>
  <c r="I40" i="75" s="1"/>
  <c r="E40" i="76" s="1"/>
  <c r="G40" i="76" s="1"/>
  <c r="I40" i="76" s="1"/>
  <c r="E40" i="77" s="1"/>
  <c r="G40" i="77" s="1"/>
  <c r="I40" i="77" s="1"/>
  <c r="E40" i="78" s="1"/>
  <c r="G40" i="78" s="1"/>
  <c r="I40" i="78" s="1"/>
  <c r="E40" i="79" s="1"/>
  <c r="G40" i="79" s="1"/>
  <c r="I40" i="79" s="1"/>
  <c r="G46" i="75"/>
  <c r="I46" i="75" s="1"/>
  <c r="E46" i="76" s="1"/>
  <c r="G46" i="76" s="1"/>
  <c r="I46" i="76" s="1"/>
  <c r="G42" i="75"/>
  <c r="I42" i="75" s="1"/>
  <c r="E42" i="76" s="1"/>
  <c r="G42" i="76" s="1"/>
  <c r="I42" i="76" s="1"/>
  <c r="E42" i="77" s="1"/>
  <c r="G42" i="77" s="1"/>
  <c r="I42" i="77" s="1"/>
  <c r="E42" i="78" s="1"/>
  <c r="G42" i="78" s="1"/>
  <c r="I42" i="78" s="1"/>
  <c r="E42" i="79" s="1"/>
  <c r="G42" i="79" s="1"/>
  <c r="I42" i="79" s="1"/>
  <c r="G43" i="75"/>
  <c r="I43" i="75" s="1"/>
  <c r="E43" i="76" s="1"/>
  <c r="G43" i="76" s="1"/>
  <c r="I43" i="76" s="1"/>
  <c r="G44" i="75"/>
  <c r="I44" i="75" s="1"/>
  <c r="E44" i="76" s="1"/>
  <c r="G44" i="76" s="1"/>
  <c r="I44" i="76" s="1"/>
  <c r="G45" i="75"/>
  <c r="I45" i="75" s="1"/>
  <c r="E45" i="76" s="1"/>
  <c r="G45" i="76" s="1"/>
  <c r="I45" i="76" s="1"/>
  <c r="E45" i="77" s="1"/>
  <c r="G45" i="77" s="1"/>
  <c r="I45" i="77" s="1"/>
  <c r="E45" i="78" s="1"/>
  <c r="G45" i="78" s="1"/>
  <c r="I45" i="78" s="1"/>
  <c r="E45" i="79" s="1"/>
  <c r="G45" i="79" s="1"/>
  <c r="I45" i="79" s="1"/>
  <c r="G47" i="75"/>
  <c r="I47" i="75" s="1"/>
  <c r="E47" i="76" s="1"/>
  <c r="G48" i="75"/>
  <c r="I48" i="75" s="1"/>
  <c r="E48" i="76" s="1"/>
  <c r="G48" i="76" s="1"/>
  <c r="I48" i="76" s="1"/>
  <c r="G50" i="75"/>
  <c r="I50" i="75" s="1"/>
  <c r="E50" i="76" s="1"/>
  <c r="G50" i="76" s="1"/>
  <c r="I50" i="76" s="1"/>
  <c r="E50" i="77" s="1"/>
  <c r="G50" i="77" s="1"/>
  <c r="I50" i="77" s="1"/>
  <c r="E50" i="78" s="1"/>
  <c r="G50" i="78" s="1"/>
  <c r="I50" i="78" s="1"/>
  <c r="E50" i="79" s="1"/>
  <c r="G50" i="79" s="1"/>
  <c r="I50" i="79" s="1"/>
  <c r="G51" i="75"/>
  <c r="I51" i="75" s="1"/>
  <c r="E51" i="76" s="1"/>
  <c r="G51" i="76" s="1"/>
  <c r="I51" i="76" s="1"/>
  <c r="E51" i="77" s="1"/>
  <c r="G52" i="75"/>
  <c r="I52" i="75" s="1"/>
  <c r="E52" i="76" s="1"/>
  <c r="G52" i="76" s="1"/>
  <c r="I52" i="76" s="1"/>
  <c r="E52" i="77" s="1"/>
  <c r="G52" i="77" s="1"/>
  <c r="I52" i="77" s="1"/>
  <c r="E52" i="78" s="1"/>
  <c r="G52" i="78" s="1"/>
  <c r="I52" i="78" s="1"/>
  <c r="E52" i="79" s="1"/>
  <c r="G52" i="79" s="1"/>
  <c r="I52" i="79" s="1"/>
  <c r="G53" i="75"/>
  <c r="I53" i="75" s="1"/>
  <c r="E53" i="76" s="1"/>
  <c r="G53" i="76" s="1"/>
  <c r="I53" i="76" s="1"/>
  <c r="E53" i="77" s="1"/>
  <c r="G53" i="77" s="1"/>
  <c r="I53" i="77" s="1"/>
  <c r="E53" i="78" s="1"/>
  <c r="G53" i="78" s="1"/>
  <c r="I53" i="78" s="1"/>
  <c r="E53" i="79" s="1"/>
  <c r="G53" i="79" s="1"/>
  <c r="I53" i="79" s="1"/>
  <c r="G54" i="75"/>
  <c r="I54" i="75" s="1"/>
  <c r="E54" i="76" s="1"/>
  <c r="G54" i="76" s="1"/>
  <c r="I54" i="76" s="1"/>
  <c r="E54" i="77" s="1"/>
  <c r="G54" i="77" s="1"/>
  <c r="I54" i="77" s="1"/>
  <c r="E54" i="78" s="1"/>
  <c r="G54" i="78" s="1"/>
  <c r="I54" i="78" s="1"/>
  <c r="E54" i="79" s="1"/>
  <c r="G54" i="79" s="1"/>
  <c r="I54" i="79" s="1"/>
  <c r="G55" i="75"/>
  <c r="I55" i="75" s="1"/>
  <c r="E55" i="76" s="1"/>
  <c r="G55" i="76" s="1"/>
  <c r="I55" i="76" s="1"/>
  <c r="E55" i="77" s="1"/>
  <c r="G55" i="77" s="1"/>
  <c r="I55" i="77" s="1"/>
  <c r="E55" i="78" s="1"/>
  <c r="G55" i="78" s="1"/>
  <c r="I55" i="78" s="1"/>
  <c r="G56" i="75"/>
  <c r="I56" i="75" s="1"/>
  <c r="E56" i="76" s="1"/>
  <c r="G56" i="76" s="1"/>
  <c r="I56" i="76" s="1"/>
  <c r="E56" i="77" s="1"/>
  <c r="G56" i="77" s="1"/>
  <c r="I56" i="77" s="1"/>
  <c r="E56" i="78" s="1"/>
  <c r="G56" i="78" s="1"/>
  <c r="I56" i="78" s="1"/>
  <c r="E56" i="79" s="1"/>
  <c r="G56" i="79" s="1"/>
  <c r="I56" i="79" s="1"/>
  <c r="G41" i="75"/>
  <c r="I41" i="75" s="1"/>
  <c r="G49" i="75"/>
  <c r="I49" i="75" s="1"/>
  <c r="E49" i="76" s="1"/>
  <c r="G49" i="76" s="1"/>
  <c r="I49" i="76" s="1"/>
  <c r="E49" i="77" s="1"/>
  <c r="G49" i="77" s="1"/>
  <c r="I49" i="77" s="1"/>
  <c r="E49" i="78" s="1"/>
  <c r="G49" i="78" s="1"/>
  <c r="I49" i="78" s="1"/>
  <c r="E49" i="79" s="1"/>
  <c r="G49" i="79" s="1"/>
  <c r="I49" i="79" s="1"/>
  <c r="G38" i="75"/>
  <c r="F37" i="74"/>
  <c r="D49" i="81" l="1"/>
  <c r="F49" i="81" s="1"/>
  <c r="H49" i="81" s="1"/>
  <c r="D49" i="82" s="1"/>
  <c r="F49" i="82" s="1"/>
  <c r="H49" i="82" s="1"/>
  <c r="D49" i="83" s="1"/>
  <c r="F49" i="83" s="1"/>
  <c r="H49" i="83" s="1"/>
  <c r="D49" i="84" s="1"/>
  <c r="F49" i="84" s="1"/>
  <c r="H49" i="84" s="1"/>
  <c r="D49" i="85" s="1"/>
  <c r="F49" i="85" s="1"/>
  <c r="H49" i="85" s="1"/>
  <c r="D49" i="86" s="1"/>
  <c r="F49" i="86" s="1"/>
  <c r="H49" i="86" s="1"/>
  <c r="D49" i="87" s="1"/>
  <c r="F49" i="87" s="1"/>
  <c r="H49" i="87" s="1"/>
  <c r="D49" i="88" s="1"/>
  <c r="F49" i="88" s="1"/>
  <c r="H49" i="88" s="1"/>
  <c r="D49" i="80"/>
  <c r="F49" i="80" s="1"/>
  <c r="H49" i="80" s="1"/>
  <c r="D45" i="81"/>
  <c r="F45" i="81" s="1"/>
  <c r="H45" i="81" s="1"/>
  <c r="D45" i="82" s="1"/>
  <c r="F45" i="82" s="1"/>
  <c r="H45" i="82" s="1"/>
  <c r="D45" i="83" s="1"/>
  <c r="F45" i="83" s="1"/>
  <c r="H45" i="83" s="1"/>
  <c r="D45" i="84" s="1"/>
  <c r="F45" i="84" s="1"/>
  <c r="H45" i="84" s="1"/>
  <c r="D45" i="85" s="1"/>
  <c r="F45" i="85" s="1"/>
  <c r="H45" i="85" s="1"/>
  <c r="D45" i="86" s="1"/>
  <c r="F45" i="86" s="1"/>
  <c r="H45" i="86" s="1"/>
  <c r="D45" i="80"/>
  <c r="F45" i="80" s="1"/>
  <c r="H45" i="80" s="1"/>
  <c r="D56" i="81"/>
  <c r="F56" i="81" s="1"/>
  <c r="H56" i="81" s="1"/>
  <c r="D56" i="82" s="1"/>
  <c r="F56" i="82" s="1"/>
  <c r="H56" i="82" s="1"/>
  <c r="D56" i="83" s="1"/>
  <c r="F56" i="83" s="1"/>
  <c r="H56" i="83" s="1"/>
  <c r="D56" i="84" s="1"/>
  <c r="F56" i="84" s="1"/>
  <c r="H56" i="84" s="1"/>
  <c r="D56" i="85" s="1"/>
  <c r="F56" i="85" s="1"/>
  <c r="H56" i="85" s="1"/>
  <c r="D56" i="86" s="1"/>
  <c r="F56" i="86" s="1"/>
  <c r="H56" i="86" s="1"/>
  <c r="D56" i="80"/>
  <c r="F56" i="80" s="1"/>
  <c r="H56" i="80" s="1"/>
  <c r="D52" i="80"/>
  <c r="F52" i="80" s="1"/>
  <c r="H52" i="80" s="1"/>
  <c r="D52" i="81"/>
  <c r="F52" i="81" s="1"/>
  <c r="H52" i="81" s="1"/>
  <c r="D52" i="82" s="1"/>
  <c r="F52" i="82" s="1"/>
  <c r="H52" i="82" s="1"/>
  <c r="D52" i="83" s="1"/>
  <c r="F52" i="83" s="1"/>
  <c r="H52" i="83" s="1"/>
  <c r="D52" i="84" s="1"/>
  <c r="F52" i="84" s="1"/>
  <c r="H52" i="84" s="1"/>
  <c r="D52" i="85" s="1"/>
  <c r="F52" i="85" s="1"/>
  <c r="H52" i="85" s="1"/>
  <c r="D52" i="86" s="1"/>
  <c r="F52" i="86" s="1"/>
  <c r="H52" i="86" s="1"/>
  <c r="D52" i="87" s="1"/>
  <c r="F52" i="87" s="1"/>
  <c r="H52" i="87" s="1"/>
  <c r="D52" i="88" s="1"/>
  <c r="F52" i="88" s="1"/>
  <c r="H52" i="88" s="1"/>
  <c r="D52" i="89" s="1"/>
  <c r="D50" i="80"/>
  <c r="F50" i="80" s="1"/>
  <c r="H50" i="80" s="1"/>
  <c r="D50" i="81"/>
  <c r="F50" i="81" s="1"/>
  <c r="H50" i="81" s="1"/>
  <c r="D50" i="82" s="1"/>
  <c r="F50" i="82" s="1"/>
  <c r="H50" i="82" s="1"/>
  <c r="D50" i="83" s="1"/>
  <c r="F50" i="83" s="1"/>
  <c r="H50" i="83" s="1"/>
  <c r="D50" i="84" s="1"/>
  <c r="F50" i="84" s="1"/>
  <c r="H50" i="84" s="1"/>
  <c r="D50" i="85" s="1"/>
  <c r="F50" i="85" s="1"/>
  <c r="H50" i="85" s="1"/>
  <c r="D50" i="86" s="1"/>
  <c r="F50" i="86" s="1"/>
  <c r="H50" i="86" s="1"/>
  <c r="D50" i="87" s="1"/>
  <c r="F50" i="87" s="1"/>
  <c r="H50" i="87" s="1"/>
  <c r="D50" i="88" s="1"/>
  <c r="F50" i="88" s="1"/>
  <c r="H50" i="88" s="1"/>
  <c r="D50" i="89" s="1"/>
  <c r="F50" i="89" s="1"/>
  <c r="H50" i="89" s="1"/>
  <c r="D50" i="90" s="1"/>
  <c r="F50" i="90" s="1"/>
  <c r="H50" i="90" s="1"/>
  <c r="D50" i="91" s="1"/>
  <c r="F50" i="91" s="1"/>
  <c r="H50" i="91" s="1"/>
  <c r="D50" i="92" s="1"/>
  <c r="F50" i="92" s="1"/>
  <c r="H50" i="92" s="1"/>
  <c r="D50" i="93" s="1"/>
  <c r="F50" i="93" s="1"/>
  <c r="H50" i="93" s="1"/>
  <c r="D50" i="94" s="1"/>
  <c r="F50" i="94" s="1"/>
  <c r="H50" i="94" s="1"/>
  <c r="F50" i="95" s="1"/>
  <c r="H50" i="95" s="1"/>
  <c r="D50" i="96" s="1"/>
  <c r="F50" i="96" s="1"/>
  <c r="H50" i="96" s="1"/>
  <c r="D50" i="97" s="1"/>
  <c r="F50" i="97" s="1"/>
  <c r="H50" i="97" s="1"/>
  <c r="D50" i="98" s="1"/>
  <c r="F50" i="98" s="1"/>
  <c r="H50" i="98" s="1"/>
  <c r="D50" i="99" s="1"/>
  <c r="F50" i="99" s="1"/>
  <c r="H50" i="99" s="1"/>
  <c r="D50" i="100" s="1"/>
  <c r="F50" i="100" s="1"/>
  <c r="H50" i="100" s="1"/>
  <c r="D50" i="101" s="1"/>
  <c r="F50" i="101" s="1"/>
  <c r="H50" i="101" s="1"/>
  <c r="F50" i="102" s="1"/>
  <c r="H50" i="102" s="1"/>
  <c r="D50" i="103" s="1"/>
  <c r="F50" i="103" s="1"/>
  <c r="H50" i="103" s="1"/>
  <c r="D42" i="81"/>
  <c r="F42" i="81" s="1"/>
  <c r="H42" i="81" s="1"/>
  <c r="D42" i="82" s="1"/>
  <c r="F42" i="82" s="1"/>
  <c r="H42" i="82" s="1"/>
  <c r="D42" i="83" s="1"/>
  <c r="F42" i="83" s="1"/>
  <c r="H42" i="83" s="1"/>
  <c r="D42" i="84" s="1"/>
  <c r="F42" i="84" s="1"/>
  <c r="H42" i="84" s="1"/>
  <c r="D42" i="85" s="1"/>
  <c r="F42" i="85" s="1"/>
  <c r="H42" i="85" s="1"/>
  <c r="D42" i="86" s="1"/>
  <c r="F42" i="86" s="1"/>
  <c r="H42" i="86" s="1"/>
  <c r="D42" i="87" s="1"/>
  <c r="F42" i="87" s="1"/>
  <c r="H42" i="87" s="1"/>
  <c r="D42" i="88" s="1"/>
  <c r="F42" i="88" s="1"/>
  <c r="H42" i="88" s="1"/>
  <c r="D43" i="89" s="1"/>
  <c r="F43" i="89" s="1"/>
  <c r="H43" i="89" s="1"/>
  <c r="D43" i="90" s="1"/>
  <c r="F43" i="90" s="1"/>
  <c r="H43" i="90" s="1"/>
  <c r="D43" i="91" s="1"/>
  <c r="D42" i="80"/>
  <c r="F42" i="80" s="1"/>
  <c r="H42" i="80" s="1"/>
  <c r="D40" i="81"/>
  <c r="F40" i="81" s="1"/>
  <c r="H40" i="81" s="1"/>
  <c r="D40" i="82" s="1"/>
  <c r="F40" i="82" s="1"/>
  <c r="H40" i="82" s="1"/>
  <c r="D40" i="83" s="1"/>
  <c r="F40" i="83" s="1"/>
  <c r="H40" i="83" s="1"/>
  <c r="D40" i="84" s="1"/>
  <c r="F40" i="84" s="1"/>
  <c r="H40" i="84" s="1"/>
  <c r="D40" i="85" s="1"/>
  <c r="F40" i="85" s="1"/>
  <c r="H40" i="85" s="1"/>
  <c r="D40" i="86" s="1"/>
  <c r="F40" i="86" s="1"/>
  <c r="H40" i="86" s="1"/>
  <c r="D40" i="87" s="1"/>
  <c r="F40" i="87" s="1"/>
  <c r="H40" i="87" s="1"/>
  <c r="D40" i="88" s="1"/>
  <c r="F40" i="88" s="1"/>
  <c r="H40" i="88" s="1"/>
  <c r="D41" i="89" s="1"/>
  <c r="F41" i="89" s="1"/>
  <c r="H41" i="89" s="1"/>
  <c r="D41" i="90" s="1"/>
  <c r="F41" i="90" s="1"/>
  <c r="H41" i="90" s="1"/>
  <c r="D41" i="91" s="1"/>
  <c r="F41" i="91" s="1"/>
  <c r="H41" i="91" s="1"/>
  <c r="D41" i="92" s="1"/>
  <c r="F41" i="92" s="1"/>
  <c r="H41" i="92" s="1"/>
  <c r="D41" i="93" s="1"/>
  <c r="F41" i="93" s="1"/>
  <c r="H41" i="93" s="1"/>
  <c r="D41" i="94" s="1"/>
  <c r="F41" i="94" s="1"/>
  <c r="H41" i="94" s="1"/>
  <c r="D41" i="95" s="1"/>
  <c r="F41" i="95" s="1"/>
  <c r="H41" i="95" s="1"/>
  <c r="D41" i="96" s="1"/>
  <c r="F41" i="96" s="1"/>
  <c r="H41" i="96" s="1"/>
  <c r="D41" i="97" s="1"/>
  <c r="F41" i="97" s="1"/>
  <c r="H41" i="97" s="1"/>
  <c r="D41" i="98" s="1"/>
  <c r="F41" i="98" s="1"/>
  <c r="H41" i="98" s="1"/>
  <c r="D41" i="99" s="1"/>
  <c r="F41" i="99" s="1"/>
  <c r="H41" i="99" s="1"/>
  <c r="D41" i="100" s="1"/>
  <c r="F41" i="100" s="1"/>
  <c r="H41" i="100" s="1"/>
  <c r="D41" i="101" s="1"/>
  <c r="F41" i="101" s="1"/>
  <c r="H41" i="101" s="1"/>
  <c r="D41" i="102" s="1"/>
  <c r="F41" i="102" s="1"/>
  <c r="H41" i="102" s="1"/>
  <c r="D41" i="103" s="1"/>
  <c r="D40" i="80"/>
  <c r="F40" i="80" s="1"/>
  <c r="H40" i="80" s="1"/>
  <c r="G39" i="78"/>
  <c r="I39" i="78" s="1"/>
  <c r="E39" i="79" s="1"/>
  <c r="G47" i="76"/>
  <c r="I47" i="76" s="1"/>
  <c r="G63" i="75"/>
  <c r="C79" i="74"/>
  <c r="F41" i="103" l="1"/>
  <c r="F43" i="91"/>
  <c r="H43" i="91" s="1"/>
  <c r="D43" i="92" s="1"/>
  <c r="F43" i="92" s="1"/>
  <c r="H43" i="92" s="1"/>
  <c r="D43" i="93" s="1"/>
  <c r="G39" i="79"/>
  <c r="I39" i="79" s="1"/>
  <c r="D39" i="81" s="1"/>
  <c r="F62" i="74"/>
  <c r="H41" i="103" l="1"/>
  <c r="F43" i="93"/>
  <c r="H43" i="93" s="1"/>
  <c r="D43" i="94" s="1"/>
  <c r="F43" i="94" s="1"/>
  <c r="H43" i="94" s="1"/>
  <c r="D43" i="95" s="1"/>
  <c r="F43" i="95" s="1"/>
  <c r="H43" i="95" s="1"/>
  <c r="D43" i="96" s="1"/>
  <c r="F43" i="96" s="1"/>
  <c r="H43" i="96" s="1"/>
  <c r="D43" i="97" s="1"/>
  <c r="F43" i="97" s="1"/>
  <c r="H43" i="97" s="1"/>
  <c r="D43" i="98" s="1"/>
  <c r="F43" i="98" s="1"/>
  <c r="H43" i="98" s="1"/>
  <c r="D43" i="99" s="1"/>
  <c r="F43" i="99" s="1"/>
  <c r="H43" i="99" s="1"/>
  <c r="D43" i="100" s="1"/>
  <c r="F43" i="100" s="1"/>
  <c r="H43" i="100" s="1"/>
  <c r="D43" i="101" s="1"/>
  <c r="F43" i="101" s="1"/>
  <c r="H43" i="101" s="1"/>
  <c r="D43" i="102" s="1"/>
  <c r="F43" i="102" s="1"/>
  <c r="H43" i="102" s="1"/>
  <c r="D43" i="103" s="1"/>
  <c r="F43" i="103" s="1"/>
  <c r="H43" i="103" s="1"/>
  <c r="D39" i="80"/>
  <c r="I38" i="75"/>
  <c r="E38" i="76" s="1"/>
  <c r="G6" i="75"/>
  <c r="I6" i="75" s="1"/>
  <c r="G9" i="75"/>
  <c r="I9" i="75" s="1"/>
  <c r="G10" i="75"/>
  <c r="I10" i="75" s="1"/>
  <c r="G14" i="75"/>
  <c r="G15" i="75"/>
  <c r="I15" i="75" s="1"/>
  <c r="G16" i="75"/>
  <c r="I16" i="75" s="1"/>
  <c r="G17" i="75"/>
  <c r="I17" i="75" s="1"/>
  <c r="E18" i="75"/>
  <c r="F18" i="75"/>
  <c r="G22" i="75"/>
  <c r="D32" i="75"/>
  <c r="H32" i="75"/>
  <c r="F5" i="74"/>
  <c r="H5" i="74" s="1"/>
  <c r="F8" i="74"/>
  <c r="H8" i="74" s="1"/>
  <c r="F9" i="74"/>
  <c r="H9" i="74" s="1"/>
  <c r="F13" i="74"/>
  <c r="F14" i="74"/>
  <c r="H14" i="74" s="1"/>
  <c r="F15" i="74"/>
  <c r="H15" i="74" s="1"/>
  <c r="F16" i="74"/>
  <c r="H16" i="74" s="1"/>
  <c r="D17" i="74"/>
  <c r="E17" i="74"/>
  <c r="G17" i="74"/>
  <c r="B21" i="74"/>
  <c r="F21" i="74"/>
  <c r="C23" i="74"/>
  <c r="G23" i="74" s="1"/>
  <c r="C31" i="74"/>
  <c r="G31" i="74"/>
  <c r="H37" i="74"/>
  <c r="F38" i="74"/>
  <c r="F39" i="74"/>
  <c r="H39" i="74" s="1"/>
  <c r="F40" i="74"/>
  <c r="H40" i="74" s="1"/>
  <c r="F41" i="74"/>
  <c r="H41" i="74" s="1"/>
  <c r="F42" i="74"/>
  <c r="H42" i="74" s="1"/>
  <c r="F43" i="74"/>
  <c r="H43" i="74" s="1"/>
  <c r="F44" i="74"/>
  <c r="H44" i="74" s="1"/>
  <c r="F45" i="74"/>
  <c r="H45" i="74" s="1"/>
  <c r="F46" i="74"/>
  <c r="H46" i="74" s="1"/>
  <c r="F47" i="74"/>
  <c r="H47" i="74" s="1"/>
  <c r="F48" i="74"/>
  <c r="H48" i="74" s="1"/>
  <c r="F49" i="74"/>
  <c r="H49" i="74" s="1"/>
  <c r="F50" i="74"/>
  <c r="H50" i="74" s="1"/>
  <c r="F51" i="74"/>
  <c r="H51" i="74" s="1"/>
  <c r="F52" i="74"/>
  <c r="H52" i="74" s="1"/>
  <c r="F53" i="74"/>
  <c r="H53" i="74" s="1"/>
  <c r="F54" i="74"/>
  <c r="H54" i="74" s="1"/>
  <c r="F55" i="74"/>
  <c r="H55" i="74" s="1"/>
  <c r="F56" i="74"/>
  <c r="H56" i="74" s="1"/>
  <c r="E57" i="74"/>
  <c r="B62" i="74" s="1"/>
  <c r="G79" i="74"/>
  <c r="G18" i="75" l="1"/>
  <c r="G38" i="76"/>
  <c r="I38" i="76" s="1"/>
  <c r="E38" i="77" s="1"/>
  <c r="E62" i="76"/>
  <c r="G62" i="76" s="1"/>
  <c r="I62" i="76" s="1"/>
  <c r="H38" i="74"/>
  <c r="F57" i="74"/>
  <c r="F39" i="81"/>
  <c r="H39" i="81" s="1"/>
  <c r="D39" i="82" s="1"/>
  <c r="F39" i="80"/>
  <c r="H39" i="80" s="1"/>
  <c r="C22" i="75"/>
  <c r="F17" i="74"/>
  <c r="I18" i="75"/>
  <c r="C64" i="74"/>
  <c r="G64" i="74" s="1"/>
  <c r="H57" i="74"/>
  <c r="H17" i="74"/>
  <c r="J24" i="73"/>
  <c r="J26" i="73" s="1"/>
  <c r="G38" i="77" l="1"/>
  <c r="I38" i="77" s="1"/>
  <c r="E38" i="78" s="1"/>
  <c r="E62" i="77"/>
  <c r="G62" i="77" s="1"/>
  <c r="I62" i="77" s="1"/>
  <c r="F39" i="82"/>
  <c r="H39" i="82" s="1"/>
  <c r="D39" i="83" s="1"/>
  <c r="D24" i="75"/>
  <c r="H24" i="75" s="1"/>
  <c r="G17" i="73"/>
  <c r="G38" i="78" l="1"/>
  <c r="I38" i="78" s="1"/>
  <c r="E38" i="79" s="1"/>
  <c r="E62" i="78"/>
  <c r="G62" i="78" s="1"/>
  <c r="I62" i="78" s="1"/>
  <c r="F39" i="83"/>
  <c r="H39" i="83" s="1"/>
  <c r="D39" i="84" s="1"/>
  <c r="C75" i="73"/>
  <c r="G38" i="79" l="1"/>
  <c r="I38" i="79" s="1"/>
  <c r="E62" i="79"/>
  <c r="G62" i="79" s="1"/>
  <c r="I62" i="79" s="1"/>
  <c r="F39" i="84"/>
  <c r="H39" i="84" s="1"/>
  <c r="D39" i="85" s="1"/>
  <c r="G75" i="73"/>
  <c r="I57" i="73"/>
  <c r="G57" i="73"/>
  <c r="F62" i="73" s="1"/>
  <c r="E57" i="73"/>
  <c r="F56" i="73"/>
  <c r="H56" i="73" s="1"/>
  <c r="F55" i="73"/>
  <c r="H55" i="73" s="1"/>
  <c r="F54" i="73"/>
  <c r="H54" i="73" s="1"/>
  <c r="F53" i="73"/>
  <c r="H53" i="73" s="1"/>
  <c r="F52" i="73"/>
  <c r="H52" i="73" s="1"/>
  <c r="F51" i="73"/>
  <c r="H51" i="73" s="1"/>
  <c r="F50" i="73"/>
  <c r="H50" i="73" s="1"/>
  <c r="F49" i="73"/>
  <c r="H49" i="73" s="1"/>
  <c r="F48" i="73"/>
  <c r="H48" i="73" s="1"/>
  <c r="F47" i="73"/>
  <c r="H47" i="73" s="1"/>
  <c r="F45" i="73"/>
  <c r="H45" i="73" s="1"/>
  <c r="F44" i="73"/>
  <c r="H44" i="73" s="1"/>
  <c r="F43" i="73"/>
  <c r="H43" i="73" s="1"/>
  <c r="F42" i="73"/>
  <c r="H42" i="73" s="1"/>
  <c r="F41" i="73"/>
  <c r="H41" i="73" s="1"/>
  <c r="F40" i="73"/>
  <c r="H40" i="73" s="1"/>
  <c r="F39" i="73"/>
  <c r="H39" i="73" s="1"/>
  <c r="F38" i="73"/>
  <c r="H38" i="73" s="1"/>
  <c r="F37" i="73"/>
  <c r="G31" i="73"/>
  <c r="C31" i="73"/>
  <c r="F21" i="73"/>
  <c r="E17" i="73"/>
  <c r="B21" i="73" s="1"/>
  <c r="D17" i="73"/>
  <c r="F16" i="73"/>
  <c r="H16" i="73" s="1"/>
  <c r="F15" i="73"/>
  <c r="H15" i="73" s="1"/>
  <c r="F14" i="73"/>
  <c r="H14" i="73" s="1"/>
  <c r="F13" i="73"/>
  <c r="F9" i="73"/>
  <c r="H9" i="73" s="1"/>
  <c r="F8" i="73"/>
  <c r="H8" i="73" s="1"/>
  <c r="F5" i="73"/>
  <c r="H5" i="73" s="1"/>
  <c r="F17" i="73" l="1"/>
  <c r="D38" i="80"/>
  <c r="I63" i="79"/>
  <c r="L55" i="79"/>
  <c r="F39" i="85"/>
  <c r="H39" i="85" s="1"/>
  <c r="D39" i="86" s="1"/>
  <c r="F39" i="86" s="1"/>
  <c r="H39" i="86" s="1"/>
  <c r="D39" i="87" s="1"/>
  <c r="F39" i="87" s="1"/>
  <c r="H39" i="87" s="1"/>
  <c r="D39" i="88" s="1"/>
  <c r="F39" i="88" s="1"/>
  <c r="H39" i="88" s="1"/>
  <c r="D39" i="89" s="1"/>
  <c r="F39" i="89" s="1"/>
  <c r="H39" i="89" s="1"/>
  <c r="D39" i="90" s="1"/>
  <c r="F39" i="90" s="1"/>
  <c r="H39" i="90" s="1"/>
  <c r="D39" i="91" s="1"/>
  <c r="F39" i="91" s="1"/>
  <c r="H39" i="91" s="1"/>
  <c r="D39" i="92" s="1"/>
  <c r="F39" i="92" s="1"/>
  <c r="H39" i="92" s="1"/>
  <c r="D39" i="93" s="1"/>
  <c r="F39" i="93" s="1"/>
  <c r="H39" i="93" s="1"/>
  <c r="D39" i="94" s="1"/>
  <c r="F39" i="94" s="1"/>
  <c r="H39" i="94" s="1"/>
  <c r="D39" i="95" s="1"/>
  <c r="F39" i="95" s="1"/>
  <c r="H39" i="95" s="1"/>
  <c r="D39" i="96" s="1"/>
  <c r="F39" i="96" s="1"/>
  <c r="H39" i="96" s="1"/>
  <c r="D39" i="97" s="1"/>
  <c r="F39" i="97" s="1"/>
  <c r="H39" i="97" s="1"/>
  <c r="D39" i="98" s="1"/>
  <c r="F39" i="98" s="1"/>
  <c r="H39" i="98" s="1"/>
  <c r="D39" i="99" s="1"/>
  <c r="F39" i="99" s="1"/>
  <c r="H39" i="99" s="1"/>
  <c r="D39" i="100" s="1"/>
  <c r="F39" i="100" s="1"/>
  <c r="H39" i="100" s="1"/>
  <c r="D39" i="101" s="1"/>
  <c r="F39" i="101" s="1"/>
  <c r="H39" i="101" s="1"/>
  <c r="D39" i="102" s="1"/>
  <c r="F39" i="102" s="1"/>
  <c r="H39" i="102" s="1"/>
  <c r="D39" i="103" s="1"/>
  <c r="F57" i="73"/>
  <c r="H17" i="73"/>
  <c r="C23" i="73"/>
  <c r="G23" i="73" s="1"/>
  <c r="H37" i="73"/>
  <c r="H57" i="73" s="1"/>
  <c r="B62" i="73"/>
  <c r="F39" i="103" l="1"/>
  <c r="F38" i="80"/>
  <c r="H38" i="80" s="1"/>
  <c r="D62" i="80"/>
  <c r="F62" i="80" s="1"/>
  <c r="H62" i="80" s="1"/>
  <c r="C64" i="73"/>
  <c r="H39" i="103" l="1"/>
  <c r="D38" i="81"/>
  <c r="H63" i="80"/>
  <c r="G64" i="73"/>
  <c r="E57" i="72"/>
  <c r="I62" i="72" s="1"/>
  <c r="F38" i="81" l="1"/>
  <c r="H38" i="81" s="1"/>
  <c r="D62" i="81"/>
  <c r="F62" i="81" s="1"/>
  <c r="H62" i="81" s="1"/>
  <c r="G75" i="72"/>
  <c r="C75" i="72"/>
  <c r="I57" i="72"/>
  <c r="G57" i="72"/>
  <c r="F62" i="72" s="1"/>
  <c r="B62" i="72"/>
  <c r="F56" i="72"/>
  <c r="H56" i="72" s="1"/>
  <c r="F55" i="72"/>
  <c r="H55" i="72" s="1"/>
  <c r="F54" i="72"/>
  <c r="H54" i="72" s="1"/>
  <c r="F53" i="72"/>
  <c r="H53" i="72" s="1"/>
  <c r="F52" i="72"/>
  <c r="H52" i="72" s="1"/>
  <c r="F51" i="72"/>
  <c r="H51" i="72" s="1"/>
  <c r="F50" i="72"/>
  <c r="H50" i="72" s="1"/>
  <c r="F49" i="72"/>
  <c r="H49" i="72" s="1"/>
  <c r="F48" i="72"/>
  <c r="H48" i="72" s="1"/>
  <c r="F47" i="72"/>
  <c r="H47" i="72" s="1"/>
  <c r="F45" i="72"/>
  <c r="H45" i="72" s="1"/>
  <c r="F44" i="72"/>
  <c r="H44" i="72" s="1"/>
  <c r="F43" i="72"/>
  <c r="H43" i="72" s="1"/>
  <c r="F42" i="72"/>
  <c r="H42" i="72" s="1"/>
  <c r="F41" i="72"/>
  <c r="H41" i="72" s="1"/>
  <c r="F40" i="72"/>
  <c r="H40" i="72" s="1"/>
  <c r="F39" i="72"/>
  <c r="H39" i="72" s="1"/>
  <c r="F38" i="72"/>
  <c r="H38" i="72" s="1"/>
  <c r="F37" i="72"/>
  <c r="G31" i="72"/>
  <c r="C31" i="72"/>
  <c r="J24" i="72"/>
  <c r="J26" i="72" s="1"/>
  <c r="G17" i="72"/>
  <c r="F21" i="72" s="1"/>
  <c r="E17" i="72"/>
  <c r="B21" i="72" s="1"/>
  <c r="D17" i="72"/>
  <c r="F17" i="72" s="1"/>
  <c r="F16" i="72"/>
  <c r="H16" i="72" s="1"/>
  <c r="F15" i="72"/>
  <c r="H15" i="72" s="1"/>
  <c r="F14" i="72"/>
  <c r="H14" i="72" s="1"/>
  <c r="F13" i="72"/>
  <c r="F9" i="72"/>
  <c r="H9" i="72" s="1"/>
  <c r="F8" i="72"/>
  <c r="H8" i="72" s="1"/>
  <c r="F5" i="72"/>
  <c r="H5" i="72" s="1"/>
  <c r="H17" i="72" l="1"/>
  <c r="D38" i="82"/>
  <c r="H64" i="81"/>
  <c r="F57" i="72"/>
  <c r="C23" i="72"/>
  <c r="G23" i="72" s="1"/>
  <c r="C64" i="72"/>
  <c r="H37" i="72"/>
  <c r="H57" i="72" s="1"/>
  <c r="C75" i="71"/>
  <c r="G64" i="72" l="1"/>
  <c r="I63" i="72"/>
  <c r="I64" i="72" s="1"/>
  <c r="I65" i="72" s="1"/>
  <c r="F38" i="82"/>
  <c r="H38" i="82" s="1"/>
  <c r="D38" i="83" s="1"/>
  <c r="D62" i="82"/>
  <c r="F62" i="82" s="1"/>
  <c r="H62" i="82" s="1"/>
  <c r="H63" i="82" s="1"/>
  <c r="G75" i="71"/>
  <c r="I57" i="71"/>
  <c r="G57" i="71"/>
  <c r="F62" i="71" s="1"/>
  <c r="E57" i="71"/>
  <c r="B62" i="71" s="1"/>
  <c r="F56" i="71"/>
  <c r="H56" i="71" s="1"/>
  <c r="F55" i="71"/>
  <c r="H55" i="71" s="1"/>
  <c r="F54" i="71"/>
  <c r="H54" i="71" s="1"/>
  <c r="F53" i="71"/>
  <c r="H53" i="71" s="1"/>
  <c r="F52" i="71"/>
  <c r="H52" i="71" s="1"/>
  <c r="F51" i="71"/>
  <c r="H51" i="71" s="1"/>
  <c r="F49" i="71"/>
  <c r="H49" i="71" s="1"/>
  <c r="F48" i="71"/>
  <c r="H48" i="71" s="1"/>
  <c r="F47" i="71"/>
  <c r="H47" i="71" s="1"/>
  <c r="F50" i="71"/>
  <c r="H50" i="71" s="1"/>
  <c r="F45" i="71"/>
  <c r="H45" i="71" s="1"/>
  <c r="F44" i="71"/>
  <c r="H44" i="71" s="1"/>
  <c r="F43" i="71"/>
  <c r="H43" i="71" s="1"/>
  <c r="F42" i="71"/>
  <c r="H42" i="71" s="1"/>
  <c r="F41" i="71"/>
  <c r="H41" i="71" s="1"/>
  <c r="F40" i="71"/>
  <c r="H40" i="71" s="1"/>
  <c r="F39" i="71"/>
  <c r="H39" i="71" s="1"/>
  <c r="F38" i="71"/>
  <c r="H38" i="71" s="1"/>
  <c r="F37" i="71"/>
  <c r="H37" i="71" s="1"/>
  <c r="G31" i="71"/>
  <c r="C31" i="71"/>
  <c r="G17" i="71"/>
  <c r="F21" i="71" s="1"/>
  <c r="E17" i="71"/>
  <c r="B21" i="71" s="1"/>
  <c r="D17" i="71"/>
  <c r="F17" i="71" s="1"/>
  <c r="F16" i="71"/>
  <c r="H16" i="71" s="1"/>
  <c r="F15" i="71"/>
  <c r="H15" i="71" s="1"/>
  <c r="F14" i="71"/>
  <c r="H14" i="71" s="1"/>
  <c r="F13" i="71"/>
  <c r="F9" i="71"/>
  <c r="H9" i="71" s="1"/>
  <c r="F8" i="71"/>
  <c r="H8" i="71" s="1"/>
  <c r="F5" i="71"/>
  <c r="H5" i="71" s="1"/>
  <c r="I57" i="70"/>
  <c r="F38" i="83" l="1"/>
  <c r="H38" i="83" s="1"/>
  <c r="D38" i="84" s="1"/>
  <c r="D62" i="83"/>
  <c r="F62" i="83" s="1"/>
  <c r="H62" i="83" s="1"/>
  <c r="H64" i="83" s="1"/>
  <c r="F57" i="71"/>
  <c r="H17" i="71"/>
  <c r="C23" i="71"/>
  <c r="G23" i="71" s="1"/>
  <c r="H57" i="71"/>
  <c r="C64" i="71"/>
  <c r="G64" i="71" s="1"/>
  <c r="G57" i="70"/>
  <c r="E57" i="70"/>
  <c r="F38" i="84" l="1"/>
  <c r="H38" i="84" s="1"/>
  <c r="D38" i="85" s="1"/>
  <c r="D62" i="84"/>
  <c r="F62" i="84" s="1"/>
  <c r="H62" i="84" s="1"/>
  <c r="I64" i="84" s="1"/>
  <c r="C75" i="70"/>
  <c r="D76" i="67" l="1"/>
  <c r="D70" i="66"/>
  <c r="B62" i="70" l="1"/>
  <c r="G75" i="70"/>
  <c r="F62" i="70"/>
  <c r="F56" i="70"/>
  <c r="H56" i="70" s="1"/>
  <c r="F55" i="70"/>
  <c r="F54" i="70"/>
  <c r="H54" i="70" s="1"/>
  <c r="F53" i="70"/>
  <c r="H53" i="70" s="1"/>
  <c r="F52" i="70"/>
  <c r="H52" i="70" s="1"/>
  <c r="F51" i="70"/>
  <c r="H51" i="70" s="1"/>
  <c r="H50" i="70"/>
  <c r="F49" i="70"/>
  <c r="H49" i="70" s="1"/>
  <c r="F48" i="70"/>
  <c r="H48" i="70" s="1"/>
  <c r="F47" i="70"/>
  <c r="H47" i="70" s="1"/>
  <c r="F46" i="70"/>
  <c r="H46" i="70" s="1"/>
  <c r="F45" i="70"/>
  <c r="H45" i="70" s="1"/>
  <c r="F44" i="70"/>
  <c r="H44" i="70" s="1"/>
  <c r="F43" i="70"/>
  <c r="H43" i="70" s="1"/>
  <c r="F42" i="70"/>
  <c r="H42" i="70" s="1"/>
  <c r="F41" i="70"/>
  <c r="H41" i="70" s="1"/>
  <c r="F40" i="70"/>
  <c r="H40" i="70" s="1"/>
  <c r="F39" i="70"/>
  <c r="H39" i="70" s="1"/>
  <c r="F38" i="70"/>
  <c r="H38" i="70" s="1"/>
  <c r="F37" i="70"/>
  <c r="G31" i="70"/>
  <c r="C31" i="70"/>
  <c r="G17" i="70"/>
  <c r="F21" i="70" s="1"/>
  <c r="E17" i="70"/>
  <c r="B21" i="70" s="1"/>
  <c r="D17" i="70"/>
  <c r="F17" i="70" s="1"/>
  <c r="F16" i="70"/>
  <c r="H16" i="70" s="1"/>
  <c r="F15" i="70"/>
  <c r="H15" i="70" s="1"/>
  <c r="F14" i="70"/>
  <c r="H14" i="70" s="1"/>
  <c r="F13" i="70"/>
  <c r="F9" i="70"/>
  <c r="H9" i="70" s="1"/>
  <c r="F8" i="70"/>
  <c r="H8" i="70" s="1"/>
  <c r="F5" i="70"/>
  <c r="H5" i="70" s="1"/>
  <c r="H17" i="70" l="1"/>
  <c r="H55" i="70"/>
  <c r="F57" i="70"/>
  <c r="H37" i="70"/>
  <c r="H57" i="70" s="1"/>
  <c r="C23" i="70"/>
  <c r="G23" i="70" s="1"/>
  <c r="C64" i="70"/>
  <c r="G64" i="70" s="1"/>
  <c r="C31" i="69" l="1"/>
  <c r="G72" i="69" l="1"/>
  <c r="C72" i="69"/>
  <c r="E57" i="69" l="1"/>
  <c r="G31" i="69" l="1"/>
  <c r="F45" i="69" l="1"/>
  <c r="H45" i="69" s="1"/>
  <c r="B62" i="69" l="1"/>
  <c r="F55" i="69"/>
  <c r="H55" i="69" s="1"/>
  <c r="J64" i="69"/>
  <c r="I57" i="69"/>
  <c r="G57" i="69"/>
  <c r="F62" i="69" s="1"/>
  <c r="F56" i="69"/>
  <c r="H56" i="69" s="1"/>
  <c r="F54" i="69"/>
  <c r="H54" i="69" s="1"/>
  <c r="F53" i="69"/>
  <c r="H53" i="69" s="1"/>
  <c r="F52" i="69"/>
  <c r="H52" i="69" s="1"/>
  <c r="F51" i="69"/>
  <c r="H51" i="69" s="1"/>
  <c r="H50" i="69"/>
  <c r="F49" i="69"/>
  <c r="H49" i="69" s="1"/>
  <c r="F48" i="69"/>
  <c r="H48" i="69" s="1"/>
  <c r="F47" i="69"/>
  <c r="H47" i="69" s="1"/>
  <c r="F46" i="69"/>
  <c r="H46" i="69" s="1"/>
  <c r="F44" i="69"/>
  <c r="H44" i="69" s="1"/>
  <c r="F43" i="69"/>
  <c r="H43" i="69" s="1"/>
  <c r="F42" i="69"/>
  <c r="H42" i="69" s="1"/>
  <c r="F41" i="69"/>
  <c r="H41" i="69" s="1"/>
  <c r="F40" i="69"/>
  <c r="H40" i="69" s="1"/>
  <c r="F39" i="69"/>
  <c r="H39" i="69" s="1"/>
  <c r="F38" i="69"/>
  <c r="H38" i="69" s="1"/>
  <c r="F37" i="69"/>
  <c r="G17" i="69"/>
  <c r="F21" i="69" s="1"/>
  <c r="E17" i="69"/>
  <c r="B21" i="69" s="1"/>
  <c r="C23" i="69" s="1"/>
  <c r="G23" i="69" s="1"/>
  <c r="D17" i="69"/>
  <c r="F17" i="69" s="1"/>
  <c r="F16" i="69"/>
  <c r="H16" i="69" s="1"/>
  <c r="F15" i="69"/>
  <c r="H15" i="69" s="1"/>
  <c r="F14" i="69"/>
  <c r="H14" i="69" s="1"/>
  <c r="F13" i="69"/>
  <c r="F9" i="69"/>
  <c r="H9" i="69" s="1"/>
  <c r="F8" i="69"/>
  <c r="H8" i="69" s="1"/>
  <c r="F5" i="69"/>
  <c r="H5" i="69" s="1"/>
  <c r="C72" i="68"/>
  <c r="H17" i="69" l="1"/>
  <c r="C64" i="69"/>
  <c r="G64" i="69" s="1"/>
  <c r="F57" i="69"/>
  <c r="H37" i="69"/>
  <c r="H57" i="69" s="1"/>
  <c r="G72" i="68"/>
  <c r="I22" i="68" l="1"/>
  <c r="J20" i="69" s="1"/>
  <c r="J22" i="69" s="1"/>
  <c r="J24" i="69" s="1"/>
  <c r="J22" i="70" s="1"/>
  <c r="J24" i="70" s="1"/>
  <c r="J26" i="70" s="1"/>
  <c r="J22" i="71" s="1"/>
  <c r="J24" i="71" s="1"/>
  <c r="J26" i="71" s="1"/>
  <c r="G28" i="65"/>
  <c r="E57" i="68" l="1"/>
  <c r="B62" i="68" l="1"/>
  <c r="C64" i="68" l="1"/>
  <c r="G64" i="68" s="1"/>
  <c r="I57" i="68" l="1"/>
  <c r="G57" i="68"/>
  <c r="F62" i="68" s="1"/>
  <c r="F56" i="68"/>
  <c r="H56" i="68" s="1"/>
  <c r="F54" i="68"/>
  <c r="H54" i="68" s="1"/>
  <c r="F53" i="68"/>
  <c r="H53" i="68" s="1"/>
  <c r="F52" i="68"/>
  <c r="H52" i="68" s="1"/>
  <c r="F51" i="68"/>
  <c r="H51" i="68" s="1"/>
  <c r="H50" i="68"/>
  <c r="F49" i="68"/>
  <c r="H49" i="68" s="1"/>
  <c r="F47" i="68"/>
  <c r="H47" i="68" s="1"/>
  <c r="F46" i="68"/>
  <c r="H46" i="68" s="1"/>
  <c r="F48" i="68"/>
  <c r="H48" i="68" s="1"/>
  <c r="F44" i="68"/>
  <c r="H44" i="68" s="1"/>
  <c r="F43" i="68"/>
  <c r="H43" i="68" s="1"/>
  <c r="F42" i="68"/>
  <c r="H42" i="68" s="1"/>
  <c r="F41" i="68"/>
  <c r="H41" i="68" s="1"/>
  <c r="F40" i="68"/>
  <c r="H40" i="68" s="1"/>
  <c r="F39" i="68"/>
  <c r="H39" i="68" s="1"/>
  <c r="F38" i="68"/>
  <c r="H38" i="68" s="1"/>
  <c r="F37" i="68"/>
  <c r="F57" i="68" s="1"/>
  <c r="G17" i="68"/>
  <c r="G19" i="68" s="1"/>
  <c r="E17" i="68"/>
  <c r="D19" i="68" s="1"/>
  <c r="D17" i="68"/>
  <c r="F16" i="68"/>
  <c r="H16" i="68" s="1"/>
  <c r="F15" i="68"/>
  <c r="H15" i="68" s="1"/>
  <c r="F14" i="68"/>
  <c r="H14" i="68" s="1"/>
  <c r="F13" i="68"/>
  <c r="F9" i="68"/>
  <c r="H9" i="68" s="1"/>
  <c r="F8" i="68"/>
  <c r="H8" i="68" s="1"/>
  <c r="F5" i="68"/>
  <c r="H5" i="68" s="1"/>
  <c r="H37" i="68" l="1"/>
  <c r="H17" i="68"/>
  <c r="H57" i="68"/>
  <c r="F17" i="68"/>
  <c r="D23" i="68"/>
  <c r="D27" i="68" l="1"/>
  <c r="G23" i="68"/>
  <c r="G27" i="68" s="1"/>
  <c r="E57" i="67" l="1"/>
  <c r="D59" i="67" s="1"/>
  <c r="G101" i="67"/>
  <c r="H102" i="67" s="1"/>
  <c r="E101" i="67"/>
  <c r="D101" i="67"/>
  <c r="F100" i="67"/>
  <c r="H100" i="67" s="1"/>
  <c r="F97" i="67"/>
  <c r="H97" i="67" s="1"/>
  <c r="F96" i="67"/>
  <c r="H96" i="67" s="1"/>
  <c r="H95" i="67"/>
  <c r="F94" i="67"/>
  <c r="H94" i="67" s="1"/>
  <c r="H93" i="67"/>
  <c r="H92" i="67"/>
  <c r="F91" i="67"/>
  <c r="H91" i="67" s="1"/>
  <c r="F89" i="67"/>
  <c r="I57" i="67"/>
  <c r="G57" i="67"/>
  <c r="G59" i="67" s="1"/>
  <c r="F56" i="67"/>
  <c r="H56" i="67" s="1"/>
  <c r="F54" i="67"/>
  <c r="H54" i="67" s="1"/>
  <c r="F53" i="67"/>
  <c r="H53" i="67" s="1"/>
  <c r="F52" i="67"/>
  <c r="H52" i="67" s="1"/>
  <c r="F51" i="67"/>
  <c r="H51" i="67" s="1"/>
  <c r="H50" i="67"/>
  <c r="F49" i="67"/>
  <c r="H49" i="67" s="1"/>
  <c r="F47" i="67"/>
  <c r="H47" i="67" s="1"/>
  <c r="F46" i="67"/>
  <c r="H46" i="67" s="1"/>
  <c r="F48" i="67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G17" i="67"/>
  <c r="G19" i="67" s="1"/>
  <c r="E17" i="67"/>
  <c r="D19" i="67" s="1"/>
  <c r="D23" i="67" s="1"/>
  <c r="D17" i="67"/>
  <c r="F17" i="67" s="1"/>
  <c r="F16" i="67"/>
  <c r="H16" i="67" s="1"/>
  <c r="F15" i="67"/>
  <c r="H15" i="67" s="1"/>
  <c r="F14" i="67"/>
  <c r="H14" i="67" s="1"/>
  <c r="F13" i="67"/>
  <c r="F9" i="67"/>
  <c r="H9" i="67" s="1"/>
  <c r="F8" i="67"/>
  <c r="H8" i="67" s="1"/>
  <c r="F5" i="67"/>
  <c r="H5" i="67" s="1"/>
  <c r="F101" i="67" l="1"/>
  <c r="F57" i="67"/>
  <c r="H48" i="67"/>
  <c r="H57" i="67"/>
  <c r="D64" i="67"/>
  <c r="H17" i="67"/>
  <c r="H106" i="67"/>
  <c r="H110" i="67" s="1"/>
  <c r="H104" i="67"/>
  <c r="H89" i="67"/>
  <c r="H101" i="67" s="1"/>
  <c r="G57" i="66"/>
  <c r="E57" i="66"/>
  <c r="F57" i="66" s="1"/>
  <c r="H111" i="67" l="1"/>
  <c r="G64" i="67"/>
  <c r="G76" i="67" s="1"/>
  <c r="G23" i="67"/>
  <c r="G27" i="67" s="1"/>
  <c r="D27" i="67"/>
  <c r="G67" i="66"/>
  <c r="G70" i="66" s="1"/>
  <c r="E56" i="65" l="1"/>
  <c r="F56" i="65" s="1"/>
  <c r="G95" i="66" l="1"/>
  <c r="H96" i="66" s="1"/>
  <c r="E95" i="66"/>
  <c r="D95" i="66"/>
  <c r="F94" i="66"/>
  <c r="H94" i="66" s="1"/>
  <c r="F91" i="66"/>
  <c r="H91" i="66" s="1"/>
  <c r="F90" i="66"/>
  <c r="H90" i="66" s="1"/>
  <c r="H89" i="66"/>
  <c r="F88" i="66"/>
  <c r="H88" i="66" s="1"/>
  <c r="H87" i="66"/>
  <c r="H86" i="66"/>
  <c r="F85" i="66"/>
  <c r="H85" i="66" s="1"/>
  <c r="F83" i="66"/>
  <c r="F95" i="66" s="1"/>
  <c r="I57" i="66"/>
  <c r="G59" i="66"/>
  <c r="F56" i="66"/>
  <c r="H56" i="66" s="1"/>
  <c r="F55" i="66"/>
  <c r="H55" i="66" s="1"/>
  <c r="F54" i="66"/>
  <c r="H54" i="66" s="1"/>
  <c r="F53" i="66"/>
  <c r="H53" i="66" s="1"/>
  <c r="F52" i="66"/>
  <c r="H52" i="66" s="1"/>
  <c r="F51" i="66"/>
  <c r="H51" i="66" s="1"/>
  <c r="H50" i="66"/>
  <c r="F49" i="66"/>
  <c r="H49" i="66" s="1"/>
  <c r="F48" i="66"/>
  <c r="H48" i="66" s="1"/>
  <c r="F47" i="66"/>
  <c r="H47" i="66" s="1"/>
  <c r="F46" i="66"/>
  <c r="H46" i="66" s="1"/>
  <c r="F45" i="66"/>
  <c r="H45" i="66" s="1"/>
  <c r="F44" i="66"/>
  <c r="H44" i="66" s="1"/>
  <c r="F43" i="66"/>
  <c r="H43" i="66" s="1"/>
  <c r="F42" i="66"/>
  <c r="H42" i="66" s="1"/>
  <c r="F41" i="66"/>
  <c r="H41" i="66" s="1"/>
  <c r="F40" i="66"/>
  <c r="H40" i="66" s="1"/>
  <c r="F39" i="66"/>
  <c r="H39" i="66" s="1"/>
  <c r="F38" i="66"/>
  <c r="H38" i="66" s="1"/>
  <c r="F37" i="66"/>
  <c r="H37" i="66" s="1"/>
  <c r="G17" i="66"/>
  <c r="G19" i="66" s="1"/>
  <c r="E17" i="66"/>
  <c r="D19" i="66" s="1"/>
  <c r="D17" i="66"/>
  <c r="F16" i="66"/>
  <c r="H16" i="66" s="1"/>
  <c r="F15" i="66"/>
  <c r="H15" i="66" s="1"/>
  <c r="F14" i="66"/>
  <c r="H14" i="66" s="1"/>
  <c r="F13" i="66"/>
  <c r="F9" i="66"/>
  <c r="H9" i="66" s="1"/>
  <c r="F8" i="66"/>
  <c r="H8" i="66" s="1"/>
  <c r="F5" i="66"/>
  <c r="H5" i="66" s="1"/>
  <c r="F17" i="66" l="1"/>
  <c r="H83" i="66"/>
  <c r="H95" i="66" s="1"/>
  <c r="H57" i="66"/>
  <c r="D59" i="66"/>
  <c r="D64" i="66" s="1"/>
  <c r="H17" i="66"/>
  <c r="D23" i="66"/>
  <c r="D27" i="66" s="1"/>
  <c r="H100" i="66"/>
  <c r="H104" i="66" s="1"/>
  <c r="H98" i="66"/>
  <c r="H105" i="66" l="1"/>
  <c r="G64" i="66"/>
  <c r="G23" i="66"/>
  <c r="G27" i="66" s="1"/>
  <c r="G56" i="65"/>
  <c r="H49" i="65"/>
  <c r="G16" i="65" l="1"/>
  <c r="G95" i="65" l="1"/>
  <c r="H96" i="65" s="1"/>
  <c r="E95" i="65"/>
  <c r="D95" i="65"/>
  <c r="F94" i="65"/>
  <c r="H94" i="65" s="1"/>
  <c r="F91" i="65"/>
  <c r="H91" i="65" s="1"/>
  <c r="F90" i="65"/>
  <c r="H90" i="65" s="1"/>
  <c r="H89" i="65"/>
  <c r="F88" i="65"/>
  <c r="H88" i="65" s="1"/>
  <c r="H87" i="65"/>
  <c r="H86" i="65"/>
  <c r="F85" i="65"/>
  <c r="H85" i="65" s="1"/>
  <c r="F83" i="65"/>
  <c r="F95" i="65" s="1"/>
  <c r="I56" i="65"/>
  <c r="G58" i="65"/>
  <c r="D58" i="65"/>
  <c r="F55" i="65"/>
  <c r="H55" i="65" s="1"/>
  <c r="F54" i="65"/>
  <c r="H54" i="65" s="1"/>
  <c r="F53" i="65"/>
  <c r="H53" i="65" s="1"/>
  <c r="F52" i="65"/>
  <c r="H52" i="65" s="1"/>
  <c r="F51" i="65"/>
  <c r="H51" i="65" s="1"/>
  <c r="F50" i="65"/>
  <c r="H50" i="65" s="1"/>
  <c r="F48" i="65"/>
  <c r="H48" i="65" s="1"/>
  <c r="F47" i="65"/>
  <c r="H47" i="65" s="1"/>
  <c r="F46" i="65"/>
  <c r="H46" i="65" s="1"/>
  <c r="F45" i="65"/>
  <c r="H45" i="65" s="1"/>
  <c r="F44" i="65"/>
  <c r="H44" i="65" s="1"/>
  <c r="F43" i="65"/>
  <c r="H43" i="65" s="1"/>
  <c r="F42" i="65"/>
  <c r="H42" i="65" s="1"/>
  <c r="F41" i="65"/>
  <c r="H41" i="65" s="1"/>
  <c r="F40" i="65"/>
  <c r="H40" i="65" s="1"/>
  <c r="F39" i="65"/>
  <c r="H39" i="65" s="1"/>
  <c r="F38" i="65"/>
  <c r="H38" i="65" s="1"/>
  <c r="F37" i="65"/>
  <c r="H37" i="65" s="1"/>
  <c r="F36" i="65"/>
  <c r="H36" i="65" s="1"/>
  <c r="G18" i="65"/>
  <c r="E16" i="65"/>
  <c r="D18" i="65" s="1"/>
  <c r="D16" i="65"/>
  <c r="F15" i="65"/>
  <c r="H15" i="65" s="1"/>
  <c r="F14" i="65"/>
  <c r="H14" i="65" s="1"/>
  <c r="F13" i="65"/>
  <c r="H13" i="65" s="1"/>
  <c r="F12" i="65"/>
  <c r="F8" i="65"/>
  <c r="H8" i="65" s="1"/>
  <c r="F7" i="65"/>
  <c r="H7" i="65" s="1"/>
  <c r="F4" i="65"/>
  <c r="H4" i="65" s="1"/>
  <c r="F38" i="64"/>
  <c r="F39" i="64"/>
  <c r="F40" i="64"/>
  <c r="F41" i="64"/>
  <c r="H16" i="65" l="1"/>
  <c r="F16" i="65"/>
  <c r="D63" i="65"/>
  <c r="D69" i="65" s="1"/>
  <c r="H56" i="65"/>
  <c r="D22" i="65"/>
  <c r="H100" i="65"/>
  <c r="H104" i="65" s="1"/>
  <c r="H98" i="65"/>
  <c r="H83" i="65"/>
  <c r="H95" i="65" s="1"/>
  <c r="H49" i="64"/>
  <c r="H105" i="65" l="1"/>
  <c r="G63" i="65"/>
  <c r="G69" i="65" s="1"/>
  <c r="G22" i="65"/>
  <c r="G26" i="65" s="1"/>
  <c r="D26" i="65"/>
  <c r="F43" i="64"/>
  <c r="E56" i="64" l="1"/>
  <c r="F56" i="64" l="1"/>
  <c r="G56" i="64"/>
  <c r="G95" i="64" l="1"/>
  <c r="H96" i="64" s="1"/>
  <c r="E95" i="64"/>
  <c r="D95" i="64"/>
  <c r="F94" i="64"/>
  <c r="H94" i="64" s="1"/>
  <c r="F91" i="64"/>
  <c r="H91" i="64" s="1"/>
  <c r="F90" i="64"/>
  <c r="H89" i="64"/>
  <c r="F88" i="64"/>
  <c r="H88" i="64" s="1"/>
  <c r="H87" i="64"/>
  <c r="H86" i="64"/>
  <c r="F85" i="64"/>
  <c r="H85" i="64" s="1"/>
  <c r="F83" i="64"/>
  <c r="H83" i="64" s="1"/>
  <c r="I56" i="64"/>
  <c r="G58" i="64"/>
  <c r="D58" i="64"/>
  <c r="F55" i="64"/>
  <c r="H55" i="64" s="1"/>
  <c r="F54" i="64"/>
  <c r="H54" i="64" s="1"/>
  <c r="F53" i="64"/>
  <c r="H53" i="64" s="1"/>
  <c r="F52" i="64"/>
  <c r="H52" i="64" s="1"/>
  <c r="F51" i="64"/>
  <c r="H51" i="64" s="1"/>
  <c r="F50" i="64"/>
  <c r="H50" i="64" s="1"/>
  <c r="F48" i="64"/>
  <c r="H48" i="64" s="1"/>
  <c r="F47" i="64"/>
  <c r="H47" i="64" s="1"/>
  <c r="F46" i="64"/>
  <c r="H46" i="64" s="1"/>
  <c r="F45" i="64"/>
  <c r="H45" i="64" s="1"/>
  <c r="F44" i="64"/>
  <c r="H44" i="64" s="1"/>
  <c r="F42" i="64"/>
  <c r="H42" i="64" s="1"/>
  <c r="H41" i="64"/>
  <c r="H40" i="64"/>
  <c r="H39" i="64"/>
  <c r="H38" i="64"/>
  <c r="F37" i="64"/>
  <c r="H37" i="64" s="1"/>
  <c r="F36" i="64"/>
  <c r="H36" i="64" s="1"/>
  <c r="G16" i="64"/>
  <c r="G18" i="64" s="1"/>
  <c r="E16" i="64"/>
  <c r="D18" i="64" s="1"/>
  <c r="D16" i="64"/>
  <c r="F15" i="64"/>
  <c r="H15" i="64" s="1"/>
  <c r="F14" i="64"/>
  <c r="H14" i="64" s="1"/>
  <c r="F13" i="64"/>
  <c r="H13" i="64" s="1"/>
  <c r="F12" i="64"/>
  <c r="F8" i="64"/>
  <c r="H8" i="64" s="1"/>
  <c r="F7" i="64"/>
  <c r="H7" i="64" s="1"/>
  <c r="F4" i="64"/>
  <c r="H4" i="64" s="1"/>
  <c r="F16" i="64" l="1"/>
  <c r="H56" i="64"/>
  <c r="F95" i="64"/>
  <c r="H16" i="64"/>
  <c r="H100" i="64"/>
  <c r="H104" i="64" s="1"/>
  <c r="H98" i="64"/>
  <c r="D22" i="64"/>
  <c r="D63" i="64"/>
  <c r="H90" i="64"/>
  <c r="H95" i="64" s="1"/>
  <c r="E56" i="62"/>
  <c r="E56" i="63"/>
  <c r="H105" i="64" l="1"/>
  <c r="G63" i="64"/>
  <c r="G69" i="64" s="1"/>
  <c r="D69" i="64"/>
  <c r="G22" i="64"/>
  <c r="G26" i="64" s="1"/>
  <c r="D26" i="64"/>
  <c r="G96" i="63"/>
  <c r="H97" i="63" s="1"/>
  <c r="E96" i="63"/>
  <c r="D96" i="63"/>
  <c r="F95" i="63"/>
  <c r="H95" i="63" s="1"/>
  <c r="F92" i="63"/>
  <c r="H92" i="63" s="1"/>
  <c r="F91" i="63"/>
  <c r="H91" i="63" s="1"/>
  <c r="H90" i="63"/>
  <c r="F89" i="63"/>
  <c r="H89" i="63" s="1"/>
  <c r="H88" i="63"/>
  <c r="H87" i="63"/>
  <c r="F86" i="63"/>
  <c r="H86" i="63" s="1"/>
  <c r="F84" i="63"/>
  <c r="I56" i="63"/>
  <c r="G56" i="63"/>
  <c r="G58" i="63" s="1"/>
  <c r="D58" i="63"/>
  <c r="D63" i="63" s="1"/>
  <c r="D69" i="63" s="1"/>
  <c r="F55" i="63"/>
  <c r="H55" i="63" s="1"/>
  <c r="F54" i="63"/>
  <c r="H54" i="63" s="1"/>
  <c r="F53" i="63"/>
  <c r="H53" i="63" s="1"/>
  <c r="F52" i="63"/>
  <c r="H52" i="63" s="1"/>
  <c r="F51" i="63"/>
  <c r="H51" i="63" s="1"/>
  <c r="F50" i="63"/>
  <c r="H50" i="63" s="1"/>
  <c r="H49" i="63"/>
  <c r="F48" i="63"/>
  <c r="H48" i="63" s="1"/>
  <c r="F47" i="63"/>
  <c r="H47" i="63" s="1"/>
  <c r="F46" i="63"/>
  <c r="H46" i="63" s="1"/>
  <c r="F45" i="63"/>
  <c r="H45" i="63" s="1"/>
  <c r="F44" i="63"/>
  <c r="H44" i="63" s="1"/>
  <c r="H43" i="63"/>
  <c r="F42" i="63"/>
  <c r="H42" i="63" s="1"/>
  <c r="H41" i="63"/>
  <c r="F40" i="63"/>
  <c r="H40" i="63" s="1"/>
  <c r="H39" i="63"/>
  <c r="F38" i="63"/>
  <c r="H38" i="63" s="1"/>
  <c r="F37" i="63"/>
  <c r="H37" i="63" s="1"/>
  <c r="F36" i="63"/>
  <c r="H36" i="63" s="1"/>
  <c r="G16" i="63"/>
  <c r="G18" i="63" s="1"/>
  <c r="E16" i="63"/>
  <c r="D18" i="63" s="1"/>
  <c r="D16" i="63"/>
  <c r="F15" i="63"/>
  <c r="H15" i="63" s="1"/>
  <c r="F14" i="63"/>
  <c r="H14" i="63" s="1"/>
  <c r="F13" i="63"/>
  <c r="H13" i="63" s="1"/>
  <c r="F12" i="63"/>
  <c r="F9" i="63"/>
  <c r="H9" i="63" s="1"/>
  <c r="F8" i="63"/>
  <c r="H8" i="63" s="1"/>
  <c r="F7" i="63"/>
  <c r="H7" i="63" s="1"/>
  <c r="F4" i="63"/>
  <c r="H4" i="63" s="1"/>
  <c r="F96" i="63" l="1"/>
  <c r="H84" i="63"/>
  <c r="H96" i="63" s="1"/>
  <c r="H16" i="63"/>
  <c r="F16" i="63"/>
  <c r="H56" i="63"/>
  <c r="D22" i="63"/>
  <c r="H101" i="63"/>
  <c r="H105" i="63" s="1"/>
  <c r="F56" i="63"/>
  <c r="H39" i="62"/>
  <c r="H41" i="62"/>
  <c r="H43" i="62"/>
  <c r="H49" i="62"/>
  <c r="G63" i="63" l="1"/>
  <c r="G69" i="63" s="1"/>
  <c r="D26" i="63"/>
  <c r="G22" i="63"/>
  <c r="G26" i="63" s="1"/>
  <c r="G106" i="60"/>
  <c r="F124" i="55"/>
  <c r="G96" i="62" l="1"/>
  <c r="H97" i="62" s="1"/>
  <c r="E96" i="62"/>
  <c r="D96" i="62"/>
  <c r="F95" i="62"/>
  <c r="H95" i="62" s="1"/>
  <c r="F92" i="62"/>
  <c r="H92" i="62" s="1"/>
  <c r="F91" i="62"/>
  <c r="H91" i="62" s="1"/>
  <c r="H90" i="62"/>
  <c r="F89" i="62"/>
  <c r="H89" i="62" s="1"/>
  <c r="H88" i="62"/>
  <c r="H87" i="62"/>
  <c r="F86" i="62"/>
  <c r="H86" i="62" s="1"/>
  <c r="F84" i="62"/>
  <c r="F96" i="62" s="1"/>
  <c r="H101" i="62" l="1"/>
  <c r="H105" i="62" s="1"/>
  <c r="H99" i="62"/>
  <c r="H84" i="62"/>
  <c r="H96" i="62" s="1"/>
  <c r="H106" i="62" l="1"/>
  <c r="H98" i="63" s="1"/>
  <c r="H99" i="63" s="1"/>
  <c r="H106" i="63" s="1"/>
  <c r="Q46" i="62"/>
  <c r="G16" i="61" l="1"/>
  <c r="I56" i="62" l="1"/>
  <c r="G56" i="62"/>
  <c r="G58" i="62" s="1"/>
  <c r="D58" i="62"/>
  <c r="F55" i="62"/>
  <c r="H55" i="62" s="1"/>
  <c r="F54" i="62"/>
  <c r="H54" i="62" s="1"/>
  <c r="F53" i="62"/>
  <c r="H53" i="62" s="1"/>
  <c r="F52" i="62"/>
  <c r="H52" i="62" s="1"/>
  <c r="F51" i="62"/>
  <c r="H51" i="62" s="1"/>
  <c r="F50" i="62"/>
  <c r="H50" i="62" s="1"/>
  <c r="F48" i="62"/>
  <c r="H48" i="62" s="1"/>
  <c r="F47" i="62"/>
  <c r="H47" i="62" s="1"/>
  <c r="F45" i="62"/>
  <c r="H45" i="62" s="1"/>
  <c r="F44" i="62"/>
  <c r="H44" i="62" s="1"/>
  <c r="F46" i="62"/>
  <c r="H46" i="62" s="1"/>
  <c r="F42" i="62"/>
  <c r="H42" i="62" s="1"/>
  <c r="F40" i="62"/>
  <c r="H40" i="62" s="1"/>
  <c r="F38" i="62"/>
  <c r="H38" i="62" s="1"/>
  <c r="F37" i="62"/>
  <c r="H37" i="62" s="1"/>
  <c r="F36" i="62"/>
  <c r="H36" i="62" s="1"/>
  <c r="G16" i="62"/>
  <c r="G18" i="62" s="1"/>
  <c r="E16" i="62"/>
  <c r="D18" i="62" s="1"/>
  <c r="D16" i="62"/>
  <c r="F15" i="62"/>
  <c r="H15" i="62" s="1"/>
  <c r="F14" i="62"/>
  <c r="H14" i="62" s="1"/>
  <c r="F13" i="62"/>
  <c r="H13" i="62" s="1"/>
  <c r="F12" i="62"/>
  <c r="F9" i="62"/>
  <c r="H9" i="62" s="1"/>
  <c r="F8" i="62"/>
  <c r="H8" i="62" s="1"/>
  <c r="F7" i="62"/>
  <c r="H7" i="62" s="1"/>
  <c r="F4" i="62"/>
  <c r="H4" i="62" s="1"/>
  <c r="H56" i="62" l="1"/>
  <c r="F16" i="62"/>
  <c r="D63" i="62"/>
  <c r="D69" i="62" s="1"/>
  <c r="F56" i="62"/>
  <c r="H16" i="62"/>
  <c r="D22" i="62"/>
  <c r="D20" i="62"/>
  <c r="I106" i="61"/>
  <c r="G63" i="62" l="1"/>
  <c r="G69" i="62" s="1"/>
  <c r="G22" i="62"/>
  <c r="G26" i="62" s="1"/>
  <c r="D26" i="62"/>
  <c r="D27" i="62" s="1"/>
  <c r="E106" i="61"/>
  <c r="D19" i="63" l="1"/>
  <c r="D20" i="63" s="1"/>
  <c r="D27" i="63" s="1"/>
  <c r="D19" i="65"/>
  <c r="D20" i="65" s="1"/>
  <c r="D27" i="65" s="1"/>
  <c r="D19" i="64"/>
  <c r="D20" i="64" s="1"/>
  <c r="D27" i="64" s="1"/>
  <c r="D108" i="61"/>
  <c r="C166" i="61"/>
  <c r="G166" i="61" s="1"/>
  <c r="G158" i="61"/>
  <c r="G160" i="61" s="1"/>
  <c r="G163" i="61" s="1"/>
  <c r="E158" i="61"/>
  <c r="C160" i="61" s="1"/>
  <c r="D158" i="61"/>
  <c r="F156" i="61"/>
  <c r="H156" i="61" s="1"/>
  <c r="F155" i="61"/>
  <c r="H155" i="61" s="1"/>
  <c r="F154" i="61"/>
  <c r="H154" i="61" s="1"/>
  <c r="F153" i="61"/>
  <c r="H153" i="61" s="1"/>
  <c r="F152" i="61"/>
  <c r="H152" i="61" s="1"/>
  <c r="F151" i="61"/>
  <c r="H151" i="61" s="1"/>
  <c r="F150" i="61"/>
  <c r="H150" i="61" s="1"/>
  <c r="F149" i="61"/>
  <c r="H149" i="61" s="1"/>
  <c r="F148" i="61"/>
  <c r="H148" i="61" s="1"/>
  <c r="F147" i="61"/>
  <c r="H147" i="61" s="1"/>
  <c r="F146" i="61"/>
  <c r="H146" i="61" s="1"/>
  <c r="F145" i="61"/>
  <c r="H145" i="61" s="1"/>
  <c r="F144" i="61"/>
  <c r="F143" i="61"/>
  <c r="H143" i="61" s="1"/>
  <c r="F142" i="61"/>
  <c r="H142" i="61" s="1"/>
  <c r="F141" i="61"/>
  <c r="H141" i="61" s="1"/>
  <c r="F140" i="61"/>
  <c r="H140" i="61" s="1"/>
  <c r="F139" i="61"/>
  <c r="H139" i="61" s="1"/>
  <c r="F138" i="61"/>
  <c r="H138" i="61" s="1"/>
  <c r="F137" i="61"/>
  <c r="F136" i="61"/>
  <c r="H136" i="61" s="1"/>
  <c r="F135" i="61"/>
  <c r="H135" i="61" s="1"/>
  <c r="F134" i="61"/>
  <c r="H134" i="61" s="1"/>
  <c r="F133" i="61"/>
  <c r="H133" i="61" s="1"/>
  <c r="F132" i="61"/>
  <c r="H132" i="61" s="1"/>
  <c r="F131" i="61"/>
  <c r="G106" i="61"/>
  <c r="G108" i="61" s="1"/>
  <c r="F105" i="61"/>
  <c r="H105" i="61" s="1"/>
  <c r="F104" i="61"/>
  <c r="H104" i="61" s="1"/>
  <c r="F103" i="61"/>
  <c r="H103" i="61" s="1"/>
  <c r="F102" i="61"/>
  <c r="H102" i="61" s="1"/>
  <c r="F101" i="61"/>
  <c r="H101" i="61" s="1"/>
  <c r="F100" i="61"/>
  <c r="H100" i="61" s="1"/>
  <c r="F99" i="61"/>
  <c r="H99" i="61" s="1"/>
  <c r="F98" i="61"/>
  <c r="H98" i="61" s="1"/>
  <c r="F97" i="61"/>
  <c r="H97" i="61" s="1"/>
  <c r="F96" i="61"/>
  <c r="H96" i="61" s="1"/>
  <c r="F95" i="61"/>
  <c r="H95" i="61" s="1"/>
  <c r="F94" i="61"/>
  <c r="H94" i="61" s="1"/>
  <c r="F93" i="61"/>
  <c r="H93" i="61" s="1"/>
  <c r="F92" i="61"/>
  <c r="H92" i="61" s="1"/>
  <c r="F91" i="61"/>
  <c r="H91" i="61" s="1"/>
  <c r="F90" i="61"/>
  <c r="H90" i="61" s="1"/>
  <c r="F89" i="61"/>
  <c r="H89" i="61" s="1"/>
  <c r="F88" i="61"/>
  <c r="H88" i="61" s="1"/>
  <c r="F87" i="61"/>
  <c r="H87" i="61" s="1"/>
  <c r="F86" i="61"/>
  <c r="H86" i="61" s="1"/>
  <c r="F69" i="61"/>
  <c r="G72" i="61" s="1"/>
  <c r="D69" i="61"/>
  <c r="D72" i="61" s="1"/>
  <c r="C69" i="61"/>
  <c r="E68" i="61"/>
  <c r="G68" i="61" s="1"/>
  <c r="E65" i="61"/>
  <c r="G65" i="61" s="1"/>
  <c r="E64" i="61"/>
  <c r="G49" i="61"/>
  <c r="H50" i="61" s="1"/>
  <c r="E49" i="61"/>
  <c r="D49" i="61"/>
  <c r="F48" i="61"/>
  <c r="H48" i="61" s="1"/>
  <c r="F45" i="61"/>
  <c r="H45" i="61" s="1"/>
  <c r="F44" i="61"/>
  <c r="H44" i="61" s="1"/>
  <c r="H43" i="61"/>
  <c r="F42" i="61"/>
  <c r="H42" i="61" s="1"/>
  <c r="H41" i="61"/>
  <c r="H40" i="61"/>
  <c r="F39" i="61"/>
  <c r="H39" i="61" s="1"/>
  <c r="F37" i="61"/>
  <c r="G18" i="61"/>
  <c r="E16" i="61"/>
  <c r="D18" i="61" s="1"/>
  <c r="D16" i="61"/>
  <c r="F15" i="61"/>
  <c r="H15" i="61" s="1"/>
  <c r="F14" i="61"/>
  <c r="H14" i="61" s="1"/>
  <c r="F13" i="61"/>
  <c r="H13" i="61" s="1"/>
  <c r="F12" i="61"/>
  <c r="F9" i="61"/>
  <c r="H9" i="61" s="1"/>
  <c r="F8" i="61"/>
  <c r="H8" i="61" s="1"/>
  <c r="F7" i="61"/>
  <c r="H7" i="61" s="1"/>
  <c r="F4" i="61"/>
  <c r="H4" i="61" s="1"/>
  <c r="F158" i="61" l="1"/>
  <c r="F49" i="61"/>
  <c r="E69" i="61"/>
  <c r="H37" i="61"/>
  <c r="H49" i="61" s="1"/>
  <c r="H131" i="61"/>
  <c r="H158" i="61" s="1"/>
  <c r="D113" i="61"/>
  <c r="D119" i="61" s="1"/>
  <c r="F16" i="61"/>
  <c r="H106" i="61"/>
  <c r="H16" i="61"/>
  <c r="D22" i="61"/>
  <c r="D20" i="61"/>
  <c r="G77" i="61"/>
  <c r="G79" i="61" s="1"/>
  <c r="D79" i="61"/>
  <c r="D75" i="61"/>
  <c r="H52" i="61"/>
  <c r="H54" i="61"/>
  <c r="H58" i="61" s="1"/>
  <c r="G165" i="61"/>
  <c r="G176" i="61" s="1"/>
  <c r="G177" i="61" s="1"/>
  <c r="C165" i="61"/>
  <c r="C176" i="61" s="1"/>
  <c r="C163" i="61"/>
  <c r="C161" i="61"/>
  <c r="G161" i="61" s="1"/>
  <c r="G64" i="61"/>
  <c r="G69" i="61" s="1"/>
  <c r="F106" i="61"/>
  <c r="E106" i="60"/>
  <c r="F87" i="60"/>
  <c r="F88" i="60"/>
  <c r="F89" i="60"/>
  <c r="F90" i="60"/>
  <c r="F91" i="60"/>
  <c r="F92" i="60"/>
  <c r="F93" i="60"/>
  <c r="H93" i="60" s="1"/>
  <c r="F94" i="60"/>
  <c r="F95" i="60"/>
  <c r="F96" i="60"/>
  <c r="F97" i="60"/>
  <c r="F98" i="60"/>
  <c r="F99" i="60"/>
  <c r="F100" i="60"/>
  <c r="F101" i="60"/>
  <c r="F102" i="60"/>
  <c r="F103" i="60"/>
  <c r="F104" i="60"/>
  <c r="F105" i="60"/>
  <c r="F86" i="60"/>
  <c r="C177" i="61" l="1"/>
  <c r="H59" i="61"/>
  <c r="G113" i="61"/>
  <c r="G119" i="61" s="1"/>
  <c r="G22" i="61"/>
  <c r="G26" i="61" s="1"/>
  <c r="D26" i="61"/>
  <c r="D27" i="61" s="1"/>
  <c r="H87" i="60"/>
  <c r="H88" i="60"/>
  <c r="H89" i="60"/>
  <c r="H90" i="60"/>
  <c r="H91" i="60"/>
  <c r="H92" i="60"/>
  <c r="H94" i="60"/>
  <c r="H95" i="60"/>
  <c r="H96" i="60"/>
  <c r="H97" i="60"/>
  <c r="H98" i="60"/>
  <c r="H99" i="60"/>
  <c r="H101" i="60"/>
  <c r="H102" i="60"/>
  <c r="H103" i="60"/>
  <c r="H104" i="60"/>
  <c r="H100" i="60"/>
  <c r="H86" i="60"/>
  <c r="M14" i="60" l="1"/>
  <c r="F87" i="59" l="1"/>
  <c r="F88" i="59"/>
  <c r="F89" i="59"/>
  <c r="F90" i="59"/>
  <c r="F91" i="59"/>
  <c r="F92" i="59"/>
  <c r="F93" i="59"/>
  <c r="F94" i="59"/>
  <c r="F95" i="59"/>
  <c r="F96" i="59"/>
  <c r="F97" i="59"/>
  <c r="F98" i="59"/>
  <c r="F99" i="59"/>
  <c r="F100" i="59"/>
  <c r="F101" i="59"/>
  <c r="F102" i="59"/>
  <c r="F103" i="59"/>
  <c r="F104" i="59"/>
  <c r="F87" i="58"/>
  <c r="F88" i="58"/>
  <c r="F89" i="58"/>
  <c r="F90" i="58"/>
  <c r="F91" i="58"/>
  <c r="F92" i="58"/>
  <c r="F93" i="58"/>
  <c r="F94" i="58"/>
  <c r="F95" i="58"/>
  <c r="F96" i="58"/>
  <c r="F97" i="58"/>
  <c r="F98" i="58"/>
  <c r="F99" i="58"/>
  <c r="F100" i="58"/>
  <c r="F101" i="58"/>
  <c r="F102" i="58"/>
  <c r="F103" i="58"/>
  <c r="F104" i="58"/>
  <c r="F86" i="58"/>
  <c r="F105" i="57"/>
  <c r="F106" i="57"/>
  <c r="F107" i="57"/>
  <c r="F108" i="57"/>
  <c r="F109" i="57"/>
  <c r="F110" i="57"/>
  <c r="F111" i="57"/>
  <c r="F112" i="57"/>
  <c r="F113" i="57"/>
  <c r="F114" i="57"/>
  <c r="F115" i="57"/>
  <c r="F116" i="57"/>
  <c r="F117" i="57"/>
  <c r="F118" i="57"/>
  <c r="F104" i="57"/>
  <c r="L142" i="59" l="1"/>
  <c r="N142" i="59" s="1"/>
  <c r="C161" i="60" l="1"/>
  <c r="G161" i="60" s="1"/>
  <c r="G153" i="60"/>
  <c r="G155" i="60" s="1"/>
  <c r="G158" i="60" s="1"/>
  <c r="E153" i="60"/>
  <c r="C155" i="60" s="1"/>
  <c r="G160" i="60" s="1"/>
  <c r="G171" i="60" s="1"/>
  <c r="D153" i="60"/>
  <c r="F151" i="60"/>
  <c r="H151" i="60" s="1"/>
  <c r="F150" i="60"/>
  <c r="H150" i="60" s="1"/>
  <c r="F149" i="60"/>
  <c r="H149" i="60" s="1"/>
  <c r="F148" i="60"/>
  <c r="H148" i="60" s="1"/>
  <c r="F147" i="60"/>
  <c r="H147" i="60" s="1"/>
  <c r="F146" i="60"/>
  <c r="H146" i="60" s="1"/>
  <c r="F145" i="60"/>
  <c r="H145" i="60" s="1"/>
  <c r="F144" i="60"/>
  <c r="H144" i="60" s="1"/>
  <c r="F143" i="60"/>
  <c r="H143" i="60" s="1"/>
  <c r="F142" i="60"/>
  <c r="H142" i="60" s="1"/>
  <c r="F141" i="60"/>
  <c r="H141" i="60" s="1"/>
  <c r="F140" i="60"/>
  <c r="H140" i="60" s="1"/>
  <c r="F139" i="60"/>
  <c r="F138" i="60"/>
  <c r="H138" i="60" s="1"/>
  <c r="F137" i="60"/>
  <c r="H137" i="60" s="1"/>
  <c r="F136" i="60"/>
  <c r="H136" i="60" s="1"/>
  <c r="F135" i="60"/>
  <c r="H135" i="60" s="1"/>
  <c r="F134" i="60"/>
  <c r="H134" i="60" s="1"/>
  <c r="F133" i="60"/>
  <c r="H133" i="60" s="1"/>
  <c r="F132" i="60"/>
  <c r="F131" i="60"/>
  <c r="H131" i="60" s="1"/>
  <c r="F130" i="60"/>
  <c r="H130" i="60" s="1"/>
  <c r="F129" i="60"/>
  <c r="H129" i="60" s="1"/>
  <c r="F128" i="60"/>
  <c r="H128" i="60" s="1"/>
  <c r="F127" i="60"/>
  <c r="H127" i="60" s="1"/>
  <c r="F126" i="60"/>
  <c r="G108" i="60"/>
  <c r="D108" i="60"/>
  <c r="H105" i="60"/>
  <c r="F69" i="60"/>
  <c r="G72" i="60" s="1"/>
  <c r="D69" i="60"/>
  <c r="D72" i="60" s="1"/>
  <c r="G77" i="60" s="1"/>
  <c r="G79" i="60" s="1"/>
  <c r="C69" i="60"/>
  <c r="E68" i="60"/>
  <c r="G68" i="60" s="1"/>
  <c r="E65" i="60"/>
  <c r="G65" i="60" s="1"/>
  <c r="E64" i="60"/>
  <c r="G64" i="60" s="1"/>
  <c r="G49" i="60"/>
  <c r="H50" i="60" s="1"/>
  <c r="H52" i="60" s="1"/>
  <c r="E49" i="60"/>
  <c r="D49" i="60"/>
  <c r="F48" i="60"/>
  <c r="H48" i="60" s="1"/>
  <c r="F45" i="60"/>
  <c r="H45" i="60" s="1"/>
  <c r="F44" i="60"/>
  <c r="H44" i="60" s="1"/>
  <c r="H43" i="60"/>
  <c r="F42" i="60"/>
  <c r="H42" i="60" s="1"/>
  <c r="H41" i="60"/>
  <c r="H40" i="60"/>
  <c r="F39" i="60"/>
  <c r="H39" i="60" s="1"/>
  <c r="F37" i="60"/>
  <c r="G16" i="60"/>
  <c r="G18" i="60" s="1"/>
  <c r="E16" i="60"/>
  <c r="D18" i="60" s="1"/>
  <c r="D20" i="60" s="1"/>
  <c r="D16" i="60"/>
  <c r="F15" i="60"/>
  <c r="H15" i="60" s="1"/>
  <c r="F14" i="60"/>
  <c r="H14" i="60" s="1"/>
  <c r="F13" i="60"/>
  <c r="H13" i="60" s="1"/>
  <c r="F12" i="60"/>
  <c r="F9" i="60"/>
  <c r="H9" i="60" s="1"/>
  <c r="F8" i="60"/>
  <c r="H8" i="60" s="1"/>
  <c r="F7" i="60"/>
  <c r="H7" i="60" s="1"/>
  <c r="F5" i="60"/>
  <c r="H5" i="60" s="1"/>
  <c r="F4" i="60"/>
  <c r="H4" i="60" s="1"/>
  <c r="F153" i="60" l="1"/>
  <c r="F49" i="60"/>
  <c r="G69" i="60"/>
  <c r="H126" i="60"/>
  <c r="E69" i="60"/>
  <c r="D113" i="60"/>
  <c r="D119" i="60" s="1"/>
  <c r="H37" i="60"/>
  <c r="H49" i="60" s="1"/>
  <c r="H16" i="60"/>
  <c r="F16" i="60"/>
  <c r="H153" i="60"/>
  <c r="F106" i="60"/>
  <c r="H106" i="60"/>
  <c r="G172" i="60"/>
  <c r="D22" i="60"/>
  <c r="H54" i="60"/>
  <c r="H58" i="60" s="1"/>
  <c r="H59" i="60" s="1"/>
  <c r="D75" i="60"/>
  <c r="D79" i="60"/>
  <c r="C156" i="60"/>
  <c r="G156" i="60" s="1"/>
  <c r="C158" i="60"/>
  <c r="C160" i="60"/>
  <c r="C171" i="60" s="1"/>
  <c r="C160" i="59"/>
  <c r="G113" i="60" l="1"/>
  <c r="G119" i="60" s="1"/>
  <c r="D26" i="60"/>
  <c r="D27" i="60" s="1"/>
  <c r="G22" i="60"/>
  <c r="G26" i="60" s="1"/>
  <c r="C172" i="60"/>
  <c r="E106" i="59"/>
  <c r="G16" i="59" l="1"/>
  <c r="G18" i="59" s="1"/>
  <c r="E16" i="59"/>
  <c r="C160" i="58" l="1"/>
  <c r="E152" i="58"/>
  <c r="G160" i="59" l="1"/>
  <c r="G152" i="59"/>
  <c r="G154" i="59" s="1"/>
  <c r="G157" i="59" s="1"/>
  <c r="E152" i="59"/>
  <c r="C154" i="59" s="1"/>
  <c r="C157" i="59" s="1"/>
  <c r="D152" i="59"/>
  <c r="F150" i="59"/>
  <c r="H150" i="59" s="1"/>
  <c r="F149" i="59"/>
  <c r="H149" i="59" s="1"/>
  <c r="F148" i="59"/>
  <c r="H148" i="59" s="1"/>
  <c r="F147" i="59"/>
  <c r="H147" i="59" s="1"/>
  <c r="F146" i="59"/>
  <c r="H146" i="59" s="1"/>
  <c r="F145" i="59"/>
  <c r="H145" i="59" s="1"/>
  <c r="F144" i="59"/>
  <c r="H144" i="59" s="1"/>
  <c r="F143" i="59"/>
  <c r="H143" i="59" s="1"/>
  <c r="F142" i="59"/>
  <c r="H142" i="59" s="1"/>
  <c r="F141" i="59"/>
  <c r="H141" i="59" s="1"/>
  <c r="F140" i="59"/>
  <c r="H140" i="59" s="1"/>
  <c r="F139" i="59"/>
  <c r="H139" i="59" s="1"/>
  <c r="F138" i="59"/>
  <c r="F137" i="59"/>
  <c r="H137" i="59" s="1"/>
  <c r="F136" i="59"/>
  <c r="H136" i="59" s="1"/>
  <c r="F135" i="59"/>
  <c r="H135" i="59" s="1"/>
  <c r="F134" i="59"/>
  <c r="H134" i="59" s="1"/>
  <c r="F133" i="59"/>
  <c r="H133" i="59" s="1"/>
  <c r="F132" i="59"/>
  <c r="H132" i="59" s="1"/>
  <c r="F131" i="59"/>
  <c r="F130" i="59"/>
  <c r="H130" i="59" s="1"/>
  <c r="F129" i="59"/>
  <c r="H129" i="59" s="1"/>
  <c r="F128" i="59"/>
  <c r="H128" i="59" s="1"/>
  <c r="F127" i="59"/>
  <c r="H127" i="59" s="1"/>
  <c r="F126" i="59"/>
  <c r="H126" i="59" s="1"/>
  <c r="F125" i="59"/>
  <c r="G106" i="59"/>
  <c r="G108" i="59" s="1"/>
  <c r="D108" i="59"/>
  <c r="D112" i="59" s="1"/>
  <c r="D118" i="59" s="1"/>
  <c r="F105" i="59"/>
  <c r="H105" i="59" s="1"/>
  <c r="H104" i="59"/>
  <c r="H103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8" i="59"/>
  <c r="H87" i="59"/>
  <c r="F86" i="59"/>
  <c r="H86" i="59" s="1"/>
  <c r="F69" i="59"/>
  <c r="G72" i="59" s="1"/>
  <c r="D69" i="59"/>
  <c r="D72" i="59" s="1"/>
  <c r="G77" i="59" s="1"/>
  <c r="G79" i="59" s="1"/>
  <c r="C69" i="59"/>
  <c r="E68" i="59"/>
  <c r="G68" i="59" s="1"/>
  <c r="E65" i="59"/>
  <c r="G65" i="59" s="1"/>
  <c r="E64" i="59"/>
  <c r="G49" i="59"/>
  <c r="H50" i="59" s="1"/>
  <c r="H54" i="59" s="1"/>
  <c r="E49" i="59"/>
  <c r="D49" i="59"/>
  <c r="F48" i="59"/>
  <c r="H48" i="59" s="1"/>
  <c r="F45" i="59"/>
  <c r="H45" i="59" s="1"/>
  <c r="F44" i="59"/>
  <c r="H44" i="59" s="1"/>
  <c r="H43" i="59"/>
  <c r="F42" i="59"/>
  <c r="H42" i="59" s="1"/>
  <c r="H41" i="59"/>
  <c r="H40" i="59"/>
  <c r="F39" i="59"/>
  <c r="H39" i="59" s="1"/>
  <c r="F37" i="59"/>
  <c r="D18" i="59"/>
  <c r="D16" i="59"/>
  <c r="F16" i="59" s="1"/>
  <c r="F15" i="59"/>
  <c r="H15" i="59" s="1"/>
  <c r="F14" i="59"/>
  <c r="H14" i="59" s="1"/>
  <c r="F13" i="59"/>
  <c r="H13" i="59" s="1"/>
  <c r="F12" i="59"/>
  <c r="F9" i="59"/>
  <c r="H9" i="59" s="1"/>
  <c r="F8" i="59"/>
  <c r="H8" i="59" s="1"/>
  <c r="F7" i="59"/>
  <c r="H7" i="59" s="1"/>
  <c r="F5" i="59"/>
  <c r="H5" i="59" s="1"/>
  <c r="F4" i="59"/>
  <c r="H4" i="59" s="1"/>
  <c r="F49" i="59" l="1"/>
  <c r="E69" i="59"/>
  <c r="F152" i="59"/>
  <c r="G64" i="59"/>
  <c r="H16" i="59"/>
  <c r="G69" i="59"/>
  <c r="H52" i="59"/>
  <c r="H58" i="59"/>
  <c r="D79" i="59"/>
  <c r="D75" i="59"/>
  <c r="H106" i="59"/>
  <c r="D22" i="59"/>
  <c r="G159" i="59"/>
  <c r="G170" i="59" s="1"/>
  <c r="G171" i="59" s="1"/>
  <c r="C159" i="59"/>
  <c r="C170" i="59" s="1"/>
  <c r="C171" i="59" s="1"/>
  <c r="C155" i="59"/>
  <c r="G155" i="59" s="1"/>
  <c r="H37" i="59"/>
  <c r="H49" i="59" s="1"/>
  <c r="F106" i="59"/>
  <c r="H125" i="59"/>
  <c r="H152" i="59" s="1"/>
  <c r="G22" i="59" l="1"/>
  <c r="G26" i="59" s="1"/>
  <c r="D26" i="59"/>
  <c r="G112" i="59"/>
  <c r="G118" i="59" s="1"/>
  <c r="H59" i="59"/>
  <c r="G16" i="58" l="1"/>
  <c r="G18" i="58" s="1"/>
  <c r="E106" i="58" l="1"/>
  <c r="G160" i="58" l="1"/>
  <c r="F144" i="58" l="1"/>
  <c r="H144" i="58" s="1"/>
  <c r="F128" i="58"/>
  <c r="F129" i="58"/>
  <c r="F130" i="58"/>
  <c r="F131" i="58"/>
  <c r="F132" i="58"/>
  <c r="F133" i="58"/>
  <c r="F134" i="58"/>
  <c r="F135" i="58"/>
  <c r="F136" i="58"/>
  <c r="F137" i="58"/>
  <c r="F138" i="58"/>
  <c r="F139" i="58"/>
  <c r="F140" i="58"/>
  <c r="F141" i="58"/>
  <c r="F142" i="58"/>
  <c r="F143" i="58"/>
  <c r="F145" i="58"/>
  <c r="F146" i="58"/>
  <c r="F147" i="58"/>
  <c r="F148" i="58"/>
  <c r="F149" i="58"/>
  <c r="F150" i="58"/>
  <c r="H150" i="58" s="1"/>
  <c r="F127" i="58"/>
  <c r="G106" i="58" l="1"/>
  <c r="G108" i="58" s="1"/>
  <c r="F151" i="57" l="1"/>
  <c r="C178" i="57" l="1"/>
  <c r="E194" i="58" l="1"/>
  <c r="H188" i="58"/>
  <c r="H191" i="58" s="1"/>
  <c r="E186" i="58"/>
  <c r="D188" i="58" s="1"/>
  <c r="F185" i="58"/>
  <c r="H185" i="58" s="1"/>
  <c r="F184" i="58"/>
  <c r="H184" i="58" s="1"/>
  <c r="F183" i="58"/>
  <c r="H183" i="58" s="1"/>
  <c r="F182" i="58"/>
  <c r="H182" i="58" s="1"/>
  <c r="F181" i="58"/>
  <c r="H181" i="58" s="1"/>
  <c r="F180" i="58"/>
  <c r="H180" i="58" s="1"/>
  <c r="F179" i="58"/>
  <c r="H179" i="58" s="1"/>
  <c r="F178" i="58"/>
  <c r="H178" i="58" s="1"/>
  <c r="F177" i="58"/>
  <c r="H177" i="58" s="1"/>
  <c r="F176" i="58"/>
  <c r="H176" i="58" s="1"/>
  <c r="G152" i="58"/>
  <c r="G154" i="58" s="1"/>
  <c r="G157" i="58" s="1"/>
  <c r="C154" i="58"/>
  <c r="C155" i="58" s="1"/>
  <c r="G155" i="58" s="1"/>
  <c r="D152" i="58"/>
  <c r="H149" i="58"/>
  <c r="H148" i="58"/>
  <c r="H147" i="58"/>
  <c r="H146" i="58"/>
  <c r="H145" i="58"/>
  <c r="H143" i="58"/>
  <c r="H142" i="58"/>
  <c r="H141" i="58"/>
  <c r="H140" i="58"/>
  <c r="H139" i="58"/>
  <c r="H138" i="58"/>
  <c r="H137" i="58"/>
  <c r="H136" i="58"/>
  <c r="H135" i="58"/>
  <c r="H134" i="58"/>
  <c r="H133" i="58"/>
  <c r="H132" i="58"/>
  <c r="H130" i="58"/>
  <c r="H129" i="58"/>
  <c r="H128" i="58"/>
  <c r="H127" i="58"/>
  <c r="F126" i="58"/>
  <c r="H126" i="58" s="1"/>
  <c r="F125" i="58"/>
  <c r="H125" i="58" s="1"/>
  <c r="F106" i="58"/>
  <c r="F105" i="58"/>
  <c r="H105" i="58" s="1"/>
  <c r="H104" i="58"/>
  <c r="H103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8" i="58"/>
  <c r="H87" i="58"/>
  <c r="H86" i="58"/>
  <c r="F69" i="58"/>
  <c r="G72" i="58" s="1"/>
  <c r="D69" i="58"/>
  <c r="D72" i="58" s="1"/>
  <c r="G77" i="58" s="1"/>
  <c r="G79" i="58" s="1"/>
  <c r="C69" i="58"/>
  <c r="E68" i="58"/>
  <c r="G68" i="58" s="1"/>
  <c r="E65" i="58"/>
  <c r="G65" i="58" s="1"/>
  <c r="E64" i="58"/>
  <c r="G64" i="58" s="1"/>
  <c r="G49" i="58"/>
  <c r="H50" i="58" s="1"/>
  <c r="E49" i="58"/>
  <c r="D49" i="58"/>
  <c r="F48" i="58"/>
  <c r="H48" i="58" s="1"/>
  <c r="F45" i="58"/>
  <c r="H45" i="58" s="1"/>
  <c r="F44" i="58"/>
  <c r="H44" i="58" s="1"/>
  <c r="H43" i="58"/>
  <c r="F42" i="58"/>
  <c r="H42" i="58" s="1"/>
  <c r="H41" i="58"/>
  <c r="H40" i="58"/>
  <c r="F39" i="58"/>
  <c r="H39" i="58" s="1"/>
  <c r="F37" i="58"/>
  <c r="E16" i="58"/>
  <c r="D18" i="58" s="1"/>
  <c r="D22" i="58" s="1"/>
  <c r="G22" i="58" s="1"/>
  <c r="G26" i="58" s="1"/>
  <c r="D16" i="58"/>
  <c r="F16" i="58" s="1"/>
  <c r="F15" i="58"/>
  <c r="H15" i="58" s="1"/>
  <c r="F14" i="58"/>
  <c r="H14" i="58" s="1"/>
  <c r="F13" i="58"/>
  <c r="H13" i="58" s="1"/>
  <c r="F12" i="58"/>
  <c r="F9" i="58"/>
  <c r="H9" i="58" s="1"/>
  <c r="F8" i="58"/>
  <c r="H8" i="58" s="1"/>
  <c r="F7" i="58"/>
  <c r="H7" i="58" s="1"/>
  <c r="F5" i="58"/>
  <c r="H5" i="58" s="1"/>
  <c r="F4" i="58"/>
  <c r="H4" i="58" s="1"/>
  <c r="H106" i="58" l="1"/>
  <c r="C159" i="58"/>
  <c r="C170" i="58" s="1"/>
  <c r="C157" i="58"/>
  <c r="F49" i="58"/>
  <c r="E69" i="58"/>
  <c r="G69" i="58"/>
  <c r="F152" i="58"/>
  <c r="H186" i="58"/>
  <c r="H16" i="58"/>
  <c r="H52" i="58"/>
  <c r="H54" i="58"/>
  <c r="H58" i="58" s="1"/>
  <c r="D79" i="58"/>
  <c r="D75" i="58"/>
  <c r="H152" i="58"/>
  <c r="D26" i="58"/>
  <c r="G159" i="58"/>
  <c r="D194" i="58"/>
  <c r="D199" i="58" s="1"/>
  <c r="D190" i="58"/>
  <c r="H194" i="58" s="1"/>
  <c r="H199" i="58" s="1"/>
  <c r="D108" i="58"/>
  <c r="H37" i="58"/>
  <c r="H49" i="58" s="1"/>
  <c r="E124" i="57"/>
  <c r="G170" i="58" l="1"/>
  <c r="G171" i="58" s="1"/>
  <c r="C171" i="58"/>
  <c r="D112" i="58"/>
  <c r="D118" i="58" s="1"/>
  <c r="H59" i="58"/>
  <c r="D185" i="56"/>
  <c r="I182" i="56"/>
  <c r="K68" i="56"/>
  <c r="B136" i="56"/>
  <c r="G112" i="58" l="1"/>
  <c r="G20" i="57"/>
  <c r="G118" i="58" l="1"/>
  <c r="F156" i="57"/>
  <c r="H156" i="57" s="1"/>
  <c r="F150" i="57"/>
  <c r="H211" i="57" l="1"/>
  <c r="E210" i="57"/>
  <c r="G202" i="57"/>
  <c r="H204" i="57" s="1"/>
  <c r="H207" i="57" s="1"/>
  <c r="E202" i="57"/>
  <c r="D204" i="57" s="1"/>
  <c r="F201" i="57"/>
  <c r="H201" i="57" s="1"/>
  <c r="F200" i="57"/>
  <c r="H200" i="57" s="1"/>
  <c r="F199" i="57"/>
  <c r="H199" i="57" s="1"/>
  <c r="F198" i="57"/>
  <c r="H198" i="57" s="1"/>
  <c r="F197" i="57"/>
  <c r="H197" i="57" s="1"/>
  <c r="F196" i="57"/>
  <c r="H196" i="57" s="1"/>
  <c r="F195" i="57"/>
  <c r="H195" i="57" s="1"/>
  <c r="F194" i="57"/>
  <c r="H194" i="57" s="1"/>
  <c r="F193" i="57"/>
  <c r="H193" i="57" s="1"/>
  <c r="F192" i="57"/>
  <c r="H192" i="57" s="1"/>
  <c r="G170" i="57"/>
  <c r="G171" i="57" s="1"/>
  <c r="G174" i="57" s="1"/>
  <c r="E170" i="57"/>
  <c r="C171" i="57" s="1"/>
  <c r="D170" i="57"/>
  <c r="F168" i="57"/>
  <c r="F167" i="57"/>
  <c r="H167" i="57" s="1"/>
  <c r="F166" i="57"/>
  <c r="H166" i="57" s="1"/>
  <c r="F165" i="57"/>
  <c r="H165" i="57" s="1"/>
  <c r="F164" i="57"/>
  <c r="H164" i="57" s="1"/>
  <c r="F163" i="57"/>
  <c r="H163" i="57" s="1"/>
  <c r="F162" i="57"/>
  <c r="H162" i="57" s="1"/>
  <c r="F161" i="57"/>
  <c r="H161" i="57" s="1"/>
  <c r="F160" i="57"/>
  <c r="H160" i="57" s="1"/>
  <c r="F159" i="57"/>
  <c r="H159" i="57" s="1"/>
  <c r="F158" i="57"/>
  <c r="H158" i="57" s="1"/>
  <c r="F157" i="57"/>
  <c r="H157" i="57" s="1"/>
  <c r="F155" i="57"/>
  <c r="H155" i="57" s="1"/>
  <c r="F154" i="57"/>
  <c r="H154" i="57" s="1"/>
  <c r="H153" i="57"/>
  <c r="F152" i="57"/>
  <c r="H152" i="57" s="1"/>
  <c r="H151" i="57"/>
  <c r="F149" i="57"/>
  <c r="H149" i="57" s="1"/>
  <c r="F148" i="57"/>
  <c r="H148" i="57" s="1"/>
  <c r="F147" i="57"/>
  <c r="H147" i="57" s="1"/>
  <c r="F146" i="57"/>
  <c r="H146" i="57" s="1"/>
  <c r="F145" i="57"/>
  <c r="H145" i="57" s="1"/>
  <c r="F144" i="57"/>
  <c r="G124" i="57"/>
  <c r="G126" i="57" s="1"/>
  <c r="D126" i="57"/>
  <c r="D128" i="57" s="1"/>
  <c r="F123" i="57"/>
  <c r="H123" i="57" s="1"/>
  <c r="H122" i="57"/>
  <c r="F121" i="57"/>
  <c r="H121" i="57" s="1"/>
  <c r="F120" i="57"/>
  <c r="H120" i="57" s="1"/>
  <c r="H119" i="57"/>
  <c r="H118" i="57"/>
  <c r="H117" i="57"/>
  <c r="H116" i="57"/>
  <c r="H115" i="57"/>
  <c r="H114" i="57"/>
  <c r="H113" i="57"/>
  <c r="H112" i="57"/>
  <c r="H111" i="57"/>
  <c r="H110" i="57"/>
  <c r="H109" i="57"/>
  <c r="H108" i="57"/>
  <c r="H107" i="57"/>
  <c r="H106" i="57"/>
  <c r="H105" i="57"/>
  <c r="H104" i="57"/>
  <c r="F87" i="57"/>
  <c r="G90" i="57" s="1"/>
  <c r="D87" i="57"/>
  <c r="D90" i="57" s="1"/>
  <c r="G95" i="57" s="1"/>
  <c r="G97" i="57" s="1"/>
  <c r="C87" i="57"/>
  <c r="E86" i="57"/>
  <c r="G86" i="57" s="1"/>
  <c r="E83" i="57"/>
  <c r="G83" i="57" s="1"/>
  <c r="E82" i="57"/>
  <c r="G61" i="57"/>
  <c r="H62" i="57" s="1"/>
  <c r="E61" i="57"/>
  <c r="D61" i="57"/>
  <c r="F60" i="57"/>
  <c r="H60" i="57" s="1"/>
  <c r="F57" i="57"/>
  <c r="H57" i="57" s="1"/>
  <c r="F56" i="57"/>
  <c r="H56" i="57" s="1"/>
  <c r="H55" i="57"/>
  <c r="F54" i="57"/>
  <c r="H54" i="57" s="1"/>
  <c r="H53" i="57"/>
  <c r="H52" i="57"/>
  <c r="F51" i="57"/>
  <c r="H51" i="57" s="1"/>
  <c r="F49" i="57"/>
  <c r="F61" i="57" s="1"/>
  <c r="G22" i="57"/>
  <c r="E20" i="57"/>
  <c r="D22" i="57" s="1"/>
  <c r="D20" i="57"/>
  <c r="F19" i="57"/>
  <c r="H19" i="57" s="1"/>
  <c r="F18" i="57"/>
  <c r="H18" i="57" s="1"/>
  <c r="F17" i="57"/>
  <c r="H17" i="57" s="1"/>
  <c r="F16" i="57"/>
  <c r="F13" i="57"/>
  <c r="H13" i="57" s="1"/>
  <c r="F12" i="57"/>
  <c r="H12" i="57" s="1"/>
  <c r="F11" i="57"/>
  <c r="H11" i="57" s="1"/>
  <c r="F9" i="57"/>
  <c r="H9" i="57" s="1"/>
  <c r="F8" i="57"/>
  <c r="H8" i="57" s="1"/>
  <c r="H202" i="57" l="1"/>
  <c r="D130" i="57"/>
  <c r="D136" i="57" s="1"/>
  <c r="G176" i="57"/>
  <c r="G182" i="57" s="1"/>
  <c r="G183" i="57" s="1"/>
  <c r="C176" i="57"/>
  <c r="C182" i="57" s="1"/>
  <c r="C174" i="57"/>
  <c r="H49" i="57"/>
  <c r="E87" i="57"/>
  <c r="H64" i="57"/>
  <c r="H66" i="57"/>
  <c r="H70" i="57" s="1"/>
  <c r="C172" i="57"/>
  <c r="G172" i="57" s="1"/>
  <c r="F124" i="57"/>
  <c r="H124" i="57"/>
  <c r="H20" i="57"/>
  <c r="F20" i="57"/>
  <c r="F170" i="57"/>
  <c r="H61" i="57"/>
  <c r="D93" i="57"/>
  <c r="D97" i="57" s="1"/>
  <c r="D210" i="57"/>
  <c r="D213" i="57" s="1"/>
  <c r="D215" i="57" s="1"/>
  <c r="D206" i="57"/>
  <c r="H210" i="57" s="1"/>
  <c r="H213" i="57" s="1"/>
  <c r="H215" i="57" s="1"/>
  <c r="D26" i="57"/>
  <c r="G82" i="57"/>
  <c r="G87" i="57" s="1"/>
  <c r="H144" i="57"/>
  <c r="H170" i="57" s="1"/>
  <c r="H71" i="57" l="1"/>
  <c r="D30" i="57"/>
  <c r="G26" i="57"/>
  <c r="G30" i="57" s="1"/>
  <c r="C183" i="57"/>
  <c r="G130" i="57"/>
  <c r="G136" i="57" s="1"/>
  <c r="D137" i="57"/>
  <c r="D109" i="58" s="1"/>
  <c r="D110" i="58" l="1"/>
  <c r="D119" i="58" s="1"/>
  <c r="D109" i="59" s="1"/>
  <c r="D110" i="59" s="1"/>
  <c r="D119" i="59" s="1"/>
  <c r="D109" i="60" s="1"/>
  <c r="D111" i="60" s="1"/>
  <c r="D120" i="60" s="1"/>
  <c r="D109" i="61" s="1"/>
  <c r="N200" i="56"/>
  <c r="O202" i="56" s="1"/>
  <c r="E124" i="56"/>
  <c r="G124" i="56"/>
  <c r="H215" i="56"/>
  <c r="I216" i="56" s="1"/>
  <c r="G206" i="56"/>
  <c r="H208" i="56" s="1"/>
  <c r="H211" i="56" s="1"/>
  <c r="D111" i="61" l="1"/>
  <c r="D120" i="61" s="1"/>
  <c r="D59" i="62" s="1"/>
  <c r="D61" i="62" s="1"/>
  <c r="D70" i="62" s="1"/>
  <c r="D59" i="63" s="1"/>
  <c r="D61" i="63" s="1"/>
  <c r="D70" i="63" s="1"/>
  <c r="D59" i="64" s="1"/>
  <c r="D61" i="64" s="1"/>
  <c r="M109" i="58"/>
  <c r="N113" i="58" s="1"/>
  <c r="G61" i="56"/>
  <c r="F172" i="56"/>
  <c r="F111" i="56"/>
  <c r="H111" i="56" s="1"/>
  <c r="F112" i="56"/>
  <c r="D70" i="64" l="1"/>
  <c r="D59" i="65" s="1"/>
  <c r="D61" i="65" s="1"/>
  <c r="E214" i="56"/>
  <c r="E206" i="56"/>
  <c r="D208" i="56" s="1"/>
  <c r="F205" i="56"/>
  <c r="H205" i="56" s="1"/>
  <c r="F204" i="56"/>
  <c r="H204" i="56" s="1"/>
  <c r="F203" i="56"/>
  <c r="H203" i="56" s="1"/>
  <c r="F202" i="56"/>
  <c r="H202" i="56" s="1"/>
  <c r="F201" i="56"/>
  <c r="H201" i="56" s="1"/>
  <c r="F200" i="56"/>
  <c r="H200" i="56" s="1"/>
  <c r="F199" i="56"/>
  <c r="H199" i="56" s="1"/>
  <c r="F198" i="56"/>
  <c r="H198" i="56" s="1"/>
  <c r="F197" i="56"/>
  <c r="H197" i="56" s="1"/>
  <c r="F196" i="56"/>
  <c r="H196" i="56" s="1"/>
  <c r="G174" i="56"/>
  <c r="H175" i="56" s="1"/>
  <c r="H176" i="56" s="1"/>
  <c r="E174" i="56"/>
  <c r="C175" i="56" s="1"/>
  <c r="D174" i="56"/>
  <c r="F171" i="56"/>
  <c r="H171" i="56" s="1"/>
  <c r="F170" i="56"/>
  <c r="H170" i="56" s="1"/>
  <c r="F169" i="56"/>
  <c r="H169" i="56" s="1"/>
  <c r="F168" i="56"/>
  <c r="H168" i="56" s="1"/>
  <c r="F167" i="56"/>
  <c r="H167" i="56" s="1"/>
  <c r="F166" i="56"/>
  <c r="H166" i="56" s="1"/>
  <c r="F165" i="56"/>
  <c r="H165" i="56" s="1"/>
  <c r="F164" i="56"/>
  <c r="H164" i="56" s="1"/>
  <c r="F163" i="56"/>
  <c r="H163" i="56" s="1"/>
  <c r="F162" i="56"/>
  <c r="H162" i="56" s="1"/>
  <c r="F161" i="56"/>
  <c r="H161" i="56" s="1"/>
  <c r="F159" i="56"/>
  <c r="H159" i="56" s="1"/>
  <c r="F158" i="56"/>
  <c r="H158" i="56" s="1"/>
  <c r="F157" i="56"/>
  <c r="H157" i="56" s="1"/>
  <c r="F156" i="56"/>
  <c r="H156" i="56" s="1"/>
  <c r="F155" i="56"/>
  <c r="H155" i="56" s="1"/>
  <c r="F153" i="56"/>
  <c r="H153" i="56" s="1"/>
  <c r="F152" i="56"/>
  <c r="H152" i="56" s="1"/>
  <c r="F151" i="56"/>
  <c r="H151" i="56" s="1"/>
  <c r="F150" i="56"/>
  <c r="H150" i="56" s="1"/>
  <c r="F149" i="56"/>
  <c r="H149" i="56" s="1"/>
  <c r="F148" i="56"/>
  <c r="H126" i="56"/>
  <c r="D126" i="56"/>
  <c r="F123" i="56"/>
  <c r="H123" i="56" s="1"/>
  <c r="F122" i="56"/>
  <c r="H122" i="56" s="1"/>
  <c r="F121" i="56"/>
  <c r="H121" i="56" s="1"/>
  <c r="F120" i="56"/>
  <c r="H120" i="56" s="1"/>
  <c r="H119" i="56"/>
  <c r="F118" i="56"/>
  <c r="H118" i="56" s="1"/>
  <c r="F117" i="56"/>
  <c r="H117" i="56" s="1"/>
  <c r="F116" i="56"/>
  <c r="H116" i="56" s="1"/>
  <c r="F115" i="56"/>
  <c r="H115" i="56" s="1"/>
  <c r="F114" i="56"/>
  <c r="H114" i="56" s="1"/>
  <c r="H113" i="56"/>
  <c r="H112" i="56"/>
  <c r="F110" i="56"/>
  <c r="H110" i="56" s="1"/>
  <c r="F109" i="56"/>
  <c r="H109" i="56" s="1"/>
  <c r="F108" i="56"/>
  <c r="H108" i="56" s="1"/>
  <c r="F107" i="56"/>
  <c r="H107" i="56" s="1"/>
  <c r="F106" i="56"/>
  <c r="H106" i="56" s="1"/>
  <c r="F105" i="56"/>
  <c r="H105" i="56" s="1"/>
  <c r="F104" i="56"/>
  <c r="F87" i="56"/>
  <c r="G90" i="56" s="1"/>
  <c r="D87" i="56"/>
  <c r="D90" i="56" s="1"/>
  <c r="G95" i="56" s="1"/>
  <c r="G97" i="56" s="1"/>
  <c r="C87" i="56"/>
  <c r="E86" i="56"/>
  <c r="G86" i="56" s="1"/>
  <c r="E83" i="56"/>
  <c r="G83" i="56" s="1"/>
  <c r="E82" i="56"/>
  <c r="H62" i="56"/>
  <c r="H64" i="56" s="1"/>
  <c r="E61" i="56"/>
  <c r="D62" i="56" s="1"/>
  <c r="D64" i="56" s="1"/>
  <c r="D61" i="56"/>
  <c r="F60" i="56"/>
  <c r="H60" i="56" s="1"/>
  <c r="F57" i="56"/>
  <c r="H57" i="56" s="1"/>
  <c r="F56" i="56"/>
  <c r="H56" i="56" s="1"/>
  <c r="F55" i="56"/>
  <c r="H55" i="56" s="1"/>
  <c r="F54" i="56"/>
  <c r="H54" i="56" s="1"/>
  <c r="F53" i="56"/>
  <c r="H53" i="56" s="1"/>
  <c r="F52" i="56"/>
  <c r="H52" i="56" s="1"/>
  <c r="F51" i="56"/>
  <c r="H51" i="56" s="1"/>
  <c r="F50" i="56"/>
  <c r="F49" i="56"/>
  <c r="G22" i="56"/>
  <c r="E20" i="56"/>
  <c r="D22" i="56" s="1"/>
  <c r="D26" i="56" s="1"/>
  <c r="D20" i="56"/>
  <c r="F19" i="56"/>
  <c r="H19" i="56" s="1"/>
  <c r="F18" i="56"/>
  <c r="H18" i="56" s="1"/>
  <c r="F17" i="56"/>
  <c r="H17" i="56" s="1"/>
  <c r="F16" i="56"/>
  <c r="F14" i="56"/>
  <c r="H14" i="56" s="1"/>
  <c r="F13" i="56"/>
  <c r="H13" i="56" s="1"/>
  <c r="F12" i="56"/>
  <c r="H12" i="56" s="1"/>
  <c r="F11" i="56"/>
  <c r="H11" i="56" s="1"/>
  <c r="F9" i="56"/>
  <c r="H9" i="56" s="1"/>
  <c r="F8" i="56"/>
  <c r="H8" i="56" s="1"/>
  <c r="E87" i="56" l="1"/>
  <c r="D30" i="56"/>
  <c r="G26" i="56"/>
  <c r="G30" i="56" s="1"/>
  <c r="D70" i="65"/>
  <c r="D60" i="66" s="1"/>
  <c r="D62" i="66" s="1"/>
  <c r="H104" i="56"/>
  <c r="H124" i="56" s="1"/>
  <c r="K113" i="56"/>
  <c r="F61" i="56"/>
  <c r="D130" i="56"/>
  <c r="H130" i="56" s="1"/>
  <c r="H136" i="56" s="1"/>
  <c r="F174" i="56"/>
  <c r="D214" i="56"/>
  <c r="D217" i="56" s="1"/>
  <c r="D219" i="56" s="1"/>
  <c r="D210" i="56"/>
  <c r="H214" i="56" s="1"/>
  <c r="H217" i="56" s="1"/>
  <c r="H219" i="56" s="1"/>
  <c r="H206" i="56"/>
  <c r="H49" i="56"/>
  <c r="G82" i="56"/>
  <c r="G87" i="56" s="1"/>
  <c r="H148" i="56"/>
  <c r="H174" i="56" s="1"/>
  <c r="F20" i="56"/>
  <c r="H20" i="56"/>
  <c r="D66" i="56"/>
  <c r="D70" i="56" s="1"/>
  <c r="D71" i="56" s="1"/>
  <c r="H66" i="56"/>
  <c r="H70" i="56" s="1"/>
  <c r="H71" i="56" s="1"/>
  <c r="D93" i="56"/>
  <c r="D97" i="56" s="1"/>
  <c r="H180" i="56"/>
  <c r="H186" i="56" s="1"/>
  <c r="H178" i="56"/>
  <c r="H61" i="56"/>
  <c r="C180" i="56"/>
  <c r="C186" i="56" s="1"/>
  <c r="C178" i="56"/>
  <c r="C176" i="56"/>
  <c r="F124" i="56"/>
  <c r="D184" i="55"/>
  <c r="D71" i="66" l="1"/>
  <c r="D60" i="67" s="1"/>
  <c r="D136" i="56"/>
  <c r="D137" i="56" s="1"/>
  <c r="H188" i="56"/>
  <c r="C187" i="56"/>
  <c r="G170" i="55"/>
  <c r="I170" i="55" s="1"/>
  <c r="F213" i="55"/>
  <c r="H205" i="55"/>
  <c r="I207" i="55" s="1"/>
  <c r="F205" i="55"/>
  <c r="E207" i="55" s="1"/>
  <c r="I213" i="55" s="1"/>
  <c r="I216" i="55" s="1"/>
  <c r="G204" i="55"/>
  <c r="I204" i="55" s="1"/>
  <c r="G203" i="55"/>
  <c r="I203" i="55" s="1"/>
  <c r="G202" i="55"/>
  <c r="I202" i="55" s="1"/>
  <c r="G201" i="55"/>
  <c r="I201" i="55" s="1"/>
  <c r="G200" i="55"/>
  <c r="I200" i="55" s="1"/>
  <c r="G199" i="55"/>
  <c r="I199" i="55" s="1"/>
  <c r="G198" i="55"/>
  <c r="I198" i="55" s="1"/>
  <c r="G197" i="55"/>
  <c r="I197" i="55" s="1"/>
  <c r="G196" i="55"/>
  <c r="I196" i="55" s="1"/>
  <c r="G195" i="55"/>
  <c r="I195" i="55" s="1"/>
  <c r="H173" i="55"/>
  <c r="I174" i="55" s="1"/>
  <c r="F173" i="55"/>
  <c r="D174" i="55" s="1"/>
  <c r="D177" i="55" s="1"/>
  <c r="I179" i="55" s="1"/>
  <c r="E173" i="55"/>
  <c r="G169" i="55"/>
  <c r="I169" i="55" s="1"/>
  <c r="G168" i="55"/>
  <c r="I168" i="55" s="1"/>
  <c r="G167" i="55"/>
  <c r="I167" i="55" s="1"/>
  <c r="G166" i="55"/>
  <c r="I166" i="55" s="1"/>
  <c r="G165" i="55"/>
  <c r="I165" i="55" s="1"/>
  <c r="G164" i="55"/>
  <c r="I164" i="55" s="1"/>
  <c r="G163" i="55"/>
  <c r="I163" i="55" s="1"/>
  <c r="G162" i="55"/>
  <c r="I162" i="55" s="1"/>
  <c r="G161" i="55"/>
  <c r="I161" i="55" s="1"/>
  <c r="G160" i="55"/>
  <c r="I160" i="55" s="1"/>
  <c r="G159" i="55"/>
  <c r="I159" i="55" s="1"/>
  <c r="G158" i="55"/>
  <c r="I158" i="55" s="1"/>
  <c r="G157" i="55"/>
  <c r="I157" i="55" s="1"/>
  <c r="G156" i="55"/>
  <c r="I156" i="55" s="1"/>
  <c r="G155" i="55"/>
  <c r="I155" i="55" s="1"/>
  <c r="G154" i="55"/>
  <c r="I154" i="55" s="1"/>
  <c r="G152" i="55"/>
  <c r="I152" i="55" s="1"/>
  <c r="G151" i="55"/>
  <c r="I151" i="55" s="1"/>
  <c r="G150" i="55"/>
  <c r="I150" i="55" s="1"/>
  <c r="G149" i="55"/>
  <c r="I149" i="55" s="1"/>
  <c r="G148" i="55"/>
  <c r="I148" i="55" s="1"/>
  <c r="G147" i="55"/>
  <c r="I126" i="55"/>
  <c r="E126" i="55"/>
  <c r="G123" i="55"/>
  <c r="I123" i="55" s="1"/>
  <c r="G122" i="55"/>
  <c r="I122" i="55" s="1"/>
  <c r="G121" i="55"/>
  <c r="I121" i="55" s="1"/>
  <c r="G120" i="55"/>
  <c r="I120" i="55" s="1"/>
  <c r="I119" i="55"/>
  <c r="G118" i="55"/>
  <c r="I118" i="55" s="1"/>
  <c r="G117" i="55"/>
  <c r="I117" i="55" s="1"/>
  <c r="G116" i="55"/>
  <c r="I116" i="55" s="1"/>
  <c r="G115" i="55"/>
  <c r="I115" i="55" s="1"/>
  <c r="G114" i="55"/>
  <c r="I114" i="55" s="1"/>
  <c r="I113" i="55"/>
  <c r="G112" i="55"/>
  <c r="I112" i="55" s="1"/>
  <c r="G110" i="55"/>
  <c r="I110" i="55" s="1"/>
  <c r="G109" i="55"/>
  <c r="I109" i="55" s="1"/>
  <c r="G108" i="55"/>
  <c r="I108" i="55" s="1"/>
  <c r="G107" i="55"/>
  <c r="I107" i="55" s="1"/>
  <c r="G106" i="55"/>
  <c r="I106" i="55" s="1"/>
  <c r="G105" i="55"/>
  <c r="I105" i="55" s="1"/>
  <c r="G104" i="55"/>
  <c r="I104" i="55" s="1"/>
  <c r="G84" i="55"/>
  <c r="H87" i="55" s="1"/>
  <c r="E84" i="55"/>
  <c r="E87" i="55" s="1"/>
  <c r="D84" i="55"/>
  <c r="F83" i="55"/>
  <c r="H83" i="55" s="1"/>
  <c r="F80" i="55"/>
  <c r="H80" i="55" s="1"/>
  <c r="F79" i="55"/>
  <c r="F84" i="55" s="1"/>
  <c r="H58" i="55"/>
  <c r="I59" i="55" s="1"/>
  <c r="I61" i="55" s="1"/>
  <c r="F58" i="55"/>
  <c r="E59" i="55" s="1"/>
  <c r="E58" i="55"/>
  <c r="G57" i="55"/>
  <c r="I57" i="55" s="1"/>
  <c r="G54" i="55"/>
  <c r="I54" i="55" s="1"/>
  <c r="G53" i="55"/>
  <c r="I53" i="55" s="1"/>
  <c r="G52" i="55"/>
  <c r="I52" i="55" s="1"/>
  <c r="G51" i="55"/>
  <c r="I51" i="55" s="1"/>
  <c r="G50" i="55"/>
  <c r="I50" i="55" s="1"/>
  <c r="G49" i="55"/>
  <c r="I49" i="55" s="1"/>
  <c r="G48" i="55"/>
  <c r="I48" i="55" s="1"/>
  <c r="G47" i="55"/>
  <c r="G46" i="55"/>
  <c r="H20" i="55"/>
  <c r="H22" i="55" s="1"/>
  <c r="F20" i="55"/>
  <c r="E22" i="55" s="1"/>
  <c r="E20" i="55"/>
  <c r="G19" i="55"/>
  <c r="I19" i="55" s="1"/>
  <c r="G18" i="55"/>
  <c r="I18" i="55" s="1"/>
  <c r="G17" i="55"/>
  <c r="I17" i="55" s="1"/>
  <c r="G16" i="55"/>
  <c r="G15" i="55"/>
  <c r="I15" i="55" s="1"/>
  <c r="G14" i="55"/>
  <c r="I14" i="55" s="1"/>
  <c r="G13" i="55"/>
  <c r="I13" i="55" s="1"/>
  <c r="G12" i="55"/>
  <c r="I12" i="55" s="1"/>
  <c r="G11" i="55"/>
  <c r="I11" i="55" s="1"/>
  <c r="G10" i="55"/>
  <c r="I10" i="55" s="1"/>
  <c r="G9" i="55"/>
  <c r="I9" i="55" s="1"/>
  <c r="G8" i="55"/>
  <c r="I8" i="55" s="1"/>
  <c r="D62" i="67" l="1"/>
  <c r="D77" i="67" s="1"/>
  <c r="B63" i="68" s="1"/>
  <c r="B72" i="68" s="1"/>
  <c r="D72" i="68" s="1"/>
  <c r="B63" i="69" s="1"/>
  <c r="B72" i="69" s="1"/>
  <c r="D72" i="69" s="1"/>
  <c r="B63" i="70" s="1"/>
  <c r="B75" i="70" s="1"/>
  <c r="D75" i="70" s="1"/>
  <c r="B63" i="71" s="1"/>
  <c r="B75" i="71" s="1"/>
  <c r="D75" i="71" s="1"/>
  <c r="E26" i="55"/>
  <c r="H26" i="55" s="1"/>
  <c r="H30" i="55" s="1"/>
  <c r="E24" i="55"/>
  <c r="E61" i="55"/>
  <c r="E63" i="55" s="1"/>
  <c r="E67" i="55" s="1"/>
  <c r="I63" i="55"/>
  <c r="I67" i="55" s="1"/>
  <c r="I177" i="55"/>
  <c r="I175" i="55"/>
  <c r="I210" i="55"/>
  <c r="G20" i="55"/>
  <c r="I205" i="55"/>
  <c r="E213" i="55"/>
  <c r="E215" i="55" s="1"/>
  <c r="E217" i="55" s="1"/>
  <c r="D175" i="55"/>
  <c r="H79" i="55"/>
  <c r="H84" i="55" s="1"/>
  <c r="G124" i="55"/>
  <c r="G58" i="55"/>
  <c r="G173" i="55"/>
  <c r="I124" i="55"/>
  <c r="I20" i="55"/>
  <c r="E90" i="55"/>
  <c r="E93" i="55" s="1"/>
  <c r="E94" i="55" s="1"/>
  <c r="I185" i="55"/>
  <c r="I187" i="55" s="1"/>
  <c r="H92" i="55"/>
  <c r="H94" i="55" s="1"/>
  <c r="E130" i="55"/>
  <c r="D179" i="55"/>
  <c r="I46" i="55"/>
  <c r="I58" i="55" s="1"/>
  <c r="I147" i="55"/>
  <c r="I173" i="55" s="1"/>
  <c r="J79" i="71" l="1"/>
  <c r="B63" i="72"/>
  <c r="B75" i="72" s="1"/>
  <c r="D75" i="72" s="1"/>
  <c r="B63" i="73" s="1"/>
  <c r="B75" i="73" s="1"/>
  <c r="D75" i="73" s="1"/>
  <c r="B63" i="74" s="1"/>
  <c r="B79" i="74" s="1"/>
  <c r="D79" i="74" s="1"/>
  <c r="C64" i="75" s="1"/>
  <c r="E30" i="55"/>
  <c r="E31" i="55" s="1"/>
  <c r="D23" i="56" s="1"/>
  <c r="D24" i="56" s="1"/>
  <c r="D31" i="56" s="1"/>
  <c r="D23" i="57" s="1"/>
  <c r="D24" i="57" s="1"/>
  <c r="D31" i="57" s="1"/>
  <c r="D19" i="58" s="1"/>
  <c r="D20" i="58" s="1"/>
  <c r="D27" i="58" s="1"/>
  <c r="D19" i="59" s="1"/>
  <c r="D20" i="59" s="1"/>
  <c r="D27" i="59" s="1"/>
  <c r="I130" i="55"/>
  <c r="I136" i="55" s="1"/>
  <c r="E136" i="55"/>
  <c r="D185" i="55"/>
  <c r="D186" i="55" s="1"/>
  <c r="M185" i="55" s="1"/>
  <c r="I217" i="55"/>
  <c r="I69" i="55"/>
  <c r="E68" i="55"/>
  <c r="L72" i="54"/>
  <c r="N68" i="53"/>
  <c r="L49" i="50"/>
  <c r="H204" i="54"/>
  <c r="F173" i="54"/>
  <c r="C182" i="53"/>
  <c r="D183" i="54"/>
  <c r="D124" i="54"/>
  <c r="G55" i="53" l="1"/>
  <c r="F204" i="54" l="1"/>
  <c r="G203" i="54"/>
  <c r="G202" i="54"/>
  <c r="G201" i="54"/>
  <c r="G200" i="54"/>
  <c r="G199" i="54"/>
  <c r="I199" i="54" s="1"/>
  <c r="I200" i="54"/>
  <c r="I201" i="54"/>
  <c r="I202" i="54"/>
  <c r="I203" i="54"/>
  <c r="H173" i="54"/>
  <c r="I174" i="54" s="1"/>
  <c r="I175" i="54" s="1"/>
  <c r="D174" i="54"/>
  <c r="D179" i="54" s="1"/>
  <c r="D184" i="54" s="1"/>
  <c r="E173" i="54"/>
  <c r="G148" i="54"/>
  <c r="G149" i="54"/>
  <c r="I149" i="54" s="1"/>
  <c r="G150" i="54"/>
  <c r="I150" i="54" s="1"/>
  <c r="G151" i="54"/>
  <c r="I151" i="54" s="1"/>
  <c r="G152" i="54"/>
  <c r="I152" i="54" s="1"/>
  <c r="G154" i="54"/>
  <c r="I154" i="54" s="1"/>
  <c r="G155" i="54"/>
  <c r="I155" i="54" s="1"/>
  <c r="G156" i="54"/>
  <c r="I156" i="54" s="1"/>
  <c r="G157" i="54"/>
  <c r="I157" i="54" s="1"/>
  <c r="G158" i="54"/>
  <c r="I158" i="54" s="1"/>
  <c r="G159" i="54"/>
  <c r="I159" i="54" s="1"/>
  <c r="G160" i="54"/>
  <c r="I160" i="54" s="1"/>
  <c r="G161" i="54"/>
  <c r="I161" i="54" s="1"/>
  <c r="G162" i="54"/>
  <c r="I162" i="54" s="1"/>
  <c r="G163" i="54"/>
  <c r="I163" i="54" s="1"/>
  <c r="G164" i="54"/>
  <c r="I164" i="54" s="1"/>
  <c r="G165" i="54"/>
  <c r="I165" i="54" s="1"/>
  <c r="G166" i="54"/>
  <c r="I166" i="54" s="1"/>
  <c r="G167" i="54"/>
  <c r="I167" i="54" s="1"/>
  <c r="G168" i="54"/>
  <c r="I168" i="54" s="1"/>
  <c r="G169" i="54"/>
  <c r="I169" i="54" s="1"/>
  <c r="G147" i="54"/>
  <c r="I147" i="54" s="1"/>
  <c r="E124" i="54"/>
  <c r="H124" i="54"/>
  <c r="I126" i="54" s="1"/>
  <c r="F124" i="54"/>
  <c r="E126" i="54" s="1"/>
  <c r="I113" i="54"/>
  <c r="G104" i="54"/>
  <c r="I104" i="54" s="1"/>
  <c r="E20" i="54"/>
  <c r="F20" i="54"/>
  <c r="H58" i="54"/>
  <c r="F58" i="54"/>
  <c r="E59" i="54" s="1"/>
  <c r="E58" i="54"/>
  <c r="G47" i="54"/>
  <c r="I47" i="54" s="1"/>
  <c r="G48" i="54"/>
  <c r="I48" i="54" s="1"/>
  <c r="G49" i="54"/>
  <c r="G50" i="54"/>
  <c r="I50" i="54" s="1"/>
  <c r="G51" i="54"/>
  <c r="I51" i="54" s="1"/>
  <c r="G52" i="54"/>
  <c r="G53" i="54"/>
  <c r="I53" i="54" s="1"/>
  <c r="G54" i="54"/>
  <c r="G57" i="54"/>
  <c r="I57" i="54" s="1"/>
  <c r="G46" i="54"/>
  <c r="I49" i="54"/>
  <c r="I52" i="54"/>
  <c r="I54" i="54"/>
  <c r="I46" i="54"/>
  <c r="F212" i="54"/>
  <c r="I206" i="54"/>
  <c r="I212" i="54" s="1"/>
  <c r="I214" i="54" s="1"/>
  <c r="E206" i="54"/>
  <c r="G198" i="54"/>
  <c r="I198" i="54" s="1"/>
  <c r="G197" i="54"/>
  <c r="I197" i="54" s="1"/>
  <c r="G196" i="54"/>
  <c r="I196" i="54" s="1"/>
  <c r="G195" i="54"/>
  <c r="I195" i="54" s="1"/>
  <c r="G194" i="54"/>
  <c r="I194" i="54" s="1"/>
  <c r="M162" i="54"/>
  <c r="G123" i="54"/>
  <c r="I123" i="54" s="1"/>
  <c r="G122" i="54"/>
  <c r="I122" i="54" s="1"/>
  <c r="G121" i="54"/>
  <c r="I121" i="54" s="1"/>
  <c r="G120" i="54"/>
  <c r="I120" i="54" s="1"/>
  <c r="G119" i="54"/>
  <c r="I119" i="54" s="1"/>
  <c r="G118" i="54"/>
  <c r="I118" i="54" s="1"/>
  <c r="G117" i="54"/>
  <c r="I117" i="54" s="1"/>
  <c r="G116" i="54"/>
  <c r="I116" i="54" s="1"/>
  <c r="G115" i="54"/>
  <c r="I115" i="54" s="1"/>
  <c r="G114" i="54"/>
  <c r="I114" i="54" s="1"/>
  <c r="G112" i="54"/>
  <c r="I112" i="54" s="1"/>
  <c r="G110" i="54"/>
  <c r="I110" i="54" s="1"/>
  <c r="G109" i="54"/>
  <c r="I109" i="54" s="1"/>
  <c r="G108" i="54"/>
  <c r="I108" i="54" s="1"/>
  <c r="G107" i="54"/>
  <c r="I107" i="54" s="1"/>
  <c r="G106" i="54"/>
  <c r="I106" i="54" s="1"/>
  <c r="G105" i="54"/>
  <c r="I105" i="54" s="1"/>
  <c r="G84" i="54"/>
  <c r="H87" i="54" s="1"/>
  <c r="E84" i="54"/>
  <c r="E87" i="54" s="1"/>
  <c r="E90" i="54" s="1"/>
  <c r="D84" i="54"/>
  <c r="F83" i="54"/>
  <c r="H83" i="54" s="1"/>
  <c r="F80" i="54"/>
  <c r="H80" i="54" s="1"/>
  <c r="F79" i="54"/>
  <c r="I59" i="54"/>
  <c r="H20" i="54"/>
  <c r="H22" i="54" s="1"/>
  <c r="G19" i="54"/>
  <c r="I19" i="54" s="1"/>
  <c r="G18" i="54"/>
  <c r="I18" i="54" s="1"/>
  <c r="G17" i="54"/>
  <c r="I17" i="54" s="1"/>
  <c r="G16" i="54"/>
  <c r="G15" i="54"/>
  <c r="I15" i="54" s="1"/>
  <c r="G14" i="54"/>
  <c r="I14" i="54" s="1"/>
  <c r="G13" i="54"/>
  <c r="I13" i="54" s="1"/>
  <c r="G12" i="54"/>
  <c r="I12" i="54" s="1"/>
  <c r="G11" i="54"/>
  <c r="I11" i="54" s="1"/>
  <c r="G10" i="54"/>
  <c r="I10" i="54" s="1"/>
  <c r="G9" i="54"/>
  <c r="I9" i="54" s="1"/>
  <c r="G8" i="54"/>
  <c r="I8" i="54" s="1"/>
  <c r="G58" i="54" l="1"/>
  <c r="I204" i="54"/>
  <c r="G20" i="54"/>
  <c r="E130" i="54"/>
  <c r="G124" i="54"/>
  <c r="H92" i="54"/>
  <c r="E212" i="54"/>
  <c r="E214" i="54" s="1"/>
  <c r="E216" i="54" s="1"/>
  <c r="G173" i="54"/>
  <c r="I148" i="54"/>
  <c r="I173" i="54" s="1"/>
  <c r="F84" i="54"/>
  <c r="I124" i="54"/>
  <c r="I58" i="54"/>
  <c r="I20" i="54"/>
  <c r="I179" i="54"/>
  <c r="I184" i="54" s="1"/>
  <c r="E93" i="54"/>
  <c r="E94" i="54" s="1"/>
  <c r="I209" i="54"/>
  <c r="I216" i="54" s="1"/>
  <c r="E22" i="54"/>
  <c r="H79" i="54"/>
  <c r="H84" i="54" s="1"/>
  <c r="E203" i="53"/>
  <c r="G203" i="53"/>
  <c r="F195" i="53"/>
  <c r="F196" i="53"/>
  <c r="F197" i="53"/>
  <c r="H182" i="53"/>
  <c r="H94" i="54" l="1"/>
  <c r="H95" i="54" s="1"/>
  <c r="H88" i="55" s="1"/>
  <c r="H89" i="55" s="1"/>
  <c r="H95" i="55" s="1"/>
  <c r="G91" i="56" s="1"/>
  <c r="G92" i="56" s="1"/>
  <c r="G98" i="56" s="1"/>
  <c r="G91" i="57" s="1"/>
  <c r="G92" i="57" s="1"/>
  <c r="G98" i="57" s="1"/>
  <c r="G73" i="58" s="1"/>
  <c r="G74" i="58" s="1"/>
  <c r="G80" i="58" s="1"/>
  <c r="G73" i="59" s="1"/>
  <c r="G74" i="59" s="1"/>
  <c r="G80" i="59" s="1"/>
  <c r="E136" i="54"/>
  <c r="I130" i="54"/>
  <c r="I136" i="54" s="1"/>
  <c r="E26" i="54"/>
  <c r="E24" i="54"/>
  <c r="E121" i="53"/>
  <c r="G73" i="60" l="1"/>
  <c r="G74" i="60" s="1"/>
  <c r="G80" i="60" s="1"/>
  <c r="G73" i="61"/>
  <c r="G74" i="61" s="1"/>
  <c r="G80" i="61" s="1"/>
  <c r="H26" i="54"/>
  <c r="H30" i="54" s="1"/>
  <c r="H31" i="54" s="1"/>
  <c r="H23" i="55" s="1"/>
  <c r="H24" i="55" s="1"/>
  <c r="H31" i="55" s="1"/>
  <c r="G23" i="56" s="1"/>
  <c r="G24" i="56" s="1"/>
  <c r="G31" i="56" s="1"/>
  <c r="G23" i="57" s="1"/>
  <c r="G24" i="57" s="1"/>
  <c r="G31" i="57" s="1"/>
  <c r="G19" i="58" s="1"/>
  <c r="G20" i="58" s="1"/>
  <c r="G27" i="58" s="1"/>
  <c r="G19" i="59" s="1"/>
  <c r="G20" i="59" s="1"/>
  <c r="G27" i="59" s="1"/>
  <c r="G19" i="60" s="1"/>
  <c r="G20" i="60" s="1"/>
  <c r="G27" i="60" s="1"/>
  <c r="G19" i="61" s="1"/>
  <c r="G20" i="61" s="1"/>
  <c r="G27" i="61" s="1"/>
  <c r="G19" i="62" s="1"/>
  <c r="G20" i="62" s="1"/>
  <c r="G27" i="62" s="1"/>
  <c r="E30" i="54"/>
  <c r="E31" i="54" s="1"/>
  <c r="D205" i="53"/>
  <c r="D211" i="53" s="1"/>
  <c r="D213" i="53" s="1"/>
  <c r="D215" i="53" s="1"/>
  <c r="F194" i="53"/>
  <c r="H194" i="53" s="1"/>
  <c r="H195" i="53"/>
  <c r="H197" i="53"/>
  <c r="F198" i="53"/>
  <c r="H198" i="53" s="1"/>
  <c r="H200" i="53"/>
  <c r="F201" i="53"/>
  <c r="F202" i="53"/>
  <c r="H202" i="53" s="1"/>
  <c r="F193" i="53"/>
  <c r="H193" i="53" s="1"/>
  <c r="H196" i="53"/>
  <c r="H201" i="53"/>
  <c r="G19" i="65" l="1"/>
  <c r="G20" i="65" s="1"/>
  <c r="G27" i="65" s="1"/>
  <c r="G29" i="65" s="1"/>
  <c r="G19" i="63"/>
  <c r="G20" i="63" s="1"/>
  <c r="G27" i="63" s="1"/>
  <c r="G19" i="64"/>
  <c r="G20" i="64" s="1"/>
  <c r="G27" i="64" s="1"/>
  <c r="H203" i="53"/>
  <c r="H167" i="53"/>
  <c r="H155" i="53"/>
  <c r="F147" i="53"/>
  <c r="F117" i="53" l="1"/>
  <c r="F118" i="53"/>
  <c r="F119" i="53"/>
  <c r="F120" i="53"/>
  <c r="F114" i="53"/>
  <c r="F115" i="53"/>
  <c r="F116" i="53"/>
  <c r="F113" i="53"/>
  <c r="D63" i="53"/>
  <c r="H63" i="53"/>
  <c r="G20" i="53"/>
  <c r="F15" i="53"/>
  <c r="F16" i="53"/>
  <c r="F17" i="53"/>
  <c r="F18" i="53"/>
  <c r="F19" i="53"/>
  <c r="F13" i="53"/>
  <c r="F14" i="53"/>
  <c r="F165" i="53" l="1"/>
  <c r="F152" i="53"/>
  <c r="F204" i="51" l="1"/>
  <c r="I68" i="51"/>
  <c r="L132" i="51" l="1"/>
  <c r="F123" i="50" l="1"/>
  <c r="E169" i="51"/>
  <c r="F166" i="51"/>
  <c r="G168" i="53" l="1"/>
  <c r="H171" i="53" l="1"/>
  <c r="H174" i="53" s="1"/>
  <c r="L159" i="53"/>
  <c r="H176" i="53" l="1"/>
  <c r="H183" i="53" s="1"/>
  <c r="H185" i="53" s="1"/>
  <c r="I176" i="54" s="1"/>
  <c r="I177" i="54" s="1"/>
  <c r="I186" i="54" s="1"/>
  <c r="E168" i="53"/>
  <c r="F166" i="53"/>
  <c r="H166" i="53" s="1"/>
  <c r="F164" i="53"/>
  <c r="H164" i="53" s="1"/>
  <c r="F163" i="53"/>
  <c r="H163" i="53" s="1"/>
  <c r="F162" i="53"/>
  <c r="F161" i="53"/>
  <c r="H161" i="53" s="1"/>
  <c r="F160" i="53"/>
  <c r="H160" i="53" s="1"/>
  <c r="F159" i="53"/>
  <c r="H159" i="53" s="1"/>
  <c r="F158" i="53"/>
  <c r="H158" i="53" s="1"/>
  <c r="F157" i="53"/>
  <c r="H157" i="53" s="1"/>
  <c r="F156" i="53"/>
  <c r="H156" i="53" s="1"/>
  <c r="F154" i="53"/>
  <c r="H154" i="53" s="1"/>
  <c r="F153" i="53"/>
  <c r="H153" i="53" s="1"/>
  <c r="H152" i="53"/>
  <c r="F151" i="53"/>
  <c r="F150" i="53"/>
  <c r="H150" i="53" s="1"/>
  <c r="F149" i="53"/>
  <c r="H149" i="53" s="1"/>
  <c r="F148" i="53"/>
  <c r="H148" i="53" s="1"/>
  <c r="G121" i="53"/>
  <c r="H122" i="53" s="1"/>
  <c r="H126" i="53" s="1"/>
  <c r="H130" i="53" s="1"/>
  <c r="D122" i="53"/>
  <c r="D121" i="53"/>
  <c r="H120" i="53"/>
  <c r="H119" i="53"/>
  <c r="H118" i="53"/>
  <c r="H117" i="53"/>
  <c r="H116" i="53"/>
  <c r="H115" i="53"/>
  <c r="H114" i="53"/>
  <c r="H113" i="53"/>
  <c r="F112" i="53"/>
  <c r="H112" i="53" s="1"/>
  <c r="F111" i="53"/>
  <c r="H111" i="53" s="1"/>
  <c r="H110" i="53"/>
  <c r="F109" i="53"/>
  <c r="H109" i="53" s="1"/>
  <c r="F108" i="53"/>
  <c r="H108" i="53" s="1"/>
  <c r="F107" i="53"/>
  <c r="H107" i="53" s="1"/>
  <c r="F106" i="53"/>
  <c r="H106" i="53" s="1"/>
  <c r="F105" i="53"/>
  <c r="H105" i="53" s="1"/>
  <c r="F104" i="53"/>
  <c r="H104" i="53" s="1"/>
  <c r="F103" i="53"/>
  <c r="H103" i="53" s="1"/>
  <c r="F102" i="53"/>
  <c r="H102" i="53" s="1"/>
  <c r="F101" i="53"/>
  <c r="H101" i="53" s="1"/>
  <c r="F81" i="53"/>
  <c r="G84" i="53" s="1"/>
  <c r="D81" i="53"/>
  <c r="D84" i="53" s="1"/>
  <c r="C81" i="53"/>
  <c r="E80" i="53"/>
  <c r="G80" i="53" s="1"/>
  <c r="E78" i="53"/>
  <c r="E77" i="53"/>
  <c r="G77" i="53" s="1"/>
  <c r="E76" i="53"/>
  <c r="H56" i="53"/>
  <c r="H58" i="53" s="1"/>
  <c r="E55" i="53"/>
  <c r="D55" i="53"/>
  <c r="F54" i="53"/>
  <c r="H54" i="53" s="1"/>
  <c r="H51" i="53"/>
  <c r="H50" i="53"/>
  <c r="F49" i="53"/>
  <c r="H49" i="53" s="1"/>
  <c r="F48" i="53"/>
  <c r="H48" i="53" s="1"/>
  <c r="F47" i="53"/>
  <c r="H47" i="53" s="1"/>
  <c r="F45" i="53"/>
  <c r="H45" i="53" s="1"/>
  <c r="F44" i="53"/>
  <c r="H44" i="53" s="1"/>
  <c r="F43" i="53"/>
  <c r="E20" i="53"/>
  <c r="F20" i="53" s="1"/>
  <c r="H19" i="53"/>
  <c r="H18" i="53"/>
  <c r="H17" i="53"/>
  <c r="H15" i="53"/>
  <c r="H14" i="53"/>
  <c r="H13" i="53"/>
  <c r="F12" i="53"/>
  <c r="H12" i="53" s="1"/>
  <c r="F11" i="53"/>
  <c r="H11" i="53" s="1"/>
  <c r="F10" i="53"/>
  <c r="H10" i="53" s="1"/>
  <c r="F9" i="53"/>
  <c r="H9" i="53" s="1"/>
  <c r="F8" i="53"/>
  <c r="H8" i="53" s="1"/>
  <c r="H168" i="53" l="1"/>
  <c r="H205" i="53"/>
  <c r="D56" i="53"/>
  <c r="F121" i="53"/>
  <c r="E81" i="53"/>
  <c r="H121" i="53"/>
  <c r="C171" i="53"/>
  <c r="C174" i="53" s="1"/>
  <c r="F55" i="53"/>
  <c r="H20" i="53"/>
  <c r="G87" i="53"/>
  <c r="G90" i="53" s="1"/>
  <c r="G91" i="53" s="1"/>
  <c r="D126" i="53"/>
  <c r="D130" i="53" s="1"/>
  <c r="D125" i="53"/>
  <c r="E211" i="53"/>
  <c r="H60" i="53"/>
  <c r="H64" i="53" s="1"/>
  <c r="H66" i="53" s="1"/>
  <c r="D87" i="53"/>
  <c r="D90" i="53" s="1"/>
  <c r="D91" i="53" s="1"/>
  <c r="H125" i="53"/>
  <c r="H131" i="53" s="1"/>
  <c r="I127" i="54" s="1"/>
  <c r="I129" i="54" s="1"/>
  <c r="I137" i="54" s="1"/>
  <c r="I127" i="55" s="1"/>
  <c r="I128" i="55" s="1"/>
  <c r="I137" i="55" s="1"/>
  <c r="D21" i="53"/>
  <c r="D25" i="53" s="1"/>
  <c r="D27" i="53" s="1"/>
  <c r="H43" i="53"/>
  <c r="H55" i="53" s="1"/>
  <c r="G76" i="53"/>
  <c r="G81" i="53" s="1"/>
  <c r="H118" i="51"/>
  <c r="H113" i="51"/>
  <c r="H116" i="51"/>
  <c r="H117" i="51"/>
  <c r="H122" i="51"/>
  <c r="H123" i="51"/>
  <c r="H127" i="56" l="1"/>
  <c r="H128" i="56" s="1"/>
  <c r="H137" i="56" s="1"/>
  <c r="G127" i="57" s="1"/>
  <c r="I60" i="54"/>
  <c r="I61" i="54" s="1"/>
  <c r="D131" i="53"/>
  <c r="E127" i="54" s="1"/>
  <c r="E129" i="54" s="1"/>
  <c r="E137" i="54" s="1"/>
  <c r="I63" i="54"/>
  <c r="I67" i="54" s="1"/>
  <c r="I69" i="54" s="1"/>
  <c r="I71" i="54" s="1"/>
  <c r="H211" i="53"/>
  <c r="H213" i="53" s="1"/>
  <c r="H208" i="53"/>
  <c r="C183" i="53"/>
  <c r="C184" i="53" s="1"/>
  <c r="D176" i="54" s="1"/>
  <c r="D177" i="54" s="1"/>
  <c r="D185" i="54" s="1"/>
  <c r="C172" i="53"/>
  <c r="I131" i="53"/>
  <c r="D23" i="53"/>
  <c r="D28" i="53" s="1"/>
  <c r="K155" i="51"/>
  <c r="J137" i="54" l="1"/>
  <c r="E127" i="55"/>
  <c r="E129" i="55" s="1"/>
  <c r="E137" i="55" s="1"/>
  <c r="G128" i="57"/>
  <c r="G137" i="57" s="1"/>
  <c r="G109" i="58" s="1"/>
  <c r="G110" i="58" s="1"/>
  <c r="G119" i="58" s="1"/>
  <c r="G109" i="59" s="1"/>
  <c r="G110" i="59" s="1"/>
  <c r="G119" i="59" s="1"/>
  <c r="G109" i="60" s="1"/>
  <c r="G111" i="60" s="1"/>
  <c r="G120" i="60" s="1"/>
  <c r="G109" i="61" s="1"/>
  <c r="G111" i="61" s="1"/>
  <c r="G120" i="61" s="1"/>
  <c r="G59" i="62" s="1"/>
  <c r="G61" i="62" s="1"/>
  <c r="G70" i="62" s="1"/>
  <c r="G59" i="63" s="1"/>
  <c r="G61" i="63" s="1"/>
  <c r="G70" i="63" s="1"/>
  <c r="G59" i="64" s="1"/>
  <c r="G61" i="64" s="1"/>
  <c r="G70" i="64" s="1"/>
  <c r="G59" i="65" s="1"/>
  <c r="H215" i="53"/>
  <c r="L153" i="50"/>
  <c r="K107" i="50"/>
  <c r="G60" i="66" l="1"/>
  <c r="G62" i="66" s="1"/>
  <c r="G71" i="66" s="1"/>
  <c r="G60" i="67" s="1"/>
  <c r="G61" i="65"/>
  <c r="G70" i="65" s="1"/>
  <c r="J137" i="55"/>
  <c r="D127" i="56"/>
  <c r="L189" i="55"/>
  <c r="E124" i="51"/>
  <c r="K208" i="51"/>
  <c r="K210" i="51" s="1"/>
  <c r="L202" i="51"/>
  <c r="L204" i="51" s="1"/>
  <c r="H215" i="51"/>
  <c r="I216" i="51" s="1"/>
  <c r="J188" i="51"/>
  <c r="J194" i="51"/>
  <c r="H182" i="51"/>
  <c r="C182" i="51" s="1"/>
  <c r="G62" i="67" l="1"/>
  <c r="G77" i="67" s="1"/>
  <c r="F63" i="68" s="1"/>
  <c r="F72" i="68" s="1"/>
  <c r="H72" i="68" s="1"/>
  <c r="F63" i="69" s="1"/>
  <c r="F72" i="69" s="1"/>
  <c r="H72" i="69" s="1"/>
  <c r="F63" i="70" s="1"/>
  <c r="F75" i="70" s="1"/>
  <c r="H75" i="70" s="1"/>
  <c r="F63" i="71" s="1"/>
  <c r="F75" i="71" s="1"/>
  <c r="H75" i="71" s="1"/>
  <c r="F63" i="72" s="1"/>
  <c r="F75" i="72" s="1"/>
  <c r="H75" i="72" s="1"/>
  <c r="F63" i="73" s="1"/>
  <c r="F75" i="73" s="1"/>
  <c r="H75" i="73" s="1"/>
  <c r="F63" i="74" s="1"/>
  <c r="F79" i="74" s="1"/>
  <c r="H79" i="74" s="1"/>
  <c r="G64" i="75" s="1"/>
  <c r="L208" i="51"/>
  <c r="G204" i="51"/>
  <c r="H206" i="51" s="1"/>
  <c r="E206" i="51"/>
  <c r="G169" i="51"/>
  <c r="H174" i="51" s="1"/>
  <c r="C174" i="51"/>
  <c r="F168" i="51"/>
  <c r="H168" i="51" s="1"/>
  <c r="F167" i="51"/>
  <c r="H167" i="51" s="1"/>
  <c r="F165" i="51"/>
  <c r="H165" i="51" s="1"/>
  <c r="F164" i="51"/>
  <c r="H164" i="51" s="1"/>
  <c r="F163" i="51"/>
  <c r="H163" i="51" s="1"/>
  <c r="F162" i="51"/>
  <c r="H162" i="51" s="1"/>
  <c r="F161" i="51"/>
  <c r="H161" i="51" s="1"/>
  <c r="F160" i="51"/>
  <c r="H160" i="51" s="1"/>
  <c r="F159" i="51"/>
  <c r="H159" i="51" s="1"/>
  <c r="F158" i="51"/>
  <c r="H158" i="51" s="1"/>
  <c r="F157" i="51"/>
  <c r="H157" i="51" s="1"/>
  <c r="H156" i="51"/>
  <c r="F155" i="51"/>
  <c r="H155" i="51" s="1"/>
  <c r="F154" i="51"/>
  <c r="H154" i="51" s="1"/>
  <c r="H153" i="51"/>
  <c r="H152" i="51"/>
  <c r="F151" i="51"/>
  <c r="H151" i="51" s="1"/>
  <c r="F150" i="51"/>
  <c r="H150" i="51" s="1"/>
  <c r="F149" i="51"/>
  <c r="H149" i="51" s="1"/>
  <c r="F148" i="51"/>
  <c r="H148" i="51" s="1"/>
  <c r="H147" i="51"/>
  <c r="F146" i="51"/>
  <c r="H146" i="51" s="1"/>
  <c r="F145" i="51"/>
  <c r="H145" i="51" s="1"/>
  <c r="F144" i="51"/>
  <c r="H144" i="51" s="1"/>
  <c r="G124" i="51"/>
  <c r="H125" i="51" s="1"/>
  <c r="D125" i="51"/>
  <c r="D124" i="51"/>
  <c r="F121" i="51"/>
  <c r="H121" i="51" s="1"/>
  <c r="F120" i="51"/>
  <c r="H120" i="51" s="1"/>
  <c r="H119" i="51"/>
  <c r="F115" i="51"/>
  <c r="H115" i="51" s="1"/>
  <c r="F114" i="51"/>
  <c r="H114" i="51" s="1"/>
  <c r="F112" i="51"/>
  <c r="H112" i="51" s="1"/>
  <c r="F111" i="51"/>
  <c r="H111" i="51" s="1"/>
  <c r="F110" i="51"/>
  <c r="H110" i="51" s="1"/>
  <c r="F109" i="51"/>
  <c r="H109" i="51" s="1"/>
  <c r="F108" i="51"/>
  <c r="H108" i="51" s="1"/>
  <c r="F107" i="51"/>
  <c r="H107" i="51" s="1"/>
  <c r="F106" i="51"/>
  <c r="H106" i="51" s="1"/>
  <c r="F105" i="51"/>
  <c r="H105" i="51" s="1"/>
  <c r="F104" i="51"/>
  <c r="H104" i="51" s="1"/>
  <c r="F84" i="51"/>
  <c r="G87" i="51" s="1"/>
  <c r="D84" i="51"/>
  <c r="D87" i="51" s="1"/>
  <c r="C84" i="51"/>
  <c r="E83" i="51"/>
  <c r="G83" i="51" s="1"/>
  <c r="E81" i="51"/>
  <c r="E80" i="51"/>
  <c r="G80" i="51" s="1"/>
  <c r="E79" i="51"/>
  <c r="G58" i="51"/>
  <c r="E58" i="51"/>
  <c r="D59" i="51" s="1"/>
  <c r="D61" i="51" s="1"/>
  <c r="D58" i="51"/>
  <c r="F57" i="51"/>
  <c r="H57" i="51" s="1"/>
  <c r="H54" i="51"/>
  <c r="H53" i="51"/>
  <c r="F52" i="51"/>
  <c r="H52" i="51" s="1"/>
  <c r="F51" i="51"/>
  <c r="H51" i="51" s="1"/>
  <c r="F50" i="51"/>
  <c r="H50" i="51" s="1"/>
  <c r="F48" i="51"/>
  <c r="H48" i="51" s="1"/>
  <c r="F47" i="51"/>
  <c r="H47" i="51" s="1"/>
  <c r="F46" i="51"/>
  <c r="H46" i="51" s="1"/>
  <c r="G20" i="51"/>
  <c r="E20" i="51"/>
  <c r="F20" i="51" s="1"/>
  <c r="F19" i="51"/>
  <c r="H19" i="51" s="1"/>
  <c r="F18" i="51"/>
  <c r="H18" i="51" s="1"/>
  <c r="F17" i="51"/>
  <c r="H17" i="51" s="1"/>
  <c r="F15" i="51"/>
  <c r="H15" i="51" s="1"/>
  <c r="H14" i="51"/>
  <c r="H13" i="51"/>
  <c r="F12" i="51"/>
  <c r="H12" i="51" s="1"/>
  <c r="F11" i="51"/>
  <c r="H11" i="51" s="1"/>
  <c r="F10" i="51"/>
  <c r="H10" i="51" s="1"/>
  <c r="F9" i="51"/>
  <c r="H9" i="51" s="1"/>
  <c r="F8" i="51"/>
  <c r="H8" i="51" s="1"/>
  <c r="I206" i="50"/>
  <c r="G204" i="50"/>
  <c r="H206" i="50" s="1"/>
  <c r="H212" i="50" s="1"/>
  <c r="H216" i="50" s="1"/>
  <c r="F204" i="50"/>
  <c r="E206" i="50" s="1"/>
  <c r="E212" i="50" s="1"/>
  <c r="E216" i="50" s="1"/>
  <c r="H183" i="50"/>
  <c r="C183" i="50" s="1"/>
  <c r="I175" i="50"/>
  <c r="G170" i="50"/>
  <c r="H175" i="50" s="1"/>
  <c r="E170" i="50"/>
  <c r="C175" i="50" s="1"/>
  <c r="F169" i="50"/>
  <c r="H169" i="50" s="1"/>
  <c r="F168" i="50"/>
  <c r="H168" i="50" s="1"/>
  <c r="F167" i="50"/>
  <c r="H167" i="50" s="1"/>
  <c r="F166" i="50"/>
  <c r="H166" i="50" s="1"/>
  <c r="F165" i="50"/>
  <c r="H165" i="50" s="1"/>
  <c r="F164" i="50"/>
  <c r="H164" i="50" s="1"/>
  <c r="F163" i="50"/>
  <c r="H163" i="50" s="1"/>
  <c r="F162" i="50"/>
  <c r="H162" i="50" s="1"/>
  <c r="F161" i="50"/>
  <c r="H161" i="50" s="1"/>
  <c r="F160" i="50"/>
  <c r="H160" i="50" s="1"/>
  <c r="F159" i="50"/>
  <c r="H159" i="50" s="1"/>
  <c r="F158" i="50"/>
  <c r="H158" i="50" s="1"/>
  <c r="F157" i="50"/>
  <c r="H157" i="50" s="1"/>
  <c r="F156" i="50"/>
  <c r="H156" i="50" s="1"/>
  <c r="F155" i="50"/>
  <c r="H155" i="50" s="1"/>
  <c r="F154" i="50"/>
  <c r="H154" i="50" s="1"/>
  <c r="F153" i="50"/>
  <c r="H153" i="50" s="1"/>
  <c r="F152" i="50"/>
  <c r="H152" i="50" s="1"/>
  <c r="F151" i="50"/>
  <c r="H151" i="50" s="1"/>
  <c r="F150" i="50"/>
  <c r="H150" i="50" s="1"/>
  <c r="F149" i="50"/>
  <c r="H149" i="50" s="1"/>
  <c r="F148" i="50"/>
  <c r="H148" i="50" s="1"/>
  <c r="F147" i="50"/>
  <c r="H147" i="50" s="1"/>
  <c r="F146" i="50"/>
  <c r="H146" i="50" s="1"/>
  <c r="F145" i="50"/>
  <c r="H145" i="50" s="1"/>
  <c r="G125" i="50"/>
  <c r="H126" i="50" s="1"/>
  <c r="E125" i="50"/>
  <c r="D126" i="50" s="1"/>
  <c r="D125" i="50"/>
  <c r="F122" i="50"/>
  <c r="H122" i="50" s="1"/>
  <c r="F121" i="50"/>
  <c r="H121" i="50" s="1"/>
  <c r="F120" i="50"/>
  <c r="H120" i="50" s="1"/>
  <c r="F119" i="50"/>
  <c r="H119" i="50" s="1"/>
  <c r="F117" i="50"/>
  <c r="H117" i="50" s="1"/>
  <c r="F116" i="50"/>
  <c r="H116" i="50" s="1"/>
  <c r="F115" i="50"/>
  <c r="H115" i="50" s="1"/>
  <c r="F114" i="50"/>
  <c r="H114" i="50" s="1"/>
  <c r="F113" i="50"/>
  <c r="H113" i="50" s="1"/>
  <c r="F112" i="50"/>
  <c r="H112" i="50" s="1"/>
  <c r="F111" i="50"/>
  <c r="H111" i="50" s="1"/>
  <c r="F110" i="50"/>
  <c r="H110" i="50" s="1"/>
  <c r="F109" i="50"/>
  <c r="H109" i="50" s="1"/>
  <c r="F108" i="50"/>
  <c r="H108" i="50" s="1"/>
  <c r="F107" i="50"/>
  <c r="H107" i="50" s="1"/>
  <c r="F106" i="50"/>
  <c r="H106" i="50" s="1"/>
  <c r="F105" i="50"/>
  <c r="H105" i="50" s="1"/>
  <c r="F85" i="50"/>
  <c r="G88" i="50" s="1"/>
  <c r="D85" i="50"/>
  <c r="D88" i="50" s="1"/>
  <c r="C85" i="50"/>
  <c r="E84" i="50"/>
  <c r="G84" i="50" s="1"/>
  <c r="E82" i="50"/>
  <c r="E81" i="50"/>
  <c r="G81" i="50" s="1"/>
  <c r="E80" i="50"/>
  <c r="I67" i="50"/>
  <c r="G59" i="50"/>
  <c r="H60" i="50" s="1"/>
  <c r="H62" i="50" s="1"/>
  <c r="E59" i="50"/>
  <c r="D60" i="50" s="1"/>
  <c r="D62" i="50" s="1"/>
  <c r="D59" i="50"/>
  <c r="F58" i="50"/>
  <c r="H58" i="50" s="1"/>
  <c r="F57" i="50"/>
  <c r="H57" i="50" s="1"/>
  <c r="H56" i="50"/>
  <c r="H55" i="50"/>
  <c r="F54" i="50"/>
  <c r="H54" i="50" s="1"/>
  <c r="F53" i="50"/>
  <c r="H53" i="50" s="1"/>
  <c r="F52" i="50"/>
  <c r="H52" i="50" s="1"/>
  <c r="F51" i="50"/>
  <c r="H51" i="50" s="1"/>
  <c r="F50" i="50"/>
  <c r="H50" i="50" s="1"/>
  <c r="F49" i="50"/>
  <c r="H49" i="50" s="1"/>
  <c r="F48" i="50"/>
  <c r="H48" i="50" s="1"/>
  <c r="F47" i="50"/>
  <c r="H47" i="50" s="1"/>
  <c r="G20" i="50"/>
  <c r="E20" i="50"/>
  <c r="D21" i="50" s="1"/>
  <c r="F19" i="50"/>
  <c r="H19" i="50" s="1"/>
  <c r="F18" i="50"/>
  <c r="H18" i="50" s="1"/>
  <c r="F17" i="50"/>
  <c r="H17" i="50" s="1"/>
  <c r="F15" i="50"/>
  <c r="H15" i="50" s="1"/>
  <c r="L14" i="50"/>
  <c r="H14" i="50"/>
  <c r="H13" i="50"/>
  <c r="F12" i="50"/>
  <c r="H12" i="50" s="1"/>
  <c r="F11" i="50"/>
  <c r="H11" i="50" s="1"/>
  <c r="F10" i="50"/>
  <c r="H10" i="50" s="1"/>
  <c r="F9" i="50"/>
  <c r="H9" i="50" s="1"/>
  <c r="F8" i="50"/>
  <c r="H8" i="50" s="1"/>
  <c r="I204" i="49"/>
  <c r="G202" i="49"/>
  <c r="H204" i="49" s="1"/>
  <c r="F202" i="49"/>
  <c r="E204" i="49" s="1"/>
  <c r="E210" i="49" s="1"/>
  <c r="E214" i="49" s="1"/>
  <c r="H201" i="49"/>
  <c r="H200" i="49"/>
  <c r="H199" i="49"/>
  <c r="H198" i="49"/>
  <c r="H197" i="49"/>
  <c r="H196" i="49"/>
  <c r="H195" i="49"/>
  <c r="H194" i="49"/>
  <c r="H193" i="49"/>
  <c r="I174" i="49"/>
  <c r="G169" i="49"/>
  <c r="H174" i="49" s="1"/>
  <c r="H177" i="49" s="1"/>
  <c r="E169" i="49"/>
  <c r="C174" i="49" s="1"/>
  <c r="H168" i="49"/>
  <c r="H167" i="49"/>
  <c r="H166" i="49"/>
  <c r="H165" i="49"/>
  <c r="H164" i="49"/>
  <c r="H163" i="49"/>
  <c r="H162" i="49"/>
  <c r="H161" i="49"/>
  <c r="H160" i="49"/>
  <c r="H159" i="49"/>
  <c r="H158" i="49"/>
  <c r="H157" i="49"/>
  <c r="H156" i="49"/>
  <c r="H155" i="49"/>
  <c r="H154" i="49"/>
  <c r="H153" i="49"/>
  <c r="H152" i="49"/>
  <c r="H151" i="49"/>
  <c r="H150" i="49"/>
  <c r="H149" i="49"/>
  <c r="H148" i="49"/>
  <c r="H147" i="49"/>
  <c r="H146" i="49"/>
  <c r="H145" i="49"/>
  <c r="H144" i="49"/>
  <c r="H132" i="49"/>
  <c r="G124" i="49"/>
  <c r="H125" i="49" s="1"/>
  <c r="H128" i="49" s="1"/>
  <c r="E124" i="49"/>
  <c r="D125" i="49" s="1"/>
  <c r="D124" i="49"/>
  <c r="F121" i="49"/>
  <c r="H121" i="49" s="1"/>
  <c r="F120" i="49"/>
  <c r="H120" i="49" s="1"/>
  <c r="F119" i="49"/>
  <c r="H119" i="49" s="1"/>
  <c r="F118" i="49"/>
  <c r="H118" i="49" s="1"/>
  <c r="F116" i="49"/>
  <c r="H116" i="49" s="1"/>
  <c r="F115" i="49"/>
  <c r="H115" i="49" s="1"/>
  <c r="F114" i="49"/>
  <c r="H114" i="49" s="1"/>
  <c r="F113" i="49"/>
  <c r="H113" i="49" s="1"/>
  <c r="F112" i="49"/>
  <c r="H112" i="49" s="1"/>
  <c r="F111" i="49"/>
  <c r="H111" i="49" s="1"/>
  <c r="F110" i="49"/>
  <c r="H110" i="49" s="1"/>
  <c r="F109" i="49"/>
  <c r="H109" i="49" s="1"/>
  <c r="F108" i="49"/>
  <c r="H108" i="49" s="1"/>
  <c r="F107" i="49"/>
  <c r="H107" i="49" s="1"/>
  <c r="F106" i="49"/>
  <c r="H106" i="49" s="1"/>
  <c r="F105" i="49"/>
  <c r="H105" i="49" s="1"/>
  <c r="F104" i="49"/>
  <c r="H104" i="49" s="1"/>
  <c r="F84" i="49"/>
  <c r="G87" i="49" s="1"/>
  <c r="D84" i="49"/>
  <c r="D87" i="49" s="1"/>
  <c r="C84" i="49"/>
  <c r="E83" i="49"/>
  <c r="G83" i="49" s="1"/>
  <c r="E81" i="49"/>
  <c r="E80" i="49"/>
  <c r="G80" i="49" s="1"/>
  <c r="E79" i="49"/>
  <c r="G79" i="49" s="1"/>
  <c r="G58" i="49"/>
  <c r="H59" i="49" s="1"/>
  <c r="H61" i="49" s="1"/>
  <c r="E58" i="49"/>
  <c r="D59" i="49" s="1"/>
  <c r="D61" i="49" s="1"/>
  <c r="F57" i="49"/>
  <c r="H57" i="49" s="1"/>
  <c r="F56" i="49"/>
  <c r="H56" i="49" s="1"/>
  <c r="H55" i="49"/>
  <c r="F54" i="49"/>
  <c r="H54" i="49" s="1"/>
  <c r="H53" i="49"/>
  <c r="F52" i="49"/>
  <c r="H52" i="49" s="1"/>
  <c r="F51" i="49"/>
  <c r="H51" i="49" s="1"/>
  <c r="H50" i="49"/>
  <c r="F49" i="49"/>
  <c r="H49" i="49" s="1"/>
  <c r="F48" i="49"/>
  <c r="H48" i="49" s="1"/>
  <c r="F47" i="49"/>
  <c r="H47" i="49" s="1"/>
  <c r="F46" i="49"/>
  <c r="G20" i="49"/>
  <c r="E20" i="49"/>
  <c r="D21" i="49" s="1"/>
  <c r="D25" i="49" s="1"/>
  <c r="D28" i="49" s="1"/>
  <c r="F19" i="49"/>
  <c r="H19" i="49" s="1"/>
  <c r="F18" i="49"/>
  <c r="H18" i="49" s="1"/>
  <c r="F17" i="49"/>
  <c r="H17" i="49" s="1"/>
  <c r="F16" i="49"/>
  <c r="H16" i="49" s="1"/>
  <c r="F15" i="49"/>
  <c r="H15" i="49" s="1"/>
  <c r="H14" i="49"/>
  <c r="H13" i="49"/>
  <c r="F12" i="49"/>
  <c r="H12" i="49" s="1"/>
  <c r="F11" i="49"/>
  <c r="H11" i="49" s="1"/>
  <c r="F10" i="49"/>
  <c r="H10" i="49" s="1"/>
  <c r="F9" i="49"/>
  <c r="H9" i="49" s="1"/>
  <c r="F8" i="49"/>
  <c r="H8" i="49" s="1"/>
  <c r="G217" i="48"/>
  <c r="K209" i="48"/>
  <c r="G207" i="48"/>
  <c r="F207" i="48"/>
  <c r="E209" i="48" s="1"/>
  <c r="D186" i="48"/>
  <c r="E190" i="48" s="1"/>
  <c r="M182" i="48"/>
  <c r="N177" i="48"/>
  <c r="N179" i="48" s="1"/>
  <c r="M179" i="48" s="1"/>
  <c r="M174" i="48"/>
  <c r="G174" i="48"/>
  <c r="E174" i="48"/>
  <c r="D179" i="48" s="1"/>
  <c r="D183" i="48" s="1"/>
  <c r="I135" i="48"/>
  <c r="F135" i="48"/>
  <c r="E123" i="48"/>
  <c r="D124" i="48" s="1"/>
  <c r="D127" i="48" s="1"/>
  <c r="D123" i="48"/>
  <c r="F120" i="48"/>
  <c r="H120" i="48" s="1"/>
  <c r="F119" i="48"/>
  <c r="H119" i="48" s="1"/>
  <c r="G118" i="48"/>
  <c r="G123" i="48" s="1"/>
  <c r="F118" i="48"/>
  <c r="F117" i="48"/>
  <c r="H117" i="48" s="1"/>
  <c r="F116" i="48"/>
  <c r="H116" i="48" s="1"/>
  <c r="F115" i="48"/>
  <c r="H115" i="48" s="1"/>
  <c r="F114" i="48"/>
  <c r="H114" i="48" s="1"/>
  <c r="F113" i="48"/>
  <c r="H113" i="48" s="1"/>
  <c r="F112" i="48"/>
  <c r="H112" i="48" s="1"/>
  <c r="F111" i="48"/>
  <c r="H111" i="48" s="1"/>
  <c r="F110" i="48"/>
  <c r="H110" i="48" s="1"/>
  <c r="F109" i="48"/>
  <c r="H109" i="48" s="1"/>
  <c r="F108" i="48"/>
  <c r="H108" i="48" s="1"/>
  <c r="F107" i="48"/>
  <c r="H107" i="48" s="1"/>
  <c r="F106" i="48"/>
  <c r="H106" i="48" s="1"/>
  <c r="F105" i="48"/>
  <c r="H105" i="48" s="1"/>
  <c r="F104" i="48"/>
  <c r="H104" i="48" s="1"/>
  <c r="F103" i="48"/>
  <c r="H103" i="48" s="1"/>
  <c r="E91" i="48"/>
  <c r="F83" i="48"/>
  <c r="D83" i="48"/>
  <c r="D86" i="48" s="1"/>
  <c r="D89" i="48" s="1"/>
  <c r="D92" i="48" s="1"/>
  <c r="C83" i="48"/>
  <c r="E82" i="48"/>
  <c r="G82" i="48" s="1"/>
  <c r="E80" i="48"/>
  <c r="G80" i="48" s="1"/>
  <c r="E79" i="48"/>
  <c r="G79" i="48" s="1"/>
  <c r="E78" i="48"/>
  <c r="G78" i="48" s="1"/>
  <c r="J72" i="48"/>
  <c r="G57" i="48"/>
  <c r="E57" i="48"/>
  <c r="D58" i="48" s="1"/>
  <c r="D60" i="48" s="1"/>
  <c r="F56" i="48"/>
  <c r="H56" i="48" s="1"/>
  <c r="F55" i="48"/>
  <c r="H55" i="48" s="1"/>
  <c r="H54" i="48"/>
  <c r="F53" i="48"/>
  <c r="H53" i="48" s="1"/>
  <c r="H52" i="48"/>
  <c r="F51" i="48"/>
  <c r="H51" i="48" s="1"/>
  <c r="F50" i="48"/>
  <c r="H50" i="48" s="1"/>
  <c r="H49" i="48"/>
  <c r="F48" i="48"/>
  <c r="H48" i="48" s="1"/>
  <c r="F47" i="48"/>
  <c r="H47" i="48" s="1"/>
  <c r="F46" i="48"/>
  <c r="H46" i="48" s="1"/>
  <c r="F45" i="48"/>
  <c r="H45" i="48" s="1"/>
  <c r="H28" i="48"/>
  <c r="G20" i="48"/>
  <c r="E20" i="48"/>
  <c r="D21" i="48" s="1"/>
  <c r="F19" i="48"/>
  <c r="H19" i="48" s="1"/>
  <c r="F18" i="48"/>
  <c r="H18" i="48" s="1"/>
  <c r="F17" i="48"/>
  <c r="H17" i="48" s="1"/>
  <c r="F16" i="48"/>
  <c r="H16" i="48" s="1"/>
  <c r="F15" i="48"/>
  <c r="H15" i="48" s="1"/>
  <c r="F14" i="48"/>
  <c r="H14" i="48" s="1"/>
  <c r="H13" i="48"/>
  <c r="F12" i="48"/>
  <c r="H12" i="48" s="1"/>
  <c r="F11" i="48"/>
  <c r="H11" i="48" s="1"/>
  <c r="F10" i="48"/>
  <c r="H10" i="48" s="1"/>
  <c r="F9" i="48"/>
  <c r="H9" i="48" s="1"/>
  <c r="F8" i="48"/>
  <c r="H8" i="48" s="1"/>
  <c r="E181" i="47"/>
  <c r="G173" i="47"/>
  <c r="E175" i="47" s="1"/>
  <c r="F173" i="47"/>
  <c r="D154" i="47"/>
  <c r="J150" i="47"/>
  <c r="G143" i="47"/>
  <c r="D148" i="47" s="1"/>
  <c r="E143" i="47"/>
  <c r="L120" i="47"/>
  <c r="G101" i="47"/>
  <c r="D102" i="47" s="1"/>
  <c r="E101" i="47"/>
  <c r="F99" i="47"/>
  <c r="H99" i="47" s="1"/>
  <c r="F98" i="47"/>
  <c r="H98" i="47" s="1"/>
  <c r="F96" i="47"/>
  <c r="H96" i="47" s="1"/>
  <c r="F95" i="47"/>
  <c r="H95" i="47" s="1"/>
  <c r="F94" i="47"/>
  <c r="H94" i="47" s="1"/>
  <c r="F93" i="47"/>
  <c r="H93" i="47" s="1"/>
  <c r="F92" i="47"/>
  <c r="H92" i="47" s="1"/>
  <c r="F91" i="47"/>
  <c r="H91" i="47" s="1"/>
  <c r="F90" i="47"/>
  <c r="H90" i="47" s="1"/>
  <c r="F89" i="47"/>
  <c r="H89" i="47" s="1"/>
  <c r="F88" i="47"/>
  <c r="H88" i="47" s="1"/>
  <c r="F87" i="47"/>
  <c r="H87" i="47" s="1"/>
  <c r="F86" i="47"/>
  <c r="H86" i="47" s="1"/>
  <c r="F85" i="47"/>
  <c r="H85" i="47" s="1"/>
  <c r="F84" i="47"/>
  <c r="H84" i="47" s="1"/>
  <c r="F83" i="47"/>
  <c r="H83" i="47" s="1"/>
  <c r="F82" i="47"/>
  <c r="H82" i="47" s="1"/>
  <c r="F81" i="47"/>
  <c r="H81" i="47" s="1"/>
  <c r="F80" i="47"/>
  <c r="H80" i="47" s="1"/>
  <c r="E61" i="47"/>
  <c r="N60" i="47"/>
  <c r="P60" i="47" s="1"/>
  <c r="F53" i="47"/>
  <c r="D53" i="47"/>
  <c r="D56" i="47" s="1"/>
  <c r="D59" i="47" s="1"/>
  <c r="D62" i="47" s="1"/>
  <c r="C53" i="47"/>
  <c r="E52" i="47"/>
  <c r="G52" i="47" s="1"/>
  <c r="E50" i="47"/>
  <c r="G50" i="47" s="1"/>
  <c r="E49" i="47"/>
  <c r="G49" i="47" s="1"/>
  <c r="E48" i="47"/>
  <c r="G48" i="47" s="1"/>
  <c r="G22" i="47"/>
  <c r="E22" i="47"/>
  <c r="D23" i="47" s="1"/>
  <c r="D27" i="47" s="1"/>
  <c r="D31" i="47" s="1"/>
  <c r="F21" i="47"/>
  <c r="H21" i="47" s="1"/>
  <c r="F20" i="47"/>
  <c r="H20" i="47" s="1"/>
  <c r="H19" i="47"/>
  <c r="F18" i="47"/>
  <c r="H18" i="47" s="1"/>
  <c r="H17" i="47"/>
  <c r="F16" i="47"/>
  <c r="H16" i="47" s="1"/>
  <c r="F15" i="47"/>
  <c r="H15" i="47" s="1"/>
  <c r="H14" i="47"/>
  <c r="F13" i="47"/>
  <c r="H13" i="47" s="1"/>
  <c r="F12" i="47"/>
  <c r="H12" i="47" s="1"/>
  <c r="F11" i="47"/>
  <c r="H11" i="47" s="1"/>
  <c r="F10" i="47"/>
  <c r="H10" i="47" s="1"/>
  <c r="E211" i="46"/>
  <c r="F201" i="46"/>
  <c r="E205" i="46" s="1"/>
  <c r="G205" i="46" s="1"/>
  <c r="D184" i="46"/>
  <c r="F173" i="46"/>
  <c r="E173" i="46"/>
  <c r="D178" i="46" s="1"/>
  <c r="E132" i="46"/>
  <c r="D133" i="46" s="1"/>
  <c r="F130" i="46"/>
  <c r="H130" i="46" s="1"/>
  <c r="F129" i="46"/>
  <c r="H129" i="46" s="1"/>
  <c r="F128" i="46"/>
  <c r="H128" i="46" s="1"/>
  <c r="F127" i="46"/>
  <c r="H127" i="46" s="1"/>
  <c r="F126" i="46"/>
  <c r="H126" i="46" s="1"/>
  <c r="F125" i="46"/>
  <c r="H125" i="46" s="1"/>
  <c r="F124" i="46"/>
  <c r="H124" i="46" s="1"/>
  <c r="F123" i="46"/>
  <c r="H123" i="46" s="1"/>
  <c r="F122" i="46"/>
  <c r="H122" i="46" s="1"/>
  <c r="F121" i="46"/>
  <c r="H121" i="46" s="1"/>
  <c r="F120" i="46"/>
  <c r="H120" i="46" s="1"/>
  <c r="F119" i="46"/>
  <c r="H119" i="46" s="1"/>
  <c r="F118" i="46"/>
  <c r="H118" i="46" s="1"/>
  <c r="F117" i="46"/>
  <c r="H117" i="46" s="1"/>
  <c r="F116" i="46"/>
  <c r="H116" i="46" s="1"/>
  <c r="F115" i="46"/>
  <c r="H115" i="46" s="1"/>
  <c r="F114" i="46"/>
  <c r="H114" i="46" s="1"/>
  <c r="F113" i="46"/>
  <c r="H113" i="46" s="1"/>
  <c r="F112" i="46"/>
  <c r="H112" i="46" s="1"/>
  <c r="F111" i="46"/>
  <c r="H111" i="46" s="1"/>
  <c r="M110" i="46"/>
  <c r="E92" i="46"/>
  <c r="F84" i="46"/>
  <c r="D84" i="46"/>
  <c r="D87" i="46" s="1"/>
  <c r="D90" i="46" s="1"/>
  <c r="D93" i="46" s="1"/>
  <c r="C84" i="46"/>
  <c r="E83" i="46"/>
  <c r="G83" i="46" s="1"/>
  <c r="E81" i="46"/>
  <c r="G81" i="46" s="1"/>
  <c r="E80" i="46"/>
  <c r="G80" i="46" s="1"/>
  <c r="E79" i="46"/>
  <c r="G79" i="46" s="1"/>
  <c r="G55" i="46"/>
  <c r="E55" i="46"/>
  <c r="D56" i="46" s="1"/>
  <c r="F54" i="46"/>
  <c r="H54" i="46" s="1"/>
  <c r="F53" i="46"/>
  <c r="H53" i="46" s="1"/>
  <c r="H52" i="46"/>
  <c r="F51" i="46"/>
  <c r="H51" i="46" s="1"/>
  <c r="H50" i="46"/>
  <c r="F49" i="46"/>
  <c r="H49" i="46" s="1"/>
  <c r="F48" i="46"/>
  <c r="H48" i="46" s="1"/>
  <c r="F47" i="46"/>
  <c r="H47" i="46" s="1"/>
  <c r="F46" i="46"/>
  <c r="H46" i="46" s="1"/>
  <c r="F45" i="46"/>
  <c r="H45" i="46" s="1"/>
  <c r="F44" i="46"/>
  <c r="H44" i="46" s="1"/>
  <c r="F43" i="46"/>
  <c r="H43" i="46" s="1"/>
  <c r="E20" i="46"/>
  <c r="D21" i="46" s="1"/>
  <c r="D24" i="46" s="1"/>
  <c r="C25" i="46" s="1"/>
  <c r="F19" i="46"/>
  <c r="H19" i="46" s="1"/>
  <c r="F18" i="46"/>
  <c r="H18" i="46" s="1"/>
  <c r="F17" i="46"/>
  <c r="H17" i="46" s="1"/>
  <c r="F16" i="46"/>
  <c r="H16" i="46" s="1"/>
  <c r="F15" i="46"/>
  <c r="H15" i="46" s="1"/>
  <c r="F14" i="46"/>
  <c r="H14" i="46" s="1"/>
  <c r="H13" i="46"/>
  <c r="F12" i="46"/>
  <c r="H12" i="46" s="1"/>
  <c r="F11" i="46"/>
  <c r="H11" i="46" s="1"/>
  <c r="F10" i="46"/>
  <c r="H10" i="46" s="1"/>
  <c r="F9" i="46"/>
  <c r="H9" i="46" s="1"/>
  <c r="F8" i="46"/>
  <c r="H8" i="46" s="1"/>
  <c r="E206" i="45"/>
  <c r="F208" i="45" s="1"/>
  <c r="F195" i="45"/>
  <c r="E200" i="45" s="1"/>
  <c r="D178" i="45"/>
  <c r="E167" i="45"/>
  <c r="D172" i="45" s="1"/>
  <c r="D177" i="45" s="1"/>
  <c r="I142" i="45"/>
  <c r="E129" i="45"/>
  <c r="F129" i="45" s="1"/>
  <c r="F128" i="45"/>
  <c r="H128" i="45" s="1"/>
  <c r="F127" i="45"/>
  <c r="H127" i="45" s="1"/>
  <c r="F126" i="45"/>
  <c r="H126" i="45" s="1"/>
  <c r="F125" i="45"/>
  <c r="H125" i="45" s="1"/>
  <c r="F124" i="45"/>
  <c r="H124" i="45" s="1"/>
  <c r="F123" i="45"/>
  <c r="H123" i="45" s="1"/>
  <c r="F122" i="45"/>
  <c r="H122" i="45" s="1"/>
  <c r="F121" i="45"/>
  <c r="H121" i="45" s="1"/>
  <c r="F120" i="45"/>
  <c r="H120" i="45" s="1"/>
  <c r="F119" i="45"/>
  <c r="H119" i="45" s="1"/>
  <c r="F118" i="45"/>
  <c r="H118" i="45" s="1"/>
  <c r="F117" i="45"/>
  <c r="H117" i="45" s="1"/>
  <c r="F116" i="45"/>
  <c r="H116" i="45" s="1"/>
  <c r="F115" i="45"/>
  <c r="H115" i="45" s="1"/>
  <c r="F114" i="45"/>
  <c r="H114" i="45" s="1"/>
  <c r="F113" i="45"/>
  <c r="F112" i="45"/>
  <c r="H112" i="45" s="1"/>
  <c r="F111" i="45"/>
  <c r="H111" i="45" s="1"/>
  <c r="F110" i="45"/>
  <c r="H110" i="45" s="1"/>
  <c r="F109" i="45"/>
  <c r="H109" i="45" s="1"/>
  <c r="F108" i="45"/>
  <c r="H108" i="45" s="1"/>
  <c r="F81" i="45"/>
  <c r="D81" i="45"/>
  <c r="D84" i="45" s="1"/>
  <c r="D87" i="45" s="1"/>
  <c r="D90" i="45" s="1"/>
  <c r="C81" i="45"/>
  <c r="E80" i="45"/>
  <c r="G80" i="45" s="1"/>
  <c r="E78" i="45"/>
  <c r="G78" i="45" s="1"/>
  <c r="E77" i="45"/>
  <c r="G77" i="45" s="1"/>
  <c r="E76" i="45"/>
  <c r="G76" i="45" s="1"/>
  <c r="F63" i="45"/>
  <c r="G52" i="45"/>
  <c r="E52" i="45"/>
  <c r="D53" i="45" s="1"/>
  <c r="F51" i="45"/>
  <c r="H51" i="45" s="1"/>
  <c r="F50" i="45"/>
  <c r="H50" i="45" s="1"/>
  <c r="F49" i="45"/>
  <c r="H49" i="45" s="1"/>
  <c r="F48" i="45"/>
  <c r="H48" i="45" s="1"/>
  <c r="F47" i="45"/>
  <c r="H47" i="45" s="1"/>
  <c r="F46" i="45"/>
  <c r="H46" i="45" s="1"/>
  <c r="F45" i="45"/>
  <c r="H45" i="45" s="1"/>
  <c r="F44" i="45"/>
  <c r="H44" i="45" s="1"/>
  <c r="F43" i="45"/>
  <c r="H43" i="45" s="1"/>
  <c r="E20" i="45"/>
  <c r="D21" i="45" s="1"/>
  <c r="F19" i="45"/>
  <c r="H19" i="45" s="1"/>
  <c r="F18" i="45"/>
  <c r="H18" i="45" s="1"/>
  <c r="F17" i="45"/>
  <c r="H17" i="45" s="1"/>
  <c r="F16" i="45"/>
  <c r="H16" i="45" s="1"/>
  <c r="F15" i="45"/>
  <c r="H15" i="45" s="1"/>
  <c r="F14" i="45"/>
  <c r="H14" i="45" s="1"/>
  <c r="F13" i="45"/>
  <c r="H13" i="45" s="1"/>
  <c r="F12" i="45"/>
  <c r="H12" i="45" s="1"/>
  <c r="F11" i="45"/>
  <c r="H11" i="45" s="1"/>
  <c r="F10" i="45"/>
  <c r="H10" i="45" s="1"/>
  <c r="F9" i="45"/>
  <c r="H9" i="45" s="1"/>
  <c r="F8" i="45"/>
  <c r="H8" i="45" s="1"/>
  <c r="F195" i="44"/>
  <c r="D178" i="44"/>
  <c r="E167" i="44"/>
  <c r="D172" i="44" s="1"/>
  <c r="D177" i="44" s="1"/>
  <c r="I142" i="44"/>
  <c r="E129" i="44"/>
  <c r="D130" i="44" s="1"/>
  <c r="F81" i="44"/>
  <c r="D81" i="44"/>
  <c r="D84" i="44" s="1"/>
  <c r="D87" i="44" s="1"/>
  <c r="D90" i="44" s="1"/>
  <c r="C81" i="44"/>
  <c r="E80" i="44"/>
  <c r="G80" i="44" s="1"/>
  <c r="E78" i="44"/>
  <c r="G78" i="44" s="1"/>
  <c r="E77" i="44"/>
  <c r="G77" i="44" s="1"/>
  <c r="E76" i="44"/>
  <c r="G52" i="44"/>
  <c r="E52" i="44"/>
  <c r="D53" i="44" s="1"/>
  <c r="F51" i="44"/>
  <c r="H51" i="44" s="1"/>
  <c r="F50" i="44"/>
  <c r="H50" i="44" s="1"/>
  <c r="F49" i="44"/>
  <c r="H49" i="44" s="1"/>
  <c r="F48" i="44"/>
  <c r="H48" i="44" s="1"/>
  <c r="F47" i="44"/>
  <c r="H47" i="44" s="1"/>
  <c r="F46" i="44"/>
  <c r="H46" i="44" s="1"/>
  <c r="F45" i="44"/>
  <c r="H45" i="44" s="1"/>
  <c r="F44" i="44"/>
  <c r="H44" i="44" s="1"/>
  <c r="F43" i="44"/>
  <c r="H43" i="44" s="1"/>
  <c r="E20" i="44"/>
  <c r="D21" i="44" s="1"/>
  <c r="D24" i="44" s="1"/>
  <c r="F19" i="44"/>
  <c r="H19" i="44" s="1"/>
  <c r="F18" i="44"/>
  <c r="H18" i="44" s="1"/>
  <c r="F17" i="44"/>
  <c r="H17" i="44" s="1"/>
  <c r="F16" i="44"/>
  <c r="H16" i="44" s="1"/>
  <c r="F15" i="44"/>
  <c r="H15" i="44" s="1"/>
  <c r="F14" i="44"/>
  <c r="H14" i="44" s="1"/>
  <c r="F13" i="44"/>
  <c r="H13" i="44" s="1"/>
  <c r="F12" i="44"/>
  <c r="H12" i="44" s="1"/>
  <c r="F11" i="44"/>
  <c r="H11" i="44" s="1"/>
  <c r="F10" i="44"/>
  <c r="H10" i="44" s="1"/>
  <c r="F9" i="44"/>
  <c r="H9" i="44" s="1"/>
  <c r="F8" i="44"/>
  <c r="H8" i="44" s="1"/>
  <c r="J136" i="43"/>
  <c r="E129" i="43"/>
  <c r="D130" i="43" s="1"/>
  <c r="D93" i="43"/>
  <c r="F81" i="43"/>
  <c r="D81" i="43"/>
  <c r="D84" i="43" s="1"/>
  <c r="C81" i="43"/>
  <c r="E80" i="43"/>
  <c r="G80" i="43" s="1"/>
  <c r="E78" i="43"/>
  <c r="G78" i="43" s="1"/>
  <c r="E77" i="43"/>
  <c r="G77" i="43" s="1"/>
  <c r="E76" i="43"/>
  <c r="G76" i="43" s="1"/>
  <c r="G52" i="43"/>
  <c r="E52" i="43"/>
  <c r="D53" i="43" s="1"/>
  <c r="F51" i="43"/>
  <c r="H51" i="43" s="1"/>
  <c r="F50" i="43"/>
  <c r="H50" i="43" s="1"/>
  <c r="F49" i="43"/>
  <c r="H49" i="43" s="1"/>
  <c r="F48" i="43"/>
  <c r="H48" i="43" s="1"/>
  <c r="F47" i="43"/>
  <c r="H47" i="43" s="1"/>
  <c r="F46" i="43"/>
  <c r="H46" i="43" s="1"/>
  <c r="F45" i="43"/>
  <c r="H45" i="43" s="1"/>
  <c r="F44" i="43"/>
  <c r="H44" i="43" s="1"/>
  <c r="F43" i="43"/>
  <c r="D29" i="43"/>
  <c r="E20" i="43"/>
  <c r="D21" i="43" s="1"/>
  <c r="F19" i="43"/>
  <c r="H19" i="43" s="1"/>
  <c r="F18" i="43"/>
  <c r="H18" i="43" s="1"/>
  <c r="F17" i="43"/>
  <c r="H17" i="43" s="1"/>
  <c r="F16" i="43"/>
  <c r="H16" i="43" s="1"/>
  <c r="F15" i="43"/>
  <c r="H15" i="43" s="1"/>
  <c r="F14" i="43"/>
  <c r="H14" i="43" s="1"/>
  <c r="F13" i="43"/>
  <c r="H13" i="43" s="1"/>
  <c r="F12" i="43"/>
  <c r="H12" i="43" s="1"/>
  <c r="F11" i="43"/>
  <c r="H11" i="43" s="1"/>
  <c r="F10" i="43"/>
  <c r="H10" i="43" s="1"/>
  <c r="F9" i="43"/>
  <c r="H9" i="43" s="1"/>
  <c r="F8" i="43"/>
  <c r="H8" i="43" s="1"/>
  <c r="F81" i="42"/>
  <c r="D81" i="42"/>
  <c r="D84" i="42" s="1"/>
  <c r="C81" i="42"/>
  <c r="E80" i="42"/>
  <c r="G80" i="42" s="1"/>
  <c r="E78" i="42"/>
  <c r="G78" i="42" s="1"/>
  <c r="E77" i="42"/>
  <c r="G77" i="42" s="1"/>
  <c r="E76" i="42"/>
  <c r="E52" i="42"/>
  <c r="D53" i="42" s="1"/>
  <c r="E20" i="42"/>
  <c r="D21" i="42" s="1"/>
  <c r="F80" i="41"/>
  <c r="D80" i="41"/>
  <c r="D83" i="41" s="1"/>
  <c r="C80" i="41"/>
  <c r="E79" i="41"/>
  <c r="G79" i="41" s="1"/>
  <c r="E77" i="41"/>
  <c r="G77" i="41" s="1"/>
  <c r="E76" i="41"/>
  <c r="G76" i="41" s="1"/>
  <c r="E75" i="41"/>
  <c r="G75" i="41" s="1"/>
  <c r="E52" i="41"/>
  <c r="D53" i="41" s="1"/>
  <c r="E20" i="41"/>
  <c r="D21" i="41" s="1"/>
  <c r="J82" i="40"/>
  <c r="F80" i="40"/>
  <c r="D80" i="40"/>
  <c r="D83" i="40" s="1"/>
  <c r="D86" i="40" s="1"/>
  <c r="D90" i="40" s="1"/>
  <c r="C80" i="40"/>
  <c r="E79" i="40"/>
  <c r="G79" i="40" s="1"/>
  <c r="E78" i="40"/>
  <c r="G78" i="40" s="1"/>
  <c r="E77" i="40"/>
  <c r="G77" i="40" s="1"/>
  <c r="E76" i="40"/>
  <c r="G76" i="40" s="1"/>
  <c r="E75" i="40"/>
  <c r="G75" i="40" s="1"/>
  <c r="M65" i="40"/>
  <c r="E52" i="40"/>
  <c r="D53" i="40" s="1"/>
  <c r="D56" i="40" s="1"/>
  <c r="E20" i="40"/>
  <c r="D21" i="40" s="1"/>
  <c r="F81" i="38"/>
  <c r="D81" i="38"/>
  <c r="D84" i="38" s="1"/>
  <c r="C81" i="38"/>
  <c r="E80" i="38"/>
  <c r="G80" i="38" s="1"/>
  <c r="E79" i="38"/>
  <c r="G79" i="38" s="1"/>
  <c r="E78" i="38"/>
  <c r="G78" i="38" s="1"/>
  <c r="E77" i="38"/>
  <c r="G77" i="38" s="1"/>
  <c r="E76" i="38"/>
  <c r="E53" i="38"/>
  <c r="D54" i="38" s="1"/>
  <c r="E21" i="38"/>
  <c r="D22" i="38" s="1"/>
  <c r="F81" i="37"/>
  <c r="D81" i="37"/>
  <c r="D84" i="37" s="1"/>
  <c r="C81" i="37"/>
  <c r="E80" i="37"/>
  <c r="G80" i="37" s="1"/>
  <c r="E79" i="37"/>
  <c r="G79" i="37" s="1"/>
  <c r="E78" i="37"/>
  <c r="G78" i="37" s="1"/>
  <c r="E77" i="37"/>
  <c r="G77" i="37" s="1"/>
  <c r="E76" i="37"/>
  <c r="F68" i="37"/>
  <c r="E54" i="37"/>
  <c r="D55" i="37" s="1"/>
  <c r="D58" i="37" s="1"/>
  <c r="D59" i="37" s="1"/>
  <c r="E22" i="37"/>
  <c r="D23" i="37" s="1"/>
  <c r="L45" i="36"/>
  <c r="F22" i="36"/>
  <c r="E23" i="36" s="1"/>
  <c r="E18" i="35"/>
  <c r="D20" i="35" s="1"/>
  <c r="D23" i="35" s="1"/>
  <c r="D27" i="35" s="1"/>
  <c r="J27" i="34"/>
  <c r="F17" i="34"/>
  <c r="E18" i="34" s="1"/>
  <c r="F23" i="33"/>
  <c r="E24" i="33" s="1"/>
  <c r="D33" i="32"/>
  <c r="D29" i="32"/>
  <c r="F15" i="32"/>
  <c r="E16" i="32" s="1"/>
  <c r="F47" i="31"/>
  <c r="E48" i="31" s="1"/>
  <c r="F23" i="31"/>
  <c r="E24" i="31" s="1"/>
  <c r="E27" i="31" s="1"/>
  <c r="E28" i="31" s="1"/>
  <c r="F47" i="30"/>
  <c r="E48" i="30" s="1"/>
  <c r="F23" i="30"/>
  <c r="E24" i="30" s="1"/>
  <c r="F47" i="29"/>
  <c r="E48" i="29" s="1"/>
  <c r="F23" i="29"/>
  <c r="E24" i="29" s="1"/>
  <c r="E27" i="29" s="1"/>
  <c r="E28" i="29" s="1"/>
  <c r="F46" i="28"/>
  <c r="E47" i="28" s="1"/>
  <c r="F22" i="28"/>
  <c r="E23" i="28" s="1"/>
  <c r="K68" i="27"/>
  <c r="F45" i="27"/>
  <c r="E46" i="27" s="1"/>
  <c r="E49" i="27" s="1"/>
  <c r="E51" i="27" s="1"/>
  <c r="F21" i="27"/>
  <c r="E22" i="27" s="1"/>
  <c r="J48" i="26"/>
  <c r="E45" i="26"/>
  <c r="D46" i="26" s="1"/>
  <c r="E20" i="26"/>
  <c r="D22" i="26" s="1"/>
  <c r="E52" i="25"/>
  <c r="D53" i="25" s="1"/>
  <c r="E21" i="25"/>
  <c r="D23" i="25" s="1"/>
  <c r="E21" i="24"/>
  <c r="D22" i="24" s="1"/>
  <c r="L31" i="23"/>
  <c r="L33" i="23" s="1"/>
  <c r="E20" i="23"/>
  <c r="D22" i="23" s="1"/>
  <c r="E21" i="22"/>
  <c r="D23" i="22" s="1"/>
  <c r="E21" i="21"/>
  <c r="D23" i="21" s="1"/>
  <c r="E22" i="20"/>
  <c r="D24" i="20" s="1"/>
  <c r="F18" i="20"/>
  <c r="K18" i="20" s="1"/>
  <c r="K16" i="20"/>
  <c r="K15" i="20"/>
  <c r="K14" i="20"/>
  <c r="F13" i="20"/>
  <c r="K13" i="20" s="1"/>
  <c r="K9" i="20"/>
  <c r="D30" i="19"/>
  <c r="G22" i="19"/>
  <c r="E22" i="19"/>
  <c r="D23" i="19" s="1"/>
  <c r="F18" i="19"/>
  <c r="K18" i="19" s="1"/>
  <c r="K16" i="19"/>
  <c r="K15" i="19"/>
  <c r="K14" i="19"/>
  <c r="F13" i="19"/>
  <c r="K13" i="19" s="1"/>
  <c r="K9" i="19"/>
  <c r="D30" i="18"/>
  <c r="G22" i="18"/>
  <c r="E22" i="18"/>
  <c r="D24" i="18" s="1"/>
  <c r="F18" i="18"/>
  <c r="K18" i="18" s="1"/>
  <c r="K16" i="18"/>
  <c r="K15" i="18"/>
  <c r="K14" i="18"/>
  <c r="F13" i="18"/>
  <c r="K13" i="18" s="1"/>
  <c r="K9" i="18"/>
  <c r="G22" i="17"/>
  <c r="E22" i="17"/>
  <c r="D24" i="17" s="1"/>
  <c r="F18" i="17"/>
  <c r="K18" i="17" s="1"/>
  <c r="K16" i="17"/>
  <c r="K15" i="17"/>
  <c r="K14" i="17"/>
  <c r="F13" i="17"/>
  <c r="K13" i="17" s="1"/>
  <c r="K12" i="17"/>
  <c r="K9" i="17"/>
  <c r="G22" i="16"/>
  <c r="E22" i="16"/>
  <c r="D24" i="16" s="1"/>
  <c r="F18" i="16"/>
  <c r="K18" i="16" s="1"/>
  <c r="K16" i="16"/>
  <c r="K15" i="16"/>
  <c r="K14" i="16"/>
  <c r="F13" i="16"/>
  <c r="K13" i="16" s="1"/>
  <c r="K12" i="16"/>
  <c r="K9" i="16"/>
  <c r="H22" i="15"/>
  <c r="D23" i="15" s="1"/>
  <c r="D22" i="15"/>
  <c r="L16" i="15"/>
  <c r="L14" i="15"/>
  <c r="L9" i="15"/>
  <c r="H22" i="14"/>
  <c r="D23" i="14" s="1"/>
  <c r="D22" i="14"/>
  <c r="L16" i="14"/>
  <c r="L14" i="14"/>
  <c r="L9" i="14"/>
  <c r="H22" i="13"/>
  <c r="D23" i="13" s="1"/>
  <c r="D22" i="13"/>
  <c r="L16" i="13"/>
  <c r="L15" i="13"/>
  <c r="L14" i="13"/>
  <c r="L9" i="13"/>
  <c r="H22" i="12"/>
  <c r="D23" i="12" s="1"/>
  <c r="D22" i="12"/>
  <c r="L16" i="12"/>
  <c r="L15" i="12"/>
  <c r="L14" i="12"/>
  <c r="L9" i="12"/>
  <c r="H22" i="11"/>
  <c r="D23" i="11" s="1"/>
  <c r="G22" i="11"/>
  <c r="L16" i="11"/>
  <c r="L14" i="11"/>
  <c r="L9" i="11"/>
  <c r="H22" i="10"/>
  <c r="D23" i="10" s="1"/>
  <c r="G22" i="10"/>
  <c r="L16" i="10"/>
  <c r="L14" i="10"/>
  <c r="L13" i="10"/>
  <c r="H22" i="9"/>
  <c r="D23" i="9" s="1"/>
  <c r="G22" i="9"/>
  <c r="L16" i="9"/>
  <c r="L14" i="9"/>
  <c r="L13" i="9"/>
  <c r="L9" i="9"/>
  <c r="L22" i="8"/>
  <c r="H22" i="8"/>
  <c r="D23" i="8" s="1"/>
  <c r="G22" i="8"/>
  <c r="D190" i="48" l="1"/>
  <c r="H20" i="43"/>
  <c r="F20" i="49"/>
  <c r="H179" i="51"/>
  <c r="D22" i="22"/>
  <c r="D27" i="22" s="1"/>
  <c r="D32" i="22" s="1"/>
  <c r="L22" i="15"/>
  <c r="E81" i="37"/>
  <c r="E81" i="42"/>
  <c r="E81" i="44"/>
  <c r="H124" i="49"/>
  <c r="D22" i="21"/>
  <c r="D21" i="23"/>
  <c r="D24" i="23" s="1"/>
  <c r="D25" i="23" s="1"/>
  <c r="E81" i="38"/>
  <c r="G76" i="42"/>
  <c r="G81" i="42" s="1"/>
  <c r="F52" i="43"/>
  <c r="H52" i="43" s="1"/>
  <c r="D180" i="44"/>
  <c r="D181" i="44" s="1"/>
  <c r="D182" i="44" s="1"/>
  <c r="D180" i="45"/>
  <c r="F20" i="50"/>
  <c r="E85" i="50"/>
  <c r="G76" i="37"/>
  <c r="G81" i="37" s="1"/>
  <c r="G76" i="38"/>
  <c r="G81" i="38" s="1"/>
  <c r="F20" i="46"/>
  <c r="F20" i="48"/>
  <c r="G83" i="48"/>
  <c r="H118" i="48"/>
  <c r="I185" i="50"/>
  <c r="E84" i="51"/>
  <c r="C180" i="50"/>
  <c r="D183" i="50" s="1"/>
  <c r="C178" i="50"/>
  <c r="D23" i="17"/>
  <c r="D25" i="17" s="1"/>
  <c r="L22" i="9"/>
  <c r="L22" i="10"/>
  <c r="L22" i="11"/>
  <c r="L22" i="12"/>
  <c r="L22" i="13"/>
  <c r="L22" i="14"/>
  <c r="D23" i="16"/>
  <c r="D27" i="16" s="1"/>
  <c r="D31" i="16" s="1"/>
  <c r="K22" i="18"/>
  <c r="K22" i="20"/>
  <c r="L34" i="23"/>
  <c r="H43" i="43"/>
  <c r="F20" i="44"/>
  <c r="D57" i="44"/>
  <c r="D60" i="44" s="1"/>
  <c r="D55" i="44"/>
  <c r="F20" i="45"/>
  <c r="D130" i="45"/>
  <c r="D134" i="45" s="1"/>
  <c r="D136" i="45" s="1"/>
  <c r="F172" i="45"/>
  <c r="E84" i="46"/>
  <c r="F22" i="47"/>
  <c r="H20" i="48"/>
  <c r="H20" i="49"/>
  <c r="H202" i="49"/>
  <c r="H20" i="50"/>
  <c r="H59" i="50"/>
  <c r="D27" i="8"/>
  <c r="D30" i="8" s="1"/>
  <c r="D25" i="8"/>
  <c r="D25" i="10"/>
  <c r="D27" i="10"/>
  <c r="D30" i="10" s="1"/>
  <c r="K22" i="16"/>
  <c r="K22" i="19"/>
  <c r="D56" i="25"/>
  <c r="D60" i="25" s="1"/>
  <c r="D61" i="25" s="1"/>
  <c r="E25" i="27"/>
  <c r="E26" i="27" s="1"/>
  <c r="E27" i="27" s="1"/>
  <c r="E51" i="30"/>
  <c r="E53" i="30" s="1"/>
  <c r="E55" i="30" s="1"/>
  <c r="E27" i="33"/>
  <c r="E28" i="33" s="1"/>
  <c r="E29" i="33" s="1"/>
  <c r="D26" i="37"/>
  <c r="D28" i="37" s="1"/>
  <c r="D30" i="37" s="1"/>
  <c r="D87" i="43"/>
  <c r="D88" i="43" s="1"/>
  <c r="D95" i="43" s="1"/>
  <c r="D27" i="11"/>
  <c r="D30" i="11" s="1"/>
  <c r="D25" i="11"/>
  <c r="D27" i="13"/>
  <c r="D30" i="13" s="1"/>
  <c r="D25" i="13"/>
  <c r="E51" i="29"/>
  <c r="E53" i="29" s="1"/>
  <c r="E55" i="29" s="1"/>
  <c r="D25" i="38"/>
  <c r="D26" i="38" s="1"/>
  <c r="D28" i="38" s="1"/>
  <c r="D24" i="40"/>
  <c r="D27" i="40" s="1"/>
  <c r="D29" i="40" s="1"/>
  <c r="G80" i="40"/>
  <c r="D56" i="41"/>
  <c r="D58" i="41" s="1"/>
  <c r="D59" i="41" s="1"/>
  <c r="D87" i="42"/>
  <c r="D91" i="42" s="1"/>
  <c r="D93" i="42" s="1"/>
  <c r="H20" i="44"/>
  <c r="D25" i="24"/>
  <c r="D26" i="24" s="1"/>
  <c r="D49" i="26"/>
  <c r="E50" i="28"/>
  <c r="E52" i="28" s="1"/>
  <c r="E54" i="28" s="1"/>
  <c r="E26" i="36"/>
  <c r="E29" i="36" s="1"/>
  <c r="E30" i="36" s="1"/>
  <c r="G80" i="41"/>
  <c r="D28" i="14"/>
  <c r="D30" i="14" s="1"/>
  <c r="D25" i="14"/>
  <c r="D25" i="9"/>
  <c r="D27" i="9"/>
  <c r="D30" i="9" s="1"/>
  <c r="D25" i="12"/>
  <c r="D27" i="12"/>
  <c r="D30" i="12" s="1"/>
  <c r="D28" i="15"/>
  <c r="D31" i="15" s="1"/>
  <c r="D25" i="15"/>
  <c r="K22" i="17"/>
  <c r="D27" i="19"/>
  <c r="D31" i="19" s="1"/>
  <c r="H24" i="19" s="1"/>
  <c r="E51" i="31"/>
  <c r="E53" i="31" s="1"/>
  <c r="E55" i="31" s="1"/>
  <c r="D87" i="37"/>
  <c r="D91" i="37" s="1"/>
  <c r="D93" i="37" s="1"/>
  <c r="D87" i="38"/>
  <c r="D91" i="38" s="1"/>
  <c r="D93" i="38" s="1"/>
  <c r="D58" i="40"/>
  <c r="F56" i="40"/>
  <c r="D86" i="41"/>
  <c r="D90" i="41" s="1"/>
  <c r="D92" i="41" s="1"/>
  <c r="D57" i="42"/>
  <c r="D59" i="42" s="1"/>
  <c r="D55" i="42"/>
  <c r="D24" i="43"/>
  <c r="C25" i="43" s="1"/>
  <c r="D57" i="43"/>
  <c r="D59" i="43" s="1"/>
  <c r="D55" i="43"/>
  <c r="G81" i="43"/>
  <c r="D134" i="43"/>
  <c r="D136" i="43" s="1"/>
  <c r="D131" i="43"/>
  <c r="H24" i="16"/>
  <c r="D27" i="17"/>
  <c r="D31" i="17" s="1"/>
  <c r="H24" i="17" s="1"/>
  <c r="D24" i="19"/>
  <c r="D25" i="19" s="1"/>
  <c r="D23" i="20"/>
  <c r="D27" i="21"/>
  <c r="D31" i="21" s="1"/>
  <c r="D23" i="24"/>
  <c r="D27" i="24" s="1"/>
  <c r="D54" i="25"/>
  <c r="D47" i="26"/>
  <c r="D51" i="26" s="1"/>
  <c r="E80" i="40"/>
  <c r="E80" i="41"/>
  <c r="E81" i="43"/>
  <c r="E205" i="45"/>
  <c r="E208" i="45" s="1"/>
  <c r="E209" i="45" s="1"/>
  <c r="D60" i="46"/>
  <c r="D62" i="46" s="1"/>
  <c r="D58" i="46"/>
  <c r="D183" i="46"/>
  <c r="D187" i="46" s="1"/>
  <c r="D188" i="46" s="1"/>
  <c r="D23" i="18"/>
  <c r="D22" i="25"/>
  <c r="D21" i="26"/>
  <c r="E53" i="27"/>
  <c r="E26" i="28"/>
  <c r="E27" i="28" s="1"/>
  <c r="E28" i="28" s="1"/>
  <c r="E29" i="29"/>
  <c r="E27" i="30"/>
  <c r="E28" i="30" s="1"/>
  <c r="E29" i="30" s="1"/>
  <c r="E29" i="31"/>
  <c r="E19" i="32"/>
  <c r="E21" i="32" s="1"/>
  <c r="E23" i="32" s="1"/>
  <c r="E21" i="34"/>
  <c r="E23" i="34" s="1"/>
  <c r="E25" i="34" s="1"/>
  <c r="D29" i="35"/>
  <c r="D60" i="37"/>
  <c r="D57" i="38"/>
  <c r="D59" i="38" s="1"/>
  <c r="D60" i="38" s="1"/>
  <c r="D24" i="41"/>
  <c r="D27" i="41" s="1"/>
  <c r="D29" i="41" s="1"/>
  <c r="D24" i="42"/>
  <c r="D27" i="42" s="1"/>
  <c r="D29" i="42" s="1"/>
  <c r="F20" i="43"/>
  <c r="G81" i="45"/>
  <c r="D153" i="47"/>
  <c r="D157" i="47" s="1"/>
  <c r="D158" i="47" s="1"/>
  <c r="D59" i="40"/>
  <c r="F52" i="44"/>
  <c r="H52" i="44" s="1"/>
  <c r="D134" i="44"/>
  <c r="D136" i="44" s="1"/>
  <c r="D138" i="44" s="1"/>
  <c r="H20" i="45"/>
  <c r="D57" i="45"/>
  <c r="D61" i="45" s="1"/>
  <c r="D55" i="45"/>
  <c r="H129" i="45"/>
  <c r="G53" i="47"/>
  <c r="D105" i="47"/>
  <c r="D24" i="48"/>
  <c r="D26" i="48" s="1"/>
  <c r="D28" i="48" s="1"/>
  <c r="H57" i="48"/>
  <c r="D62" i="48"/>
  <c r="D66" i="48" s="1"/>
  <c r="D67" i="48" s="1"/>
  <c r="C25" i="44"/>
  <c r="D24" i="45"/>
  <c r="C25" i="45" s="1"/>
  <c r="H20" i="46"/>
  <c r="H55" i="46"/>
  <c r="G84" i="46"/>
  <c r="D136" i="46"/>
  <c r="H22" i="47"/>
  <c r="E81" i="45"/>
  <c r="E210" i="46"/>
  <c r="E213" i="46" s="1"/>
  <c r="E214" i="46" s="1"/>
  <c r="F212" i="46" s="1"/>
  <c r="E53" i="47"/>
  <c r="E180" i="47"/>
  <c r="E183" i="47" s="1"/>
  <c r="E184" i="47" s="1"/>
  <c r="H179" i="49"/>
  <c r="H183" i="49" s="1"/>
  <c r="H184" i="49" s="1"/>
  <c r="I210" i="49"/>
  <c r="I214" i="49" s="1"/>
  <c r="H207" i="49"/>
  <c r="F59" i="50"/>
  <c r="H170" i="50"/>
  <c r="H20" i="51"/>
  <c r="F52" i="45"/>
  <c r="H52" i="45" s="1"/>
  <c r="F55" i="46"/>
  <c r="G209" i="48"/>
  <c r="E214" i="48"/>
  <c r="E218" i="48" s="1"/>
  <c r="E219" i="48" s="1"/>
  <c r="D23" i="49"/>
  <c r="D29" i="49" s="1"/>
  <c r="G84" i="49"/>
  <c r="G90" i="49"/>
  <c r="G93" i="49" s="1"/>
  <c r="G94" i="49" s="1"/>
  <c r="C179" i="49"/>
  <c r="C183" i="49" s="1"/>
  <c r="C184" i="49" s="1"/>
  <c r="C177" i="49"/>
  <c r="H64" i="50"/>
  <c r="H67" i="50" s="1"/>
  <c r="H69" i="50" s="1"/>
  <c r="G76" i="44"/>
  <c r="G81" i="44" s="1"/>
  <c r="F57" i="48"/>
  <c r="F58" i="49"/>
  <c r="H46" i="49"/>
  <c r="H58" i="49" s="1"/>
  <c r="H63" i="49"/>
  <c r="H67" i="49" s="1"/>
  <c r="H68" i="49" s="1"/>
  <c r="D90" i="49"/>
  <c r="D93" i="49" s="1"/>
  <c r="D94" i="49" s="1"/>
  <c r="D128" i="49"/>
  <c r="D129" i="49"/>
  <c r="D133" i="49" s="1"/>
  <c r="D64" i="50"/>
  <c r="D68" i="50" s="1"/>
  <c r="D69" i="50" s="1"/>
  <c r="D91" i="50"/>
  <c r="D94" i="50" s="1"/>
  <c r="D95" i="50" s="1"/>
  <c r="H180" i="50"/>
  <c r="H186" i="50" s="1"/>
  <c r="H187" i="50" s="1"/>
  <c r="H178" i="50"/>
  <c r="G175" i="47"/>
  <c r="E83" i="48"/>
  <c r="D128" i="48"/>
  <c r="D138" i="48" s="1"/>
  <c r="F138" i="48" s="1"/>
  <c r="H138" i="48" s="1"/>
  <c r="E186" i="48"/>
  <c r="D181" i="48"/>
  <c r="D191" i="48" s="1"/>
  <c r="D63" i="49"/>
  <c r="D67" i="49" s="1"/>
  <c r="D68" i="49" s="1"/>
  <c r="E84" i="49"/>
  <c r="H129" i="49"/>
  <c r="H133" i="49" s="1"/>
  <c r="H134" i="49" s="1"/>
  <c r="H136" i="49" s="1"/>
  <c r="E207" i="49"/>
  <c r="E215" i="49" s="1"/>
  <c r="D25" i="50"/>
  <c r="D29" i="50" s="1"/>
  <c r="D23" i="50"/>
  <c r="G91" i="50"/>
  <c r="G94" i="50" s="1"/>
  <c r="G95" i="50" s="1"/>
  <c r="D90" i="51"/>
  <c r="D93" i="51" s="1"/>
  <c r="D94" i="51" s="1"/>
  <c r="D21" i="51"/>
  <c r="H169" i="49"/>
  <c r="G80" i="50"/>
  <c r="G85" i="50" s="1"/>
  <c r="G79" i="51"/>
  <c r="G84" i="51" s="1"/>
  <c r="F58" i="51"/>
  <c r="G90" i="51"/>
  <c r="G93" i="51" s="1"/>
  <c r="G94" i="51" s="1"/>
  <c r="H128" i="51"/>
  <c r="H129" i="51"/>
  <c r="H133" i="51" s="1"/>
  <c r="H58" i="51"/>
  <c r="H59" i="51"/>
  <c r="H61" i="51" s="1"/>
  <c r="H63" i="51" s="1"/>
  <c r="H68" i="51" s="1"/>
  <c r="H69" i="51" s="1"/>
  <c r="D63" i="51"/>
  <c r="D68" i="51" s="1"/>
  <c r="D69" i="51" s="1"/>
  <c r="D57" i="53" s="1"/>
  <c r="D58" i="53" s="1"/>
  <c r="H212" i="51"/>
  <c r="H216" i="51" s="1"/>
  <c r="H209" i="51"/>
  <c r="E212" i="51"/>
  <c r="E216" i="51" s="1"/>
  <c r="E209" i="51"/>
  <c r="H169" i="51"/>
  <c r="C179" i="51"/>
  <c r="C183" i="51" s="1"/>
  <c r="C177" i="51"/>
  <c r="H124" i="51"/>
  <c r="D129" i="51"/>
  <c r="D133" i="51" s="1"/>
  <c r="D128" i="51"/>
  <c r="D129" i="50"/>
  <c r="D130" i="50"/>
  <c r="D134" i="50" s="1"/>
  <c r="H125" i="50"/>
  <c r="H130" i="50"/>
  <c r="H129" i="50"/>
  <c r="C185" i="50" l="1"/>
  <c r="C186" i="50" s="1"/>
  <c r="D25" i="16"/>
  <c r="D33" i="22"/>
  <c r="D60" i="53"/>
  <c r="D64" i="53" s="1"/>
  <c r="D65" i="53" s="1"/>
  <c r="C185" i="51"/>
  <c r="H183" i="51"/>
  <c r="H185" i="51" s="1"/>
  <c r="H187" i="51" s="1"/>
  <c r="D32" i="8"/>
  <c r="I25" i="8" s="1"/>
  <c r="D138" i="45"/>
  <c r="F134" i="45"/>
  <c r="F134" i="43"/>
  <c r="D30" i="50"/>
  <c r="D26" i="23"/>
  <c r="E153" i="47"/>
  <c r="J181" i="49"/>
  <c r="M193" i="48"/>
  <c r="N193" i="48" s="1"/>
  <c r="D32" i="13"/>
  <c r="H25" i="13" s="1"/>
  <c r="F57" i="42"/>
  <c r="I215" i="49"/>
  <c r="H208" i="50" s="1"/>
  <c r="D63" i="45"/>
  <c r="D67" i="46"/>
  <c r="D24" i="47" s="1"/>
  <c r="D25" i="47" s="1"/>
  <c r="D32" i="47" s="1"/>
  <c r="D61" i="43"/>
  <c r="D26" i="13"/>
  <c r="D32" i="11"/>
  <c r="H25" i="11" s="1"/>
  <c r="D134" i="49"/>
  <c r="D139" i="48"/>
  <c r="D181" i="49"/>
  <c r="E183" i="46"/>
  <c r="D26" i="9"/>
  <c r="D32" i="9"/>
  <c r="H25" i="9" s="1"/>
  <c r="D26" i="11"/>
  <c r="D26" i="10"/>
  <c r="D32" i="10"/>
  <c r="H25" i="10" s="1"/>
  <c r="D26" i="8"/>
  <c r="D63" i="44"/>
  <c r="D25" i="25"/>
  <c r="D26" i="25" s="1"/>
  <c r="D27" i="25" s="1"/>
  <c r="D28" i="20"/>
  <c r="D32" i="20" s="1"/>
  <c r="D33" i="21"/>
  <c r="H217" i="51"/>
  <c r="D25" i="51"/>
  <c r="D28" i="51" s="1"/>
  <c r="D23" i="51"/>
  <c r="I130" i="49"/>
  <c r="D108" i="47"/>
  <c r="D110" i="47" s="1"/>
  <c r="F111" i="47" s="1"/>
  <c r="D27" i="18"/>
  <c r="D31" i="18" s="1"/>
  <c r="H24" i="18" s="1"/>
  <c r="D25" i="18"/>
  <c r="D138" i="43"/>
  <c r="D60" i="42"/>
  <c r="F57" i="38"/>
  <c r="D33" i="15"/>
  <c r="H25" i="15" s="1"/>
  <c r="D32" i="12"/>
  <c r="H25" i="12" s="1"/>
  <c r="D32" i="14"/>
  <c r="H25" i="14" s="1"/>
  <c r="D138" i="46"/>
  <c r="D140" i="46" s="1"/>
  <c r="F141" i="46" s="1"/>
  <c r="E217" i="51"/>
  <c r="F134" i="44"/>
  <c r="D24" i="26"/>
  <c r="D25" i="26" s="1"/>
  <c r="D26" i="26" s="1"/>
  <c r="D26" i="12"/>
  <c r="F56" i="41"/>
  <c r="D182" i="51"/>
  <c r="D134" i="51"/>
  <c r="D135" i="50"/>
  <c r="I134" i="50"/>
  <c r="H133" i="50"/>
  <c r="H135" i="50" s="1"/>
  <c r="I131" i="50"/>
  <c r="E60" i="54" l="1"/>
  <c r="E61" i="54" s="1"/>
  <c r="E63" i="54" s="1"/>
  <c r="E67" i="54" s="1"/>
  <c r="E68" i="54" s="1"/>
  <c r="J187" i="51"/>
  <c r="E208" i="50"/>
  <c r="E209" i="50" s="1"/>
  <c r="E217" i="50" s="1"/>
  <c r="H209" i="50"/>
  <c r="H217" i="50" s="1"/>
  <c r="H24" i="20"/>
  <c r="D29" i="51"/>
  <c r="K130" i="56"/>
  <c r="M127" i="57"/>
  <c r="N131" i="57" s="1"/>
  <c r="D20" i="66"/>
  <c r="D21" i="66" s="1"/>
  <c r="D28" i="66" l="1"/>
  <c r="D20" i="67" s="1"/>
  <c r="D21" i="67" s="1"/>
  <c r="D28" i="67" s="1"/>
  <c r="D20" i="68" s="1"/>
  <c r="G20" i="66"/>
  <c r="G21" i="66" s="1"/>
  <c r="G28" i="66" s="1"/>
  <c r="G20" i="67" s="1"/>
  <c r="G21" i="67" s="1"/>
  <c r="G28" i="67" s="1"/>
  <c r="G20" i="68" s="1"/>
  <c r="G21" i="68" s="1"/>
  <c r="G28" i="68" s="1"/>
  <c r="D21" i="68" l="1"/>
  <c r="D28" i="68" s="1"/>
  <c r="B22" i="69" s="1"/>
  <c r="B31" i="69" s="1"/>
  <c r="D31" i="69" s="1"/>
  <c r="B22" i="70" s="1"/>
  <c r="B31" i="70" s="1"/>
  <c r="D31" i="70" s="1"/>
  <c r="B22" i="71" s="1"/>
  <c r="B31" i="71" s="1"/>
  <c r="D31" i="71" s="1"/>
  <c r="B22" i="72" s="1"/>
  <c r="B31" i="72" s="1"/>
  <c r="D31" i="72" s="1"/>
  <c r="B22" i="73" s="1"/>
  <c r="B31" i="73" s="1"/>
  <c r="D31" i="73" s="1"/>
  <c r="B22" i="74" s="1"/>
  <c r="B31" i="74" s="1"/>
  <c r="D31" i="74" s="1"/>
  <c r="C23" i="75" s="1"/>
  <c r="C32" i="75" s="1"/>
  <c r="E32" i="75" s="1"/>
  <c r="F22" i="69"/>
  <c r="F31" i="69" s="1"/>
  <c r="H31" i="69" s="1"/>
  <c r="F22" i="70" s="1"/>
  <c r="F31" i="70" s="1"/>
  <c r="H31" i="70" s="1"/>
  <c r="C23" i="76" l="1"/>
  <c r="C32" i="76" s="1"/>
  <c r="E32" i="76" s="1"/>
  <c r="C23" i="77" s="1"/>
  <c r="C32" i="77" s="1"/>
  <c r="E32" i="77" s="1"/>
  <c r="C23" i="78" s="1"/>
  <c r="C32" i="78" s="1"/>
  <c r="E32" i="78" s="1"/>
  <c r="F22" i="71"/>
  <c r="F31" i="71" s="1"/>
  <c r="H31" i="71" s="1"/>
  <c r="F22" i="72" s="1"/>
  <c r="F31" i="72" s="1"/>
  <c r="H31" i="72" s="1"/>
  <c r="F22" i="73" s="1"/>
  <c r="F31" i="73" s="1"/>
  <c r="H31" i="73" s="1"/>
  <c r="F22" i="74" s="1"/>
  <c r="F31" i="74" s="1"/>
  <c r="H31" i="74" s="1"/>
  <c r="G23" i="75" s="1"/>
  <c r="G32" i="75" s="1"/>
  <c r="I32" i="75" s="1"/>
  <c r="C63" i="75"/>
  <c r="B23" i="92" l="1"/>
  <c r="B32" i="92" s="1"/>
  <c r="D32" i="92" s="1"/>
  <c r="B23" i="100"/>
  <c r="B32" i="100" s="1"/>
  <c r="D32" i="100" s="1"/>
  <c r="B23" i="101" s="1"/>
  <c r="B32" i="101" s="1"/>
  <c r="D32" i="101" s="1"/>
  <c r="B23" i="102" s="1"/>
  <c r="B32" i="102" s="1"/>
  <c r="D32" i="102" s="1"/>
  <c r="B23" i="103" s="1"/>
  <c r="B32" i="103" s="1"/>
  <c r="D32" i="103" s="1"/>
  <c r="B23" i="99"/>
  <c r="B32" i="99" s="1"/>
  <c r="D32" i="99" s="1"/>
  <c r="B23" i="98"/>
  <c r="B32" i="98" s="1"/>
  <c r="D32" i="98" s="1"/>
  <c r="B23" i="97"/>
  <c r="B32" i="97" s="1"/>
  <c r="D32" i="97" s="1"/>
  <c r="B23" i="96"/>
  <c r="B32" i="96" s="1"/>
  <c r="D32" i="96" s="1"/>
  <c r="B23" i="95"/>
  <c r="B32" i="95" s="1"/>
  <c r="D32" i="95" s="1"/>
  <c r="B23" i="94"/>
  <c r="B32" i="94" s="1"/>
  <c r="D32" i="94" s="1"/>
  <c r="B23" i="93"/>
  <c r="B32" i="93" s="1"/>
  <c r="D32" i="93" s="1"/>
  <c r="B23" i="91"/>
  <c r="B32" i="91" s="1"/>
  <c r="D32" i="91" s="1"/>
  <c r="B23" i="90"/>
  <c r="B32" i="90" s="1"/>
  <c r="D32" i="90" s="1"/>
  <c r="B23" i="89"/>
  <c r="B32" i="89" s="1"/>
  <c r="D32" i="89" s="1"/>
  <c r="B23" i="88"/>
  <c r="B32" i="88" s="1"/>
  <c r="D32" i="88" s="1"/>
  <c r="B23" i="87"/>
  <c r="B32" i="87" s="1"/>
  <c r="D32" i="87" s="1"/>
  <c r="B23" i="86"/>
  <c r="B32" i="86" s="1"/>
  <c r="D32" i="86" s="1"/>
  <c r="B23" i="85"/>
  <c r="B32" i="85" s="1"/>
  <c r="D32" i="85" s="1"/>
  <c r="B23" i="84"/>
  <c r="B32" i="84" s="1"/>
  <c r="D32" i="84" s="1"/>
  <c r="B23" i="83"/>
  <c r="B32" i="83" s="1"/>
  <c r="D32" i="83" s="1"/>
  <c r="B23" i="82"/>
  <c r="B32" i="82" s="1"/>
  <c r="D32" i="82" s="1"/>
  <c r="B23" i="81"/>
  <c r="B32" i="81" s="1"/>
  <c r="D32" i="81" s="1"/>
  <c r="B23" i="80"/>
  <c r="B32" i="80" s="1"/>
  <c r="D32" i="80" s="1"/>
  <c r="C23" i="79"/>
  <c r="C32" i="79" s="1"/>
  <c r="E32" i="79" s="1"/>
  <c r="G23" i="76"/>
  <c r="G32" i="76" s="1"/>
  <c r="I32" i="76" s="1"/>
  <c r="G23" i="77" s="1"/>
  <c r="G32" i="77" s="1"/>
  <c r="I32" i="77" s="1"/>
  <c r="D66" i="75"/>
  <c r="G23" i="78" l="1"/>
  <c r="G32" i="78" s="1"/>
  <c r="I32" i="78" s="1"/>
  <c r="C88" i="75"/>
  <c r="E88" i="75" s="1"/>
  <c r="H66" i="75"/>
  <c r="F23" i="92" l="1"/>
  <c r="F32" i="92" s="1"/>
  <c r="H32" i="92" s="1"/>
  <c r="F23" i="100"/>
  <c r="F32" i="100" s="1"/>
  <c r="H32" i="100" s="1"/>
  <c r="F23" i="101" s="1"/>
  <c r="F32" i="101" s="1"/>
  <c r="H32" i="101" s="1"/>
  <c r="F23" i="102" s="1"/>
  <c r="F32" i="102" s="1"/>
  <c r="H32" i="102" s="1"/>
  <c r="F23" i="103" s="1"/>
  <c r="F32" i="103" s="1"/>
  <c r="H32" i="103" s="1"/>
  <c r="F23" i="99"/>
  <c r="F32" i="99" s="1"/>
  <c r="H32" i="99" s="1"/>
  <c r="F23" i="98"/>
  <c r="F32" i="98" s="1"/>
  <c r="H32" i="98" s="1"/>
  <c r="F23" i="97"/>
  <c r="F32" i="97" s="1"/>
  <c r="H32" i="97" s="1"/>
  <c r="F23" i="96"/>
  <c r="F32" i="96" s="1"/>
  <c r="H32" i="96" s="1"/>
  <c r="F23" i="95"/>
  <c r="F32" i="95" s="1"/>
  <c r="H32" i="95" s="1"/>
  <c r="F23" i="94"/>
  <c r="F32" i="94" s="1"/>
  <c r="H32" i="94" s="1"/>
  <c r="F23" i="93"/>
  <c r="F32" i="93" s="1"/>
  <c r="H32" i="93" s="1"/>
  <c r="F23" i="91"/>
  <c r="F32" i="91" s="1"/>
  <c r="H32" i="91" s="1"/>
  <c r="F23" i="90"/>
  <c r="F32" i="90" s="1"/>
  <c r="H32" i="90" s="1"/>
  <c r="F23" i="89"/>
  <c r="F32" i="89" s="1"/>
  <c r="H32" i="89" s="1"/>
  <c r="F23" i="88"/>
  <c r="F32" i="88" s="1"/>
  <c r="H32" i="88" s="1"/>
  <c r="F23" i="87"/>
  <c r="F32" i="87" s="1"/>
  <c r="H32" i="87" s="1"/>
  <c r="F23" i="86"/>
  <c r="F32" i="86" s="1"/>
  <c r="H32" i="86" s="1"/>
  <c r="F23" i="85"/>
  <c r="F32" i="85" s="1"/>
  <c r="H32" i="85" s="1"/>
  <c r="F23" i="84"/>
  <c r="F32" i="84" s="1"/>
  <c r="H32" i="84" s="1"/>
  <c r="F23" i="83"/>
  <c r="F32" i="83" s="1"/>
  <c r="H32" i="83" s="1"/>
  <c r="F23" i="82"/>
  <c r="F32" i="82" s="1"/>
  <c r="H32" i="82" s="1"/>
  <c r="F23" i="81"/>
  <c r="F32" i="81" s="1"/>
  <c r="H32" i="81" s="1"/>
  <c r="F23" i="80"/>
  <c r="F32" i="80" s="1"/>
  <c r="H32" i="80" s="1"/>
  <c r="G23" i="79"/>
  <c r="G32" i="79" s="1"/>
  <c r="I32" i="79" s="1"/>
  <c r="C68" i="76"/>
  <c r="L77" i="76" s="1"/>
  <c r="L80" i="76" s="1"/>
  <c r="G88" i="75"/>
  <c r="I88" i="75" s="1"/>
  <c r="G68" i="76" s="1"/>
  <c r="G94" i="76" s="1"/>
  <c r="I94" i="76" s="1"/>
  <c r="N84" i="76" s="1"/>
  <c r="C94" i="76" l="1"/>
  <c r="E94" i="76" s="1"/>
  <c r="G68" i="77"/>
  <c r="G94" i="77" s="1"/>
  <c r="I94" i="77" s="1"/>
  <c r="C68" i="77" l="1"/>
  <c r="C94" i="77" s="1"/>
  <c r="K88" i="76"/>
  <c r="G68" i="78"/>
  <c r="G94" i="78" s="1"/>
  <c r="I94" i="78" s="1"/>
  <c r="G68" i="79" s="1"/>
  <c r="G94" i="79" s="1"/>
  <c r="I94" i="79" s="1"/>
  <c r="F68" i="80" l="1"/>
  <c r="F79" i="80" s="1"/>
  <c r="E94" i="77"/>
  <c r="H79" i="80" l="1"/>
  <c r="F68" i="81" s="1"/>
  <c r="F89" i="81" s="1"/>
  <c r="H89" i="81" s="1"/>
  <c r="F68" i="82" s="1"/>
  <c r="F79" i="82" s="1"/>
  <c r="H79" i="82" s="1"/>
  <c r="F68" i="83" s="1"/>
  <c r="C68" i="78"/>
  <c r="C94" i="78" s="1"/>
  <c r="F79" i="83" l="1"/>
  <c r="H79" i="83" s="1"/>
  <c r="F68" i="84" s="1"/>
  <c r="F79" i="84" s="1"/>
  <c r="H79" i="84" s="1"/>
  <c r="F68" i="85" s="1"/>
  <c r="F79" i="85" s="1"/>
  <c r="H79" i="85" s="1"/>
  <c r="F68" i="86" s="1"/>
  <c r="F80" i="86" s="1"/>
  <c r="H80" i="86" s="1"/>
  <c r="F68" i="87" s="1"/>
  <c r="F81" i="87" s="1"/>
  <c r="H81" i="87" s="1"/>
  <c r="F68" i="88" s="1"/>
  <c r="F91" i="88" s="1"/>
  <c r="H91" i="88" s="1"/>
  <c r="F69" i="89" s="1"/>
  <c r="F92" i="89" s="1"/>
  <c r="H92" i="89" s="1"/>
  <c r="M73" i="78"/>
  <c r="M74" i="78" s="1"/>
  <c r="E94" i="78"/>
  <c r="F69" i="90" l="1"/>
  <c r="F83" i="90" s="1"/>
  <c r="H83" i="90" s="1"/>
  <c r="C68" i="79"/>
  <c r="C94" i="79" s="1"/>
  <c r="E94" i="79" s="1"/>
  <c r="B68" i="80" s="1"/>
  <c r="B79" i="80" s="1"/>
  <c r="D79" i="80" s="1"/>
  <c r="B68" i="81" s="1"/>
  <c r="F69" i="91" l="1"/>
  <c r="F83" i="91" s="1"/>
  <c r="H83" i="91" s="1"/>
  <c r="B89" i="81"/>
  <c r="K68" i="81"/>
  <c r="K69" i="81" s="1"/>
  <c r="K70" i="81" s="1"/>
  <c r="K71" i="81" s="1"/>
  <c r="K72" i="81" s="1"/>
  <c r="K73" i="81" s="1"/>
  <c r="L75" i="81" s="1"/>
  <c r="D89" i="81"/>
  <c r="B68" i="82" s="1"/>
  <c r="F69" i="92" l="1"/>
  <c r="F83" i="92" s="1"/>
  <c r="H83" i="92" s="1"/>
  <c r="F69" i="93" s="1"/>
  <c r="F83" i="93" s="1"/>
  <c r="H83" i="93" s="1"/>
  <c r="F69" i="94" s="1"/>
  <c r="I74" i="82"/>
  <c r="B79" i="82"/>
  <c r="D79" i="82" s="1"/>
  <c r="B68" i="83" s="1"/>
  <c r="B79" i="83" s="1"/>
  <c r="L77" i="82"/>
  <c r="K68" i="82"/>
  <c r="K69" i="82" s="1"/>
  <c r="F91" i="94" l="1"/>
  <c r="H91" i="94" s="1"/>
  <c r="F69" i="95" s="1"/>
  <c r="D79" i="83"/>
  <c r="B68" i="84" s="1"/>
  <c r="F90" i="95" l="1"/>
  <c r="H90" i="95" s="1"/>
  <c r="F69" i="96" s="1"/>
  <c r="F90" i="96" s="1"/>
  <c r="H90" i="96" s="1"/>
  <c r="F69" i="97" s="1"/>
  <c r="F90" i="97" s="1"/>
  <c r="H90" i="97" s="1"/>
  <c r="F69" i="98" s="1"/>
  <c r="F90" i="98" s="1"/>
  <c r="H90" i="98" s="1"/>
  <c r="F69" i="99" s="1"/>
  <c r="F90" i="99" s="1"/>
  <c r="H90" i="99" s="1"/>
  <c r="F69" i="100" s="1"/>
  <c r="F90" i="100" s="1"/>
  <c r="H90" i="100" s="1"/>
  <c r="F69" i="101" s="1"/>
  <c r="F90" i="101" s="1"/>
  <c r="H90" i="101" s="1"/>
  <c r="F69" i="102" s="1"/>
  <c r="F90" i="102" s="1"/>
  <c r="H90" i="102" s="1"/>
  <c r="F69" i="103" s="1"/>
  <c r="F90" i="103" s="1"/>
  <c r="H90" i="103" s="1"/>
  <c r="B79" i="84"/>
  <c r="D79" i="84" s="1"/>
  <c r="B68" i="85" s="1"/>
  <c r="B86" i="85" l="1"/>
  <c r="B79" i="85"/>
  <c r="D79" i="85" s="1"/>
  <c r="B68" i="86" s="1"/>
  <c r="B80" i="86" l="1"/>
  <c r="D80" i="86" s="1"/>
  <c r="B68" i="87" s="1"/>
  <c r="B81" i="87" s="1"/>
  <c r="D81" i="87" s="1"/>
  <c r="B68" i="88" s="1"/>
  <c r="B91" i="88" s="1"/>
  <c r="D91" i="88" s="1"/>
  <c r="B69" i="89" s="1"/>
  <c r="B92" i="89" s="1"/>
  <c r="D92" i="89" s="1"/>
  <c r="B69" i="90" s="1"/>
  <c r="B83" i="90" s="1"/>
  <c r="D83" i="90" s="1"/>
  <c r="B69" i="91" s="1"/>
  <c r="B83" i="91" s="1"/>
  <c r="D83" i="91" s="1"/>
  <c r="B69" i="92" s="1"/>
  <c r="B83" i="92" s="1"/>
  <c r="J73" i="86"/>
  <c r="J74" i="86" s="1"/>
  <c r="J75" i="86" s="1"/>
  <c r="J76" i="86" s="1"/>
  <c r="F38" i="85"/>
  <c r="H38" i="85" s="1"/>
  <c r="D38" i="86" s="1"/>
  <c r="D62" i="85"/>
  <c r="F62" i="85" s="1"/>
  <c r="H62" i="85" s="1"/>
  <c r="I64" i="85" s="1"/>
  <c r="D83" i="92" l="1"/>
  <c r="B69" i="93" s="1"/>
  <c r="B83" i="93" s="1"/>
  <c r="D83" i="93" s="1"/>
  <c r="B69" i="94" s="1"/>
  <c r="B91" i="94" s="1"/>
  <c r="D91" i="94" s="1"/>
  <c r="B69" i="95" s="1"/>
  <c r="B90" i="95" s="1"/>
  <c r="F38" i="86"/>
  <c r="H38" i="86" s="1"/>
  <c r="D38" i="87" s="1"/>
  <c r="D62" i="86"/>
  <c r="F62" i="86" s="1"/>
  <c r="H62" i="86" s="1"/>
  <c r="I64" i="86" s="1"/>
  <c r="D90" i="95" l="1"/>
  <c r="B69" i="96" s="1"/>
  <c r="B90" i="96" s="1"/>
  <c r="D90" i="96" s="1"/>
  <c r="B69" i="97" s="1"/>
  <c r="B90" i="97" s="1"/>
  <c r="D90" i="97" s="1"/>
  <c r="B69" i="98" s="1"/>
  <c r="B90" i="98" s="1"/>
  <c r="D90" i="98" s="1"/>
  <c r="B69" i="99" s="1"/>
  <c r="B90" i="99" s="1"/>
  <c r="D90" i="99" s="1"/>
  <c r="B69" i="100" s="1"/>
  <c r="B90" i="100" s="1"/>
  <c r="D90" i="100" s="1"/>
  <c r="B69" i="101" s="1"/>
  <c r="B90" i="101" s="1"/>
  <c r="D90" i="101" s="1"/>
  <c r="B69" i="102" s="1"/>
  <c r="B90" i="102" s="1"/>
  <c r="D90" i="102" s="1"/>
  <c r="B69" i="103" s="1"/>
  <c r="B90" i="103" s="1"/>
  <c r="D90" i="103" s="1"/>
  <c r="P66" i="95"/>
  <c r="P68" i="95" s="1"/>
  <c r="P70" i="95" s="1"/>
  <c r="P73" i="95" s="1"/>
  <c r="Q70" i="95" s="1"/>
  <c r="Q71" i="95" s="1"/>
  <c r="Q72" i="95" s="1"/>
  <c r="F38" i="87"/>
  <c r="H38" i="87" s="1"/>
  <c r="D38" i="88" s="1"/>
  <c r="D62" i="87"/>
  <c r="F62" i="87" s="1"/>
  <c r="H62" i="87" s="1"/>
  <c r="F38" i="88" l="1"/>
  <c r="H38" i="88" s="1"/>
  <c r="D38" i="89" s="1"/>
  <c r="D62" i="88"/>
  <c r="F38" i="89" l="1"/>
  <c r="H38" i="89" s="1"/>
  <c r="D38" i="90" s="1"/>
  <c r="D63" i="89"/>
  <c r="F62" i="88"/>
  <c r="H62" i="88" s="1"/>
  <c r="O67" i="88"/>
  <c r="Q70" i="88"/>
  <c r="Q72" i="88" s="1"/>
  <c r="Q74" i="88" s="1"/>
  <c r="Q76" i="88" s="1"/>
  <c r="Q78" i="88" s="1"/>
  <c r="Q79" i="88" s="1"/>
  <c r="F38" i="90" l="1"/>
  <c r="D63" i="90"/>
  <c r="I64" i="88"/>
  <c r="F63" i="89"/>
  <c r="H63" i="89" s="1"/>
  <c r="I65" i="89" s="1"/>
  <c r="H38" i="90" l="1"/>
  <c r="F63" i="90"/>
  <c r="D38" i="91" l="1"/>
  <c r="H63" i="90"/>
  <c r="I65" i="90" s="1"/>
  <c r="F38" i="91" l="1"/>
  <c r="D63" i="91"/>
  <c r="H38" i="91" l="1"/>
  <c r="F63" i="91"/>
  <c r="H63" i="91" l="1"/>
  <c r="I65" i="91" s="1"/>
  <c r="D38" i="92"/>
  <c r="F38" i="92" l="1"/>
  <c r="D63" i="92"/>
  <c r="H38" i="92" l="1"/>
  <c r="F63" i="92"/>
  <c r="D38" i="93" l="1"/>
  <c r="H63" i="92"/>
  <c r="I65" i="92" s="1"/>
  <c r="F38" i="93" l="1"/>
  <c r="D63" i="93"/>
  <c r="H38" i="93" l="1"/>
  <c r="F63" i="93"/>
  <c r="D38" i="94" l="1"/>
  <c r="H63" i="93"/>
  <c r="I65" i="93" s="1"/>
  <c r="F38" i="94" l="1"/>
  <c r="D63" i="94"/>
  <c r="H38" i="94" l="1"/>
  <c r="F63" i="94"/>
  <c r="D38" i="95" l="1"/>
  <c r="H63" i="94"/>
  <c r="I65" i="94" s="1"/>
  <c r="F38" i="95" l="1"/>
  <c r="D63" i="95"/>
  <c r="H38" i="95" l="1"/>
  <c r="F63" i="95"/>
  <c r="D38" i="96" l="1"/>
  <c r="F38" i="96" s="1"/>
  <c r="H63" i="95"/>
  <c r="H38" i="96" l="1"/>
  <c r="F63" i="96"/>
  <c r="D63" i="96"/>
  <c r="I65" i="95"/>
  <c r="D38" i="97" l="1"/>
  <c r="F38" i="97" s="1"/>
  <c r="H63" i="96"/>
  <c r="H38" i="97" l="1"/>
  <c r="F63" i="97"/>
  <c r="I65" i="96"/>
  <c r="D63" i="97"/>
  <c r="D38" i="98" l="1"/>
  <c r="H63" i="97"/>
  <c r="I65" i="97" s="1"/>
  <c r="F38" i="98" l="1"/>
  <c r="D63" i="98"/>
  <c r="H38" i="98" l="1"/>
  <c r="F63" i="98"/>
  <c r="D38" i="99" l="1"/>
  <c r="F38" i="99" s="1"/>
  <c r="H63" i="98"/>
  <c r="H38" i="99" l="1"/>
  <c r="F63" i="99"/>
  <c r="I65" i="98"/>
  <c r="D63" i="99"/>
  <c r="D38" i="100" l="1"/>
  <c r="H63" i="99"/>
  <c r="I65" i="99" s="1"/>
  <c r="F38" i="100" l="1"/>
  <c r="D63" i="100"/>
  <c r="H38" i="100" l="1"/>
  <c r="F63" i="100"/>
  <c r="D38" i="101" l="1"/>
  <c r="F38" i="101" s="1"/>
  <c r="H63" i="100"/>
  <c r="H38" i="101" l="1"/>
  <c r="F63" i="101"/>
  <c r="D63" i="101"/>
  <c r="I65" i="100"/>
  <c r="D38" i="102" l="1"/>
  <c r="H63" i="101"/>
  <c r="I65" i="101" s="1"/>
  <c r="D63" i="102" l="1"/>
  <c r="F38" i="102"/>
  <c r="H38" i="102" l="1"/>
  <c r="F63" i="102"/>
  <c r="H63" i="102" l="1"/>
  <c r="D38" i="103"/>
  <c r="I65" i="102" l="1"/>
  <c r="F38" i="103"/>
  <c r="D63" i="103"/>
  <c r="H38" i="103" l="1"/>
  <c r="H63" i="103" s="1"/>
  <c r="I65" i="103" s="1"/>
  <c r="F63" i="103"/>
  <c r="K131" i="56"/>
  <c r="D138" i="56"/>
  <c r="D128" i="56"/>
  <c r="D61" i="44"/>
</calcChain>
</file>

<file path=xl/sharedStrings.xml><?xml version="1.0" encoding="utf-8"?>
<sst xmlns="http://schemas.openxmlformats.org/spreadsheetml/2006/main" count="11444" uniqueCount="1085">
  <si>
    <t>NAME</t>
  </si>
  <si>
    <t>RENT</t>
  </si>
  <si>
    <t>TOTAL</t>
  </si>
  <si>
    <t>PAID</t>
  </si>
  <si>
    <t>ASSET FLOW LTD</t>
  </si>
  <si>
    <t xml:space="preserve">                                  Your Ultimate Land And Property Consultant</t>
  </si>
  <si>
    <r>
      <t xml:space="preserve">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</si>
  <si>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</si>
  <si>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t>BAL B/F</t>
  </si>
  <si>
    <t>SECURITY</t>
  </si>
  <si>
    <t>DUE BILL</t>
  </si>
  <si>
    <t>PENALTY</t>
  </si>
  <si>
    <t>S.  C/F</t>
  </si>
  <si>
    <t>RENT C/F</t>
  </si>
  <si>
    <t>TOTAL C/F</t>
  </si>
  <si>
    <t>Prepared by</t>
  </si>
  <si>
    <t>Approved by</t>
  </si>
  <si>
    <t>Received by</t>
  </si>
  <si>
    <t>George Mukiri</t>
  </si>
  <si>
    <t>L. Mwangi</t>
  </si>
  <si>
    <t>…………………….</t>
  </si>
  <si>
    <t>VACANT</t>
  </si>
  <si>
    <t>10% AGENCY FEE</t>
  </si>
  <si>
    <t>Amount paid to landlady Directly</t>
  </si>
  <si>
    <t>Date………………………..</t>
  </si>
  <si>
    <t>…………………………….</t>
  </si>
  <si>
    <t>BALANCE</t>
  </si>
  <si>
    <t>NET PAYABLE</t>
  </si>
  <si>
    <t xml:space="preserve">NET RENT COLLECTED </t>
  </si>
  <si>
    <t>CASH STATEMENT FOR THE MONTH OF DECEMBER 2013</t>
  </si>
  <si>
    <t>POWER</t>
  </si>
  <si>
    <t>TOTAL  DISBURSABLE</t>
  </si>
  <si>
    <t>NO</t>
  </si>
  <si>
    <t>FAITH OKETCH</t>
  </si>
  <si>
    <t>GIDRAFF IRUNGU</t>
  </si>
  <si>
    <t>ROBERT GITHAIGA</t>
  </si>
  <si>
    <t>ISAAC NGUTUKU</t>
  </si>
  <si>
    <t>STANLEY AMOROKA</t>
  </si>
  <si>
    <t>JULIUS MBUGUA</t>
  </si>
  <si>
    <t>JAMLEK JUNIOR</t>
  </si>
  <si>
    <t>KAMAU BENSON</t>
  </si>
  <si>
    <t>UNKNOWN</t>
  </si>
  <si>
    <t>LEONARD WANYAMA</t>
  </si>
  <si>
    <t>CATHERENE WANGUI KIOI, GITHUKUU KAMURA</t>
  </si>
  <si>
    <t>PAYMENT ON16.12.13</t>
  </si>
  <si>
    <t>Catherene kioi</t>
  </si>
  <si>
    <t>WITH CATE</t>
  </si>
  <si>
    <t>MWANGI</t>
  </si>
  <si>
    <t>CASH STATEMENT FOR THE MONTH OF JANUARY 2014</t>
  </si>
  <si>
    <t>CLINTON MATERE</t>
  </si>
  <si>
    <t>landlord</t>
  </si>
  <si>
    <t>reuben kamau</t>
  </si>
  <si>
    <t xml:space="preserve">DEP </t>
  </si>
  <si>
    <t>CASH STATEMENT FOR THE MONTH OF MARCH 2014</t>
  </si>
  <si>
    <t>CASH STATEMENT FOR THE MONTH OF APRIL 2014</t>
  </si>
  <si>
    <t>B/F</t>
  </si>
  <si>
    <t>CASH STATEMENT FOR THE MONTH OF JUNE 2014</t>
  </si>
  <si>
    <t>MAY BALANCE</t>
  </si>
  <si>
    <t>DEDUCTIONS</t>
  </si>
  <si>
    <t>ADVANCES</t>
  </si>
  <si>
    <t xml:space="preserve">NET RENT PAYABLE </t>
  </si>
  <si>
    <t>CASH STATEMENT FOR THE MONTH OF JULY 2014</t>
  </si>
  <si>
    <t>TOTAL DEDUCTIONS</t>
  </si>
  <si>
    <t>GROSS DUE</t>
  </si>
  <si>
    <t>CASH STATEMENT FOR THE MONTH OF AUGUST 2014</t>
  </si>
  <si>
    <t>T.T</t>
  </si>
  <si>
    <t>DENNIS</t>
  </si>
  <si>
    <t>DISBURSABLE RENT</t>
  </si>
  <si>
    <t>COMMISSION</t>
  </si>
  <si>
    <t>ADVA NCE</t>
  </si>
  <si>
    <t>TENANT TRANSFER</t>
  </si>
  <si>
    <t>CASH STATEMENT FOR THE MONTH OF SEPTEMBER 2014</t>
  </si>
  <si>
    <t>TT</t>
  </si>
  <si>
    <t>KEVIN</t>
  </si>
  <si>
    <t>ODIEK</t>
  </si>
  <si>
    <t>DIRECT TO LANDLORD</t>
  </si>
  <si>
    <t>REuben Ngetich</t>
  </si>
  <si>
    <t>peter</t>
  </si>
  <si>
    <t>GRACE</t>
  </si>
  <si>
    <t>CASH STATEMENT FOR THE MONTH OF MAY 2015</t>
  </si>
  <si>
    <t>TTTRANSFERE</t>
  </si>
  <si>
    <t>MR  MWANGI</t>
  </si>
  <si>
    <t>CASH STATEMENT FOR THE MONTH OF JUNE  2015</t>
  </si>
  <si>
    <t xml:space="preserve">                                                                                                                               </t>
  </si>
  <si>
    <t xml:space="preserve">PAID  ON </t>
  </si>
  <si>
    <t>CASH STATEMENT FOR THE MONTH OF JULY  2015</t>
  </si>
  <si>
    <t>PAID ON 15/7/2015</t>
  </si>
  <si>
    <r>
      <t xml:space="preserve">                            </t>
    </r>
    <r>
      <rPr>
        <sz val="9"/>
        <color theme="1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</si>
  <si>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theme="1"/>
        <rFont val="Times New Roman"/>
        <family val="1"/>
      </rPr>
      <t>ST</t>
    </r>
    <r>
      <rPr>
        <b/>
        <sz val="9"/>
        <color theme="1"/>
        <rFont val="Times New Roman"/>
        <family val="1"/>
      </rPr>
      <t xml:space="preserve"> FLR ROOM B9</t>
    </r>
  </si>
  <si>
    <t>CASH STATEMENT FOR THE MONTH OF AUGUST 2015</t>
  </si>
  <si>
    <t>PAID ON 15/8/2015</t>
  </si>
  <si>
    <t xml:space="preserve">[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</si>
  <si>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</si>
  <si>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CATHERINE</t>
  </si>
  <si>
    <t>………………..</t>
  </si>
  <si>
    <t>RUBEN  NGETICH</t>
  </si>
  <si>
    <t>LUCY</t>
  </si>
  <si>
    <t>JANE NJERI</t>
  </si>
  <si>
    <t>CASH STATEMENT FOR THE MONTH OF  OCT 2015</t>
  </si>
  <si>
    <t>RICHARD GAKO</t>
  </si>
  <si>
    <t>ANTONEY  MUTINDA</t>
  </si>
  <si>
    <t>SHOP NO 1</t>
  </si>
  <si>
    <t xml:space="preserve">SHOP 2 </t>
  </si>
  <si>
    <t>LAZARUS  KIMANI</t>
  </si>
  <si>
    <t>BENARD MUTINDA</t>
  </si>
  <si>
    <t xml:space="preserve">LADIA OGOSA </t>
  </si>
  <si>
    <t>MARTINE</t>
  </si>
  <si>
    <t>LL</t>
  </si>
  <si>
    <t>LANDLORD COLLECTIONS</t>
  </si>
  <si>
    <t>Prepared by GRACE</t>
  </si>
  <si>
    <t>PETER</t>
  </si>
  <si>
    <t>PAID ON  16/10/2016</t>
  </si>
  <si>
    <t>CASH STATEMENT FOR THE MONTH OF  OCTOMBER 2015</t>
  </si>
  <si>
    <t>PAID ON  16/10/2015</t>
  </si>
  <si>
    <t>OLE MUNGA</t>
  </si>
  <si>
    <t>VIOLET</t>
  </si>
  <si>
    <t>MARION</t>
  </si>
  <si>
    <t>CASH STATEMENT FOR THE MONTH OF  NOVEMBER 2015</t>
  </si>
  <si>
    <t>CASH STATEMENT FOR THE MONTH OF  NOV 2015</t>
  </si>
  <si>
    <t>PAID ON  14/11/2015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</si>
  <si>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</si>
  <si>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Mary</t>
  </si>
  <si>
    <t>lucy</t>
  </si>
  <si>
    <t>vacant</t>
  </si>
  <si>
    <t>christine</t>
  </si>
  <si>
    <t>CASH STATEMENT FOR THE MONTH OF DEC 2015</t>
  </si>
  <si>
    <t>CASH STATEMENT FOR THE MONTH OF  DEC 2015</t>
  </si>
  <si>
    <t>LAZALUS DIRECT TO LANDLORD</t>
  </si>
  <si>
    <t>TATAL DEDUCTION</t>
  </si>
  <si>
    <t>PETER TOM</t>
  </si>
  <si>
    <t>Charles  MUTINDA</t>
  </si>
  <si>
    <t>GAKO</t>
  </si>
  <si>
    <t>PAID ON  11/12/2015</t>
  </si>
  <si>
    <t>Balance</t>
  </si>
  <si>
    <t>PAID ON  12/1/2016</t>
  </si>
  <si>
    <t>CASH STATEMENT FOR THE MONTH OF JAN  2016</t>
  </si>
  <si>
    <t>CASH STATEMENT FOR THE MONTH OF  JAN 2016</t>
  </si>
  <si>
    <t>NEW</t>
  </si>
  <si>
    <t>PAID ON  12/2/2016</t>
  </si>
  <si>
    <t>PAID ON  11/2/2015</t>
  </si>
  <si>
    <t xml:space="preserve">Mary </t>
  </si>
  <si>
    <t>CASH STATEMENT FOR THE MONTH OF  FEB  2016</t>
  </si>
  <si>
    <t>CASH STATEMENT FOR THE MONTH OF  FEB 2016</t>
  </si>
  <si>
    <t>VANCE</t>
  </si>
  <si>
    <t>PAMELA</t>
  </si>
  <si>
    <t>CASH STATEMENT FOR THE MONTH OF  MARCH  2016</t>
  </si>
  <si>
    <t>CASH STATEMENT FOR THE MONTH OF  MWANGI 2016</t>
  </si>
  <si>
    <t>PAID ON  12/3/2016</t>
  </si>
  <si>
    <t>CASH STATEMENT FOR THE MONTH OF  MARCH 2016</t>
  </si>
  <si>
    <t>MASSAI</t>
  </si>
  <si>
    <t>PAID ON  12/4/2016</t>
  </si>
  <si>
    <t>PAID ON  12/4/2015</t>
  </si>
  <si>
    <t>CASH STATEMENT FOR THE MONTH OF  APRIL  2016</t>
  </si>
  <si>
    <t>CASH STATEMENT FOR THE MONTH OF APRIL 2016</t>
  </si>
  <si>
    <t>TOTAL DEDUCTION</t>
  </si>
  <si>
    <t>CASH STATEMENT FOR THE MONTH OF  JUNE  2016</t>
  </si>
  <si>
    <t>CASH STATEMENT FOR THE MONTH OF JUNE 2016</t>
  </si>
  <si>
    <t>13/6/2016</t>
  </si>
  <si>
    <t>GAKO  LYDIA</t>
  </si>
  <si>
    <t>KIMANI</t>
  </si>
  <si>
    <t>ASSETFLOW LOAN</t>
  </si>
  <si>
    <t>OCUPIES</t>
  </si>
  <si>
    <t>DIRECT  TO LL</t>
  </si>
  <si>
    <t xml:space="preserve"> </t>
  </si>
  <si>
    <t>DUE</t>
  </si>
  <si>
    <t>BL</t>
  </si>
  <si>
    <t>JAMES NGUGI</t>
  </si>
  <si>
    <t>jon njuguna</t>
  </si>
  <si>
    <t>DARIUS</t>
  </si>
  <si>
    <t>LOCKED</t>
  </si>
  <si>
    <t>DANIEL</t>
  </si>
  <si>
    <t>SAMUEL KIMANI</t>
  </si>
  <si>
    <t>advance</t>
  </si>
  <si>
    <t>MR  MWANGI……………………………</t>
  </si>
  <si>
    <t>CASH STATEMENT FOR THE MONTH OF  AUGUST 2016</t>
  </si>
  <si>
    <t>CHURCH</t>
  </si>
  <si>
    <t>PAID  ON 12/8/2016</t>
  </si>
  <si>
    <t>CASH STATEMENT FOR THE MONTH OF AUGUST 2016</t>
  </si>
  <si>
    <t>PAID IN 12/8/2016</t>
  </si>
  <si>
    <t>CASH STATEMENT FOR THE MONTH OF  SEPTEMBER 2016</t>
  </si>
  <si>
    <t>ADVANCE</t>
  </si>
  <si>
    <t>PAID  ON 12/9/2016</t>
  </si>
  <si>
    <t>CASH STATEMENT FOR THE MONTH OF SEPTEMBER 2016</t>
  </si>
  <si>
    <t>/9/2016</t>
  </si>
  <si>
    <t>Darius</t>
  </si>
  <si>
    <t>Dniel</t>
  </si>
  <si>
    <t>locked</t>
  </si>
  <si>
    <t>CASH STATEMENT FOR THE MONTH OF OCTOBER 2016</t>
  </si>
  <si>
    <t>PAID  ON  12/10/2016</t>
  </si>
  <si>
    <t>MUNGA</t>
  </si>
  <si>
    <t>CASH STATEMENT FOR THE MONTH OF  OCT 2016</t>
  </si>
  <si>
    <t xml:space="preserve">LOAN </t>
  </si>
  <si>
    <t>PAID IN 12/10/2016</t>
  </si>
  <si>
    <t>CASH STATEMENT FOR THE MONTH OF OCT 2016</t>
  </si>
  <si>
    <t>LYDIA AGOSA</t>
  </si>
  <si>
    <t>PAID  ON 12/10/2016</t>
  </si>
  <si>
    <t>COMMISION</t>
  </si>
  <si>
    <t>CASH STATEMENT FOR THE MONTH OF NOV 2016</t>
  </si>
  <si>
    <t>CASH STATEMENT FOR THE MONTH OF NOV  2016</t>
  </si>
  <si>
    <t>CASH STATEMENT FOR THE MONTH OF  NOV 2016</t>
  </si>
  <si>
    <t>PAID  ON  12/11/2016</t>
  </si>
  <si>
    <t xml:space="preserve">DIRECT </t>
  </si>
  <si>
    <t>PAID  ON 12/11/2016</t>
  </si>
  <si>
    <t>CASH STATEMENT FOR THE MONTH OF  DEC 2016</t>
  </si>
  <si>
    <t>MUSEMBI</t>
  </si>
  <si>
    <t>CASH STATEMENT FOR THE MONTH OF DEC  2016</t>
  </si>
  <si>
    <t>ADD  LYDIA</t>
  </si>
  <si>
    <t>PAID  ON 12/12/2016</t>
  </si>
  <si>
    <t xml:space="preserve">NEW </t>
  </si>
  <si>
    <t>PAID IN 12/1/2017</t>
  </si>
  <si>
    <t>CASH STATEMENT FOR THE MONTH OF  JAN 2017</t>
  </si>
  <si>
    <t>LYDIA</t>
  </si>
  <si>
    <t>CASH STATEMENT FOR THE MONTH OF JAN  2017</t>
  </si>
  <si>
    <t>PAID  ON 12/1/2017</t>
  </si>
  <si>
    <t>PETER  NDUATI</t>
  </si>
  <si>
    <t>PARTRIC KAROKI</t>
  </si>
  <si>
    <t>ABEL MKOLWE</t>
  </si>
  <si>
    <t>FAITH MUILOLWE</t>
  </si>
  <si>
    <t>FESTA WAITHERA</t>
  </si>
  <si>
    <t>IDDI MAKOTHA</t>
  </si>
  <si>
    <t>VINCENT  NJOROGE</t>
  </si>
  <si>
    <t>GEORGE  ONYANGO</t>
  </si>
  <si>
    <t>MAMBATI</t>
  </si>
  <si>
    <t>MARY NJERI</t>
  </si>
  <si>
    <t>PAYMENT  ON 12/1/2017</t>
  </si>
  <si>
    <t>ADVANCE  ON 14/1/2017</t>
  </si>
  <si>
    <t xml:space="preserve">NET </t>
  </si>
  <si>
    <t>DEDUCTION</t>
  </si>
  <si>
    <t>CASH STATEMENT FOR THE MONTH OF JAN 2017</t>
  </si>
  <si>
    <t>NET</t>
  </si>
  <si>
    <t>HINGA</t>
  </si>
  <si>
    <t xml:space="preserve">OVER PAY </t>
  </si>
  <si>
    <t>MERCY</t>
  </si>
  <si>
    <t>PAYMENT  ON 12/2/2017</t>
  </si>
  <si>
    <t>CASH STATEMENT FOR THE MONTH OF  FEB  2017</t>
  </si>
  <si>
    <t>CASH STATEMENT FOR THE MONTH OF FEB   2017</t>
  </si>
  <si>
    <t>CASH STATEMENT FOR THE MONTH OF FEB 2017</t>
  </si>
  <si>
    <t>wafula</t>
  </si>
  <si>
    <t>david/church</t>
  </si>
  <si>
    <t>samson mutisya</t>
  </si>
  <si>
    <t xml:space="preserve">DAVID </t>
  </si>
  <si>
    <t>PRICILLA</t>
  </si>
  <si>
    <t>PLISLA</t>
  </si>
  <si>
    <t>TIMOTHY</t>
  </si>
  <si>
    <t>PARTRICK KAROKI</t>
  </si>
  <si>
    <t>FELSTA  WAITHERA</t>
  </si>
  <si>
    <t>LUKAS  OMONDI</t>
  </si>
  <si>
    <t>IDDI MAKOHA</t>
  </si>
  <si>
    <t xml:space="preserve">  </t>
  </si>
  <si>
    <t>MABATI</t>
  </si>
  <si>
    <t>PHIKLIO OMONDI</t>
  </si>
  <si>
    <t>GEORGE</t>
  </si>
  <si>
    <t xml:space="preserve">PAYMENT </t>
  </si>
  <si>
    <t>BEATRICE  WANGARI</t>
  </si>
  <si>
    <t>JUMA  ALI</t>
  </si>
  <si>
    <t>PETER  NJOGU</t>
  </si>
  <si>
    <t>STEPHEN MUNGA</t>
  </si>
  <si>
    <t>triangle</t>
  </si>
  <si>
    <t>JOHN  MUGO</t>
  </si>
  <si>
    <t>NICHOLASD   MUSYOKA</t>
  </si>
  <si>
    <t xml:space="preserve">JAMES  KAMAU </t>
  </si>
  <si>
    <t xml:space="preserve">BILDAD  GITONGS </t>
  </si>
  <si>
    <t>DORIS  KINYAGA/KEN</t>
  </si>
  <si>
    <t>STEPHEN MBUTHE</t>
  </si>
  <si>
    <t>COUNTER  ASELI</t>
  </si>
  <si>
    <t>SON</t>
  </si>
  <si>
    <t>REACHEL MURITHI</t>
  </si>
  <si>
    <t xml:space="preserve">VANT </t>
  </si>
  <si>
    <t xml:space="preserve">VACANT </t>
  </si>
  <si>
    <t>IBRAHIM   MWANIZI</t>
  </si>
  <si>
    <t xml:space="preserve">CHEGE </t>
  </si>
  <si>
    <t>TERESIAMAMBUGI</t>
  </si>
  <si>
    <t>ANN WANJIRU</t>
  </si>
  <si>
    <t>SAMWEL NGANGA</t>
  </si>
  <si>
    <t>LLL</t>
  </si>
  <si>
    <t>DIRECT  TO LANDLORD</t>
  </si>
  <si>
    <t xml:space="preserve">                                         </t>
  </si>
  <si>
    <t>CASH STATEMENT FOR THE MONTH OF  APRIL  2017</t>
  </si>
  <si>
    <t>KISERIA</t>
  </si>
  <si>
    <t>EUNICE  WANJIKU</t>
  </si>
  <si>
    <t>PAUL MWAURA</t>
  </si>
  <si>
    <t>MOSES  MBUGUA</t>
  </si>
  <si>
    <t>NELSON MWANIKI</t>
  </si>
  <si>
    <t>STEPHEN CHEGE</t>
  </si>
  <si>
    <t>BENJAMIN KAHARE</t>
  </si>
  <si>
    <t>JOHM MUNGAI</t>
  </si>
  <si>
    <t>CASH STATEMENT FOR THE MONTH OF  APRIL 2017</t>
  </si>
  <si>
    <t>PAID  ON 12/4/2016</t>
  </si>
  <si>
    <t>JUMA</t>
  </si>
  <si>
    <t>KAMAU</t>
  </si>
  <si>
    <t>PAID  ON  12/4/2017</t>
  </si>
  <si>
    <t>CASH STATEMENT FOR THE MONTH OF APRIL   2017</t>
  </si>
  <si>
    <t>KWARE</t>
  </si>
  <si>
    <t>CASH STATEMENT FOR THE MONTH OF APRIL 2017</t>
  </si>
  <si>
    <t>PAID 12/4/2017</t>
  </si>
  <si>
    <t>PAYMENT  ON 12/4/2016</t>
  </si>
  <si>
    <t>BEVERLINEY OMUSIAMBO</t>
  </si>
  <si>
    <t>ANTHONEY  MUTINDA</t>
  </si>
  <si>
    <t>CASH STATEMENT FOR THE MONTH OF  march  2017</t>
  </si>
  <si>
    <t>PAYMENT</t>
  </si>
  <si>
    <t>pait on  12/3/2016</t>
  </si>
  <si>
    <t>TRIANGLE</t>
  </si>
  <si>
    <t>NICHOLAS</t>
  </si>
  <si>
    <t>ADVANCE 5/5/2017</t>
  </si>
  <si>
    <t>ALEGEZA</t>
  </si>
  <si>
    <t>PAID 12/5/2017</t>
  </si>
  <si>
    <t>PAID  ON  12/5/2017</t>
  </si>
  <si>
    <t>IRENE WACERA</t>
  </si>
  <si>
    <t>CASH STATEMENT FOR THE MONTH OF MAY  2017</t>
  </si>
  <si>
    <t>PAUL</t>
  </si>
  <si>
    <t>ADVANCE 5/5/2016</t>
  </si>
  <si>
    <t>CASH STATEMENT FOR THE MONTH OF  MAY  2017</t>
  </si>
  <si>
    <t>PHILIP AMUTABI</t>
  </si>
  <si>
    <t>GEOFREY MWEMA</t>
  </si>
  <si>
    <t>*</t>
  </si>
  <si>
    <t>SAMUEL WANJIRU</t>
  </si>
  <si>
    <t>CASH STATEMENT FOR THE MONTH OF JUNE  2017</t>
  </si>
  <si>
    <t xml:space="preserve">ELIUD </t>
  </si>
  <si>
    <t>CASH STATEMENT FOR THE MONTH OF  JUNE  2017</t>
  </si>
  <si>
    <t>DAVID  CHURCH</t>
  </si>
  <si>
    <t>KAROKI</t>
  </si>
  <si>
    <t>VINCENT</t>
  </si>
  <si>
    <t>PHILLIP</t>
  </si>
  <si>
    <t>RENOVATION</t>
  </si>
  <si>
    <t>KAHARE</t>
  </si>
  <si>
    <t xml:space="preserve">ABEL </t>
  </si>
  <si>
    <t>WILL</t>
  </si>
  <si>
    <t xml:space="preserve">IDDI </t>
  </si>
  <si>
    <t>LUKAS</t>
  </si>
  <si>
    <t>GEMBO</t>
  </si>
  <si>
    <t>JACKLINE</t>
  </si>
  <si>
    <t>MONICAH</t>
  </si>
  <si>
    <t>23/5/2017</t>
  </si>
  <si>
    <t>DEPOSIT</t>
  </si>
  <si>
    <t>ADVANCE 05/6/2017</t>
  </si>
  <si>
    <t>PAID  ON 13/6/2017</t>
  </si>
  <si>
    <t>22/6/2017</t>
  </si>
  <si>
    <t>29/6/2017</t>
  </si>
  <si>
    <t>29/6/2017 ADVANCE</t>
  </si>
  <si>
    <t>PAID  ON 12/6/2017</t>
  </si>
  <si>
    <t>PAID ON 12/6/2017</t>
  </si>
  <si>
    <t>mama victor</t>
  </si>
  <si>
    <t>net renat  payable</t>
  </si>
  <si>
    <t>bf</t>
  </si>
  <si>
    <t>church b</t>
  </si>
  <si>
    <t>advace</t>
  </si>
  <si>
    <t>JOEL</t>
  </si>
  <si>
    <t>BF</t>
  </si>
  <si>
    <t>CASH STATEMENT FOR THE MONTH OF  JULY  2017</t>
  </si>
  <si>
    <t>CASH STATEMENT FOR THE MONTH OF JULY 2017</t>
  </si>
  <si>
    <t>CASH STATEMENT FOR THE MONTH OF JULY  2017</t>
  </si>
  <si>
    <t>KENNEDY MUTWIRI</t>
  </si>
  <si>
    <t>SON LL</t>
  </si>
  <si>
    <t>CATE FARE</t>
  </si>
  <si>
    <t>13/7/17</t>
  </si>
  <si>
    <t>BAL</t>
  </si>
  <si>
    <t>ADVANCE 05/7/2017</t>
  </si>
  <si>
    <t>13/7/2017</t>
  </si>
  <si>
    <t>PAID ON 12/7/2017</t>
  </si>
  <si>
    <t>PAID 5/7/2017</t>
  </si>
  <si>
    <t>20/7/2017</t>
  </si>
  <si>
    <t>25/7/17</t>
  </si>
  <si>
    <t>PAYMENT  ON 12/7/2017</t>
  </si>
  <si>
    <t>no 4 direct to landlord</t>
  </si>
  <si>
    <t>shardlar ngali</t>
  </si>
  <si>
    <t>MOSES MASSAI</t>
  </si>
  <si>
    <t>SAMSON MUTISYA</t>
  </si>
  <si>
    <t>MILLICENT</t>
  </si>
  <si>
    <t>STANELY AMALOKA</t>
  </si>
  <si>
    <t>LABAN</t>
  </si>
  <si>
    <t>JANE NJERI TRIANGLE</t>
  </si>
  <si>
    <t>JAMES  KAMAU</t>
  </si>
  <si>
    <t>SAMUEL NGANGA</t>
  </si>
  <si>
    <t>JANE  NJERI KWARE</t>
  </si>
  <si>
    <t>PAUL NJERI</t>
  </si>
  <si>
    <t>JANE  NJERI NGURUI</t>
  </si>
  <si>
    <t>ll</t>
  </si>
  <si>
    <t>shiro</t>
  </si>
  <si>
    <t>DIRECT TO LL</t>
  </si>
  <si>
    <t>ADVANCE 14/8/2017</t>
  </si>
  <si>
    <t>22/8/2017</t>
  </si>
  <si>
    <t>21/8/2017</t>
  </si>
  <si>
    <t>26/8/2017</t>
  </si>
  <si>
    <t>14/8/10187</t>
  </si>
  <si>
    <t>DIRE</t>
  </si>
  <si>
    <t>lydia</t>
  </si>
  <si>
    <t>ALEX</t>
  </si>
  <si>
    <t>SHADRACK</t>
  </si>
  <si>
    <t>CECELINE</t>
  </si>
  <si>
    <t>CHEGE</t>
  </si>
  <si>
    <t>2 MONTH RENT</t>
  </si>
  <si>
    <t>ON DEPOSIT</t>
  </si>
  <si>
    <t>ADVANCE 14/6/9/2017/2017</t>
  </si>
  <si>
    <t>18/9/2017</t>
  </si>
  <si>
    <t>20/9/2015</t>
  </si>
  <si>
    <t>20/9/17</t>
  </si>
  <si>
    <t>LANDLORD / LANDLADY:</t>
  </si>
  <si>
    <t>PROPERTY:</t>
  </si>
  <si>
    <t>JANE  NJERI TRIANGLE</t>
  </si>
  <si>
    <t>PERIOD:</t>
  </si>
  <si>
    <t>SEPTEMBER, 2017</t>
  </si>
  <si>
    <t>EXPECTED COLLECTIONS:</t>
  </si>
  <si>
    <t>ACTUAL COLLECTIONS:</t>
  </si>
  <si>
    <t>UNIT NO</t>
  </si>
  <si>
    <t>NAME:</t>
  </si>
  <si>
    <t>TEL NO:</t>
  </si>
  <si>
    <t>OTHERS</t>
  </si>
  <si>
    <t>RECEIPT NO:</t>
  </si>
  <si>
    <t>DATE:</t>
  </si>
  <si>
    <t>BAL C/D:</t>
  </si>
  <si>
    <t>JNTRI1</t>
  </si>
  <si>
    <t>JNTRI2</t>
  </si>
  <si>
    <t>0717507558</t>
  </si>
  <si>
    <t>JNTRI3</t>
  </si>
  <si>
    <t>0727092302</t>
  </si>
  <si>
    <t>57355</t>
  </si>
  <si>
    <t>57549</t>
  </si>
  <si>
    <t>57604</t>
  </si>
  <si>
    <t>JJNTRI4</t>
  </si>
  <si>
    <t>JNTRI4</t>
  </si>
  <si>
    <t>JJNTRI5</t>
  </si>
  <si>
    <t>JAMES  KAMAU KARIUKI</t>
  </si>
  <si>
    <t>0723619538</t>
  </si>
  <si>
    <t>JJNTRI6</t>
  </si>
  <si>
    <t>BILDAD  GITONGA</t>
  </si>
  <si>
    <t>0711837490</t>
  </si>
  <si>
    <t>57547</t>
  </si>
  <si>
    <t>JJNTRI7</t>
  </si>
  <si>
    <t>JJNTRI8</t>
  </si>
  <si>
    <t>KEN MUTWIRI</t>
  </si>
  <si>
    <t>0727155626</t>
  </si>
  <si>
    <t>JJNTRI9</t>
  </si>
  <si>
    <t>JJNTRI10</t>
  </si>
  <si>
    <t>JJNTRI11</t>
  </si>
  <si>
    <t>SHADRACK NGARI</t>
  </si>
  <si>
    <t>0702265786</t>
  </si>
  <si>
    <t>57476</t>
  </si>
  <si>
    <t>JJNTRI12</t>
  </si>
  <si>
    <t>NICHOLAS NDUNGE</t>
  </si>
  <si>
    <t>0725077528</t>
  </si>
  <si>
    <t>57473</t>
  </si>
  <si>
    <t>JJNTRI13</t>
  </si>
  <si>
    <t>CONTER ASELI</t>
  </si>
  <si>
    <t>0715805295</t>
  </si>
  <si>
    <t>57656</t>
  </si>
  <si>
    <t>JJNTRI14</t>
  </si>
  <si>
    <t>0715215057</t>
  </si>
  <si>
    <t>JJNTRI15</t>
  </si>
  <si>
    <t>JJNTRI16</t>
  </si>
  <si>
    <t>0789564597</t>
  </si>
  <si>
    <t>JNTRI17</t>
  </si>
  <si>
    <t>RACHAEL MURIITHI</t>
  </si>
  <si>
    <t>57637</t>
  </si>
  <si>
    <t>JNTRI18</t>
  </si>
  <si>
    <t>JNTRI19</t>
  </si>
  <si>
    <t>JNTRI20</t>
  </si>
  <si>
    <t>0707921699</t>
  </si>
  <si>
    <t>57550</t>
  </si>
  <si>
    <t>57645</t>
  </si>
  <si>
    <t>JNTRI21</t>
  </si>
  <si>
    <t>IBRAHIM  MWANIZI</t>
  </si>
  <si>
    <t>0707343738</t>
  </si>
  <si>
    <t>57644</t>
  </si>
  <si>
    <t>JNTRI22</t>
  </si>
  <si>
    <t>CHEGE  KIARIE</t>
  </si>
  <si>
    <t>0724630041</t>
  </si>
  <si>
    <t>JNTRI23</t>
  </si>
  <si>
    <t>TERESIH NJERI</t>
  </si>
  <si>
    <t>07256030958</t>
  </si>
  <si>
    <t>57636</t>
  </si>
  <si>
    <t>JNTRI24</t>
  </si>
  <si>
    <t>ANN  KARIUKI</t>
  </si>
  <si>
    <t>0717855323</t>
  </si>
  <si>
    <t>57529</t>
  </si>
  <si>
    <t>JNTRI25</t>
  </si>
  <si>
    <t>0722649650</t>
  </si>
  <si>
    <t>57401</t>
  </si>
  <si>
    <t>JNTRI26</t>
  </si>
  <si>
    <t>JNTRI27</t>
  </si>
  <si>
    <t>JNTRI28</t>
  </si>
  <si>
    <t>JNTRI29</t>
  </si>
  <si>
    <t>JNTRI30</t>
  </si>
  <si>
    <t>TOTALS</t>
  </si>
  <si>
    <t>deposit</t>
  </si>
  <si>
    <t>……………………………………………………………………………………………………………….</t>
  </si>
  <si>
    <t>"</t>
  </si>
  <si>
    <t>SILA MHOJA</t>
  </si>
  <si>
    <t>ADVANCE 05/9/2017</t>
  </si>
  <si>
    <t>16/9/2017</t>
  </si>
  <si>
    <t>27/9/2017</t>
  </si>
  <si>
    <t>TRIANGLE OCT</t>
  </si>
  <si>
    <t>STEPHEN EMBUTH</t>
  </si>
  <si>
    <t>CAREB</t>
  </si>
  <si>
    <t>SAMUEL</t>
  </si>
  <si>
    <t>teresiah</t>
  </si>
  <si>
    <t>samuel nganga</t>
  </si>
  <si>
    <t>LANDLORD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</si>
  <si>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</si>
  <si>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ll 2month</t>
  </si>
  <si>
    <t>CASH STATEMENT FOR THE MONTH OF  OCT 2017</t>
  </si>
  <si>
    <t>MAUREEN</t>
  </si>
  <si>
    <t>PAID ON 13TH OCT</t>
  </si>
  <si>
    <t xml:space="preserve">PAID ON 13TH OCT </t>
  </si>
  <si>
    <t xml:space="preserve">PAID ON 23RD  OCT </t>
  </si>
  <si>
    <t>MOPHAT MAINGI</t>
  </si>
  <si>
    <t>CARETAKER</t>
  </si>
  <si>
    <t>PAID 10/10/17</t>
  </si>
  <si>
    <t>13/10/2017</t>
  </si>
  <si>
    <t>18/10/2017</t>
  </si>
  <si>
    <t>23/10/2017</t>
  </si>
  <si>
    <t>17/10/2017</t>
  </si>
  <si>
    <t>21/10/2017</t>
  </si>
  <si>
    <t>commision</t>
  </si>
  <si>
    <t>PAID ON 13/10/2017</t>
  </si>
  <si>
    <t>PAID TO LANDLORD</t>
  </si>
  <si>
    <t>NJORO</t>
  </si>
  <si>
    <t>SAMUEL NJER</t>
  </si>
  <si>
    <t>CASH STATEMENT FOR THE MONTH OF OCT 2017</t>
  </si>
  <si>
    <t>CASH STATEMENT FOR THE MONTH OF OCT  2017</t>
  </si>
  <si>
    <t>SHIRO</t>
  </si>
  <si>
    <t>BERNARD  MUTINDA</t>
  </si>
  <si>
    <t>VACCANT</t>
  </si>
  <si>
    <t>ANTHONY MUTINDA</t>
  </si>
  <si>
    <t>DAVID CHURCH</t>
  </si>
  <si>
    <t>PAID ON 13/11/17</t>
  </si>
  <si>
    <t>OLEMUNGA</t>
  </si>
  <si>
    <t>MAMA VICTOR</t>
  </si>
  <si>
    <t xml:space="preserve">PAID ON 10/11/17 </t>
  </si>
  <si>
    <t>PRISCILA</t>
  </si>
  <si>
    <t>ADVANCE 6/11/17</t>
  </si>
  <si>
    <t>JOHN</t>
  </si>
  <si>
    <t>PAYMENT  ON 10/11/17</t>
  </si>
  <si>
    <t>JOHN MUGO</t>
  </si>
  <si>
    <t>PHILLIP AMUTABI</t>
  </si>
  <si>
    <t>JUMA ALI</t>
  </si>
  <si>
    <t xml:space="preserve">SON LL </t>
  </si>
  <si>
    <t>CHEGE KIARIE</t>
  </si>
  <si>
    <t>PAID ON 9/11/17</t>
  </si>
  <si>
    <t>JOHN MUNGAI</t>
  </si>
  <si>
    <t>SAMUEL NJERI</t>
  </si>
  <si>
    <t>OMONDI</t>
  </si>
  <si>
    <t>JANE  NJIRU</t>
  </si>
  <si>
    <t>PATRICK KIIROTICH</t>
  </si>
  <si>
    <t>17/13/2017</t>
  </si>
  <si>
    <t>O9</t>
  </si>
  <si>
    <t>TRIANGLE NOV</t>
  </si>
  <si>
    <t>CASH STATEMENT FOR THE MONTH OF  DEC 2017</t>
  </si>
  <si>
    <t>CASH STATEMENT FOR THE MONTH OF DEC 2017</t>
  </si>
  <si>
    <t xml:space="preserve">MARY MWAURA </t>
  </si>
  <si>
    <t>ON NOTICE</t>
  </si>
  <si>
    <t>19/12/17</t>
  </si>
  <si>
    <t>LUCIA</t>
  </si>
  <si>
    <t>LYDIA AKOSI</t>
  </si>
  <si>
    <t>PAID ON 13/12/17</t>
  </si>
  <si>
    <t>net rent  payable</t>
  </si>
  <si>
    <t xml:space="preserve">BILDAD  GITONGA </t>
  </si>
  <si>
    <t>PAID ON 18/12/17</t>
  </si>
  <si>
    <t>EMILY MUGWE</t>
  </si>
  <si>
    <t>TRIANGLE DEC</t>
  </si>
  <si>
    <t>HILDA KEMUNTO</t>
  </si>
  <si>
    <t>SINAN  MICHEU</t>
  </si>
  <si>
    <t>CASH STATEMENT FOR THE MONTH OF JAN 2018</t>
  </si>
  <si>
    <t xml:space="preserve">MARY </t>
  </si>
  <si>
    <t>CATHERINE WANGUI KIOI, GITHUKUU KAMURA</t>
  </si>
  <si>
    <t>TRIANGLE JAN 2018</t>
  </si>
  <si>
    <t>RENT STATEMENT FOR THE MONTH OF JAN 2018</t>
  </si>
  <si>
    <t>TO VACATE</t>
  </si>
  <si>
    <t>ELECTRICITY REPAIRE</t>
  </si>
  <si>
    <t>ELECTRICITY</t>
  </si>
  <si>
    <t>IBRAHIM   MWANEZI</t>
  </si>
  <si>
    <t>TERESIA</t>
  </si>
  <si>
    <t xml:space="preserve">         </t>
  </si>
  <si>
    <t>PETER NJOGU</t>
  </si>
  <si>
    <t>RACHEL MUREITHI</t>
  </si>
  <si>
    <t>GODFREY MWEMA</t>
  </si>
  <si>
    <t>CASH STATEMENT FOR THE MONTH OF FEB 2018</t>
  </si>
  <si>
    <t>RENT STATEMENT FOR THE MONTH OF FEB 2018</t>
  </si>
  <si>
    <t>TRIANGLE FEB 2018</t>
  </si>
  <si>
    <t>T O DEDUCT</t>
  </si>
  <si>
    <t>PATRICK</t>
  </si>
  <si>
    <t>NOT TO PAY- VACCATED</t>
  </si>
  <si>
    <t>VACATED</t>
  </si>
  <si>
    <t>NOT TO PAY</t>
  </si>
  <si>
    <t>CASH STATEMENT FOR THE MONTH OF MARCH 2018</t>
  </si>
  <si>
    <t>RENT STATEMENT FOR THE MONTH OF MARCH 2018</t>
  </si>
  <si>
    <t>KELVIN KARIUKI</t>
  </si>
  <si>
    <t>CYRUS AMOKA</t>
  </si>
  <si>
    <t xml:space="preserve">CYRUS AMOKA </t>
  </si>
  <si>
    <t>KEN</t>
  </si>
  <si>
    <t>CASH STATEMENT FOR THE MONTH OF MARCH  2018</t>
  </si>
  <si>
    <t>ALEX  MKOLWE</t>
  </si>
  <si>
    <t>WAMBUI</t>
  </si>
  <si>
    <t>JANE NJIRU</t>
  </si>
  <si>
    <t>SINAN-FEB</t>
  </si>
  <si>
    <t>SAMUEL(DEC,JAN,FEB)</t>
  </si>
  <si>
    <t>NEW-FEB</t>
  </si>
  <si>
    <t>NICHOLAS- FEB</t>
  </si>
  <si>
    <t>TRIAGLE RENT STATEMENT</t>
  </si>
  <si>
    <t>FOR THE MONTH OF MARCH 2018</t>
  </si>
  <si>
    <t>KEN FEB</t>
  </si>
  <si>
    <t>CASH STATEMENT FOR THE MONTH OF APRIL  2018</t>
  </si>
  <si>
    <t>EUCASTUS CHOTI</t>
  </si>
  <si>
    <t>RENT STATEMENT FOR THE MONTH OF APRIL  2018</t>
  </si>
  <si>
    <t>FOR THE MONTH OF APRIL 2018</t>
  </si>
  <si>
    <t>CASH STATEMENT FOR THE MONTH OF APRIL 2018</t>
  </si>
  <si>
    <t>LOAN</t>
  </si>
  <si>
    <t>FELISTA  WAITHERA</t>
  </si>
  <si>
    <t>FRED</t>
  </si>
  <si>
    <t xml:space="preserve">     </t>
  </si>
  <si>
    <t>CASH STATEMENT FOR THE MONTH OF MAY 2018</t>
  </si>
  <si>
    <t>CASH STATEMENT FOR THE MONTH OF MAY  2018</t>
  </si>
  <si>
    <t>RENT STATEMENT FOR THE MONTH OF MAY  2018</t>
  </si>
  <si>
    <t>FOR THE MONTH OF MAY 2018</t>
  </si>
  <si>
    <t>COMM</t>
  </si>
  <si>
    <t>VACCATED</t>
  </si>
  <si>
    <t>EXPECTED</t>
  </si>
  <si>
    <t xml:space="preserve">EXPECTED </t>
  </si>
  <si>
    <t xml:space="preserve">NET RENT </t>
  </si>
  <si>
    <t>NET RENT</t>
  </si>
  <si>
    <t>IRONSHEET REPAIR-3</t>
  </si>
  <si>
    <t>GRACE KIMANI-KWARE</t>
  </si>
  <si>
    <t>CONSTANCE ANGATIA</t>
  </si>
  <si>
    <t>DEP</t>
  </si>
  <si>
    <t>FRANCIS GITONGA</t>
  </si>
  <si>
    <t>NEW AT END MONTH</t>
  </si>
  <si>
    <t>FROM 17/5/18</t>
  </si>
  <si>
    <t>CASH STATEMENT FOR THE MONTH OF JUNE 2018</t>
  </si>
  <si>
    <t>CASH STATEMENT FOR THE MONTH OF JUNE  2018</t>
  </si>
  <si>
    <t>RENT STATEMENT FOR THE MONTH OF JUNE  2018</t>
  </si>
  <si>
    <t>EXHAUSTER</t>
  </si>
  <si>
    <t xml:space="preserve">CLEANING </t>
  </si>
  <si>
    <t>CLEANING</t>
  </si>
  <si>
    <t>GARBAGE</t>
  </si>
  <si>
    <t>RENT STATEMENT FOR THE MONTH OF JULY  2018</t>
  </si>
  <si>
    <t>CASH STATEMENT FOR THE MONTH OF JULY 2018</t>
  </si>
  <si>
    <t xml:space="preserve">DENIS CARETAKER  </t>
  </si>
  <si>
    <t>PLOT REPAIRS</t>
  </si>
  <si>
    <t>CASH STATEMENT FOR THE MONTH OF JULY  2018</t>
  </si>
  <si>
    <t>PRISCILA KENJU</t>
  </si>
  <si>
    <t>STORE</t>
  </si>
  <si>
    <t>CASH STATEMENT FOR THE MONTH OF AUGUST 2018</t>
  </si>
  <si>
    <t>RENT STATEMENT FOR THE MONTH OF AUGUST  2018</t>
  </si>
  <si>
    <t>CASH STATEMENT FOR THE MONTH OF AUGUST  2018</t>
  </si>
  <si>
    <t xml:space="preserve">LUCIA </t>
  </si>
  <si>
    <t>ELCTRICITY REPAIR</t>
  </si>
  <si>
    <t>CASH STATEMENT FOR THE MONTH OF SEPTEMBER 2018</t>
  </si>
  <si>
    <t>RENT STATEMENT FOR THE MONTH OF SEPTEMBER  2018</t>
  </si>
  <si>
    <t>CASH STATEMENT FOR THE MONTH OF SEPTEMBER  2018</t>
  </si>
  <si>
    <t>MARY WANGECI</t>
  </si>
  <si>
    <t>PAUL KARIUKI</t>
  </si>
  <si>
    <t>GEORGE NJUGUNA</t>
  </si>
  <si>
    <t xml:space="preserve">LETTING FEE </t>
  </si>
  <si>
    <t>LETTING FEE</t>
  </si>
  <si>
    <t>CASH STATEMENT FOR THE MONTH OF OCTOBER 2018</t>
  </si>
  <si>
    <t>RENT STATEMENT FOR THE MONTH OF OCTOBER  2018</t>
  </si>
  <si>
    <t>CASH STATEMENT FOR THE MONTH OF OCTOBER  2018</t>
  </si>
  <si>
    <t>MARTIN NJOROGE</t>
  </si>
  <si>
    <t>LINET NAFULA</t>
  </si>
  <si>
    <t>HUMPHREY NGANGA</t>
  </si>
  <si>
    <t>PREPARED BY</t>
  </si>
  <si>
    <t>RUTH</t>
  </si>
  <si>
    <t>APPROVED BY</t>
  </si>
  <si>
    <t xml:space="preserve">RECEIVED  BY </t>
  </si>
  <si>
    <t>KIMANI GRACE</t>
  </si>
  <si>
    <t xml:space="preserve">RENT STATEMENT </t>
  </si>
  <si>
    <t>FOR THE MONTH OF NOVEMBER 2018</t>
  </si>
  <si>
    <t>RENT STATEMENT</t>
  </si>
  <si>
    <t>CATHERINE WANGUI KIOI-KAMURA</t>
  </si>
  <si>
    <t>CECILIAH KHENDI</t>
  </si>
  <si>
    <t>ELECTRICITY REPAIR</t>
  </si>
  <si>
    <t>WINFRED NDUNGE</t>
  </si>
  <si>
    <t>FOR THE MONTH OF DECEMBER 2018</t>
  </si>
  <si>
    <t>CASH STATEMENT FOR THE MONTH OF NOVEMBER  2018</t>
  </si>
  <si>
    <t>CASH STATEMENT FOR THE MONTH OF DECEMBER  2018</t>
  </si>
  <si>
    <t>NB: OVERWRITE ERIC AMOUNT OF KSHS.28900</t>
  </si>
  <si>
    <t>DAVID MWANGI</t>
  </si>
  <si>
    <t>MARTIN 18</t>
  </si>
  <si>
    <t xml:space="preserve"> PAID ON 06-12-2018</t>
  </si>
  <si>
    <t>PAID ON 06-12-2018</t>
  </si>
  <si>
    <t>PAID ON 14/12/18</t>
  </si>
  <si>
    <t>IDDI MAKOKHA</t>
  </si>
  <si>
    <t>PAID ON 17/12/18</t>
  </si>
  <si>
    <t>DOOR REPAIR</t>
  </si>
  <si>
    <t>LUCIA 4500 &amp; STANELY 4000</t>
  </si>
  <si>
    <t>KONJI</t>
  </si>
  <si>
    <t>ELECTRICITY WIRING</t>
  </si>
  <si>
    <t>FOR THE MONTH OF JANUARY 2019</t>
  </si>
  <si>
    <t>ADVANCE ON 26/12/18</t>
  </si>
  <si>
    <t>SUMMARY</t>
  </si>
  <si>
    <t xml:space="preserve">DETAILS </t>
  </si>
  <si>
    <t xml:space="preserve">CR </t>
  </si>
  <si>
    <t>DR</t>
  </si>
  <si>
    <t>JAN</t>
  </si>
  <si>
    <t>PAYMENTS</t>
  </si>
  <si>
    <t>GEORGE -6</t>
  </si>
  <si>
    <t>PAID ON 8/1/19</t>
  </si>
  <si>
    <t>PAID ON 15/1/19</t>
  </si>
  <si>
    <t>PAID ON 23/1/19</t>
  </si>
  <si>
    <t>DEBT</t>
  </si>
  <si>
    <t xml:space="preserve">WELDING </t>
  </si>
  <si>
    <t xml:space="preserve">DOOR REPAIR </t>
  </si>
  <si>
    <t>GERALD OGEMBO</t>
  </si>
  <si>
    <t>FOR THE MONTH OF FEBRUARY 2019</t>
  </si>
  <si>
    <t>JOHN MUTHA</t>
  </si>
  <si>
    <t>FESTUS MUTUA</t>
  </si>
  <si>
    <t>SARAH GENTRIX</t>
  </si>
  <si>
    <t>FEB</t>
  </si>
  <si>
    <t>PAID ON 6/2/19</t>
  </si>
  <si>
    <t xml:space="preserve">TOTAL </t>
  </si>
  <si>
    <t xml:space="preserve">ELECTRICITY REPAIR </t>
  </si>
  <si>
    <t>PAID ON 16/2/19</t>
  </si>
  <si>
    <t>FOR THE MONTH OF MARCH 2019</t>
  </si>
  <si>
    <t>MARCH</t>
  </si>
  <si>
    <t>ELIZABETH WAYUA</t>
  </si>
  <si>
    <t>PAID ON 6/3/19</t>
  </si>
  <si>
    <t xml:space="preserve">    </t>
  </si>
  <si>
    <t>PAID ON 15/3/19</t>
  </si>
  <si>
    <t>ELECTRICIAN</t>
  </si>
  <si>
    <t>GATE REPAIR</t>
  </si>
  <si>
    <t>FOR THE MONTH OF APRIL 2019</t>
  </si>
  <si>
    <t>APRIL</t>
  </si>
  <si>
    <t>PAID ON 6/4/19</t>
  </si>
  <si>
    <t>PAID ON 15/4/19</t>
  </si>
  <si>
    <t>PAID ON 18/4/19</t>
  </si>
  <si>
    <t>FOR THE MONTH OF MAY 2019</t>
  </si>
  <si>
    <t>MAY</t>
  </si>
  <si>
    <t>PAID ON 6/5/19</t>
  </si>
  <si>
    <t>PAID ON 15/05/19</t>
  </si>
  <si>
    <t>JUNE</t>
  </si>
  <si>
    <t>FOR THE MONTH OF JUNE 2019</t>
  </si>
  <si>
    <t xml:space="preserve">JUNE </t>
  </si>
  <si>
    <t>NAOMY KANAMPIU</t>
  </si>
  <si>
    <t>PAID ON 6/6/19</t>
  </si>
  <si>
    <t>PAID ON 10/6/19</t>
  </si>
  <si>
    <t>CHIEF-CLARA CASE</t>
  </si>
  <si>
    <t>PAID ON 19/6/19</t>
  </si>
  <si>
    <t xml:space="preserve">CASH TO WILSON </t>
  </si>
  <si>
    <t>DIREC TO LL</t>
  </si>
  <si>
    <t>LL 500</t>
  </si>
  <si>
    <t>FOR THE MONTH OF JULY 2019</t>
  </si>
  <si>
    <t>JULY</t>
  </si>
  <si>
    <t>PAID ON 6/7/19</t>
  </si>
  <si>
    <t>CECILIA</t>
  </si>
  <si>
    <t xml:space="preserve">PAINTING </t>
  </si>
  <si>
    <t xml:space="preserve">WIRING </t>
  </si>
  <si>
    <t>PAID ON 15/7/19</t>
  </si>
  <si>
    <t>MARY ADHIAMBO</t>
  </si>
  <si>
    <t>STEPHEN NDERITU</t>
  </si>
  <si>
    <t>PAID ON 25/7/19</t>
  </si>
  <si>
    <t>SHADRACK OCHIENG</t>
  </si>
  <si>
    <t>PAINTS</t>
  </si>
  <si>
    <t>PAINTING LABOUR ON29/7/19</t>
  </si>
  <si>
    <t>PAINT</t>
  </si>
  <si>
    <t>PAINTING LABOUR ON30/7/19 2125</t>
  </si>
  <si>
    <t>NDERITU LABOUR 0N 31/7/19500</t>
  </si>
  <si>
    <t>AUGUST</t>
  </si>
  <si>
    <t>FOR THE MONTH OF AUGUST 2019</t>
  </si>
  <si>
    <t>JACKLINE ADHIAMBO</t>
  </si>
  <si>
    <t>BRIDGET KARAMBU</t>
  </si>
  <si>
    <t>ROBERT OUKO</t>
  </si>
  <si>
    <t>ELECTRICALS</t>
  </si>
  <si>
    <t>LABOUR ON 2/8</t>
  </si>
  <si>
    <t>TILES</t>
  </si>
  <si>
    <t>PAID ON 6/8/19</t>
  </si>
  <si>
    <t>labour tiles</t>
  </si>
  <si>
    <t>ELIUD MWANGI</t>
  </si>
  <si>
    <t xml:space="preserve">DAVID KASUKU </t>
  </si>
  <si>
    <t>MARY ODHIAMBO</t>
  </si>
  <si>
    <t>MARY  WAIRIMU</t>
  </si>
  <si>
    <t>STEPHEN DERITU</t>
  </si>
  <si>
    <t>JACKLINE ADHIMBO</t>
  </si>
  <si>
    <t>NAOMI KANAMPU</t>
  </si>
  <si>
    <t>ELECTRICALS+TOILETS REPAIR</t>
  </si>
  <si>
    <t>GLASSPANE +PADLOCKS+LABOUR</t>
  </si>
  <si>
    <t>LABOUR+MITI23/8</t>
  </si>
  <si>
    <t>HOUSE REPAIR+NAILS+LABOUR 20/8</t>
  </si>
  <si>
    <t>FOR THE MONTH OF SEPT 2019</t>
  </si>
  <si>
    <t>STEPHEN</t>
  </si>
  <si>
    <t>COSTRUCTIONLABOUR0N1/8</t>
  </si>
  <si>
    <t>SHEETSNAILPOSTSTRANSP</t>
  </si>
  <si>
    <t>HOUSE REPAILABOUR 30/8</t>
  </si>
  <si>
    <t>PAINTS ON 30/8</t>
  </si>
  <si>
    <t>FLORENCE</t>
  </si>
  <si>
    <t>SEPT</t>
  </si>
  <si>
    <t>IRON SHEETS+NAILS</t>
  </si>
  <si>
    <t>ROOFING LABOUR</t>
  </si>
  <si>
    <t>IROONSHEETS+NAILS</t>
  </si>
  <si>
    <t>ON4/9</t>
  </si>
  <si>
    <t>ROOFIGLABOURON5/9</t>
  </si>
  <si>
    <t>STEPHEN(rent)</t>
  </si>
  <si>
    <t>PAID ON 6/9</t>
  </si>
  <si>
    <t>CONSTRUCTION LABOUR ON 7/9</t>
  </si>
  <si>
    <t>LABOUR ON 9/9</t>
  </si>
  <si>
    <t>ROOFING SHEETS,NAILS6/9</t>
  </si>
  <si>
    <t>CEMENT,NAILS,SAND7/9</t>
  </si>
  <si>
    <t>PAINT,BRUSH,TERPETINE9/9</t>
  </si>
  <si>
    <t>ELECTRICAL MATERIALS 11/9</t>
  </si>
  <si>
    <t>NDERITU LABOURON13/9</t>
  </si>
  <si>
    <t>ADVANCE ON 16/9</t>
  </si>
  <si>
    <t>NAOMI</t>
  </si>
  <si>
    <t>CARETAKER NDERITU</t>
  </si>
  <si>
    <t>ZACHARY NGECHU</t>
  </si>
  <si>
    <t>NDERITU LABOURON14/9</t>
  </si>
  <si>
    <t>BAL 1000</t>
  </si>
  <si>
    <t>NDERITU LABOUR BALANCE</t>
  </si>
  <si>
    <t>BODEX</t>
  </si>
  <si>
    <t>JACLINE OUMA</t>
  </si>
  <si>
    <t>HIRING WHEELBARROW</t>
  </si>
  <si>
    <t>DEP BAL</t>
  </si>
  <si>
    <t xml:space="preserve">OCTOBER </t>
  </si>
  <si>
    <t>OCTOBER</t>
  </si>
  <si>
    <t>FOR THE MONTH OF OCTOBER 2019</t>
  </si>
  <si>
    <t>FOR THE MONTH OFOCT  2019</t>
  </si>
  <si>
    <t>HIRING WHEELBARROW27/9</t>
  </si>
  <si>
    <t>HIRING WHEELBARROW28/9</t>
  </si>
  <si>
    <t>HIRING WHEELBARROW,SPADE 27/9-27/9</t>
  </si>
  <si>
    <t>PAINTS,BRUSH 3/10</t>
  </si>
  <si>
    <t>ELECTRICAL MATERIALS</t>
  </si>
  <si>
    <t xml:space="preserve"> 4/10</t>
  </si>
  <si>
    <t>PAID ON 5/10/19</t>
  </si>
  <si>
    <t>WILFRED ACHAYO</t>
  </si>
  <si>
    <t>JACKLINE OUMA</t>
  </si>
  <si>
    <t>WHEELBARROW+LABOUR</t>
  </si>
  <si>
    <t>ELECTRICITY LABOUR</t>
  </si>
  <si>
    <t>HOUSE REPAIR LABOUR</t>
  </si>
  <si>
    <t>HIRE OF WHEELBARROW+LABOUR</t>
  </si>
  <si>
    <t>PAID ON 17/10</t>
  </si>
  <si>
    <t>GRACE MATOKE</t>
  </si>
  <si>
    <t>FOR THE MONTH OF NOVEMBER 2019</t>
  </si>
  <si>
    <t>NOVEMBER</t>
  </si>
  <si>
    <t>FOR THE MONTH OF NOV  2019</t>
  </si>
  <si>
    <t>EXHAUSTER 19/10</t>
  </si>
  <si>
    <t>ELECTRICITY REPAIR KPLC</t>
  </si>
  <si>
    <t>STELLA NJAMBI</t>
  </si>
  <si>
    <t>JOSEPHINE ACHIENG</t>
  </si>
  <si>
    <t>CEMENT+ELECTRICAL MATERIALS+LABOUR</t>
  </si>
  <si>
    <t>PAID ON 6/11/19</t>
  </si>
  <si>
    <t>PAID ON  16/11</t>
  </si>
  <si>
    <t>PAID ON 16/11</t>
  </si>
  <si>
    <t>SUSAN AWINO</t>
  </si>
  <si>
    <t>DECEMBER</t>
  </si>
  <si>
    <t>KERO TOILET</t>
  </si>
  <si>
    <t>HOUSE REPAIR CEMENT</t>
  </si>
  <si>
    <t>HIRING WHEELBARROW+LABOUR</t>
  </si>
  <si>
    <t>FOR THE MONTH OF DECEMBER 2019</t>
  </si>
  <si>
    <t>FOR THE MONTH OF DEC  2019</t>
  </si>
  <si>
    <t>KEROL TOILET ON 5/12</t>
  </si>
  <si>
    <t>vaccant</t>
  </si>
  <si>
    <t>PAID ON 7/12</t>
  </si>
  <si>
    <t>EMPTYING SEPTIC</t>
  </si>
  <si>
    <t>PAID ON 16/12</t>
  </si>
  <si>
    <t>JANUARY</t>
  </si>
  <si>
    <t>FOR THE MONTH OF JANUARY 2020</t>
  </si>
  <si>
    <t xml:space="preserve">JANUARY </t>
  </si>
  <si>
    <t>PAID ON 4/1</t>
  </si>
  <si>
    <t>AMBROSE SIGEI</t>
  </si>
  <si>
    <t>LOISE</t>
  </si>
  <si>
    <t>GRACE KIMANI</t>
  </si>
  <si>
    <t>PAID ON 10/1</t>
  </si>
  <si>
    <t>FOR THE MONTH OF FEBRUARY 2020</t>
  </si>
  <si>
    <t>PAID ON 6/2</t>
  </si>
  <si>
    <t>SUB-METERS</t>
  </si>
  <si>
    <t>FEBRUARY</t>
  </si>
  <si>
    <t>MOUNTING SUBMETERS LABOUR</t>
  </si>
  <si>
    <t>PAID ON 17/2</t>
  </si>
  <si>
    <t>JUMA CHRISTINE</t>
  </si>
  <si>
    <t>MARY NJOKI</t>
  </si>
  <si>
    <t>RODS</t>
  </si>
  <si>
    <t>STEEL IRON 5PC</t>
  </si>
  <si>
    <t>SCREWS</t>
  </si>
  <si>
    <t>TRANSPORT</t>
  </si>
  <si>
    <t>LABOUR</t>
  </si>
  <si>
    <t>RODS ON 24/2</t>
  </si>
  <si>
    <t>STEEL</t>
  </si>
  <si>
    <t>CUTTING STEEL</t>
  </si>
  <si>
    <t>FOR THE MONTH OF MARCH 2020</t>
  </si>
  <si>
    <t>CABLE,SWITCH BOX,GANG SWITCH</t>
  </si>
  <si>
    <t>TWIN SWICHBOX,SOCKET OUT</t>
  </si>
  <si>
    <t>BULB HOLDER,GANG SWITCH</t>
  </si>
  <si>
    <t>CIRCUITBRACKET,SUBMETER</t>
  </si>
  <si>
    <t>WILSON</t>
  </si>
  <si>
    <t>PAID ON 6/3</t>
  </si>
  <si>
    <t>PAID ON 16/3</t>
  </si>
  <si>
    <t>FOR THE MONTH OF APRIL 2020</t>
  </si>
  <si>
    <t>NAOMI WANGUI</t>
  </si>
  <si>
    <t>STEPHEN MUNARI</t>
  </si>
  <si>
    <t>PAID ON 6/4</t>
  </si>
  <si>
    <t>PAID ON 15/4</t>
  </si>
  <si>
    <t>BIODIGESTER</t>
  </si>
  <si>
    <t>FOR THE MONTH OF MAY2020</t>
  </si>
  <si>
    <t>PAID ON 6/5</t>
  </si>
  <si>
    <t>PAID ON 15/5</t>
  </si>
  <si>
    <t>FOR THE MONTH OF JUNE 2020</t>
  </si>
  <si>
    <t>BROOM S</t>
  </si>
  <si>
    <t>PAID ON 5/6</t>
  </si>
  <si>
    <t>PAID ON15/6</t>
  </si>
  <si>
    <t>FOR THE MONTH OF JULY 2020</t>
  </si>
  <si>
    <t>DEP REFUND NJOKI</t>
  </si>
  <si>
    <t>PAID ON 6/7</t>
  </si>
  <si>
    <t>PAID ON 15/7</t>
  </si>
  <si>
    <t>NAILS,TIMBER,DOOR ROCK</t>
  </si>
  <si>
    <t>PAINT+BRUSH</t>
  </si>
  <si>
    <t>HSE REPAIR LABOUR</t>
  </si>
  <si>
    <t>FOR THE MONTH OF AUGUST 2020</t>
  </si>
  <si>
    <t>CEMENT</t>
  </si>
  <si>
    <t>SUB METER</t>
  </si>
  <si>
    <t>PAID ON 6/8</t>
  </si>
  <si>
    <t>MATERIALS</t>
  </si>
  <si>
    <t>03-08-2020 LABOUR</t>
  </si>
  <si>
    <t>SERVICE COST</t>
  </si>
  <si>
    <t>REVOVATION  COST</t>
  </si>
  <si>
    <t>PAINTS ON 8/8</t>
  </si>
  <si>
    <t>PAID ON 9/8</t>
  </si>
  <si>
    <t>PAID ON 14/8</t>
  </si>
  <si>
    <t>FILING $ ADVOCATE FEE</t>
  </si>
  <si>
    <t>PAINTING LABOUR</t>
  </si>
  <si>
    <t>FOR THE MONTH OF SEPTEMBER 2020</t>
  </si>
  <si>
    <t>SEPTEMBER</t>
  </si>
  <si>
    <t>FOR THE MONTH OF SEPT 2020</t>
  </si>
  <si>
    <t>MABATI +LABOUR</t>
  </si>
  <si>
    <t>METER</t>
  </si>
  <si>
    <t>METERS</t>
  </si>
  <si>
    <t>PAID ON 5/9</t>
  </si>
  <si>
    <t>PAID ON 15/9</t>
  </si>
  <si>
    <t>FOR THE MONTH OF OCTOBER 2020</t>
  </si>
  <si>
    <t>JULIUS WANDERI</t>
  </si>
  <si>
    <t>ON DEP</t>
  </si>
  <si>
    <t>JACKLINE ON DEP</t>
  </si>
  <si>
    <t>2B</t>
  </si>
  <si>
    <t>DOOR REPAIR LABOUR</t>
  </si>
  <si>
    <t>RONOH KIPYEGON</t>
  </si>
  <si>
    <t>DEPOSIT WANDERI,RONOH</t>
  </si>
  <si>
    <t>CHARITY KAMBURA</t>
  </si>
  <si>
    <t>PAID ON 5/10</t>
  </si>
  <si>
    <t>ERNEST OULA</t>
  </si>
  <si>
    <t>JOSPHAT OCHIENG</t>
  </si>
  <si>
    <t>PAID ON 14/10</t>
  </si>
  <si>
    <t>JOSPHATE OTIENO</t>
  </si>
  <si>
    <t>JAMES N.NDIRANGU</t>
  </si>
  <si>
    <t>FOR THE MONTH OF NOVEMBER 2020</t>
  </si>
  <si>
    <t>PAID ON 27/10</t>
  </si>
  <si>
    <t>PAID ON 5/11</t>
  </si>
  <si>
    <t>ELETRICITY</t>
  </si>
  <si>
    <t>RONOH VACCATED</t>
  </si>
  <si>
    <t>WINFRED VACCATED</t>
  </si>
  <si>
    <t>DOUGLAS</t>
  </si>
  <si>
    <t>ALFRED BARASA</t>
  </si>
  <si>
    <t>FOR THE MONTH OF DECEMBER 2020</t>
  </si>
  <si>
    <t>MUSYOKI RICHARD</t>
  </si>
  <si>
    <t>RICHARD MUSYOKI</t>
  </si>
  <si>
    <t>CEMENT,SAND,LABOUR</t>
  </si>
  <si>
    <t>PAID ON 15/12</t>
  </si>
  <si>
    <t>wilson</t>
  </si>
  <si>
    <t>FOR THE MONTH OF JANUARY 2021</t>
  </si>
  <si>
    <t>DAN WAFULA</t>
  </si>
  <si>
    <t>DOUGLAS BUKAYA</t>
  </si>
  <si>
    <t>ANINDO MERCY</t>
  </si>
  <si>
    <t>DEPOSIT.DAN</t>
  </si>
  <si>
    <t>BRIDGET VACCATED</t>
  </si>
  <si>
    <t>PAID ON  4/1</t>
  </si>
  <si>
    <t>PAID ON 15/1</t>
  </si>
  <si>
    <t>ARON RUTIA</t>
  </si>
  <si>
    <t xml:space="preserve"> SUB-METERS</t>
  </si>
  <si>
    <t>SAFINA NYACHEU</t>
  </si>
  <si>
    <t>SAMUEL BARAZA</t>
  </si>
  <si>
    <t>FOR THE MONTH OF FEBRUARY 2021</t>
  </si>
  <si>
    <t>PAID ON22/1</t>
  </si>
  <si>
    <t>COMMISSIONING STAMP</t>
  </si>
  <si>
    <t>SAMUEL MUNARI</t>
  </si>
  <si>
    <t>PAID ON 8/2</t>
  </si>
  <si>
    <t>PAID ON 15/2</t>
  </si>
  <si>
    <t>RICHARD MUSYOKI 21&amp;22 VACCATED</t>
  </si>
  <si>
    <t>ROBERT  VACCATED</t>
  </si>
  <si>
    <t>SAMUEL VACCATED</t>
  </si>
  <si>
    <t>VACCATING</t>
  </si>
  <si>
    <t>NAOMI VACCATED</t>
  </si>
  <si>
    <t>FOR THE MONTH OF MARCH 2021</t>
  </si>
  <si>
    <t>MABATI+NAILS+WHEELBARROW</t>
  </si>
  <si>
    <t>WHEELBARROW+SPADE HIRING</t>
  </si>
  <si>
    <t xml:space="preserve">CARRYING STONES LABOUR </t>
  </si>
  <si>
    <t>2BED</t>
  </si>
  <si>
    <t>3 MATRICES</t>
  </si>
  <si>
    <t>EDWARD ODUOR</t>
  </si>
  <si>
    <t>NANCY MBERA</t>
  </si>
  <si>
    <t>HOOFER</t>
  </si>
  <si>
    <t>CARPET</t>
  </si>
  <si>
    <t>HSE REPAIR</t>
  </si>
  <si>
    <t>EXHAUSTER+REPAIR2</t>
  </si>
  <si>
    <t>3MATRICES</t>
  </si>
  <si>
    <t>PAID ON 9/3</t>
  </si>
  <si>
    <t>PLANTINUMON 16/3</t>
  </si>
  <si>
    <t>DEP REFUND AMBROSE</t>
  </si>
  <si>
    <t>RAPHAEL</t>
  </si>
  <si>
    <t>FOR THE MONTH OF APRIL 2021</t>
  </si>
  <si>
    <t>JOSEPH NYAEGA</t>
  </si>
  <si>
    <t>ANICETA MOTHONI</t>
  </si>
  <si>
    <t>PLANTINUM</t>
  </si>
  <si>
    <t>TOTAL RENT EXPECTED</t>
  </si>
  <si>
    <t>TOTAL BAL</t>
  </si>
  <si>
    <t>BAL AFTER COMM</t>
  </si>
  <si>
    <t>REFUND</t>
  </si>
  <si>
    <t>S1</t>
  </si>
  <si>
    <t>S2</t>
  </si>
  <si>
    <t>S3</t>
  </si>
  <si>
    <t>S4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</si>
  <si>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</si>
  <si>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</si>
  <si>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</si>
  <si>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</si>
  <si>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</si>
  <si>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</si>
  <si>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</si>
  <si>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</si>
  <si>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</si>
  <si>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</si>
  <si>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</si>
  <si>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</si>
  <si>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</si>
  <si>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</si>
  <si>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M1</t>
  </si>
  <si>
    <t>M2</t>
  </si>
  <si>
    <t>M3</t>
  </si>
  <si>
    <t>M4</t>
  </si>
  <si>
    <t>M5</t>
  </si>
  <si>
    <t>M6</t>
  </si>
  <si>
    <t>M7</t>
  </si>
  <si>
    <t>WASHINGTON OCHIENG</t>
  </si>
  <si>
    <t>VERAH GESARE</t>
  </si>
  <si>
    <t>FROM GRACE KIMANI</t>
  </si>
  <si>
    <t>PLANTINUM ON 8/4</t>
  </si>
  <si>
    <t>FOR THE MONTH OF MAY 2021</t>
  </si>
  <si>
    <t>AORON RUTIA</t>
  </si>
  <si>
    <t>ELECTRICITY REPAIR 4 HOUSES</t>
  </si>
  <si>
    <t>PAID ON 5/5</t>
  </si>
  <si>
    <t>EVERLYNE NANZALA</t>
  </si>
  <si>
    <t>JULIUS VACCATED</t>
  </si>
  <si>
    <t>BELINA NAFULA</t>
  </si>
  <si>
    <t>NANCY VACCATED</t>
  </si>
  <si>
    <t>FOR THE MONTH OF JUNE 2021</t>
  </si>
  <si>
    <t>ELECTRICAL REPAIR S2</t>
  </si>
  <si>
    <t>VACCATED S3,M4</t>
  </si>
  <si>
    <t>ELECTRICAL</t>
  </si>
  <si>
    <t>PAID 7/6/2021</t>
  </si>
  <si>
    <t>PAID ON 7/6</t>
  </si>
  <si>
    <t>ISAAC GITONGA</t>
  </si>
  <si>
    <t>FOR THE MONTH OF JULY 2021</t>
  </si>
  <si>
    <t>EARNEST VACCATED</t>
  </si>
  <si>
    <t>PAID ON 28/6</t>
  </si>
  <si>
    <t>paid on 6/7</t>
  </si>
  <si>
    <t>FOR THE MONTH OF AUGUST 2021</t>
  </si>
  <si>
    <t>WINFRED MATENDECHERE</t>
  </si>
  <si>
    <t>PAUL NYATHARO</t>
  </si>
  <si>
    <t>VERAH VACCATED</t>
  </si>
  <si>
    <t xml:space="preserve">4100 TO BE PAID </t>
  </si>
  <si>
    <t>4100 TO BE PAID 1000 EVERY MONTH</t>
  </si>
  <si>
    <t>ARREARS</t>
  </si>
  <si>
    <t>PAID ON 5/8</t>
  </si>
  <si>
    <t>MICHAEL OUYA</t>
  </si>
  <si>
    <t>FOR THE MONTH OF SEPT 2021</t>
  </si>
  <si>
    <t>CAROLYNE</t>
  </si>
  <si>
    <t>EVERLYNE OLANDO</t>
  </si>
  <si>
    <t>30000 TO LOAN</t>
  </si>
  <si>
    <t>FOR THE MONTH OF OCTOBER  2020</t>
  </si>
  <si>
    <t>ELECTRICITY MATERIALS</t>
  </si>
  <si>
    <t>KELVIN OMONDI</t>
  </si>
  <si>
    <t>PAID ON 6/10</t>
  </si>
  <si>
    <t>PAMELA ADHIAMBO</t>
  </si>
  <si>
    <t>FOR THE MONTH OF NOVEMBER   2021</t>
  </si>
  <si>
    <t>FOR THE MONTH OF NOVEMBER  2021</t>
  </si>
  <si>
    <t>NOV</t>
  </si>
  <si>
    <t>PAID ON 25/10</t>
  </si>
  <si>
    <t>EVERLYNE VACCATED</t>
  </si>
  <si>
    <t>EVICTED</t>
  </si>
  <si>
    <t>PAUL NYABARO EVICTED</t>
  </si>
  <si>
    <t>JENIFFER WAMBUI</t>
  </si>
  <si>
    <t>FOR THE MONTH OF DECEMBER   2021</t>
  </si>
  <si>
    <t>FOR THE MONTH OF DECEMBER  2021</t>
  </si>
  <si>
    <t>MATHIAS MABWANA</t>
  </si>
  <si>
    <t>JOSEPH MEMBA</t>
  </si>
  <si>
    <t>GERALD OGEMBO-CARETAKER</t>
  </si>
  <si>
    <t>EVANS GECHURE</t>
  </si>
  <si>
    <t>EVANS NYAMASEGE</t>
  </si>
  <si>
    <t>DAN ODUOR/BENARD MBO</t>
  </si>
  <si>
    <t>EDWIN OMONDI/ACHIENG CAROLYNE</t>
  </si>
  <si>
    <t>PAID ON 6/11/21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</si>
</sst>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(* #,##0.0_);_(* \(#,##0.0\);_(* &quot;-&quot;??_);_(@_)"/>
    <numFmt numFmtId="167" formatCode="#,##0.00;\-#,##0.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10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sz val="11"/>
      <color theme="1"/>
      <name val="Times New Roman"/>
      <family val="1"/>
    </font>
    <font>
      <b/>
      <u/>
      <sz val="8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8"/>
      <color rgb="FFFF0000"/>
      <name val="Times New Roman"/>
      <family val="1"/>
    </font>
    <font>
      <b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Franklin Gothic Demi Cond"/>
      <family val="2"/>
    </font>
    <font>
      <b/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u val="singleAccounting"/>
      <sz val="8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16"/>
      <name val="Palatino Linotype"/>
      <family val="1"/>
    </font>
    <font>
      <b/>
      <sz val="12"/>
      <color indexed="16"/>
      <name val="Palatino Linotype"/>
      <family val="1"/>
    </font>
    <font>
      <b/>
      <u/>
      <sz val="10"/>
      <color indexed="16"/>
      <name val="Georgia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b/>
      <u/>
      <sz val="10"/>
      <color indexed="8"/>
      <name val="Palatino Linotype"/>
      <family val="1"/>
    </font>
    <font>
      <sz val="11"/>
      <color theme="0"/>
      <name val="Calibri"/>
      <family val="2"/>
      <scheme val="minor"/>
    </font>
    <font>
      <b/>
      <sz val="11"/>
      <color theme="0"/>
      <name val="Palatino Linotype"/>
      <family val="1"/>
    </font>
    <font>
      <b/>
      <u/>
      <sz val="11"/>
      <color theme="0"/>
      <name val="Palatino Linotype"/>
      <family val="1"/>
    </font>
    <font>
      <sz val="10"/>
      <color theme="0"/>
      <name val="Arial"/>
      <family val="2"/>
    </font>
    <font>
      <b/>
      <sz val="10"/>
      <color theme="0"/>
      <name val="Palatino Linotype"/>
      <family val="1"/>
    </font>
    <font>
      <b/>
      <sz val="9"/>
      <color theme="0"/>
      <name val="Palatino Linotype"/>
      <family val="1"/>
    </font>
    <font>
      <sz val="9"/>
      <color theme="0"/>
      <name val="Palatino Linotype"/>
      <family val="1"/>
    </font>
    <font>
      <sz val="8"/>
      <color theme="0"/>
      <name val="Palatino Linotype"/>
      <family val="1"/>
    </font>
    <font>
      <b/>
      <sz val="11"/>
      <color indexed="8"/>
      <name val="Palatino Linotype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rgb="FFFF0000"/>
      <name val="Times New Roman"/>
      <family val="1"/>
    </font>
    <font>
      <b/>
      <u/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name val="Arial"/>
      <family val="2"/>
    </font>
    <font>
      <b/>
      <sz val="8"/>
      <color rgb="FFFF0000"/>
      <name val="Times New Roman"/>
      <family val="1"/>
    </font>
    <font>
      <b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Times New Roman"/>
      <family val="1"/>
    </font>
    <font>
      <sz val="10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8">
    <xf numFmtId="0" fontId="0" fillId="0" borderId="0" xfId="0"/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/>
    <xf numFmtId="1" fontId="2" fillId="0" borderId="0" xfId="0" applyNumberFormat="1" applyFont="1" applyAlignment="1">
      <alignment horizontal="right"/>
    </xf>
    <xf numFmtId="43" fontId="2" fillId="0" borderId="1" xfId="1" applyFont="1" applyBorder="1" applyAlignment="1">
      <alignment horizontal="center"/>
    </xf>
    <xf numFmtId="43" fontId="16" fillId="0" borderId="0" xfId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0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43" fontId="21" fillId="2" borderId="0" xfId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3" fontId="17" fillId="2" borderId="0" xfId="1" applyFont="1" applyFill="1" applyBorder="1" applyAlignment="1">
      <alignment horizontal="center"/>
    </xf>
    <xf numFmtId="43" fontId="22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0" applyNumberFormat="1" applyFont="1"/>
    <xf numFmtId="43" fontId="3" fillId="0" borderId="0" xfId="1" applyFont="1" applyFill="1" applyBorder="1"/>
    <xf numFmtId="43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3" fillId="0" borderId="0" xfId="0" applyFont="1"/>
    <xf numFmtId="43" fontId="24" fillId="0" borderId="0" xfId="0" applyNumberFormat="1" applyFont="1"/>
    <xf numFmtId="0" fontId="15" fillId="0" borderId="0" xfId="0" applyFont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2" xfId="0" applyFont="1" applyFill="1" applyBorder="1"/>
    <xf numFmtId="43" fontId="2" fillId="0" borderId="1" xfId="1" applyFont="1" applyBorder="1"/>
    <xf numFmtId="43" fontId="3" fillId="0" borderId="1" xfId="1" applyFont="1" applyBorder="1"/>
    <xf numFmtId="43" fontId="0" fillId="0" borderId="1" xfId="1" applyFont="1" applyBorder="1"/>
    <xf numFmtId="43" fontId="15" fillId="0" borderId="1" xfId="1" applyFont="1" applyBorder="1"/>
    <xf numFmtId="43" fontId="0" fillId="0" borderId="0" xfId="1" applyFont="1"/>
    <xf numFmtId="43" fontId="15" fillId="0" borderId="0" xfId="1" applyFont="1"/>
    <xf numFmtId="0" fontId="25" fillId="0" borderId="0" xfId="0" applyFont="1"/>
    <xf numFmtId="43" fontId="26" fillId="0" borderId="1" xfId="1" applyFont="1" applyBorder="1"/>
    <xf numFmtId="0" fontId="0" fillId="2" borderId="0" xfId="0" applyFill="1"/>
    <xf numFmtId="43" fontId="0" fillId="2" borderId="0" xfId="1" applyFont="1" applyFill="1"/>
    <xf numFmtId="43" fontId="27" fillId="0" borderId="1" xfId="1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2" fillId="0" borderId="3" xfId="1" applyFont="1" applyBorder="1"/>
    <xf numFmtId="0" fontId="2" fillId="0" borderId="3" xfId="0" applyFont="1" applyBorder="1"/>
    <xf numFmtId="43" fontId="3" fillId="0" borderId="3" xfId="1" applyFont="1" applyBorder="1"/>
    <xf numFmtId="0" fontId="15" fillId="0" borderId="1" xfId="0" applyFont="1" applyBorder="1"/>
    <xf numFmtId="43" fontId="2" fillId="0" borderId="2" xfId="1" applyFont="1" applyFill="1" applyBorder="1"/>
    <xf numFmtId="43" fontId="2" fillId="0" borderId="0" xfId="1" applyFont="1" applyFill="1" applyBorder="1"/>
    <xf numFmtId="1" fontId="0" fillId="0" borderId="0" xfId="0" applyNumberFormat="1"/>
    <xf numFmtId="43" fontId="28" fillId="2" borderId="0" xfId="1" applyFont="1" applyFill="1" applyBorder="1" applyAlignment="1">
      <alignment horizontal="center"/>
    </xf>
    <xf numFmtId="0" fontId="29" fillId="0" borderId="0" xfId="0" applyFont="1"/>
    <xf numFmtId="43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5" fillId="0" borderId="0" xfId="0" applyFont="1" applyFill="1" applyBorder="1"/>
    <xf numFmtId="43" fontId="2" fillId="0" borderId="0" xfId="1" applyFont="1"/>
    <xf numFmtId="43" fontId="0" fillId="0" borderId="0" xfId="0" applyNumberFormat="1"/>
    <xf numFmtId="43" fontId="2" fillId="2" borderId="1" xfId="1" applyFont="1" applyFill="1" applyBorder="1"/>
    <xf numFmtId="0" fontId="14" fillId="0" borderId="0" xfId="0" applyFont="1" applyFill="1" applyBorder="1" applyAlignment="1">
      <alignment horizontal="center"/>
    </xf>
    <xf numFmtId="43" fontId="3" fillId="0" borderId="0" xfId="1" applyFont="1" applyBorder="1"/>
    <xf numFmtId="0" fontId="3" fillId="0" borderId="0" xfId="0" applyFont="1" applyBorder="1"/>
    <xf numFmtId="43" fontId="15" fillId="0" borderId="0" xfId="1" applyFont="1" applyBorder="1"/>
    <xf numFmtId="1" fontId="2" fillId="0" borderId="0" xfId="0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9" fontId="0" fillId="0" borderId="0" xfId="0" applyNumberFormat="1"/>
    <xf numFmtId="43" fontId="34" fillId="0" borderId="0" xfId="1" applyFont="1"/>
    <xf numFmtId="43" fontId="35" fillId="0" borderId="0" xfId="1" applyFont="1" applyAlignment="1">
      <alignment horizontal="center"/>
    </xf>
    <xf numFmtId="0" fontId="33" fillId="0" borderId="0" xfId="0" applyFont="1"/>
    <xf numFmtId="43" fontId="34" fillId="0" borderId="0" xfId="0" applyNumberFormat="1" applyFont="1"/>
    <xf numFmtId="0" fontId="3" fillId="0" borderId="1" xfId="0" applyFont="1" applyFill="1" applyBorder="1"/>
    <xf numFmtId="0" fontId="3" fillId="0" borderId="0" xfId="0" applyFont="1" applyFill="1" applyBorder="1"/>
    <xf numFmtId="0" fontId="0" fillId="0" borderId="0" xfId="0" applyBorder="1"/>
    <xf numFmtId="43" fontId="2" fillId="0" borderId="0" xfId="1" applyFont="1" applyBorder="1"/>
    <xf numFmtId="43" fontId="36" fillId="0" borderId="0" xfId="1" applyFon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/>
    <xf numFmtId="14" fontId="38" fillId="0" borderId="0" xfId="0" applyNumberFormat="1" applyFont="1"/>
    <xf numFmtId="43" fontId="39" fillId="0" borderId="0" xfId="0" applyNumberFormat="1" applyFont="1"/>
    <xf numFmtId="43" fontId="39" fillId="0" borderId="0" xfId="1" applyFont="1" applyFill="1" applyBorder="1"/>
    <xf numFmtId="43" fontId="40" fillId="0" borderId="0" xfId="1" applyFont="1" applyAlignment="1">
      <alignment horizontal="center"/>
    </xf>
    <xf numFmtId="43" fontId="41" fillId="2" borderId="0" xfId="1" applyFont="1" applyFill="1" applyBorder="1" applyAlignment="1">
      <alignment horizontal="center"/>
    </xf>
    <xf numFmtId="0" fontId="42" fillId="0" borderId="0" xfId="0" applyFont="1" applyFill="1" applyBorder="1"/>
    <xf numFmtId="43" fontId="43" fillId="2" borderId="0" xfId="1" applyFont="1" applyFill="1" applyBorder="1" applyAlignment="1">
      <alignment horizontal="center"/>
    </xf>
    <xf numFmtId="43" fontId="0" fillId="0" borderId="1" xfId="0" applyNumberFormat="1" applyBorder="1"/>
    <xf numFmtId="0" fontId="14" fillId="0" borderId="4" xfId="0" applyFont="1" applyFill="1" applyBorder="1" applyAlignment="1">
      <alignment horizontal="center"/>
    </xf>
    <xf numFmtId="43" fontId="2" fillId="0" borderId="4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9" fillId="0" borderId="1" xfId="0" applyFont="1" applyBorder="1"/>
    <xf numFmtId="0" fontId="26" fillId="0" borderId="1" xfId="0" applyFont="1" applyBorder="1" applyAlignment="1">
      <alignment horizontal="center"/>
    </xf>
    <xf numFmtId="43" fontId="38" fillId="0" borderId="1" xfId="0" applyNumberFormat="1" applyFont="1" applyBorder="1"/>
    <xf numFmtId="0" fontId="38" fillId="0" borderId="1" xfId="0" applyFont="1" applyBorder="1"/>
    <xf numFmtId="43" fontId="26" fillId="0" borderId="4" xfId="0" applyNumberFormat="1" applyFont="1" applyBorder="1"/>
    <xf numFmtId="43" fontId="2" fillId="0" borderId="1" xfId="1" applyFont="1" applyFill="1" applyBorder="1"/>
    <xf numFmtId="0" fontId="3" fillId="0" borderId="5" xfId="0" applyFont="1" applyBorder="1"/>
    <xf numFmtId="0" fontId="0" fillId="0" borderId="5" xfId="0" applyBorder="1"/>
    <xf numFmtId="43" fontId="0" fillId="0" borderId="5" xfId="1" applyFont="1" applyBorder="1"/>
    <xf numFmtId="0" fontId="0" fillId="0" borderId="6" xfId="0" applyBorder="1"/>
    <xf numFmtId="0" fontId="0" fillId="0" borderId="1" xfId="0" applyBorder="1" applyAlignment="1">
      <alignment horizontal="center"/>
    </xf>
    <xf numFmtId="43" fontId="38" fillId="0" borderId="0" xfId="0" applyNumberFormat="1" applyFont="1"/>
    <xf numFmtId="0" fontId="44" fillId="0" borderId="0" xfId="0" applyFont="1"/>
    <xf numFmtId="0" fontId="45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23" fillId="0" borderId="1" xfId="0" applyFont="1" applyBorder="1"/>
    <xf numFmtId="0" fontId="0" fillId="0" borderId="1" xfId="0" applyFont="1" applyFill="1" applyBorder="1"/>
    <xf numFmtId="9" fontId="38" fillId="0" borderId="0" xfId="0" applyNumberFormat="1" applyFont="1"/>
    <xf numFmtId="43" fontId="3" fillId="0" borderId="1" xfId="0" applyNumberFormat="1" applyFont="1" applyBorder="1"/>
    <xf numFmtId="43" fontId="3" fillId="0" borderId="0" xfId="0" applyNumberFormat="1" applyFont="1" applyAlignment="1">
      <alignment horizontal="center"/>
    </xf>
    <xf numFmtId="43" fontId="39" fillId="0" borderId="1" xfId="1" applyFont="1" applyBorder="1"/>
    <xf numFmtId="43" fontId="26" fillId="0" borderId="1" xfId="0" applyNumberFormat="1" applyFont="1" applyBorder="1"/>
    <xf numFmtId="4" fontId="0" fillId="0" borderId="0" xfId="0" applyNumberFormat="1"/>
    <xf numFmtId="43" fontId="26" fillId="0" borderId="1" xfId="1" applyFont="1" applyFill="1" applyBorder="1"/>
    <xf numFmtId="43" fontId="33" fillId="0" borderId="0" xfId="0" applyNumberFormat="1" applyFont="1"/>
    <xf numFmtId="14" fontId="3" fillId="0" borderId="0" xfId="1" applyNumberFormat="1" applyFont="1" applyFill="1" applyBorder="1"/>
    <xf numFmtId="0" fontId="47" fillId="0" borderId="1" xfId="0" applyFont="1" applyBorder="1"/>
    <xf numFmtId="0" fontId="0" fillId="0" borderId="8" xfId="0" applyBorder="1"/>
    <xf numFmtId="43" fontId="0" fillId="0" borderId="8" xfId="0" applyNumberFormat="1" applyBorder="1"/>
    <xf numFmtId="0" fontId="0" fillId="0" borderId="3" xfId="0" applyFont="1" applyBorder="1"/>
    <xf numFmtId="0" fontId="0" fillId="0" borderId="3" xfId="0" applyBorder="1" applyAlignment="1">
      <alignment horizontal="center"/>
    </xf>
    <xf numFmtId="0" fontId="0" fillId="0" borderId="9" xfId="0" applyBorder="1"/>
    <xf numFmtId="43" fontId="3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9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0" borderId="2" xfId="0" applyFill="1" applyBorder="1" applyAlignment="1">
      <alignment horizontal="center"/>
    </xf>
    <xf numFmtId="43" fontId="22" fillId="0" borderId="1" xfId="1" applyFont="1" applyBorder="1"/>
    <xf numFmtId="4" fontId="0" fillId="0" borderId="1" xfId="0" applyNumberForma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0" xfId="0" applyAlignment="1">
      <alignment vertical="top"/>
    </xf>
    <xf numFmtId="0" fontId="52" fillId="4" borderId="0" xfId="0" applyFont="1" applyFill="1" applyAlignment="1">
      <alignment vertical="top"/>
    </xf>
    <xf numFmtId="164" fontId="58" fillId="0" borderId="0" xfId="0" applyNumberFormat="1" applyFont="1" applyAlignment="1">
      <alignment horizontal="left" vertical="top" wrapText="1"/>
    </xf>
    <xf numFmtId="3" fontId="54" fillId="0" borderId="0" xfId="0" applyNumberFormat="1" applyFont="1" applyAlignment="1">
      <alignment horizontal="left" vertical="top" wrapText="1"/>
    </xf>
    <xf numFmtId="37" fontId="55" fillId="0" borderId="0" xfId="0" applyNumberFormat="1" applyFont="1" applyAlignment="1">
      <alignment horizontal="left" vertical="top" wrapText="1"/>
    </xf>
    <xf numFmtId="3" fontId="57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15" fontId="58" fillId="0" borderId="0" xfId="0" applyNumberFormat="1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61" fillId="0" borderId="0" xfId="0" applyFont="1" applyAlignment="1">
      <alignment horizontal="left" vertical="top" wrapText="1" readingOrder="1"/>
    </xf>
    <xf numFmtId="0" fontId="60" fillId="0" borderId="0" xfId="0" applyFont="1" applyAlignment="1">
      <alignment vertical="top"/>
    </xf>
    <xf numFmtId="0" fontId="63" fillId="4" borderId="0" xfId="0" applyFont="1" applyFill="1" applyAlignment="1">
      <alignment vertical="top"/>
    </xf>
    <xf numFmtId="0" fontId="65" fillId="4" borderId="0" xfId="0" applyFont="1" applyFill="1" applyAlignment="1">
      <alignment horizontal="left" vertical="top" wrapText="1" readingOrder="1"/>
    </xf>
    <xf numFmtId="37" fontId="66" fillId="0" borderId="0" xfId="0" applyNumberFormat="1" applyFont="1" applyAlignment="1">
      <alignment horizontal="left" vertical="top" wrapText="1"/>
    </xf>
    <xf numFmtId="3" fontId="65" fillId="0" borderId="0" xfId="0" applyNumberFormat="1" applyFont="1" applyAlignment="1">
      <alignment horizontal="left" vertical="top" wrapText="1"/>
    </xf>
    <xf numFmtId="0" fontId="0" fillId="0" borderId="2" xfId="0" applyFont="1" applyFill="1" applyBorder="1"/>
    <xf numFmtId="9" fontId="43" fillId="2" borderId="0" xfId="1" applyNumberFormat="1" applyFont="1" applyFill="1" applyBorder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3" fillId="0" borderId="1" xfId="0" applyFont="1" applyBorder="1"/>
    <xf numFmtId="43" fontId="2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10" xfId="0" applyFont="1" applyFill="1" applyBorder="1"/>
    <xf numFmtId="0" fontId="70" fillId="4" borderId="0" xfId="0" applyFont="1" applyFill="1" applyAlignment="1">
      <alignment vertical="top"/>
    </xf>
    <xf numFmtId="0" fontId="72" fillId="4" borderId="0" xfId="0" applyFont="1" applyFill="1" applyAlignment="1">
      <alignment horizontal="left" vertical="top" wrapText="1" readingOrder="1"/>
    </xf>
    <xf numFmtId="43" fontId="0" fillId="0" borderId="0" xfId="0" applyNumberFormat="1" applyAlignment="1">
      <alignment vertical="top"/>
    </xf>
    <xf numFmtId="0" fontId="0" fillId="0" borderId="1" xfId="0" applyFill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9" fillId="0" borderId="2" xfId="0" applyFont="1" applyFill="1" applyBorder="1"/>
    <xf numFmtId="0" fontId="2" fillId="0" borderId="2" xfId="0" applyFont="1" applyFill="1" applyBorder="1" applyAlignment="1">
      <alignment horizontal="center"/>
    </xf>
    <xf numFmtId="9" fontId="40" fillId="0" borderId="0" xfId="1" applyNumberFormat="1" applyFont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4" xfId="0" applyBorder="1"/>
    <xf numFmtId="43" fontId="27" fillId="0" borderId="1" xfId="0" applyNumberFormat="1" applyFont="1" applyBorder="1"/>
    <xf numFmtId="0" fontId="77" fillId="0" borderId="1" xfId="0" applyFont="1" applyBorder="1"/>
    <xf numFmtId="43" fontId="27" fillId="0" borderId="1" xfId="1" applyFont="1" applyFill="1" applyBorder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43" fontId="2" fillId="0" borderId="0" xfId="0" applyNumberFormat="1" applyFont="1" applyBorder="1"/>
    <xf numFmtId="14" fontId="39" fillId="0" borderId="0" xfId="1" applyNumberFormat="1" applyFont="1" applyFill="1" applyBorder="1"/>
    <xf numFmtId="0" fontId="22" fillId="0" borderId="2" xfId="0" applyFont="1" applyFill="1" applyBorder="1"/>
    <xf numFmtId="0" fontId="0" fillId="0" borderId="1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3" fillId="0" borderId="1" xfId="0" applyFont="1" applyBorder="1" applyAlignment="1"/>
    <xf numFmtId="43" fontId="3" fillId="0" borderId="1" xfId="1" applyFont="1" applyBorder="1" applyAlignment="1"/>
    <xf numFmtId="43" fontId="22" fillId="0" borderId="1" xfId="1" applyFont="1" applyBorder="1" applyAlignment="1"/>
    <xf numFmtId="43" fontId="3" fillId="0" borderId="1" xfId="0" applyNumberFormat="1" applyFont="1" applyBorder="1" applyAlignment="1"/>
    <xf numFmtId="0" fontId="2" fillId="0" borderId="1" xfId="0" applyFont="1" applyBorder="1" applyAlignment="1"/>
    <xf numFmtId="43" fontId="2" fillId="0" borderId="1" xfId="1" applyFont="1" applyBorder="1" applyAlignment="1"/>
    <xf numFmtId="43" fontId="27" fillId="0" borderId="1" xfId="1" applyFont="1" applyBorder="1" applyAlignment="1"/>
    <xf numFmtId="43" fontId="2" fillId="2" borderId="1" xfId="1" applyFont="1" applyFill="1" applyBorder="1" applyAlignment="1"/>
    <xf numFmtId="43" fontId="2" fillId="0" borderId="1" xfId="0" applyNumberFormat="1" applyFont="1" applyBorder="1" applyAlignment="1"/>
    <xf numFmtId="4" fontId="0" fillId="0" borderId="1" xfId="0" applyNumberFormat="1" applyBorder="1" applyAlignment="1"/>
    <xf numFmtId="43" fontId="2" fillId="0" borderId="1" xfId="1" applyFont="1" applyFill="1" applyBorder="1" applyAlignment="1"/>
    <xf numFmtId="43" fontId="0" fillId="0" borderId="1" xfId="0" applyNumberFormat="1" applyBorder="1" applyAlignment="1"/>
    <xf numFmtId="43" fontId="0" fillId="0" borderId="0" xfId="0" applyNumberFormat="1" applyBorder="1"/>
    <xf numFmtId="0" fontId="78" fillId="0" borderId="0" xfId="0" applyFont="1" applyFill="1" applyBorder="1"/>
    <xf numFmtId="43" fontId="79" fillId="0" borderId="0" xfId="1" applyFont="1" applyAlignment="1">
      <alignment horizontal="center"/>
    </xf>
    <xf numFmtId="0" fontId="77" fillId="0" borderId="0" xfId="0" applyFont="1"/>
    <xf numFmtId="0" fontId="39" fillId="0" borderId="1" xfId="0" applyFont="1" applyFill="1" applyBorder="1"/>
    <xf numFmtId="0" fontId="26" fillId="0" borderId="1" xfId="0" applyFont="1" applyFill="1" applyBorder="1"/>
    <xf numFmtId="0" fontId="22" fillId="0" borderId="1" xfId="0" applyFont="1" applyBorder="1"/>
    <xf numFmtId="0" fontId="27" fillId="0" borderId="1" xfId="0" applyFont="1" applyBorder="1" applyAlignment="1">
      <alignment horizontal="center"/>
    </xf>
    <xf numFmtId="43" fontId="77" fillId="0" borderId="1" xfId="0" applyNumberFormat="1" applyFont="1" applyBorder="1"/>
    <xf numFmtId="43" fontId="27" fillId="0" borderId="4" xfId="0" applyNumberFormat="1" applyFont="1" applyBorder="1"/>
    <xf numFmtId="43" fontId="2" fillId="0" borderId="1" xfId="1" applyFont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3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43" fontId="15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42" fillId="0" borderId="0" xfId="0" applyNumberFormat="1" applyFont="1" applyFill="1" applyBorder="1"/>
    <xf numFmtId="43" fontId="80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3" fillId="0" borderId="0" xfId="1" applyNumberFormat="1" applyFont="1" applyFill="1" applyBorder="1" applyAlignment="1">
      <alignment horizontal="right"/>
    </xf>
    <xf numFmtId="0" fontId="81" fillId="0" borderId="0" xfId="0" applyFont="1" applyAlignment="1">
      <alignment horizontal="center"/>
    </xf>
    <xf numFmtId="0" fontId="47" fillId="0" borderId="0" xfId="0" applyFont="1"/>
    <xf numFmtId="0" fontId="47" fillId="0" borderId="0" xfId="0" applyFont="1" applyAlignment="1">
      <alignment horizontal="center"/>
    </xf>
    <xf numFmtId="0" fontId="15" fillId="0" borderId="1" xfId="0" applyFont="1" applyFill="1" applyBorder="1"/>
    <xf numFmtId="0" fontId="15" fillId="0" borderId="2" xfId="0" applyFont="1" applyFill="1" applyBorder="1"/>
    <xf numFmtId="0" fontId="15" fillId="0" borderId="10" xfId="0" applyFont="1" applyFill="1" applyBorder="1"/>
    <xf numFmtId="165" fontId="2" fillId="0" borderId="1" xfId="1" applyNumberFormat="1" applyFont="1" applyBorder="1" applyAlignment="1">
      <alignment horizontal="right"/>
    </xf>
    <xf numFmtId="165" fontId="3" fillId="0" borderId="1" xfId="1" applyNumberFormat="1" applyFont="1" applyBorder="1"/>
    <xf numFmtId="165" fontId="2" fillId="0" borderId="1" xfId="1" applyNumberFormat="1" applyFont="1" applyBorder="1"/>
    <xf numFmtId="165" fontId="3" fillId="0" borderId="1" xfId="0" applyNumberFormat="1" applyFont="1" applyBorder="1"/>
    <xf numFmtId="165" fontId="2" fillId="0" borderId="1" xfId="1" applyNumberFormat="1" applyFont="1" applyFill="1" applyBorder="1"/>
    <xf numFmtId="165" fontId="0" fillId="0" borderId="1" xfId="0" applyNumberFormat="1" applyBorder="1"/>
    <xf numFmtId="165" fontId="2" fillId="2" borderId="1" xfId="1" applyNumberFormat="1" applyFont="1" applyFill="1" applyBorder="1" applyAlignment="1">
      <alignment horizontal="right"/>
    </xf>
    <xf numFmtId="165" fontId="2" fillId="0" borderId="1" xfId="0" applyNumberFormat="1" applyFont="1" applyBorder="1"/>
    <xf numFmtId="165" fontId="27" fillId="0" borderId="1" xfId="1" applyNumberFormat="1" applyFont="1" applyBorder="1"/>
    <xf numFmtId="165" fontId="3" fillId="0" borderId="1" xfId="1" applyNumberFormat="1" applyFont="1" applyBorder="1" applyAlignment="1">
      <alignment horizontal="right"/>
    </xf>
    <xf numFmtId="165" fontId="0" fillId="0" borderId="0" xfId="0" applyNumberFormat="1"/>
    <xf numFmtId="165" fontId="38" fillId="0" borderId="0" xfId="0" applyNumberFormat="1" applyFont="1"/>
    <xf numFmtId="165" fontId="3" fillId="0" borderId="0" xfId="1" applyNumberFormat="1" applyFont="1" applyAlignment="1">
      <alignment horizontal="center"/>
    </xf>
    <xf numFmtId="3" fontId="38" fillId="0" borderId="0" xfId="0" applyNumberFormat="1" applyFont="1"/>
    <xf numFmtId="3" fontId="43" fillId="2" borderId="0" xfId="1" applyNumberFormat="1" applyFont="1" applyFill="1" applyBorder="1" applyAlignment="1">
      <alignment horizontal="center"/>
    </xf>
    <xf numFmtId="3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right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4" fillId="0" borderId="0" xfId="1" applyFont="1" applyFill="1" applyBorder="1"/>
    <xf numFmtId="165" fontId="15" fillId="0" borderId="1" xfId="1" applyNumberFormat="1" applyFont="1" applyBorder="1"/>
    <xf numFmtId="165" fontId="80" fillId="0" borderId="1" xfId="0" applyNumberFormat="1" applyFont="1" applyBorder="1"/>
    <xf numFmtId="165" fontId="15" fillId="0" borderId="1" xfId="0" applyNumberFormat="1" applyFont="1" applyBorder="1"/>
    <xf numFmtId="165" fontId="2" fillId="2" borderId="1" xfId="1" applyNumberFormat="1" applyFont="1" applyFill="1" applyBorder="1"/>
    <xf numFmtId="165" fontId="27" fillId="0" borderId="1" xfId="0" applyNumberFormat="1" applyFont="1" applyBorder="1"/>
    <xf numFmtId="165" fontId="41" fillId="2" borderId="0" xfId="1" applyNumberFormat="1" applyFont="1" applyFill="1" applyBorder="1" applyAlignment="1">
      <alignment horizontal="center"/>
    </xf>
    <xf numFmtId="165" fontId="28" fillId="2" borderId="0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/>
    <xf numFmtId="165" fontId="22" fillId="0" borderId="1" xfId="1" applyNumberFormat="1" applyFont="1" applyBorder="1" applyAlignment="1"/>
    <xf numFmtId="165" fontId="3" fillId="0" borderId="1" xfId="0" applyNumberFormat="1" applyFont="1" applyBorder="1" applyAlignment="1"/>
    <xf numFmtId="165" fontId="2" fillId="0" borderId="1" xfId="1" applyNumberFormat="1" applyFont="1" applyBorder="1" applyAlignment="1"/>
    <xf numFmtId="165" fontId="27" fillId="0" borderId="1" xfId="1" applyNumberFormat="1" applyFont="1" applyBorder="1" applyAlignment="1"/>
    <xf numFmtId="165" fontId="2" fillId="2" borderId="1" xfId="1" applyNumberFormat="1" applyFont="1" applyFill="1" applyBorder="1" applyAlignment="1"/>
    <xf numFmtId="165" fontId="2" fillId="0" borderId="1" xfId="0" applyNumberFormat="1" applyFont="1" applyBorder="1" applyAlignment="1"/>
    <xf numFmtId="165" fontId="0" fillId="0" borderId="1" xfId="0" applyNumberFormat="1" applyBorder="1" applyAlignment="1"/>
    <xf numFmtId="165" fontId="2" fillId="0" borderId="1" xfId="1" applyNumberFormat="1" applyFont="1" applyFill="1" applyBorder="1" applyAlignment="1"/>
    <xf numFmtId="165" fontId="0" fillId="0" borderId="2" xfId="0" applyNumberFormat="1" applyFill="1" applyBorder="1" applyAlignment="1"/>
    <xf numFmtId="165" fontId="0" fillId="0" borderId="3" xfId="0" applyNumberFormat="1" applyBorder="1" applyAlignment="1"/>
    <xf numFmtId="165" fontId="0" fillId="0" borderId="8" xfId="0" applyNumberFormat="1" applyBorder="1"/>
    <xf numFmtId="165" fontId="26" fillId="0" borderId="1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Border="1"/>
    <xf numFmtId="0" fontId="42" fillId="0" borderId="2" xfId="0" applyFont="1" applyFill="1" applyBorder="1"/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right"/>
    </xf>
    <xf numFmtId="165" fontId="39" fillId="0" borderId="1" xfId="1" applyNumberFormat="1" applyFont="1" applyBorder="1"/>
    <xf numFmtId="165" fontId="39" fillId="0" borderId="1" xfId="0" applyNumberFormat="1" applyFont="1" applyBorder="1"/>
    <xf numFmtId="43" fontId="23" fillId="0" borderId="0" xfId="1" applyFont="1" applyFill="1" applyBorder="1"/>
    <xf numFmtId="0" fontId="19" fillId="0" borderId="0" xfId="0" applyFont="1" applyAlignment="1">
      <alignment horizontal="left"/>
    </xf>
    <xf numFmtId="165" fontId="40" fillId="0" borderId="0" xfId="1" applyNumberFormat="1" applyFont="1" applyAlignment="1">
      <alignment horizontal="center"/>
    </xf>
    <xf numFmtId="165" fontId="77" fillId="0" borderId="0" xfId="0" applyNumberFormat="1" applyFont="1"/>
    <xf numFmtId="165" fontId="2" fillId="0" borderId="3" xfId="0" applyNumberFormat="1" applyFont="1" applyBorder="1"/>
    <xf numFmtId="0" fontId="46" fillId="0" borderId="0" xfId="0" applyFont="1" applyAlignment="1">
      <alignment horizontal="center"/>
    </xf>
    <xf numFmtId="165" fontId="0" fillId="0" borderId="0" xfId="0" applyNumberFormat="1" applyFont="1"/>
    <xf numFmtId="0" fontId="78" fillId="0" borderId="2" xfId="0" applyFont="1" applyFill="1" applyBorder="1"/>
    <xf numFmtId="43" fontId="41" fillId="0" borderId="0" xfId="1" applyFont="1" applyAlignment="1">
      <alignment horizontal="center"/>
    </xf>
    <xf numFmtId="165" fontId="0" fillId="0" borderId="1" xfId="0" applyNumberFormat="1" applyBorder="1" applyAlignment="1">
      <alignment horizontal="right"/>
    </xf>
    <xf numFmtId="165" fontId="26" fillId="0" borderId="1" xfId="0" applyNumberFormat="1" applyFont="1" applyBorder="1"/>
    <xf numFmtId="165" fontId="38" fillId="0" borderId="1" xfId="0" applyNumberFormat="1" applyFont="1" applyBorder="1"/>
    <xf numFmtId="165" fontId="77" fillId="0" borderId="1" xfId="0" applyNumberFormat="1" applyFont="1" applyBorder="1"/>
    <xf numFmtId="165" fontId="43" fillId="2" borderId="0" xfId="1" applyNumberFormat="1" applyFont="1" applyFill="1" applyBorder="1" applyAlignment="1">
      <alignment horizontal="center"/>
    </xf>
    <xf numFmtId="165" fontId="33" fillId="0" borderId="0" xfId="0" applyNumberFormat="1" applyFont="1"/>
    <xf numFmtId="165" fontId="34" fillId="0" borderId="0" xfId="0" applyNumberFormat="1" applyFont="1"/>
    <xf numFmtId="43" fontId="45" fillId="0" borderId="7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80" fillId="0" borderId="0" xfId="0" applyNumberFormat="1" applyFont="1" applyBorder="1"/>
    <xf numFmtId="165" fontId="15" fillId="0" borderId="0" xfId="1" applyNumberFormat="1" applyFont="1" applyBorder="1"/>
    <xf numFmtId="165" fontId="15" fillId="0" borderId="0" xfId="0" applyNumberFormat="1" applyFont="1" applyBorder="1"/>
    <xf numFmtId="14" fontId="0" fillId="0" borderId="1" xfId="0" applyNumberFormat="1" applyBorder="1"/>
    <xf numFmtId="14" fontId="3" fillId="0" borderId="1" xfId="1" applyNumberFormat="1" applyFont="1" applyFill="1" applyBorder="1"/>
    <xf numFmtId="43" fontId="3" fillId="0" borderId="1" xfId="1" applyFont="1" applyBorder="1" applyAlignment="1">
      <alignment horizontal="center"/>
    </xf>
    <xf numFmtId="43" fontId="33" fillId="0" borderId="1" xfId="0" applyNumberFormat="1" applyFont="1" applyBorder="1"/>
    <xf numFmtId="43" fontId="33" fillId="0" borderId="7" xfId="1" applyFont="1" applyFill="1" applyBorder="1" applyAlignment="1">
      <alignment horizontal="center"/>
    </xf>
    <xf numFmtId="43" fontId="25" fillId="0" borderId="7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7" fillId="0" borderId="0" xfId="0" applyFont="1" applyBorder="1" applyAlignment="1">
      <alignment horizontal="left"/>
    </xf>
    <xf numFmtId="0" fontId="82" fillId="0" borderId="0" xfId="0" applyFont="1" applyBorder="1" applyAlignment="1">
      <alignment horizontal="center"/>
    </xf>
    <xf numFmtId="0" fontId="0" fillId="0" borderId="0" xfId="0" applyFont="1" applyBorder="1"/>
    <xf numFmtId="43" fontId="33" fillId="0" borderId="0" xfId="1" applyFont="1" applyFill="1" applyBorder="1" applyAlignment="1">
      <alignment horizontal="center"/>
    </xf>
    <xf numFmtId="0" fontId="25" fillId="0" borderId="0" xfId="0" applyFont="1" applyBorder="1"/>
    <xf numFmtId="43" fontId="25" fillId="0" borderId="0" xfId="1" applyFont="1" applyFill="1" applyBorder="1" applyAlignment="1">
      <alignment horizontal="center"/>
    </xf>
    <xf numFmtId="43" fontId="45" fillId="0" borderId="0" xfId="1" applyFont="1" applyFill="1" applyBorder="1" applyAlignment="1">
      <alignment horizontal="center"/>
    </xf>
    <xf numFmtId="43" fontId="22" fillId="0" borderId="1" xfId="1" applyFont="1" applyFill="1" applyBorder="1"/>
    <xf numFmtId="43" fontId="17" fillId="2" borderId="1" xfId="1" applyFont="1" applyFill="1" applyBorder="1" applyAlignment="1">
      <alignment horizontal="center"/>
    </xf>
    <xf numFmtId="165" fontId="77" fillId="0" borderId="1" xfId="1" applyNumberFormat="1" applyFont="1" applyBorder="1" applyAlignment="1">
      <alignment horizontal="center"/>
    </xf>
    <xf numFmtId="9" fontId="77" fillId="0" borderId="1" xfId="0" applyNumberFormat="1" applyFont="1" applyBorder="1"/>
    <xf numFmtId="43" fontId="28" fillId="2" borderId="1" xfId="1" applyFont="1" applyFill="1" applyBorder="1" applyAlignment="1">
      <alignment horizontal="center"/>
    </xf>
    <xf numFmtId="0" fontId="78" fillId="0" borderId="1" xfId="0" applyFont="1" applyFill="1" applyBorder="1"/>
    <xf numFmtId="0" fontId="83" fillId="0" borderId="1" xfId="0" applyFont="1" applyBorder="1"/>
    <xf numFmtId="43" fontId="17" fillId="0" borderId="1" xfId="1" applyFont="1" applyFill="1" applyBorder="1"/>
    <xf numFmtId="0" fontId="84" fillId="0" borderId="1" xfId="0" applyFont="1" applyFill="1" applyBorder="1"/>
    <xf numFmtId="165" fontId="0" fillId="0" borderId="0" xfId="0" applyNumberFormat="1" applyAlignment="1">
      <alignment horizontal="right"/>
    </xf>
    <xf numFmtId="165" fontId="2" fillId="0" borderId="4" xfId="0" applyNumberFormat="1" applyFont="1" applyBorder="1"/>
    <xf numFmtId="165" fontId="27" fillId="0" borderId="4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7" fillId="2" borderId="1" xfId="1" applyNumberFormat="1" applyFont="1" applyFill="1" applyBorder="1" applyAlignment="1">
      <alignment horizontal="center"/>
    </xf>
    <xf numFmtId="165" fontId="28" fillId="2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3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" fillId="0" borderId="1" xfId="1" applyFont="1" applyFill="1" applyBorder="1"/>
    <xf numFmtId="43" fontId="16" fillId="0" borderId="1" xfId="1" applyFont="1" applyBorder="1" applyAlignment="1">
      <alignment horizontal="center"/>
    </xf>
    <xf numFmtId="0" fontId="29" fillId="0" borderId="1" xfId="0" applyFont="1" applyBorder="1"/>
    <xf numFmtId="43" fontId="39" fillId="0" borderId="1" xfId="1" applyFont="1" applyFill="1" applyBorder="1"/>
    <xf numFmtId="14" fontId="39" fillId="0" borderId="1" xfId="1" applyNumberFormat="1" applyFont="1" applyFill="1" applyBorder="1"/>
    <xf numFmtId="0" fontId="44" fillId="0" borderId="1" xfId="0" applyFont="1" applyBorder="1"/>
    <xf numFmtId="43" fontId="41" fillId="0" borderId="1" xfId="1" applyFont="1" applyFill="1" applyBorder="1"/>
    <xf numFmtId="14" fontId="41" fillId="0" borderId="1" xfId="1" applyNumberFormat="1" applyFont="1" applyFill="1" applyBorder="1" applyAlignment="1">
      <alignment horizontal="left"/>
    </xf>
    <xf numFmtId="43" fontId="40" fillId="0" borderId="1" xfId="1" applyFont="1" applyBorder="1" applyAlignment="1">
      <alignment horizontal="center"/>
    </xf>
    <xf numFmtId="165" fontId="41" fillId="2" borderId="1" xfId="1" applyNumberFormat="1" applyFont="1" applyFill="1" applyBorder="1" applyAlignment="1">
      <alignment horizontal="center"/>
    </xf>
    <xf numFmtId="43" fontId="79" fillId="0" borderId="1" xfId="1" applyFont="1" applyBorder="1" applyAlignment="1">
      <alignment horizontal="center"/>
    </xf>
    <xf numFmtId="43" fontId="85" fillId="0" borderId="0" xfId="1" applyFont="1" applyBorder="1" applyAlignment="1">
      <alignment horizontal="center"/>
    </xf>
    <xf numFmtId="43" fontId="85" fillId="0" borderId="0" xfId="1" applyFont="1" applyBorder="1"/>
    <xf numFmtId="165" fontId="85" fillId="0" borderId="0" xfId="1" applyNumberFormat="1" applyFont="1" applyBorder="1"/>
    <xf numFmtId="43" fontId="15" fillId="0" borderId="1" xfId="1" applyFont="1" applyFill="1" applyBorder="1"/>
    <xf numFmtId="43" fontId="15" fillId="0" borderId="1" xfId="1" applyFont="1" applyBorder="1" applyAlignment="1">
      <alignment horizontal="center"/>
    </xf>
    <xf numFmtId="165" fontId="84" fillId="2" borderId="1" xfId="1" applyNumberFormat="1" applyFont="1" applyFill="1" applyBorder="1" applyAlignment="1">
      <alignment horizontal="center"/>
    </xf>
    <xf numFmtId="0" fontId="86" fillId="0" borderId="1" xfId="0" applyFont="1" applyBorder="1"/>
    <xf numFmtId="165" fontId="15" fillId="0" borderId="1" xfId="1" applyNumberFormat="1" applyFont="1" applyBorder="1" applyAlignment="1">
      <alignment horizontal="center"/>
    </xf>
    <xf numFmtId="43" fontId="87" fillId="0" borderId="1" xfId="1" applyFont="1" applyFill="1" applyBorder="1"/>
    <xf numFmtId="43" fontId="42" fillId="0" borderId="1" xfId="1" applyFont="1" applyFill="1" applyBorder="1"/>
    <xf numFmtId="14" fontId="87" fillId="0" borderId="1" xfId="1" applyNumberFormat="1" applyFont="1" applyFill="1" applyBorder="1" applyAlignment="1">
      <alignment horizontal="left"/>
    </xf>
    <xf numFmtId="14" fontId="42" fillId="0" borderId="1" xfId="1" applyNumberFormat="1" applyFont="1" applyFill="1" applyBorder="1"/>
    <xf numFmtId="0" fontId="88" fillId="0" borderId="1" xfId="0" applyFont="1" applyBorder="1"/>
    <xf numFmtId="0" fontId="80" fillId="0" borderId="2" xfId="0" applyFont="1" applyFill="1" applyBorder="1"/>
    <xf numFmtId="0" fontId="33" fillId="0" borderId="0" xfId="0" applyFont="1" applyBorder="1"/>
    <xf numFmtId="43" fontId="33" fillId="0" borderId="0" xfId="0" applyNumberFormat="1" applyFont="1" applyBorder="1"/>
    <xf numFmtId="43" fontId="77" fillId="0" borderId="0" xfId="0" applyNumberFormat="1" applyFont="1"/>
    <xf numFmtId="165" fontId="0" fillId="0" borderId="5" xfId="1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87" fillId="0" borderId="1" xfId="1" applyNumberFormat="1" applyFont="1" applyFill="1" applyBorder="1"/>
    <xf numFmtId="0" fontId="46" fillId="0" borderId="0" xfId="0" applyFont="1" applyAlignment="1">
      <alignment horizontal="center"/>
    </xf>
    <xf numFmtId="43" fontId="89" fillId="0" borderId="1" xfId="1" applyFont="1" applyFill="1" applyBorder="1"/>
    <xf numFmtId="43" fontId="89" fillId="0" borderId="1" xfId="1" applyFont="1" applyBorder="1" applyAlignment="1">
      <alignment horizontal="center"/>
    </xf>
    <xf numFmtId="0" fontId="89" fillId="0" borderId="1" xfId="0" applyFont="1" applyBorder="1"/>
    <xf numFmtId="165" fontId="43" fillId="2" borderId="1" xfId="1" applyNumberFormat="1" applyFont="1" applyFill="1" applyBorder="1" applyAlignment="1">
      <alignment horizontal="center"/>
    </xf>
    <xf numFmtId="165" fontId="89" fillId="0" borderId="1" xfId="0" applyNumberFormat="1" applyFont="1" applyBorder="1"/>
    <xf numFmtId="0" fontId="90" fillId="0" borderId="1" xfId="0" applyFont="1" applyFill="1" applyBorder="1"/>
    <xf numFmtId="43" fontId="90" fillId="0" borderId="1" xfId="1" applyFont="1" applyBorder="1" applyAlignment="1">
      <alignment horizontal="center"/>
    </xf>
    <xf numFmtId="0" fontId="90" fillId="0" borderId="1" xfId="0" applyFont="1" applyBorder="1"/>
    <xf numFmtId="165" fontId="4" fillId="0" borderId="1" xfId="0" applyNumberFormat="1" applyFont="1" applyBorder="1"/>
    <xf numFmtId="165" fontId="90" fillId="0" borderId="1" xfId="0" applyNumberFormat="1" applyFont="1" applyBorder="1"/>
    <xf numFmtId="0" fontId="91" fillId="0" borderId="1" xfId="0" applyFont="1" applyBorder="1"/>
    <xf numFmtId="0" fontId="4" fillId="0" borderId="1" xfId="0" applyFont="1" applyBorder="1"/>
    <xf numFmtId="43" fontId="4" fillId="0" borderId="1" xfId="1" applyFont="1" applyFill="1" applyBorder="1"/>
    <xf numFmtId="43" fontId="4" fillId="0" borderId="1" xfId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4" fontId="4" fillId="0" borderId="1" xfId="1" applyNumberFormat="1" applyFont="1" applyFill="1" applyBorder="1"/>
    <xf numFmtId="14" fontId="4" fillId="0" borderId="1" xfId="1" applyNumberFormat="1" applyFont="1" applyBorder="1" applyAlignment="1">
      <alignment horizontal="center"/>
    </xf>
    <xf numFmtId="14" fontId="4" fillId="0" borderId="1" xfId="0" applyNumberFormat="1" applyFont="1" applyBorder="1"/>
    <xf numFmtId="0" fontId="46" fillId="0" borderId="0" xfId="0" applyFont="1" applyAlignment="1">
      <alignment horizontal="center"/>
    </xf>
    <xf numFmtId="166" fontId="2" fillId="0" borderId="1" xfId="1" applyNumberFormat="1" applyFont="1" applyBorder="1"/>
    <xf numFmtId="166" fontId="2" fillId="0" borderId="1" xfId="0" applyNumberFormat="1" applyFont="1" applyBorder="1"/>
    <xf numFmtId="166" fontId="2" fillId="0" borderId="3" xfId="1" applyNumberFormat="1" applyFont="1" applyBorder="1"/>
    <xf numFmtId="166" fontId="2" fillId="0" borderId="3" xfId="0" applyNumberFormat="1" applyFont="1" applyBorder="1"/>
    <xf numFmtId="166" fontId="0" fillId="0" borderId="1" xfId="0" applyNumberFormat="1" applyBorder="1"/>
    <xf numFmtId="0" fontId="46" fillId="0" borderId="0" xfId="0" applyFont="1" applyAlignment="1">
      <alignment horizontal="center"/>
    </xf>
    <xf numFmtId="165" fontId="0" fillId="0" borderId="1" xfId="1" applyNumberFormat="1" applyFont="1" applyBorder="1"/>
    <xf numFmtId="14" fontId="15" fillId="0" borderId="1" xfId="0" applyNumberFormat="1" applyFont="1" applyBorder="1"/>
    <xf numFmtId="0" fontId="46" fillId="0" borderId="0" xfId="0" applyFont="1" applyAlignment="1">
      <alignment horizontal="center"/>
    </xf>
    <xf numFmtId="165" fontId="90" fillId="2" borderId="1" xfId="1" applyNumberFormat="1" applyFont="1" applyFill="1" applyBorder="1" applyAlignment="1">
      <alignment horizontal="center"/>
    </xf>
    <xf numFmtId="165" fontId="89" fillId="2" borderId="1" xfId="1" applyNumberFormat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1" fillId="0" borderId="1" xfId="0" applyNumberFormat="1" applyFont="1" applyBorder="1"/>
    <xf numFmtId="0" fontId="46" fillId="0" borderId="0" xfId="0" applyFont="1" applyAlignment="1">
      <alignment horizontal="center"/>
    </xf>
    <xf numFmtId="43" fontId="34" fillId="0" borderId="1" xfId="1" applyFont="1" applyBorder="1"/>
    <xf numFmtId="43" fontId="92" fillId="0" borderId="1" xfId="1" applyFont="1" applyBorder="1" applyAlignment="1">
      <alignment horizontal="center"/>
    </xf>
    <xf numFmtId="165" fontId="92" fillId="0" borderId="1" xfId="1" applyNumberFormat="1" applyFont="1" applyBorder="1"/>
    <xf numFmtId="165" fontId="92" fillId="0" borderId="1" xfId="0" applyNumberFormat="1" applyFont="1" applyBorder="1"/>
    <xf numFmtId="43" fontId="42" fillId="0" borderId="0" xfId="1" applyFont="1" applyBorder="1"/>
    <xf numFmtId="43" fontId="93" fillId="0" borderId="0" xfId="1" applyFont="1" applyBorder="1" applyAlignment="1">
      <alignment horizontal="center"/>
    </xf>
    <xf numFmtId="165" fontId="34" fillId="0" borderId="1" xfId="1" applyNumberFormat="1" applyFont="1" applyBorder="1"/>
    <xf numFmtId="165" fontId="3" fillId="0" borderId="2" xfId="0" applyNumberFormat="1" applyFont="1" applyFill="1" applyBorder="1" applyAlignment="1"/>
    <xf numFmtId="165" fontId="3" fillId="0" borderId="3" xfId="0" applyNumberFormat="1" applyFont="1" applyBorder="1" applyAlignment="1"/>
    <xf numFmtId="165" fontId="3" fillId="0" borderId="8" xfId="0" applyNumberFormat="1" applyFont="1" applyBorder="1"/>
    <xf numFmtId="165" fontId="39" fillId="2" borderId="1" xfId="1" applyNumberFormat="1" applyFont="1" applyFill="1" applyBorder="1" applyAlignment="1">
      <alignment horizontal="center"/>
    </xf>
    <xf numFmtId="165" fontId="22" fillId="2" borderId="1" xfId="1" applyNumberFormat="1" applyFont="1" applyFill="1" applyBorder="1" applyAlignment="1">
      <alignment horizontal="center"/>
    </xf>
    <xf numFmtId="165" fontId="34" fillId="0" borderId="1" xfId="0" applyNumberFormat="1" applyFont="1" applyBorder="1"/>
    <xf numFmtId="165" fontId="22" fillId="0" borderId="1" xfId="0" applyNumberFormat="1" applyFont="1" applyBorder="1"/>
    <xf numFmtId="0" fontId="3" fillId="0" borderId="3" xfId="0" applyFont="1" applyBorder="1"/>
    <xf numFmtId="43" fontId="26" fillId="0" borderId="0" xfId="1" applyFont="1" applyBorder="1"/>
    <xf numFmtId="0" fontId="94" fillId="0" borderId="1" xfId="0" applyFont="1" applyBorder="1"/>
    <xf numFmtId="14" fontId="41" fillId="0" borderId="1" xfId="1" applyNumberFormat="1" applyFont="1" applyFill="1" applyBorder="1"/>
    <xf numFmtId="0" fontId="3" fillId="0" borderId="0" xfId="0" applyNumberFormat="1" applyFont="1"/>
    <xf numFmtId="14" fontId="3" fillId="0" borderId="1" xfId="0" applyNumberFormat="1" applyFont="1" applyBorder="1"/>
    <xf numFmtId="165" fontId="0" fillId="0" borderId="0" xfId="0" applyNumberFormat="1" applyBorder="1"/>
    <xf numFmtId="165" fontId="3" fillId="0" borderId="0" xfId="0" applyNumberFormat="1" applyFont="1" applyBorder="1"/>
    <xf numFmtId="0" fontId="47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9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165" fontId="22" fillId="0" borderId="1" xfId="1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3" xfId="0" applyNumberFormat="1" applyBorder="1" applyAlignment="1">
      <alignment horizontal="right"/>
    </xf>
    <xf numFmtId="43" fontId="11" fillId="0" borderId="1" xfId="1" applyFont="1" applyFill="1" applyBorder="1"/>
    <xf numFmtId="0" fontId="11" fillId="0" borderId="1" xfId="0" applyFont="1" applyBorder="1"/>
    <xf numFmtId="0" fontId="78" fillId="0" borderId="1" xfId="0" applyFont="1" applyBorder="1"/>
    <xf numFmtId="14" fontId="84" fillId="0" borderId="1" xfId="1" applyNumberFormat="1" applyFont="1" applyFill="1" applyBorder="1" applyAlignment="1">
      <alignment horizontal="left"/>
    </xf>
    <xf numFmtId="14" fontId="17" fillId="0" borderId="1" xfId="1" applyNumberFormat="1" applyFont="1" applyFill="1" applyBorder="1" applyAlignment="1">
      <alignment horizontal="left"/>
    </xf>
    <xf numFmtId="14" fontId="78" fillId="0" borderId="1" xfId="1" applyNumberFormat="1" applyFont="1" applyFill="1" applyBorder="1"/>
    <xf numFmtId="14" fontId="22" fillId="0" borderId="1" xfId="0" applyNumberFormat="1" applyFont="1" applyBorder="1"/>
    <xf numFmtId="14" fontId="22" fillId="0" borderId="1" xfId="1" applyNumberFormat="1" applyFont="1" applyFill="1" applyBorder="1"/>
    <xf numFmtId="49" fontId="96" fillId="0" borderId="0" xfId="0" applyNumberFormat="1" applyFont="1" applyBorder="1" applyAlignment="1">
      <alignment horizontal="right"/>
    </xf>
    <xf numFmtId="167" fontId="96" fillId="0" borderId="0" xfId="0" applyNumberFormat="1" applyFont="1" applyBorder="1"/>
    <xf numFmtId="0" fontId="80" fillId="0" borderId="0" xfId="0" applyFont="1" applyFill="1" applyBorder="1"/>
    <xf numFmtId="0" fontId="0" fillId="0" borderId="1" xfId="0" applyFill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7" fillId="0" borderId="2" xfId="0" applyFont="1" applyFill="1" applyBorder="1" applyAlignment="1">
      <alignment horizontal="center"/>
    </xf>
    <xf numFmtId="14" fontId="3" fillId="0" borderId="0" xfId="0" applyNumberFormat="1" applyFont="1"/>
    <xf numFmtId="0" fontId="4" fillId="0" borderId="0" xfId="0" applyFont="1" applyBorder="1"/>
    <xf numFmtId="0" fontId="46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5" fontId="27" fillId="0" borderId="0" xfId="1" applyNumberFormat="1" applyFont="1" applyBorder="1"/>
    <xf numFmtId="165" fontId="2" fillId="2" borderId="0" xfId="1" applyNumberFormat="1" applyFont="1" applyFill="1" applyBorder="1"/>
    <xf numFmtId="165" fontId="27" fillId="0" borderId="0" xfId="0" applyNumberFormat="1" applyFont="1" applyBorder="1"/>
    <xf numFmtId="0" fontId="77" fillId="0" borderId="0" xfId="0" applyFont="1" applyBorder="1"/>
    <xf numFmtId="43" fontId="27" fillId="0" borderId="0" xfId="1" applyFont="1" applyFill="1" applyBorder="1"/>
    <xf numFmtId="43" fontId="26" fillId="0" borderId="0" xfId="1" applyFont="1" applyFill="1" applyBorder="1"/>
    <xf numFmtId="43" fontId="40" fillId="0" borderId="0" xfId="1" applyFont="1" applyBorder="1" applyAlignment="1">
      <alignment horizontal="center"/>
    </xf>
    <xf numFmtId="0" fontId="38" fillId="0" borderId="0" xfId="0" applyFont="1" applyBorder="1"/>
    <xf numFmtId="0" fontId="29" fillId="0" borderId="0" xfId="0" applyFont="1" applyBorder="1"/>
    <xf numFmtId="9" fontId="16" fillId="0" borderId="0" xfId="1" applyNumberFormat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4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22" fillId="0" borderId="1" xfId="0" applyFont="1" applyFill="1" applyBorder="1"/>
    <xf numFmtId="49" fontId="96" fillId="0" borderId="0" xfId="1" applyNumberFormat="1" applyFont="1" applyBorder="1" applyAlignment="1">
      <alignment horizontal="right"/>
    </xf>
    <xf numFmtId="0" fontId="98" fillId="0" borderId="0" xfId="0" applyFont="1" applyBorder="1"/>
    <xf numFmtId="4" fontId="98" fillId="0" borderId="0" xfId="0" applyNumberFormat="1" applyFont="1" applyBorder="1"/>
    <xf numFmtId="0" fontId="98" fillId="0" borderId="0" xfId="0" applyFont="1"/>
    <xf numFmtId="0" fontId="98" fillId="0" borderId="11" xfId="0" applyFont="1" applyBorder="1"/>
    <xf numFmtId="0" fontId="98" fillId="0" borderId="1" xfId="0" applyFont="1" applyBorder="1"/>
    <xf numFmtId="3" fontId="77" fillId="0" borderId="1" xfId="0" applyNumberFormat="1" applyFont="1" applyBorder="1"/>
    <xf numFmtId="16" fontId="77" fillId="0" borderId="1" xfId="0" applyNumberFormat="1" applyFont="1" applyBorder="1"/>
    <xf numFmtId="14" fontId="77" fillId="0" borderId="1" xfId="0" applyNumberFormat="1" applyFont="1" applyBorder="1"/>
    <xf numFmtId="14" fontId="77" fillId="0" borderId="1" xfId="0" applyNumberFormat="1" applyFont="1" applyFill="1" applyBorder="1"/>
    <xf numFmtId="0" fontId="77" fillId="0" borderId="1" xfId="0" applyFont="1" applyFill="1" applyBorder="1"/>
    <xf numFmtId="3" fontId="98" fillId="0" borderId="1" xfId="0" applyNumberFormat="1" applyFont="1" applyBorder="1"/>
    <xf numFmtId="0" fontId="84" fillId="0" borderId="2" xfId="0" applyFont="1" applyFill="1" applyBorder="1"/>
    <xf numFmtId="43" fontId="98" fillId="0" borderId="0" xfId="0" applyNumberFormat="1" applyFont="1" applyBorder="1"/>
    <xf numFmtId="43" fontId="22" fillId="0" borderId="0" xfId="1" applyFont="1" applyBorder="1"/>
    <xf numFmtId="43" fontId="77" fillId="0" borderId="0" xfId="0" applyNumberFormat="1" applyFont="1" applyBorder="1"/>
    <xf numFmtId="43" fontId="90" fillId="0" borderId="1" xfId="1" applyFont="1" applyFill="1" applyBorder="1"/>
    <xf numFmtId="0" fontId="99" fillId="0" borderId="1" xfId="0" applyFont="1" applyBorder="1"/>
    <xf numFmtId="165" fontId="90" fillId="0" borderId="1" xfId="1" applyNumberFormat="1" applyFont="1" applyBorder="1" applyAlignment="1">
      <alignment horizontal="center"/>
    </xf>
    <xf numFmtId="14" fontId="90" fillId="0" borderId="1" xfId="1" applyNumberFormat="1" applyFont="1" applyFill="1" applyBorder="1"/>
    <xf numFmtId="14" fontId="90" fillId="0" borderId="1" xfId="1" applyNumberFormat="1" applyFont="1" applyBorder="1" applyAlignment="1">
      <alignment horizontal="center"/>
    </xf>
    <xf numFmtId="14" fontId="90" fillId="0" borderId="1" xfId="0" applyNumberFormat="1" applyFont="1" applyBorder="1"/>
    <xf numFmtId="165" fontId="28" fillId="0" borderId="1" xfId="0" applyNumberFormat="1" applyFont="1" applyBorder="1"/>
    <xf numFmtId="0" fontId="100" fillId="0" borderId="1" xfId="0" applyFont="1" applyBorder="1" applyAlignment="1">
      <alignment horizontal="center"/>
    </xf>
    <xf numFmtId="0" fontId="101" fillId="0" borderId="1" xfId="0" applyFont="1" applyFill="1" applyBorder="1" applyAlignment="1">
      <alignment horizontal="center"/>
    </xf>
    <xf numFmtId="0" fontId="101" fillId="0" borderId="1" xfId="0" applyFont="1" applyBorder="1" applyAlignment="1">
      <alignment horizontal="center"/>
    </xf>
    <xf numFmtId="0" fontId="100" fillId="0" borderId="1" xfId="0" applyFont="1" applyFill="1" applyBorder="1" applyAlignment="1">
      <alignment horizontal="center"/>
    </xf>
    <xf numFmtId="0" fontId="102" fillId="0" borderId="0" xfId="0" applyFont="1"/>
    <xf numFmtId="0" fontId="90" fillId="0" borderId="0" xfId="0" applyFont="1"/>
    <xf numFmtId="0" fontId="90" fillId="0" borderId="0" xfId="0" applyFont="1" applyAlignment="1">
      <alignment horizontal="center"/>
    </xf>
    <xf numFmtId="0" fontId="102" fillId="0" borderId="0" xfId="0" applyFont="1" applyAlignment="1">
      <alignment vertical="center"/>
    </xf>
    <xf numFmtId="0" fontId="103" fillId="0" borderId="0" xfId="0" applyFont="1" applyAlignment="1">
      <alignment horizontal="center" vertical="center"/>
    </xf>
    <xf numFmtId="0" fontId="77" fillId="0" borderId="0" xfId="0" applyFont="1" applyAlignment="1">
      <alignment vertical="center"/>
    </xf>
    <xf numFmtId="0" fontId="104" fillId="0" borderId="1" xfId="0" applyFont="1" applyBorder="1" applyAlignment="1">
      <alignment horizontal="center"/>
    </xf>
    <xf numFmtId="0" fontId="27" fillId="0" borderId="1" xfId="0" applyFont="1" applyBorder="1"/>
    <xf numFmtId="165" fontId="22" fillId="0" borderId="1" xfId="1" applyNumberFormat="1" applyFont="1" applyBorder="1"/>
    <xf numFmtId="0" fontId="77" fillId="0" borderId="3" xfId="0" applyFont="1" applyBorder="1"/>
    <xf numFmtId="0" fontId="22" fillId="0" borderId="3" xfId="0" applyFont="1" applyBorder="1"/>
    <xf numFmtId="165" fontId="27" fillId="0" borderId="3" xfId="1" applyNumberFormat="1" applyFont="1" applyBorder="1"/>
    <xf numFmtId="165" fontId="27" fillId="0" borderId="3" xfId="0" applyNumberFormat="1" applyFont="1" applyBorder="1"/>
    <xf numFmtId="0" fontId="104" fillId="0" borderId="2" xfId="0" applyFont="1" applyFill="1" applyBorder="1" applyAlignment="1">
      <alignment horizontal="center"/>
    </xf>
    <xf numFmtId="165" fontId="27" fillId="2" borderId="1" xfId="1" applyNumberFormat="1" applyFont="1" applyFill="1" applyBorder="1"/>
    <xf numFmtId="43" fontId="17" fillId="0" borderId="1" xfId="1" applyFont="1" applyBorder="1"/>
    <xf numFmtId="43" fontId="104" fillId="0" borderId="1" xfId="1" applyFont="1" applyBorder="1" applyAlignment="1">
      <alignment horizontal="center"/>
    </xf>
    <xf numFmtId="165" fontId="17" fillId="0" borderId="1" xfId="1" applyNumberFormat="1" applyFont="1" applyBorder="1"/>
    <xf numFmtId="165" fontId="104" fillId="0" borderId="1" xfId="1" applyNumberFormat="1" applyFont="1" applyBorder="1"/>
    <xf numFmtId="165" fontId="104" fillId="0" borderId="1" xfId="0" applyNumberFormat="1" applyFont="1" applyBorder="1"/>
    <xf numFmtId="0" fontId="22" fillId="0" borderId="0" xfId="0" applyFont="1"/>
    <xf numFmtId="0" fontId="105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06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6" fillId="0" borderId="0" xfId="0" applyFont="1" applyAlignment="1">
      <alignment vertical="center"/>
    </xf>
    <xf numFmtId="0" fontId="22" fillId="0" borderId="1" xfId="0" applyFont="1" applyBorder="1" applyAlignment="1">
      <alignment horizontal="center"/>
    </xf>
    <xf numFmtId="0" fontId="22" fillId="0" borderId="5" xfId="0" applyFont="1" applyBorder="1"/>
    <xf numFmtId="0" fontId="22" fillId="0" borderId="1" xfId="0" applyFont="1" applyBorder="1" applyAlignment="1">
      <alignment horizontal="right"/>
    </xf>
    <xf numFmtId="165" fontId="22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165" fontId="27" fillId="2" borderId="1" xfId="1" applyNumberFormat="1" applyFont="1" applyFill="1" applyBorder="1" applyAlignment="1">
      <alignment horizontal="right"/>
    </xf>
    <xf numFmtId="165" fontId="27" fillId="0" borderId="1" xfId="0" applyNumberFormat="1" applyFont="1" applyBorder="1" applyAlignment="1">
      <alignment horizontal="right"/>
    </xf>
    <xf numFmtId="0" fontId="22" fillId="0" borderId="1" xfId="0" applyFont="1" applyFill="1" applyBorder="1" applyAlignment="1">
      <alignment horizontal="center"/>
    </xf>
    <xf numFmtId="165" fontId="27" fillId="0" borderId="1" xfId="1" applyNumberFormat="1" applyFont="1" applyFill="1" applyBorder="1" applyAlignment="1">
      <alignment horizontal="right"/>
    </xf>
    <xf numFmtId="0" fontId="22" fillId="0" borderId="2" xfId="0" applyFont="1" applyFill="1" applyBorder="1" applyAlignment="1">
      <alignment horizontal="right"/>
    </xf>
    <xf numFmtId="0" fontId="22" fillId="0" borderId="2" xfId="0" applyFont="1" applyFill="1" applyBorder="1" applyAlignment="1">
      <alignment horizontal="center"/>
    </xf>
    <xf numFmtId="165" fontId="22" fillId="0" borderId="2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9" xfId="0" applyFont="1" applyBorder="1"/>
    <xf numFmtId="0" fontId="22" fillId="0" borderId="3" xfId="0" applyFont="1" applyBorder="1" applyAlignment="1">
      <alignment horizontal="right"/>
    </xf>
    <xf numFmtId="165" fontId="22" fillId="0" borderId="3" xfId="0" applyNumberFormat="1" applyFont="1" applyBorder="1" applyAlignment="1">
      <alignment horizontal="right"/>
    </xf>
    <xf numFmtId="0" fontId="84" fillId="0" borderId="0" xfId="0" applyFont="1" applyFill="1" applyBorder="1"/>
    <xf numFmtId="43" fontId="22" fillId="0" borderId="0" xfId="1" applyFont="1" applyFill="1" applyBorder="1"/>
    <xf numFmtId="0" fontId="22" fillId="0" borderId="0" xfId="0" applyFont="1" applyBorder="1"/>
    <xf numFmtId="165" fontId="22" fillId="0" borderId="0" xfId="0" applyNumberFormat="1" applyFont="1" applyBorder="1"/>
    <xf numFmtId="0" fontId="90" fillId="0" borderId="0" xfId="0" applyFont="1" applyBorder="1"/>
    <xf numFmtId="0" fontId="107" fillId="0" borderId="0" xfId="0" applyFont="1" applyBorder="1" applyAlignment="1">
      <alignment horizontal="center"/>
    </xf>
    <xf numFmtId="0" fontId="77" fillId="0" borderId="0" xfId="0" applyFont="1" applyBorder="1" applyAlignment="1">
      <alignment vertical="center"/>
    </xf>
    <xf numFmtId="0" fontId="108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1" fillId="0" borderId="0" xfId="0" applyFont="1" applyFill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0" fillId="0" borderId="0" xfId="0" applyFont="1" applyFill="1" applyBorder="1" applyAlignment="1">
      <alignment horizontal="center"/>
    </xf>
    <xf numFmtId="0" fontId="77" fillId="0" borderId="0" xfId="0" applyFont="1" applyBorder="1" applyAlignment="1">
      <alignment horizontal="center"/>
    </xf>
    <xf numFmtId="0" fontId="22" fillId="0" borderId="0" xfId="0" applyFont="1" applyFill="1" applyBorder="1"/>
    <xf numFmtId="0" fontId="27" fillId="0" borderId="0" xfId="0" applyFont="1" applyBorder="1" applyAlignment="1">
      <alignment horizontal="center"/>
    </xf>
    <xf numFmtId="0" fontId="27" fillId="0" borderId="0" xfId="0" applyFont="1" applyBorder="1"/>
    <xf numFmtId="165" fontId="77" fillId="0" borderId="0" xfId="0" applyNumberFormat="1" applyFont="1" applyBorder="1"/>
    <xf numFmtId="165" fontId="27" fillId="2" borderId="0" xfId="1" applyNumberFormat="1" applyFont="1" applyFill="1" applyBorder="1"/>
    <xf numFmtId="43" fontId="27" fillId="0" borderId="0" xfId="1" applyFont="1" applyBorder="1" applyAlignment="1">
      <alignment horizontal="center"/>
    </xf>
    <xf numFmtId="43" fontId="77" fillId="0" borderId="0" xfId="1" applyFont="1" applyBorder="1"/>
    <xf numFmtId="43" fontId="27" fillId="0" borderId="0" xfId="1" applyFont="1" applyBorder="1"/>
    <xf numFmtId="43" fontId="79" fillId="0" borderId="0" xfId="1" applyFont="1" applyBorder="1" applyAlignment="1">
      <alignment horizontal="center"/>
    </xf>
    <xf numFmtId="165" fontId="17" fillId="2" borderId="0" xfId="1" applyNumberFormat="1" applyFont="1" applyFill="1" applyBorder="1" applyAlignment="1">
      <alignment horizontal="center"/>
    </xf>
    <xf numFmtId="0" fontId="83" fillId="0" borderId="0" xfId="0" applyFont="1" applyBorder="1"/>
    <xf numFmtId="9" fontId="79" fillId="0" borderId="0" xfId="1" applyNumberFormat="1" applyFont="1" applyBorder="1" applyAlignment="1">
      <alignment horizontal="center"/>
    </xf>
    <xf numFmtId="43" fontId="22" fillId="0" borderId="0" xfId="1" applyFont="1" applyBorder="1" applyAlignment="1">
      <alignment horizontal="center"/>
    </xf>
    <xf numFmtId="165" fontId="22" fillId="0" borderId="0" xfId="1" applyNumberFormat="1" applyFont="1" applyBorder="1" applyAlignment="1">
      <alignment horizontal="center"/>
    </xf>
    <xf numFmtId="14" fontId="22" fillId="0" borderId="0" xfId="1" applyNumberFormat="1" applyFont="1" applyFill="1" applyBorder="1"/>
    <xf numFmtId="14" fontId="77" fillId="0" borderId="0" xfId="0" applyNumberFormat="1" applyFont="1" applyBorder="1"/>
    <xf numFmtId="165" fontId="77" fillId="0" borderId="0" xfId="0" applyNumberFormat="1" applyFont="1" applyBorder="1" applyAlignment="1">
      <alignment horizontal="right"/>
    </xf>
    <xf numFmtId="43" fontId="106" fillId="0" borderId="0" xfId="1" applyFont="1" applyFill="1" applyBorder="1"/>
    <xf numFmtId="165" fontId="17" fillId="0" borderId="5" xfId="0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7" fillId="0" borderId="8" xfId="0" applyNumberFormat="1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33" fillId="0" borderId="8" xfId="0" applyFont="1" applyBorder="1"/>
    <xf numFmtId="0" fontId="33" fillId="0" borderId="8" xfId="0" applyFont="1" applyBorder="1" applyAlignment="1">
      <alignment horizontal="right"/>
    </xf>
    <xf numFmtId="165" fontId="33" fillId="0" borderId="8" xfId="0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165" fontId="33" fillId="0" borderId="1" xfId="0" applyNumberFormat="1" applyFont="1" applyBorder="1" applyAlignment="1">
      <alignment horizontal="right"/>
    </xf>
    <xf numFmtId="0" fontId="28" fillId="0" borderId="1" xfId="0" applyFont="1" applyBorder="1"/>
    <xf numFmtId="43" fontId="28" fillId="0" borderId="1" xfId="1" applyFont="1" applyFill="1" applyBorder="1"/>
    <xf numFmtId="0" fontId="22" fillId="0" borderId="1" xfId="0" applyFont="1" applyFill="1" applyBorder="1" applyAlignment="1">
      <alignment horizontal="right"/>
    </xf>
    <xf numFmtId="0" fontId="77" fillId="0" borderId="1" xfId="0" applyFont="1" applyBorder="1" applyAlignment="1">
      <alignment horizontal="center"/>
    </xf>
    <xf numFmtId="3" fontId="77" fillId="0" borderId="0" xfId="0" applyNumberFormat="1" applyFont="1"/>
    <xf numFmtId="0" fontId="22" fillId="0" borderId="5" xfId="0" applyFont="1" applyBorder="1" applyAlignment="1">
      <alignment horizontal="right"/>
    </xf>
    <xf numFmtId="0" fontId="4" fillId="0" borderId="1" xfId="0" applyFont="1" applyFill="1" applyBorder="1"/>
    <xf numFmtId="43" fontId="4" fillId="0" borderId="1" xfId="1" applyFont="1" applyBorder="1" applyAlignment="1">
      <alignment horizontal="left"/>
    </xf>
    <xf numFmtId="14" fontId="77" fillId="0" borderId="2" xfId="0" applyNumberFormat="1" applyFont="1" applyFill="1" applyBorder="1"/>
    <xf numFmtId="0" fontId="77" fillId="0" borderId="2" xfId="0" applyFont="1" applyFill="1" applyBorder="1"/>
    <xf numFmtId="165" fontId="22" fillId="0" borderId="9" xfId="0" applyNumberFormat="1" applyFont="1" applyBorder="1" applyAlignment="1">
      <alignment horizontal="right"/>
    </xf>
    <xf numFmtId="14" fontId="98" fillId="0" borderId="1" xfId="0" applyNumberFormat="1" applyFont="1" applyBorder="1"/>
    <xf numFmtId="0" fontId="89" fillId="0" borderId="1" xfId="0" applyFont="1" applyFill="1" applyBorder="1"/>
    <xf numFmtId="0" fontId="109" fillId="0" borderId="1" xfId="0" applyFont="1" applyBorder="1"/>
    <xf numFmtId="16" fontId="0" fillId="0" borderId="0" xfId="0" applyNumberFormat="1"/>
    <xf numFmtId="0" fontId="3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48" fillId="0" borderId="0" xfId="0" applyFont="1" applyAlignment="1">
      <alignment horizontal="center" vertical="top" wrapText="1" readingOrder="1"/>
    </xf>
    <xf numFmtId="0" fontId="49" fillId="0" borderId="0" xfId="0" applyFont="1" applyAlignment="1">
      <alignment horizontal="left" vertical="top" wrapText="1" readingOrder="1"/>
    </xf>
    <xf numFmtId="0" fontId="50" fillId="0" borderId="0" xfId="0" applyFont="1" applyAlignment="1">
      <alignment horizontal="left" vertical="top" wrapText="1" readingOrder="1"/>
    </xf>
    <xf numFmtId="0" fontId="54" fillId="4" borderId="0" xfId="0" applyFont="1" applyFill="1" applyAlignment="1">
      <alignment horizontal="left" vertical="top" wrapText="1" readingOrder="1"/>
    </xf>
    <xf numFmtId="0" fontId="66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51" fillId="0" borderId="0" xfId="0" applyFont="1" applyAlignment="1">
      <alignment horizontal="left" vertical="top" wrapText="1" readingOrder="1"/>
    </xf>
    <xf numFmtId="0" fontId="64" fillId="4" borderId="0" xfId="0" applyFont="1" applyFill="1" applyAlignment="1">
      <alignment horizontal="left" vertical="top" wrapText="1" readingOrder="1"/>
    </xf>
    <xf numFmtId="0" fontId="65" fillId="4" borderId="0" xfId="0" applyFont="1" applyFill="1" applyAlignment="1">
      <alignment horizontal="left" vertical="top" wrapText="1" readingOrder="1"/>
    </xf>
    <xf numFmtId="0" fontId="61" fillId="0" borderId="0" xfId="0" applyFont="1" applyAlignment="1">
      <alignment horizontal="left" vertical="top" wrapText="1" readingOrder="1"/>
    </xf>
    <xf numFmtId="0" fontId="62" fillId="0" borderId="0" xfId="0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0" fontId="56" fillId="0" borderId="0" xfId="0" applyFont="1" applyAlignment="1">
      <alignment horizontal="left" vertical="top" wrapText="1"/>
    </xf>
    <xf numFmtId="0" fontId="59" fillId="0" borderId="0" xfId="0" applyFont="1" applyAlignment="1">
      <alignment horizontal="left" vertical="top" wrapText="1" readingOrder="1"/>
    </xf>
    <xf numFmtId="0" fontId="53" fillId="0" borderId="0" xfId="0" applyFont="1" applyAlignment="1">
      <alignment horizontal="left" vertical="top" wrapText="1" readingOrder="1"/>
    </xf>
    <xf numFmtId="0" fontId="55" fillId="0" borderId="0" xfId="0" applyFont="1" applyAlignment="1">
      <alignment horizontal="left" vertical="top" wrapText="1" readingOrder="1"/>
    </xf>
    <xf numFmtId="3" fontId="54" fillId="0" borderId="0" xfId="0" applyNumberFormat="1" applyFont="1" applyAlignment="1">
      <alignment horizontal="left" vertical="top" wrapText="1"/>
    </xf>
    <xf numFmtId="0" fontId="68" fillId="0" borderId="0" xfId="0" applyFont="1" applyAlignment="1">
      <alignment horizontal="left" vertical="top" wrapText="1" readingOrder="1"/>
    </xf>
    <xf numFmtId="0" fontId="69" fillId="0" borderId="0" xfId="0" applyFont="1" applyAlignment="1">
      <alignment horizontal="left" vertical="top" wrapText="1"/>
    </xf>
    <xf numFmtId="0" fontId="69" fillId="0" borderId="0" xfId="0" applyFont="1" applyAlignment="1">
      <alignment horizontal="left" vertical="top" wrapText="1" readingOrder="1"/>
    </xf>
    <xf numFmtId="0" fontId="71" fillId="4" borderId="0" xfId="0" applyFont="1" applyFill="1" applyAlignment="1">
      <alignment horizontal="left" vertical="top" wrapText="1" readingOrder="1"/>
    </xf>
    <xf numFmtId="0" fontId="72" fillId="4" borderId="0" xfId="0" applyFont="1" applyFill="1" applyAlignment="1">
      <alignment horizontal="left" vertical="top" wrapText="1" readingOrder="1"/>
    </xf>
    <xf numFmtId="0" fontId="73" fillId="0" borderId="0" xfId="0" applyFont="1" applyAlignment="1">
      <alignment horizontal="left" vertical="top" wrapText="1"/>
    </xf>
    <xf numFmtId="0" fontId="74" fillId="0" borderId="0" xfId="0" applyFont="1" applyAlignment="1">
      <alignment horizontal="left" vertical="top" wrapText="1"/>
    </xf>
    <xf numFmtId="37" fontId="73" fillId="0" borderId="0" xfId="0" applyNumberFormat="1" applyFont="1" applyAlignment="1">
      <alignment horizontal="left" vertical="top" wrapText="1"/>
    </xf>
    <xf numFmtId="3" fontId="73" fillId="0" borderId="0" xfId="0" applyNumberFormat="1" applyFont="1" applyAlignment="1">
      <alignment horizontal="left" vertical="top" wrapText="1"/>
    </xf>
    <xf numFmtId="3" fontId="75" fillId="0" borderId="0" xfId="0" applyNumberFormat="1" applyFont="1" applyAlignment="1">
      <alignment horizontal="left" vertical="top" wrapText="1"/>
    </xf>
    <xf numFmtId="15" fontId="76" fillId="0" borderId="0" xfId="0" applyNumberFormat="1" applyFont="1" applyAlignment="1">
      <alignment horizontal="left" vertical="top" wrapText="1"/>
    </xf>
    <xf numFmtId="3" fontId="72" fillId="0" borderId="0" xfId="0" applyNumberFormat="1" applyFont="1" applyAlignment="1">
      <alignment horizontal="left" vertical="top" wrapText="1"/>
    </xf>
    <xf numFmtId="0" fontId="71" fillId="0" borderId="0" xfId="0" applyFont="1" applyAlignment="1">
      <alignment horizontal="left" vertical="top" wrapText="1" readingOrder="1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worksheet" Target="worksheets/sheet67.xml"/><Relationship Id="rId76" Type="http://schemas.openxmlformats.org/officeDocument/2006/relationships/worksheet" Target="worksheets/sheet75.xml"/><Relationship Id="rId84" Type="http://schemas.openxmlformats.org/officeDocument/2006/relationships/worksheet" Target="worksheets/sheet83.xml"/><Relationship Id="rId89" Type="http://schemas.openxmlformats.org/officeDocument/2006/relationships/worksheet" Target="worksheets/sheet88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0.xml"/><Relationship Id="rId92" Type="http://schemas.openxmlformats.org/officeDocument/2006/relationships/worksheet" Target="worksheets/sheet9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worksheet" Target="worksheets/sheet65.xml"/><Relationship Id="rId74" Type="http://schemas.openxmlformats.org/officeDocument/2006/relationships/worksheet" Target="worksheets/sheet73.xml"/><Relationship Id="rId79" Type="http://schemas.openxmlformats.org/officeDocument/2006/relationships/worksheet" Target="worksheets/sheet78.xml"/><Relationship Id="rId87" Type="http://schemas.openxmlformats.org/officeDocument/2006/relationships/worksheet" Target="worksheets/sheet8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0.xml"/><Relationship Id="rId82" Type="http://schemas.openxmlformats.org/officeDocument/2006/relationships/worksheet" Target="worksheets/sheet81.xml"/><Relationship Id="rId90" Type="http://schemas.openxmlformats.org/officeDocument/2006/relationships/worksheet" Target="worksheets/sheet89.xml"/><Relationship Id="rId95" Type="http://schemas.openxmlformats.org/officeDocument/2006/relationships/worksheet" Target="worksheets/sheet9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69" Type="http://schemas.openxmlformats.org/officeDocument/2006/relationships/worksheet" Target="worksheets/sheet68.xml"/><Relationship Id="rId77" Type="http://schemas.openxmlformats.org/officeDocument/2006/relationships/worksheet" Target="worksheets/sheet76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0.xml"/><Relationship Id="rId72" Type="http://schemas.openxmlformats.org/officeDocument/2006/relationships/worksheet" Target="worksheets/sheet71.xml"/><Relationship Id="rId80" Type="http://schemas.openxmlformats.org/officeDocument/2006/relationships/worksheet" Target="worksheets/sheet79.xml"/><Relationship Id="rId85" Type="http://schemas.openxmlformats.org/officeDocument/2006/relationships/worksheet" Target="worksheets/sheet84.xml"/><Relationship Id="rId93" Type="http://schemas.openxmlformats.org/officeDocument/2006/relationships/worksheet" Target="worksheets/sheet92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worksheet" Target="worksheets/sheet6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Relationship Id="rId70" Type="http://schemas.openxmlformats.org/officeDocument/2006/relationships/worksheet" Target="worksheets/sheet69.xml"/><Relationship Id="rId75" Type="http://schemas.openxmlformats.org/officeDocument/2006/relationships/worksheet" Target="worksheets/sheet74.xml"/><Relationship Id="rId83" Type="http://schemas.openxmlformats.org/officeDocument/2006/relationships/worksheet" Target="worksheets/sheet82.xml"/><Relationship Id="rId88" Type="http://schemas.openxmlformats.org/officeDocument/2006/relationships/worksheet" Target="worksheets/sheet87.xml"/><Relationship Id="rId91" Type="http://schemas.openxmlformats.org/officeDocument/2006/relationships/worksheet" Target="worksheets/sheet90.xml"/><Relationship Id="rId96" Type="http://schemas.openxmlformats.org/officeDocument/2006/relationships/worksheet" Target="worksheets/sheet9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chartsheet" Target="chartsheets/sheet1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73" Type="http://schemas.openxmlformats.org/officeDocument/2006/relationships/worksheet" Target="worksheets/sheet72.xml"/><Relationship Id="rId78" Type="http://schemas.openxmlformats.org/officeDocument/2006/relationships/worksheet" Target="worksheets/sheet77.xml"/><Relationship Id="rId81" Type="http://schemas.openxmlformats.org/officeDocument/2006/relationships/worksheet" Target="worksheets/sheet80.xml"/><Relationship Id="rId86" Type="http://schemas.openxmlformats.org/officeDocument/2006/relationships/worksheet" Target="worksheets/sheet85.xml"/><Relationship Id="rId94" Type="http://schemas.openxmlformats.org/officeDocument/2006/relationships/worksheet" Target="worksheets/sheet93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'SEPTEMBER 2017'!$H$212:$H$217</c:f>
              <c:numCache>
                <c:formatCode>_(* #,##0.00_);_(* \(#,##0.00\);_(* "-"??_);_(@_)</c:formatCode>
                <c:ptCount val="6"/>
                <c:pt idx="0">
                  <c:v>1250</c:v>
                </c:pt>
                <c:pt idx="1">
                  <c:v>4950</c:v>
                </c:pt>
                <c:pt idx="2" formatCode="#,##0">
                  <c:v>4000</c:v>
                </c:pt>
                <c:pt idx="3">
                  <c:v>9000</c:v>
                </c:pt>
                <c:pt idx="4">
                  <c:v>19200</c:v>
                </c:pt>
                <c:pt idx="5">
                  <c:v>-6699.9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F0-4C8C-977C-48E8B848E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066432"/>
        <c:axId val="80067968"/>
      </c:barChart>
      <c:catAx>
        <c:axId val="8006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80067968"/>
        <c:crosses val="autoZero"/>
        <c:auto val="1"/>
        <c:lblAlgn val="ctr"/>
        <c:lblOffset val="100"/>
        <c:noMultiLvlLbl val="0"/>
      </c:catAx>
      <c:valAx>
        <c:axId val="800679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80066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504825</xdr:colOff>
      <xdr:row>4</xdr:row>
      <xdr:rowOff>28576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9</xdr:col>
      <xdr:colOff>485775</xdr:colOff>
      <xdr:row>3</xdr:row>
      <xdr:rowOff>114300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276225</xdr:colOff>
      <xdr:row>3</xdr:row>
      <xdr:rowOff>19050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76200</xdr:colOff>
      <xdr:row>4</xdr:row>
      <xdr:rowOff>57151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0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123825</xdr:colOff>
      <xdr:row>4</xdr:row>
      <xdr:rowOff>171450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5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76200</xdr:colOff>
      <xdr:row>5</xdr:row>
      <xdr:rowOff>95250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6</xdr:row>
      <xdr:rowOff>66676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3</xdr:row>
      <xdr:rowOff>123825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19050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2</xdr:row>
      <xdr:rowOff>200025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57150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1</xdr:col>
      <xdr:colOff>161925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0</xdr:col>
      <xdr:colOff>771525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885825" cy="5048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502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866774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2</xdr:col>
      <xdr:colOff>19050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47625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257175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152399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190502"/>
          <a:ext cx="1162050" cy="7238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114300</xdr:colOff>
      <xdr:row>3</xdr:row>
      <xdr:rowOff>171450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6" cy="9620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142874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361952"/>
          <a:ext cx="1162050" cy="89534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723900</xdr:colOff>
      <xdr:row>3</xdr:row>
      <xdr:rowOff>47625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533401" cy="676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</xdr:rowOff>
    </xdr:from>
    <xdr:to>
      <xdr:col>8</xdr:col>
      <xdr:colOff>552450</xdr:colOff>
      <xdr:row>4</xdr:row>
      <xdr:rowOff>133349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550" y="361952"/>
          <a:ext cx="1162050" cy="7238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314327</xdr:rowOff>
    </xdr:from>
    <xdr:to>
      <xdr:col>1</xdr:col>
      <xdr:colOff>317797</xdr:colOff>
      <xdr:row>2</xdr:row>
      <xdr:rowOff>125749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314327"/>
          <a:ext cx="1162050" cy="70484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76202</xdr:rowOff>
    </xdr:from>
    <xdr:to>
      <xdr:col>0</xdr:col>
      <xdr:colOff>717847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33</xdr:row>
      <xdr:rowOff>76202</xdr:rowOff>
    </xdr:from>
    <xdr:to>
      <xdr:col>0</xdr:col>
      <xdr:colOff>613072</xdr:colOff>
      <xdr:row>35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29</xdr:row>
      <xdr:rowOff>76202</xdr:rowOff>
    </xdr:from>
    <xdr:to>
      <xdr:col>0</xdr:col>
      <xdr:colOff>613072</xdr:colOff>
      <xdr:row>31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457952"/>
          <a:ext cx="527347" cy="31624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133352</xdr:rowOff>
    </xdr:from>
    <xdr:to>
      <xdr:col>1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30</xdr:row>
      <xdr:rowOff>76202</xdr:rowOff>
    </xdr:from>
    <xdr:to>
      <xdr:col>1</xdr:col>
      <xdr:colOff>613072</xdr:colOff>
      <xdr:row>32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695952"/>
          <a:ext cx="527347" cy="31624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</xdr:row>
      <xdr:rowOff>76202</xdr:rowOff>
    </xdr:from>
    <xdr:to>
      <xdr:col>2</xdr:col>
      <xdr:colOff>3472</xdr:colOff>
      <xdr:row>33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5810252"/>
          <a:ext cx="527347" cy="31624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000752"/>
          <a:ext cx="527347" cy="31624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76202</xdr:rowOff>
    </xdr:from>
    <xdr:to>
      <xdr:col>2</xdr:col>
      <xdr:colOff>3472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76202</xdr:rowOff>
    </xdr:from>
    <xdr:to>
      <xdr:col>1</xdr:col>
      <xdr:colOff>613072</xdr:colOff>
      <xdr:row>4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1</xdr:col>
      <xdr:colOff>3472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457202"/>
          <a:ext cx="527347" cy="31624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36</xdr:row>
      <xdr:rowOff>104777</xdr:rowOff>
    </xdr:from>
    <xdr:to>
      <xdr:col>0</xdr:col>
      <xdr:colOff>613072</xdr:colOff>
      <xdr:row>38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11" name="Picture 10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104777</xdr:rowOff>
    </xdr:from>
    <xdr:to>
      <xdr:col>0</xdr:col>
      <xdr:colOff>613072</xdr:colOff>
      <xdr:row>37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7913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0</xdr:col>
      <xdr:colOff>613072</xdr:colOff>
      <xdr:row>69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1</xdr:col>
      <xdr:colOff>3472</xdr:colOff>
      <xdr:row>69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1</xdr:col>
      <xdr:colOff>3472</xdr:colOff>
      <xdr:row>70</xdr:row>
      <xdr:rowOff>40024</xdr:rowOff>
    </xdr:to>
    <xdr:pic>
      <xdr:nvPicPr>
        <xdr:cNvPr id="10" name="Picture 9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670222</xdr:colOff>
      <xdr:row>2</xdr:row>
      <xdr:rowOff>116224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102</xdr:row>
      <xdr:rowOff>2</xdr:rowOff>
    </xdr:from>
    <xdr:to>
      <xdr:col>0</xdr:col>
      <xdr:colOff>651172</xdr:colOff>
      <xdr:row>103</xdr:row>
      <xdr:rowOff>125749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38102</xdr:rowOff>
    </xdr:from>
    <xdr:to>
      <xdr:col>0</xdr:col>
      <xdr:colOff>698797</xdr:colOff>
      <xdr:row>35</xdr:row>
      <xdr:rowOff>163849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106</xdr:row>
      <xdr:rowOff>2</xdr:rowOff>
    </xdr:from>
    <xdr:to>
      <xdr:col>0</xdr:col>
      <xdr:colOff>613072</xdr:colOff>
      <xdr:row>107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</xdr:row>
      <xdr:rowOff>142877</xdr:rowOff>
    </xdr:from>
    <xdr:to>
      <xdr:col>0</xdr:col>
      <xdr:colOff>574972</xdr:colOff>
      <xdr:row>42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7160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75</xdr:row>
      <xdr:rowOff>2</xdr:rowOff>
    </xdr:from>
    <xdr:to>
      <xdr:col>0</xdr:col>
      <xdr:colOff>613072</xdr:colOff>
      <xdr:row>76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202501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159</xdr:row>
      <xdr:rowOff>2</xdr:rowOff>
    </xdr:from>
    <xdr:to>
      <xdr:col>0</xdr:col>
      <xdr:colOff>613072</xdr:colOff>
      <xdr:row>160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52152"/>
          <a:ext cx="489247" cy="316247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36</xdr:row>
      <xdr:rowOff>38102</xdr:rowOff>
    </xdr:from>
    <xdr:to>
      <xdr:col>0</xdr:col>
      <xdr:colOff>613072</xdr:colOff>
      <xdr:row>37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70</xdr:row>
      <xdr:rowOff>142877</xdr:rowOff>
    </xdr:from>
    <xdr:to>
      <xdr:col>0</xdr:col>
      <xdr:colOff>574972</xdr:colOff>
      <xdr:row>72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7696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98</xdr:row>
      <xdr:rowOff>2</xdr:rowOff>
    </xdr:from>
    <xdr:to>
      <xdr:col>0</xdr:col>
      <xdr:colOff>613072</xdr:colOff>
      <xdr:row>99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42303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193</xdr:row>
      <xdr:rowOff>2</xdr:rowOff>
    </xdr:from>
    <xdr:to>
      <xdr:col>0</xdr:col>
      <xdr:colOff>613072</xdr:colOff>
      <xdr:row>194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05562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18</xdr:col>
      <xdr:colOff>152400</xdr:colOff>
      <xdr:row>2</xdr:row>
      <xdr:rowOff>0</xdr:rowOff>
    </xdr:to>
    <xdr:pic>
      <xdr:nvPicPr>
        <xdr:cNvPr id="9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29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3422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207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214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7204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38</xdr:row>
      <xdr:rowOff>38102</xdr:rowOff>
    </xdr:from>
    <xdr:to>
      <xdr:col>0</xdr:col>
      <xdr:colOff>613072</xdr:colOff>
      <xdr:row>39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72</xdr:row>
      <xdr:rowOff>142877</xdr:rowOff>
    </xdr:from>
    <xdr:to>
      <xdr:col>0</xdr:col>
      <xdr:colOff>574972</xdr:colOff>
      <xdr:row>74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2</xdr:rowOff>
    </xdr:from>
    <xdr:to>
      <xdr:col>0</xdr:col>
      <xdr:colOff>613072</xdr:colOff>
      <xdr:row>101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190</xdr:row>
      <xdr:rowOff>2</xdr:rowOff>
    </xdr:from>
    <xdr:to>
      <xdr:col>0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38442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34</xdr:row>
      <xdr:rowOff>38102</xdr:rowOff>
    </xdr:from>
    <xdr:to>
      <xdr:col>0</xdr:col>
      <xdr:colOff>613072</xdr:colOff>
      <xdr:row>35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96</xdr:row>
      <xdr:rowOff>2</xdr:rowOff>
    </xdr:from>
    <xdr:to>
      <xdr:col>0</xdr:col>
      <xdr:colOff>613072</xdr:colOff>
      <xdr:row>97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521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43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230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84308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189</xdr:row>
      <xdr:rowOff>2</xdr:rowOff>
    </xdr:from>
    <xdr:to>
      <xdr:col>1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190</xdr:row>
      <xdr:rowOff>2</xdr:rowOff>
    </xdr:from>
    <xdr:to>
      <xdr:col>1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101</xdr:row>
      <xdr:rowOff>20972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191</xdr:row>
      <xdr:rowOff>2</xdr:rowOff>
    </xdr:from>
    <xdr:to>
      <xdr:col>0</xdr:col>
      <xdr:colOff>613072</xdr:colOff>
      <xdr:row>192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614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686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4373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100</xdr:row>
      <xdr:rowOff>211472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240500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187</xdr:row>
      <xdr:rowOff>2</xdr:rowOff>
    </xdr:from>
    <xdr:to>
      <xdr:col>0</xdr:col>
      <xdr:colOff>613072</xdr:colOff>
      <xdr:row>188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8522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B1" workbookViewId="0">
      <selection activeCell="H27" sqref="H27"/>
    </sheetView>
  </sheetViews>
  <sheetFormatPr defaultRowHeight="15" x14ac:dyDescent="0.25"/>
  <cols>
    <col min="1" max="1" width="18.85546875" customWidth="1"/>
    <col min="2" max="2" width="5.5703125" customWidth="1"/>
    <col min="3" max="3" width="7.85546875" customWidth="1"/>
    <col min="4" max="4" width="10.5703125" customWidth="1"/>
    <col min="5" max="5" width="7.5703125" customWidth="1"/>
    <col min="6" max="6" width="6" customWidth="1"/>
    <col min="7" max="7" width="9.85546875" customWidth="1"/>
    <col min="8" max="8" width="13.140625" customWidth="1"/>
    <col min="9" max="9" width="13.85546875" customWidth="1"/>
  </cols>
  <sheetData>
    <row r="1" spans="1:18" ht="23.2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8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8" ht="15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8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8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8" s="9" customForma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8" ht="18" customHeight="1" x14ac:dyDescent="0.25">
      <c r="A7" s="24"/>
      <c r="B7" s="24"/>
      <c r="C7" s="24"/>
      <c r="D7" s="30"/>
      <c r="E7" s="30"/>
      <c r="F7" s="31" t="s">
        <v>29</v>
      </c>
      <c r="G7" s="30"/>
      <c r="H7" s="30"/>
      <c r="I7" s="24"/>
      <c r="J7" s="24"/>
      <c r="K7" s="29"/>
      <c r="L7" s="29"/>
      <c r="M7" s="9"/>
      <c r="N7" s="9"/>
      <c r="O7" s="9"/>
      <c r="P7" s="9"/>
    </row>
    <row r="8" spans="1:18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54"/>
      <c r="O8" s="54"/>
      <c r="P8" s="54"/>
      <c r="Q8" s="54"/>
      <c r="R8" s="54"/>
    </row>
    <row r="9" spans="1:18" s="9" customFormat="1" ht="12" customHeight="1" x14ac:dyDescent="0.25">
      <c r="A9" s="43" t="s">
        <v>21</v>
      </c>
      <c r="B9" s="3">
        <v>1</v>
      </c>
      <c r="C9" s="44"/>
      <c r="D9" s="44"/>
      <c r="E9" s="44"/>
      <c r="F9" s="2"/>
      <c r="G9" s="46"/>
      <c r="H9" s="46"/>
      <c r="I9" s="2"/>
      <c r="J9" s="2"/>
      <c r="K9" s="2"/>
      <c r="L9" s="48"/>
      <c r="N9" s="54"/>
      <c r="O9" s="54"/>
      <c r="P9" s="54"/>
      <c r="Q9" s="54"/>
      <c r="R9" s="54"/>
    </row>
    <row r="10" spans="1:18" s="9" customFormat="1" ht="12" customHeight="1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8"/>
      <c r="N10" s="54"/>
      <c r="O10" s="54"/>
      <c r="P10" s="54"/>
      <c r="Q10" s="54"/>
      <c r="R10" s="54"/>
    </row>
    <row r="11" spans="1:18" s="9" customFormat="1" ht="12" customHeight="1" x14ac:dyDescent="0.25">
      <c r="A11" s="43" t="s">
        <v>38</v>
      </c>
      <c r="B11" s="3">
        <v>3</v>
      </c>
      <c r="C11" s="44"/>
      <c r="D11" s="44"/>
      <c r="E11" s="44"/>
      <c r="F11" s="44"/>
      <c r="G11" s="46">
        <v>1800</v>
      </c>
      <c r="H11" s="46">
        <v>1773</v>
      </c>
      <c r="I11" s="2"/>
      <c r="J11" s="2"/>
      <c r="K11" s="44"/>
      <c r="L11" s="47">
        <v>27</v>
      </c>
      <c r="N11" s="54"/>
      <c r="O11" s="54"/>
      <c r="P11" s="54"/>
      <c r="Q11" s="54"/>
      <c r="R11" s="54"/>
    </row>
    <row r="12" spans="1:18" s="9" customFormat="1" ht="12" customHeight="1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46">
        <v>1800</v>
      </c>
      <c r="I12" s="2"/>
      <c r="J12" s="2"/>
      <c r="K12" s="44"/>
      <c r="L12" s="47"/>
      <c r="N12" s="54"/>
      <c r="O12" s="54"/>
      <c r="P12" s="54"/>
      <c r="Q12" s="54"/>
      <c r="R12" s="54"/>
    </row>
    <row r="13" spans="1:18" s="9" customFormat="1" ht="12" customHeight="1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>
        <v>1500</v>
      </c>
      <c r="I13" s="2"/>
      <c r="J13" s="2"/>
      <c r="K13" s="44"/>
      <c r="L13" s="47">
        <v>300</v>
      </c>
      <c r="N13" s="54"/>
      <c r="O13" s="54"/>
      <c r="P13" s="54"/>
      <c r="Q13" s="54"/>
      <c r="R13" s="54"/>
    </row>
    <row r="14" spans="1:18" s="9" customFormat="1" ht="12" customHeight="1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/>
      <c r="N14" s="54"/>
      <c r="O14" s="54"/>
      <c r="P14" s="54"/>
      <c r="Q14" s="54"/>
      <c r="R14" s="54"/>
    </row>
    <row r="15" spans="1:18" s="9" customFormat="1" ht="12" customHeight="1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46">
        <v>1800</v>
      </c>
      <c r="I15" s="2"/>
      <c r="J15" s="2"/>
      <c r="K15" s="44"/>
      <c r="L15" s="48"/>
      <c r="N15" s="54"/>
      <c r="O15" s="54"/>
      <c r="P15" s="54"/>
      <c r="Q15" s="54"/>
      <c r="R15" s="54"/>
    </row>
    <row r="16" spans="1:18" s="9" customFormat="1" ht="12" customHeight="1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8"/>
      <c r="N16" s="54"/>
      <c r="O16" s="54"/>
      <c r="P16" s="54"/>
      <c r="Q16" s="54"/>
      <c r="R16" s="54"/>
    </row>
    <row r="17" spans="1:18" s="9" customFormat="1" ht="12" customHeight="1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8"/>
      <c r="N17" s="54"/>
      <c r="O17" s="54"/>
      <c r="P17" s="54"/>
      <c r="Q17" s="54"/>
      <c r="R17" s="54"/>
    </row>
    <row r="18" spans="1:18" s="9" customFormat="1" ht="12" customHeight="1" x14ac:dyDescent="0.25">
      <c r="A18" s="45" t="s">
        <v>41</v>
      </c>
      <c r="B18" s="3">
        <v>10</v>
      </c>
      <c r="C18" s="44"/>
      <c r="D18" s="44"/>
      <c r="E18" s="44"/>
      <c r="F18" s="44"/>
      <c r="G18" s="46">
        <v>1800</v>
      </c>
      <c r="H18" s="46"/>
      <c r="I18" s="2"/>
      <c r="J18" s="2"/>
      <c r="K18" s="44"/>
      <c r="L18" s="48"/>
      <c r="N18" s="54"/>
      <c r="O18" s="54"/>
      <c r="P18" s="54"/>
      <c r="Q18" s="54"/>
      <c r="R18" s="54"/>
    </row>
    <row r="19" spans="1:18" s="9" customFormat="1" ht="12" customHeight="1" x14ac:dyDescent="0.25">
      <c r="A19" s="43" t="s">
        <v>42</v>
      </c>
      <c r="B19" s="3">
        <v>11</v>
      </c>
      <c r="C19" s="44"/>
      <c r="D19" s="44"/>
      <c r="E19" s="44"/>
      <c r="F19" s="44"/>
      <c r="G19" s="46">
        <v>1800</v>
      </c>
      <c r="H19" s="46">
        <v>2000</v>
      </c>
      <c r="I19" s="2"/>
      <c r="J19" s="2"/>
      <c r="K19" s="44"/>
      <c r="L19" s="48"/>
      <c r="N19" s="54"/>
      <c r="O19" s="54"/>
      <c r="P19" s="54"/>
      <c r="Q19" s="54"/>
      <c r="R19" s="54"/>
    </row>
    <row r="20" spans="1:18" s="9" customFormat="1" ht="12" customHeight="1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46">
        <v>2000</v>
      </c>
      <c r="I20" s="2"/>
      <c r="J20" s="2"/>
      <c r="K20" s="44"/>
      <c r="L20" s="48"/>
      <c r="N20" s="54"/>
      <c r="O20" s="54"/>
      <c r="P20" s="54"/>
      <c r="Q20" s="54"/>
      <c r="R20" s="54"/>
    </row>
    <row r="21" spans="1:18" s="9" customFormat="1" ht="12" customHeight="1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48"/>
      <c r="N21" s="54"/>
      <c r="O21" s="54"/>
      <c r="P21" s="54"/>
      <c r="Q21" s="54"/>
      <c r="R21" s="54"/>
    </row>
    <row r="22" spans="1:18" s="50" customFormat="1" ht="12" customHeight="1" x14ac:dyDescent="0.25">
      <c r="A22" s="47"/>
      <c r="B22" s="16"/>
      <c r="C22" s="48"/>
      <c r="D22" s="48"/>
      <c r="E22" s="48"/>
      <c r="F22" s="46"/>
      <c r="G22" s="46">
        <f>SUM(G9:G21)</f>
        <v>18200</v>
      </c>
      <c r="H22" s="46">
        <f>SUM(H9:H20)</f>
        <v>16273</v>
      </c>
      <c r="I22" s="46"/>
      <c r="J22" s="46"/>
      <c r="K22" s="46"/>
      <c r="L22" s="49">
        <f>SUM(L9:L20)</f>
        <v>327</v>
      </c>
      <c r="M22" s="9"/>
      <c r="N22" s="54"/>
      <c r="O22" s="54"/>
      <c r="P22" s="54"/>
      <c r="Q22" s="54"/>
      <c r="R22" s="54"/>
    </row>
    <row r="23" spans="1:18" x14ac:dyDescent="0.25">
      <c r="A23" s="36" t="s">
        <v>28</v>
      </c>
      <c r="B23" s="17"/>
      <c r="C23" s="9"/>
      <c r="D23" s="32">
        <f>SUM(H22)</f>
        <v>16273</v>
      </c>
      <c r="E23" s="9"/>
      <c r="J23" s="9"/>
      <c r="K23" s="15"/>
      <c r="L23" s="14"/>
      <c r="M23" s="9"/>
      <c r="N23" s="54"/>
      <c r="O23" s="54"/>
      <c r="P23" s="54"/>
      <c r="Q23" s="54"/>
      <c r="R23" s="54"/>
    </row>
    <row r="24" spans="1:18" s="9" customFormat="1" x14ac:dyDescent="0.25">
      <c r="A24" s="36"/>
      <c r="B24" s="17"/>
      <c r="D24" s="32"/>
      <c r="F24" s="37"/>
      <c r="I24" s="34"/>
      <c r="K24" s="15"/>
      <c r="L24" s="14"/>
      <c r="N24" s="54"/>
      <c r="O24" s="54"/>
      <c r="P24" s="54"/>
      <c r="Q24" s="54"/>
      <c r="R24" s="54"/>
    </row>
    <row r="25" spans="1:18" s="9" customFormat="1" ht="18" x14ac:dyDescent="0.4">
      <c r="A25" s="36" t="s">
        <v>2</v>
      </c>
      <c r="B25" s="17"/>
      <c r="D25" s="32">
        <f>SUM(D23:D24)</f>
        <v>16273</v>
      </c>
      <c r="F25" s="51" t="s">
        <v>27</v>
      </c>
      <c r="G25" s="40"/>
      <c r="H25" s="40"/>
      <c r="I25" s="41">
        <f>SUM(D32)</f>
        <v>3845.7000000000007</v>
      </c>
      <c r="K25" s="15"/>
      <c r="L25" s="14"/>
      <c r="N25" s="54"/>
      <c r="O25" s="54"/>
      <c r="P25" s="54"/>
      <c r="Q25" s="54"/>
      <c r="R25" s="54"/>
    </row>
    <row r="26" spans="1:18" x14ac:dyDescent="0.25">
      <c r="A26" s="36" t="s">
        <v>31</v>
      </c>
      <c r="B26" s="9"/>
      <c r="C26" s="9"/>
      <c r="D26" s="23">
        <f>SUM(D23-D27)</f>
        <v>14645.7</v>
      </c>
      <c r="E26" s="9"/>
      <c r="F26" s="37"/>
      <c r="G26" s="9"/>
      <c r="H26" s="9"/>
      <c r="I26" s="33"/>
      <c r="J26" s="9"/>
      <c r="K26" s="15"/>
      <c r="L26" s="14"/>
      <c r="M26" s="9"/>
      <c r="N26" s="54"/>
      <c r="O26" s="54"/>
      <c r="P26" s="54"/>
      <c r="Q26" s="55"/>
      <c r="R26" s="55"/>
    </row>
    <row r="27" spans="1:18" x14ac:dyDescent="0.25">
      <c r="A27" s="36" t="s">
        <v>22</v>
      </c>
      <c r="B27" s="17"/>
      <c r="C27" s="9"/>
      <c r="D27" s="34">
        <f>SUM(D23*10%)</f>
        <v>1627.3000000000002</v>
      </c>
      <c r="E27" s="9"/>
      <c r="F27" s="37"/>
      <c r="G27" s="9"/>
      <c r="H27" s="9"/>
      <c r="I27" s="33"/>
      <c r="J27" s="9"/>
      <c r="K27" s="14"/>
      <c r="L27" s="14"/>
      <c r="M27" s="9"/>
      <c r="N27" s="9"/>
      <c r="O27" s="9"/>
      <c r="P27" s="9"/>
    </row>
    <row r="28" spans="1:18" x14ac:dyDescent="0.25">
      <c r="A28" s="36" t="s">
        <v>23</v>
      </c>
      <c r="B28" s="17"/>
      <c r="C28" s="9"/>
      <c r="D28" s="34">
        <v>1800</v>
      </c>
      <c r="E28" s="9"/>
      <c r="M28" s="9"/>
      <c r="N28" s="9"/>
      <c r="O28" s="9"/>
      <c r="P28" s="9"/>
    </row>
    <row r="29" spans="1:18" s="9" customFormat="1" x14ac:dyDescent="0.25">
      <c r="A29" s="36" t="s">
        <v>44</v>
      </c>
      <c r="B29" s="17"/>
      <c r="D29" s="34">
        <v>9000</v>
      </c>
    </row>
    <row r="30" spans="1:18" x14ac:dyDescent="0.25">
      <c r="A30" s="37" t="s">
        <v>2</v>
      </c>
      <c r="B30" s="17"/>
      <c r="C30" s="9"/>
      <c r="D30" s="35">
        <f>SUM(D27:D29)</f>
        <v>12427.3</v>
      </c>
      <c r="E30" s="9"/>
      <c r="M30" s="9"/>
      <c r="N30" s="9"/>
    </row>
    <row r="31" spans="1:18" s="9" customFormat="1" x14ac:dyDescent="0.25">
      <c r="A31" s="37"/>
      <c r="B31" s="17"/>
      <c r="D31" s="35"/>
    </row>
    <row r="32" spans="1:18" x14ac:dyDescent="0.25">
      <c r="A32" s="37" t="s">
        <v>26</v>
      </c>
      <c r="B32" s="17"/>
      <c r="C32" s="9"/>
      <c r="D32" s="35">
        <f>SUM(D25-D30)</f>
        <v>3845.7000000000007</v>
      </c>
      <c r="E32" s="9"/>
      <c r="M32" s="9"/>
      <c r="N32" s="9"/>
    </row>
    <row r="33" spans="1:14" x14ac:dyDescent="0.25">
      <c r="A33" s="9"/>
      <c r="B33" s="9"/>
      <c r="C33" s="9"/>
      <c r="D33" s="9"/>
      <c r="E33" s="9"/>
      <c r="F33" s="18" t="s">
        <v>15</v>
      </c>
      <c r="G33" s="19"/>
      <c r="I33" s="42" t="s">
        <v>16</v>
      </c>
      <c r="J33" s="18"/>
      <c r="K33" s="18" t="s">
        <v>17</v>
      </c>
      <c r="L33" s="14"/>
      <c r="M33" s="9"/>
      <c r="N33" s="9"/>
    </row>
    <row r="34" spans="1:14" x14ac:dyDescent="0.25">
      <c r="A34" s="9"/>
      <c r="F34" s="9"/>
      <c r="G34" s="9"/>
      <c r="H34" s="9"/>
      <c r="I34" s="9"/>
      <c r="J34" s="9"/>
      <c r="K34" s="9"/>
      <c r="L34" s="14"/>
      <c r="M34" s="9"/>
      <c r="N34" s="9"/>
    </row>
    <row r="35" spans="1:14" x14ac:dyDescent="0.25">
      <c r="A35" s="9"/>
      <c r="F35" s="38" t="s">
        <v>18</v>
      </c>
      <c r="G35" s="38"/>
      <c r="I35" s="38" t="s">
        <v>19</v>
      </c>
      <c r="J35" s="38"/>
      <c r="K35" s="38" t="s">
        <v>45</v>
      </c>
      <c r="L35" s="9"/>
      <c r="M35" s="9"/>
      <c r="N35" s="9"/>
    </row>
    <row r="36" spans="1:14" x14ac:dyDescent="0.25">
      <c r="A36" s="9"/>
      <c r="F36" s="38" t="s">
        <v>24</v>
      </c>
      <c r="G36" s="39"/>
      <c r="H36" s="9"/>
      <c r="I36" s="39" t="s">
        <v>20</v>
      </c>
      <c r="J36" s="38"/>
      <c r="K36" s="38" t="s">
        <v>25</v>
      </c>
      <c r="L36" s="9"/>
      <c r="M36" s="9"/>
      <c r="N36" s="9"/>
    </row>
    <row r="37" spans="1:14" x14ac:dyDescent="0.25">
      <c r="A37" s="9"/>
      <c r="I37" s="9"/>
      <c r="J37" s="9"/>
      <c r="K37" s="9"/>
      <c r="L37" s="9"/>
      <c r="M37" s="9"/>
      <c r="N37" s="9"/>
    </row>
    <row r="38" spans="1:14" x14ac:dyDescent="0.25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28" sqref="J28"/>
    </sheetView>
  </sheetViews>
  <sheetFormatPr defaultRowHeight="15" x14ac:dyDescent="0.25"/>
  <cols>
    <col min="1" max="1" width="16.28515625" customWidth="1"/>
    <col min="2" max="2" width="5.5703125" customWidth="1"/>
    <col min="8" max="8" width="14.42578125" customWidth="1"/>
    <col min="9" max="9" width="8.5703125" customWidth="1"/>
    <col min="12" max="12" width="9.5703125" bestFit="1" customWidth="1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</row>
    <row r="7" spans="1:12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2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2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7"/>
    </row>
    <row r="11" spans="1:12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</row>
    <row r="12" spans="1:12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</row>
    <row r="13" spans="1:12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</row>
    <row r="14" spans="1:12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 t="s">
        <v>46</v>
      </c>
      <c r="J14" s="2"/>
      <c r="K14" s="44"/>
      <c r="L14" s="47">
        <f>SUM(G14-H14)</f>
        <v>0</v>
      </c>
    </row>
    <row r="15" spans="1:12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</row>
    <row r="16" spans="1:12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1400</v>
      </c>
      <c r="I16" s="2"/>
      <c r="J16" s="2"/>
      <c r="K16" s="44"/>
      <c r="L16" s="47">
        <f>SUM(G16-H16)</f>
        <v>400</v>
      </c>
    </row>
    <row r="17" spans="1:12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46</v>
      </c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>
        <v>2000</v>
      </c>
    </row>
    <row r="21" spans="1:12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</row>
    <row r="22" spans="1:12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18200</v>
      </c>
      <c r="I22" s="46"/>
      <c r="J22" s="46"/>
      <c r="K22" s="46"/>
      <c r="L22" s="49">
        <f>SUM(L9:L20)</f>
        <v>7800</v>
      </c>
    </row>
    <row r="23" spans="1:12" x14ac:dyDescent="0.25">
      <c r="A23" s="36" t="s">
        <v>28</v>
      </c>
      <c r="B23" s="17"/>
      <c r="C23" s="9"/>
      <c r="D23" s="32">
        <f>SUM(H22)</f>
        <v>18200</v>
      </c>
      <c r="E23" s="9"/>
      <c r="F23" s="9"/>
      <c r="G23" s="9"/>
      <c r="H23" s="9"/>
      <c r="I23" s="9"/>
      <c r="J23" s="9"/>
      <c r="K23" s="15"/>
      <c r="L23" s="14"/>
    </row>
    <row r="24" spans="1:12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</row>
    <row r="25" spans="1:12" ht="18" x14ac:dyDescent="0.4">
      <c r="A25" s="36">
        <v>0</v>
      </c>
      <c r="B25" s="17"/>
      <c r="C25" s="9"/>
      <c r="D25" s="32">
        <f>SUM(D23:D24)</f>
        <v>18200</v>
      </c>
      <c r="E25" s="9"/>
      <c r="F25" s="51" t="s">
        <v>27</v>
      </c>
      <c r="G25" s="40"/>
      <c r="H25" s="41">
        <f>SUM(D32)</f>
        <v>11580</v>
      </c>
      <c r="J25" s="9"/>
      <c r="K25" s="15"/>
      <c r="L25" s="14"/>
    </row>
    <row r="26" spans="1:12" x14ac:dyDescent="0.25">
      <c r="A26" s="36" t="s">
        <v>31</v>
      </c>
      <c r="B26" s="9"/>
      <c r="C26" s="9"/>
      <c r="D26" s="23">
        <f>SUM(D23-D27)</f>
        <v>16380</v>
      </c>
      <c r="E26" s="9"/>
      <c r="F26" s="37"/>
      <c r="G26" s="9"/>
      <c r="H26" s="9"/>
      <c r="I26" s="33"/>
      <c r="J26" s="9"/>
      <c r="K26" s="15"/>
      <c r="L26" s="14"/>
    </row>
    <row r="27" spans="1:12" x14ac:dyDescent="0.25">
      <c r="A27" s="36" t="s">
        <v>22</v>
      </c>
      <c r="B27" s="17"/>
      <c r="C27" s="9"/>
      <c r="D27" s="34">
        <f>SUM(D23*10%)</f>
        <v>1820</v>
      </c>
      <c r="E27" s="9"/>
      <c r="F27" s="37"/>
      <c r="G27" s="9"/>
      <c r="H27" s="9"/>
      <c r="I27" s="33"/>
      <c r="J27" s="9"/>
      <c r="K27" s="14"/>
      <c r="L27" s="14"/>
    </row>
    <row r="28" spans="1:12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</row>
    <row r="29" spans="1:12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</row>
    <row r="30" spans="1:12" x14ac:dyDescent="0.25">
      <c r="A30" s="37" t="s">
        <v>2</v>
      </c>
      <c r="B30" s="17"/>
      <c r="C30" s="9"/>
      <c r="D30" s="35">
        <f>SUM(D27:D29)</f>
        <v>6620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</row>
    <row r="31" spans="1:12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</row>
    <row r="32" spans="1:12" x14ac:dyDescent="0.25">
      <c r="A32" s="37" t="s">
        <v>26</v>
      </c>
      <c r="B32" s="17"/>
      <c r="C32" s="9"/>
      <c r="D32" s="35">
        <f>SUM(D25-D30)</f>
        <v>11580</v>
      </c>
      <c r="E32" s="9"/>
      <c r="F32" s="9"/>
      <c r="G32" s="9"/>
      <c r="H32" s="9"/>
      <c r="I32" s="9"/>
      <c r="J32" s="9"/>
      <c r="K32" s="9"/>
      <c r="L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F15" sqref="F15"/>
    </sheetView>
  </sheetViews>
  <sheetFormatPr defaultRowHeight="15" x14ac:dyDescent="0.25"/>
  <cols>
    <col min="1" max="1" width="15" customWidth="1"/>
    <col min="8" max="8" width="11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1500</v>
      </c>
      <c r="I9" s="2" t="s">
        <v>46</v>
      </c>
      <c r="J9" s="2"/>
      <c r="K9" s="2"/>
      <c r="L9" s="47">
        <v>300</v>
      </c>
      <c r="M9" s="9"/>
    </row>
    <row r="10" spans="1:13" x14ac:dyDescent="0.25">
      <c r="A10" s="43" t="s">
        <v>42</v>
      </c>
      <c r="B10" s="3">
        <v>11</v>
      </c>
      <c r="C10" s="44"/>
      <c r="D10" s="44"/>
      <c r="E10" s="44"/>
      <c r="F10" s="44"/>
      <c r="G10" s="46">
        <v>2000</v>
      </c>
      <c r="H10" s="46">
        <v>2000</v>
      </c>
      <c r="I10" s="2"/>
      <c r="J10" s="2"/>
      <c r="K10" s="44"/>
      <c r="L10" s="47"/>
      <c r="M10" s="9"/>
    </row>
    <row r="11" spans="1:13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  <c r="M11" s="9"/>
    </row>
    <row r="12" spans="1:13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1000</v>
      </c>
      <c r="I14" s="2"/>
      <c r="J14" s="2"/>
      <c r="K14" s="44"/>
      <c r="L14" s="47">
        <f>SUM(G14-H14)</f>
        <v>800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 t="s">
        <v>46</v>
      </c>
      <c r="J15" s="2"/>
      <c r="K15" s="44"/>
      <c r="L15" s="47"/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 t="s">
        <v>46</v>
      </c>
      <c r="J17" s="2"/>
      <c r="K17" s="44"/>
      <c r="L17" s="47"/>
      <c r="M17" s="9"/>
    </row>
    <row r="18" spans="1:13" x14ac:dyDescent="0.25">
      <c r="A18" s="45" t="s">
        <v>47</v>
      </c>
      <c r="B18" s="57">
        <v>10</v>
      </c>
      <c r="C18" s="58"/>
      <c r="D18" s="58"/>
      <c r="E18" s="58"/>
      <c r="F18" s="58"/>
      <c r="G18" s="59">
        <v>1800</v>
      </c>
      <c r="H18" s="59">
        <v>1800</v>
      </c>
      <c r="I18" s="60"/>
      <c r="J18" s="60"/>
      <c r="K18" s="58"/>
      <c r="L18" s="61"/>
      <c r="M18" s="9"/>
    </row>
    <row r="19" spans="1:13" x14ac:dyDescent="0.25">
      <c r="A19" s="43" t="s">
        <v>21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17300</v>
      </c>
      <c r="I22" s="46"/>
      <c r="J22" s="46"/>
      <c r="K22" s="46"/>
      <c r="L22" s="49">
        <f>SUM(L9:L20)</f>
        <v>4700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17300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17300</v>
      </c>
      <c r="E25" s="9"/>
      <c r="F25" s="51" t="s">
        <v>27</v>
      </c>
      <c r="G25" s="40"/>
      <c r="H25" s="41">
        <f>SUM(D32)</f>
        <v>10770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15570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1730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6530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10770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16" sqref="G16"/>
    </sheetView>
  </sheetViews>
  <sheetFormatPr defaultRowHeight="15" x14ac:dyDescent="0.25"/>
  <cols>
    <col min="1" max="1" width="15.7109375" customWidth="1"/>
    <col min="7" max="7" width="9.5703125" bestFit="1" customWidth="1"/>
    <col min="8" max="8" width="13.2851562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53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62"/>
      <c r="E9" s="44"/>
      <c r="F9" s="2"/>
      <c r="G9" s="46">
        <v>2000</v>
      </c>
      <c r="H9" s="46">
        <v>2000</v>
      </c>
      <c r="I9" s="2" t="s">
        <v>50</v>
      </c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62"/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s="38" customFormat="1" ht="12" x14ac:dyDescent="0.2">
      <c r="A11" s="43" t="s">
        <v>51</v>
      </c>
      <c r="B11" s="43"/>
      <c r="C11" s="43"/>
      <c r="D11" s="62"/>
      <c r="E11" s="43"/>
      <c r="F11" s="43"/>
      <c r="G11" s="47">
        <v>1800</v>
      </c>
      <c r="H11" s="47">
        <v>1800</v>
      </c>
      <c r="I11" s="43"/>
      <c r="J11" s="43"/>
      <c r="K11" s="43"/>
      <c r="L11" s="43"/>
    </row>
    <row r="12" spans="1:13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53">
        <v>1800</v>
      </c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 t="s">
        <v>50</v>
      </c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50</v>
      </c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22200</v>
      </c>
      <c r="H22" s="46">
        <f>SUM(H9:H20)</f>
        <v>22200</v>
      </c>
      <c r="I22" s="46"/>
      <c r="J22" s="46"/>
      <c r="K22" s="46"/>
      <c r="L22" s="49">
        <f>SUM(L9:L20)</f>
        <v>7200</v>
      </c>
      <c r="M22" s="9"/>
    </row>
    <row r="23" spans="1:13" x14ac:dyDescent="0.25">
      <c r="A23" s="36" t="s">
        <v>28</v>
      </c>
      <c r="B23" s="17"/>
      <c r="C23" s="9"/>
      <c r="D23" s="32">
        <f>SUM(H22)</f>
        <v>22200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22200</v>
      </c>
      <c r="E25" s="9"/>
      <c r="F25" s="51" t="s">
        <v>27</v>
      </c>
      <c r="G25" s="40"/>
      <c r="H25" s="41">
        <f>SUM(D32)</f>
        <v>14180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19980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2220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5800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8020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14180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29" sqref="D29"/>
    </sheetView>
  </sheetViews>
  <sheetFormatPr defaultRowHeight="15" x14ac:dyDescent="0.25"/>
  <cols>
    <col min="1" max="1" width="15.42578125" customWidth="1"/>
    <col min="2" max="2" width="4" customWidth="1"/>
    <col min="3" max="3" width="5.7109375" customWidth="1"/>
    <col min="4" max="4" width="10.140625" customWidth="1"/>
    <col min="5" max="5" width="7.42578125" customWidth="1"/>
    <col min="6" max="6" width="6" customWidth="1"/>
    <col min="8" max="8" width="13" customWidth="1"/>
    <col min="9" max="9" width="8.28515625" customWidth="1"/>
    <col min="10" max="10" width="6.7109375" customWidth="1"/>
    <col min="11" max="11" width="7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</row>
    <row r="17" spans="1:13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</row>
    <row r="22" spans="1:13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41" spans="1:13" x14ac:dyDescent="0.25">
      <c r="G41" s="6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4" sqref="F14"/>
    </sheetView>
  </sheetViews>
  <sheetFormatPr defaultRowHeight="15" x14ac:dyDescent="0.25"/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  <c r="N22" s="9"/>
    </row>
    <row r="23" spans="1:14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  <c r="N25" s="9"/>
    </row>
    <row r="26" spans="1:14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4" workbookViewId="0">
      <selection activeCell="A15" sqref="A15"/>
    </sheetView>
  </sheetViews>
  <sheetFormatPr defaultRowHeight="15" x14ac:dyDescent="0.25"/>
  <cols>
    <col min="1" max="1" width="15.85546875" customWidth="1"/>
    <col min="4" max="4" width="10" bestFit="1" customWidth="1"/>
    <col min="8" max="8" width="12.7109375" customWidth="1"/>
  </cols>
  <sheetData>
    <row r="1" spans="1:14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56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3600</v>
      </c>
      <c r="M22" s="9"/>
      <c r="N22" s="9"/>
    </row>
    <row r="23" spans="1:14" x14ac:dyDescent="0.25">
      <c r="A23" s="36" t="s">
        <v>60</v>
      </c>
      <c r="B23" s="17"/>
      <c r="C23" s="9"/>
      <c r="D23" s="32">
        <f>SUM(H22)</f>
        <v>20400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 t="s">
        <v>57</v>
      </c>
      <c r="B24" s="17"/>
      <c r="C24" s="9"/>
      <c r="D24" s="32">
        <v>620</v>
      </c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66">
        <f>SUM(D23:D24)</f>
        <v>21020</v>
      </c>
      <c r="E25" s="9"/>
      <c r="F25" s="51" t="s">
        <v>27</v>
      </c>
      <c r="G25" s="40"/>
      <c r="H25" s="41">
        <f>SUM(D32)</f>
        <v>18380</v>
      </c>
      <c r="I25" s="9"/>
      <c r="J25" s="9"/>
      <c r="K25" s="15"/>
      <c r="L25" s="14"/>
      <c r="M25" s="9"/>
      <c r="N25" s="9"/>
    </row>
    <row r="26" spans="1:14" x14ac:dyDescent="0.25">
      <c r="A26" s="36"/>
      <c r="B26" s="9"/>
      <c r="C26" s="9"/>
      <c r="D26" s="23"/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67" t="s">
        <v>58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22</v>
      </c>
      <c r="B28" s="17"/>
      <c r="C28" s="9"/>
      <c r="D28" s="34">
        <f>SUM(D23*10%)</f>
        <v>2040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59</v>
      </c>
      <c r="B29" s="17"/>
      <c r="C29" s="9"/>
      <c r="D29" s="34">
        <v>600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SUM(D28:D29)</f>
        <v>2640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>
        <f>SUM(D25-D30)</f>
        <v>18380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workbookViewId="0">
      <selection activeCell="D46" sqref="D46"/>
    </sheetView>
  </sheetViews>
  <sheetFormatPr defaultRowHeight="15" x14ac:dyDescent="0.25"/>
  <cols>
    <col min="1" max="1" width="15.85546875" style="9" customWidth="1"/>
    <col min="2" max="2" width="5.28515625" style="9" customWidth="1"/>
    <col min="3" max="3" width="9.140625" style="9"/>
    <col min="4" max="4" width="10" style="9" bestFit="1" customWidth="1"/>
    <col min="5" max="7" width="9.140625" style="9"/>
    <col min="8" max="8" width="12.7109375" style="9" customWidth="1"/>
    <col min="9" max="16384" width="9.140625" style="9"/>
  </cols>
  <sheetData>
    <row r="1" spans="1:13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3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3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3" ht="15.75" customHeight="1" x14ac:dyDescent="0.25">
      <c r="A7" s="24"/>
      <c r="B7" s="24"/>
      <c r="C7" s="24"/>
      <c r="D7" s="30"/>
      <c r="E7" s="30"/>
      <c r="F7" s="31" t="s">
        <v>61</v>
      </c>
      <c r="G7" s="30"/>
      <c r="H7" s="30"/>
      <c r="I7" s="24"/>
      <c r="J7" s="24"/>
      <c r="K7" s="29"/>
      <c r="L7" s="2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</row>
    <row r="17" spans="1:12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>
        <v>2000</v>
      </c>
      <c r="H19" s="46">
        <v>2000</v>
      </c>
      <c r="I19" s="2"/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>
        <v>2000</v>
      </c>
      <c r="H20" s="56">
        <v>2000</v>
      </c>
      <c r="I20" s="2"/>
      <c r="J20" s="2"/>
      <c r="K20" s="44"/>
      <c r="L20" s="47"/>
    </row>
    <row r="21" spans="1:12" x14ac:dyDescent="0.25">
      <c r="A21" s="43"/>
      <c r="B21" s="3"/>
      <c r="C21" s="44"/>
      <c r="D21" s="46"/>
      <c r="E21" s="44"/>
      <c r="F21" s="44"/>
      <c r="G21" s="46"/>
      <c r="H21" s="68"/>
      <c r="I21" s="2"/>
      <c r="J21" s="2"/>
      <c r="K21" s="44"/>
      <c r="L21" s="43"/>
    </row>
    <row r="22" spans="1:12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0</v>
      </c>
    </row>
    <row r="23" spans="1:12" x14ac:dyDescent="0.25">
      <c r="A23" s="36" t="s">
        <v>60</v>
      </c>
      <c r="B23" s="17"/>
      <c r="D23" s="32">
        <f>SUM(H22)</f>
        <v>20400</v>
      </c>
      <c r="G23" s="63"/>
      <c r="K23" s="15"/>
      <c r="L23" s="14"/>
    </row>
    <row r="24" spans="1:12" x14ac:dyDescent="0.25">
      <c r="A24" s="36"/>
      <c r="B24" s="17"/>
      <c r="D24" s="32"/>
      <c r="F24" s="37"/>
      <c r="G24" s="63"/>
      <c r="I24" s="34"/>
      <c r="K24" s="15"/>
      <c r="L24" s="14"/>
    </row>
    <row r="25" spans="1:12" ht="18" x14ac:dyDescent="0.4">
      <c r="A25" s="36">
        <v>0</v>
      </c>
      <c r="B25" s="17"/>
      <c r="D25" s="66">
        <f>SUM(D23:D24)</f>
        <v>20400</v>
      </c>
      <c r="F25" s="51" t="s">
        <v>63</v>
      </c>
      <c r="G25" s="40"/>
      <c r="H25" s="41">
        <f>SUM(D33)</f>
        <v>16760</v>
      </c>
      <c r="K25" s="15"/>
      <c r="L25" s="14"/>
    </row>
    <row r="26" spans="1:12" x14ac:dyDescent="0.25">
      <c r="A26" s="36"/>
      <c r="D26" s="23"/>
      <c r="F26" s="37"/>
      <c r="G26" s="64"/>
      <c r="I26" s="33"/>
      <c r="K26" s="15"/>
      <c r="L26" s="14"/>
    </row>
    <row r="27" spans="1:12" x14ac:dyDescent="0.25">
      <c r="A27" s="67" t="s">
        <v>58</v>
      </c>
      <c r="F27" s="37"/>
      <c r="G27" s="64"/>
      <c r="I27" s="33"/>
      <c r="K27" s="14"/>
      <c r="L27" s="14"/>
    </row>
    <row r="28" spans="1:12" x14ac:dyDescent="0.25">
      <c r="A28" s="36" t="s">
        <v>22</v>
      </c>
      <c r="B28" s="17"/>
      <c r="D28" s="34">
        <f>SUM(D23*10%)</f>
        <v>2040</v>
      </c>
      <c r="F28" s="18" t="s">
        <v>15</v>
      </c>
      <c r="G28" s="19"/>
      <c r="H28" s="42" t="s">
        <v>16</v>
      </c>
      <c r="I28" s="18"/>
      <c r="J28" s="18" t="s">
        <v>17</v>
      </c>
      <c r="L28" s="14"/>
    </row>
    <row r="29" spans="1:12" x14ac:dyDescent="0.25">
      <c r="A29" s="36" t="s">
        <v>59</v>
      </c>
      <c r="B29" s="17"/>
      <c r="D29" s="34">
        <v>1600</v>
      </c>
      <c r="G29" s="64"/>
      <c r="L29" s="14"/>
    </row>
    <row r="30" spans="1:12" x14ac:dyDescent="0.25">
      <c r="A30" s="36"/>
      <c r="B30" s="17"/>
      <c r="D30" s="34"/>
      <c r="G30" s="64"/>
      <c r="L30" s="14"/>
    </row>
    <row r="31" spans="1:12" x14ac:dyDescent="0.25">
      <c r="A31" s="37" t="s">
        <v>62</v>
      </c>
      <c r="B31" s="17"/>
      <c r="D31" s="35">
        <f>SUM(D28:D30)</f>
        <v>3640</v>
      </c>
      <c r="F31" s="38" t="s">
        <v>18</v>
      </c>
      <c r="G31" s="38"/>
      <c r="H31" s="38" t="s">
        <v>19</v>
      </c>
      <c r="I31" s="38"/>
      <c r="J31" s="38" t="s">
        <v>45</v>
      </c>
    </row>
    <row r="32" spans="1:12" x14ac:dyDescent="0.25">
      <c r="A32" s="37"/>
      <c r="B32" s="17"/>
      <c r="D32" s="35"/>
      <c r="F32" s="38" t="s">
        <v>24</v>
      </c>
      <c r="G32" s="39"/>
      <c r="H32" s="39" t="s">
        <v>20</v>
      </c>
      <c r="I32" s="38"/>
      <c r="J32" s="38" t="s">
        <v>25</v>
      </c>
    </row>
    <row r="33" spans="1:4" x14ac:dyDescent="0.25">
      <c r="A33" s="37"/>
      <c r="B33" s="17"/>
      <c r="D33" s="35">
        <f>SUM(D25-D31)</f>
        <v>16760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4" workbookViewId="0">
      <selection activeCell="E14" sqref="E14"/>
    </sheetView>
  </sheetViews>
  <sheetFormatPr defaultRowHeight="15" x14ac:dyDescent="0.25"/>
  <cols>
    <col min="1" max="1" width="14.7109375" bestFit="1" customWidth="1"/>
    <col min="4" max="4" width="12.5703125" customWidth="1"/>
    <col min="8" max="8" width="13.140625" customWidth="1"/>
  </cols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64</v>
      </c>
      <c r="G7" s="30"/>
      <c r="H7" s="30"/>
      <c r="I7" s="24"/>
      <c r="J7" s="24"/>
      <c r="K7" s="29"/>
      <c r="L7" s="2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4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1000</v>
      </c>
      <c r="H9" s="2"/>
      <c r="I9" s="2"/>
      <c r="J9" s="2"/>
      <c r="K9" s="47">
        <f>SUM(F9-G9)</f>
        <v>1500</v>
      </c>
    </row>
    <row r="10" spans="1:14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4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65</v>
      </c>
      <c r="I11" s="43"/>
      <c r="J11" s="43"/>
      <c r="K11" s="43"/>
    </row>
    <row r="12" spans="1:14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4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>
        <v>2000</v>
      </c>
      <c r="H13" s="2"/>
      <c r="I13" s="2"/>
      <c r="J13" s="44"/>
      <c r="K13" s="47">
        <f>SUM(F13-G13)</f>
        <v>1800</v>
      </c>
    </row>
    <row r="14" spans="1:14" x14ac:dyDescent="0.25">
      <c r="A14" s="43" t="s">
        <v>21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4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>
        <v>1500</v>
      </c>
      <c r="H15" s="2"/>
      <c r="I15" s="2"/>
      <c r="J15" s="44"/>
      <c r="K15" s="47">
        <f>SUM(F15-G15)</f>
        <v>700</v>
      </c>
    </row>
    <row r="16" spans="1:14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4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 t="s">
        <v>65</v>
      </c>
      <c r="I17" s="2"/>
      <c r="J17" s="44"/>
      <c r="K17" s="47"/>
    </row>
    <row r="18" spans="1:14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>
        <v>1800</v>
      </c>
      <c r="H18" s="2"/>
      <c r="I18" s="2"/>
      <c r="J18" s="44"/>
      <c r="K18" s="47">
        <f>SUM(F18-G18)</f>
        <v>1800</v>
      </c>
    </row>
    <row r="19" spans="1:14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 t="s">
        <v>65</v>
      </c>
      <c r="I19" s="2"/>
      <c r="J19" s="44"/>
      <c r="K19" s="47"/>
    </row>
    <row r="20" spans="1:14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 t="s">
        <v>65</v>
      </c>
      <c r="I20" s="2"/>
      <c r="J20" s="44"/>
      <c r="K20" s="47"/>
    </row>
    <row r="21" spans="1:14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4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19300</v>
      </c>
      <c r="H22" s="46"/>
      <c r="I22" s="46"/>
      <c r="J22" s="46"/>
      <c r="K22" s="49">
        <f>SUM(K9:K20)</f>
        <v>6200</v>
      </c>
      <c r="L22" s="9"/>
    </row>
    <row r="23" spans="1:14" x14ac:dyDescent="0.25">
      <c r="A23" s="36" t="s">
        <v>60</v>
      </c>
      <c r="B23" s="17"/>
      <c r="C23" s="9"/>
      <c r="D23" s="32">
        <f>SUM(E22)</f>
        <v>18600</v>
      </c>
      <c r="E23" s="9"/>
      <c r="H23" s="9"/>
      <c r="I23" s="9"/>
      <c r="J23" s="9"/>
      <c r="K23" s="15"/>
      <c r="L23" s="14"/>
      <c r="M23" s="9"/>
      <c r="N23" s="9"/>
    </row>
    <row r="24" spans="1:14" ht="18" x14ac:dyDescent="0.4">
      <c r="A24" s="70" t="s">
        <v>68</v>
      </c>
      <c r="B24" s="17"/>
      <c r="C24" s="9"/>
      <c r="D24" s="66">
        <f>SUM(E22*10%)</f>
        <v>1860</v>
      </c>
      <c r="E24" s="9"/>
      <c r="F24" s="51" t="s">
        <v>63</v>
      </c>
      <c r="G24" s="40"/>
      <c r="H24" s="41">
        <f>SUM(D23-D31)</f>
        <v>-160</v>
      </c>
      <c r="I24" s="9"/>
      <c r="J24" s="9"/>
      <c r="K24" s="15"/>
      <c r="L24" s="14"/>
      <c r="M24" s="9"/>
      <c r="N24" s="9"/>
    </row>
    <row r="25" spans="1:14" x14ac:dyDescent="0.25">
      <c r="A25" s="36" t="s">
        <v>67</v>
      </c>
      <c r="B25" s="9"/>
      <c r="C25" s="9"/>
      <c r="D25" s="23">
        <f>SUM(D23-D24)</f>
        <v>16740</v>
      </c>
      <c r="E25" s="9"/>
      <c r="F25" s="37"/>
      <c r="G25" s="64"/>
      <c r="H25" s="9"/>
      <c r="I25" s="33"/>
      <c r="J25" s="9"/>
      <c r="K25" s="15"/>
      <c r="L25" s="14"/>
      <c r="M25" s="9"/>
      <c r="N25" s="9"/>
    </row>
    <row r="26" spans="1:14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33"/>
      <c r="J26" s="9"/>
      <c r="K26" s="14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1860</v>
      </c>
      <c r="E27" s="9"/>
      <c r="F27" s="18" t="s">
        <v>15</v>
      </c>
      <c r="G27" s="19"/>
      <c r="H27" s="42" t="s">
        <v>16</v>
      </c>
      <c r="I27" s="18"/>
      <c r="J27" s="18" t="s">
        <v>17</v>
      </c>
      <c r="K27" s="9"/>
      <c r="L27" s="14"/>
      <c r="M27" s="9"/>
      <c r="N27" s="9"/>
    </row>
    <row r="28" spans="1:14" x14ac:dyDescent="0.25">
      <c r="A28" s="36" t="s">
        <v>59</v>
      </c>
      <c r="B28" s="17"/>
      <c r="C28" s="9"/>
      <c r="D28" s="34">
        <v>6000</v>
      </c>
      <c r="E28" s="50"/>
      <c r="F28" s="9"/>
      <c r="G28" s="64"/>
      <c r="H28" s="9"/>
      <c r="I28" s="9"/>
      <c r="J28" s="9"/>
      <c r="K28" s="9"/>
      <c r="L28" s="14"/>
      <c r="M28" s="9"/>
      <c r="N28" s="9"/>
    </row>
    <row r="29" spans="1:14" x14ac:dyDescent="0.25">
      <c r="A29" s="36" t="s">
        <v>69</v>
      </c>
      <c r="B29" s="17"/>
      <c r="C29" s="9"/>
      <c r="D29" s="34">
        <v>3500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6" t="s">
        <v>70</v>
      </c>
      <c r="D30" s="71">
        <v>7400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 t="s">
        <v>62</v>
      </c>
      <c r="B31" s="17"/>
      <c r="D31" s="35">
        <f>SUM(D27:D30)</f>
        <v>18760</v>
      </c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G35" sqref="G35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1500</v>
      </c>
      <c r="E9" s="46">
        <v>2000</v>
      </c>
      <c r="F9" s="46">
        <v>3500</v>
      </c>
      <c r="G9" s="46">
        <v>1500</v>
      </c>
      <c r="H9" s="2" t="s">
        <v>72</v>
      </c>
      <c r="I9" s="2"/>
      <c r="J9" s="2"/>
      <c r="K9" s="47">
        <f>SUM(F9-G9)</f>
        <v>2000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/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2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/>
      <c r="H13" s="2"/>
      <c r="I13" s="2"/>
      <c r="J13" s="44"/>
      <c r="K13" s="47">
        <f>SUM(F13-G13)</f>
        <v>3800</v>
      </c>
    </row>
    <row r="14" spans="1:12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</v>
      </c>
      <c r="G14" s="46">
        <v>1800</v>
      </c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/>
      <c r="H15" s="2"/>
      <c r="I15" s="2"/>
      <c r="J15" s="44"/>
      <c r="K15" s="47">
        <f>SUM(F15-G15)</f>
        <v>2200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/>
      <c r="H18" s="2"/>
      <c r="I18" s="2"/>
      <c r="J18" s="44"/>
      <c r="K18" s="47">
        <f>SUM(F18-G18)</f>
        <v>3600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20400</v>
      </c>
      <c r="F22" s="46"/>
      <c r="G22" s="46">
        <f>SUM(G9:G20)</f>
        <v>16300</v>
      </c>
      <c r="H22" s="46"/>
      <c r="I22" s="46"/>
      <c r="J22" s="46"/>
      <c r="K22" s="49">
        <f>SUM(K9:K20)</f>
        <v>12000</v>
      </c>
    </row>
    <row r="23" spans="1:12" x14ac:dyDescent="0.25">
      <c r="A23" s="36" t="s">
        <v>60</v>
      </c>
      <c r="B23" s="17"/>
      <c r="D23" s="32">
        <f>SUM(E22)</f>
        <v>20400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2040</v>
      </c>
      <c r="F24" s="51" t="s">
        <v>63</v>
      </c>
      <c r="G24" s="40"/>
      <c r="H24" s="41">
        <f>SUM(D23-D31)</f>
        <v>12060</v>
      </c>
      <c r="K24" s="15"/>
      <c r="L24" s="14"/>
    </row>
    <row r="25" spans="1:12" x14ac:dyDescent="0.25">
      <c r="A25" s="36" t="s">
        <v>67</v>
      </c>
      <c r="D25" s="23">
        <f>SUM(D23-D24)</f>
        <v>18360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2040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71">
        <v>5800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8340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4" workbookViewId="0">
      <selection activeCell="H31" sqref="H31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16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8.25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13.5" customHeight="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2000</v>
      </c>
      <c r="E9" s="46">
        <v>2000</v>
      </c>
      <c r="F9" s="46">
        <v>4000</v>
      </c>
      <c r="G9" s="46">
        <v>3500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/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2500</v>
      </c>
      <c r="E15" s="46">
        <v>1800</v>
      </c>
      <c r="F15" s="46">
        <v>4300</v>
      </c>
      <c r="G15" s="53">
        <v>4200</v>
      </c>
      <c r="H15" s="2"/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>
        <v>1800</v>
      </c>
      <c r="H18" s="2"/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22500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-2660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37">
        <f>SUM(G20+G19+G18+G17+G15+G12+G11+G9)</f>
        <v>18900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21260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K32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6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2000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 t="s">
        <v>72</v>
      </c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100</v>
      </c>
      <c r="E15" s="46">
        <v>1800</v>
      </c>
      <c r="F15" s="46">
        <v>1900</v>
      </c>
      <c r="G15" s="53">
        <v>1800</v>
      </c>
      <c r="H15" s="2" t="s">
        <v>72</v>
      </c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/>
      <c r="F17" s="46">
        <v>1800</v>
      </c>
      <c r="G17" s="56">
        <v>1800</v>
      </c>
      <c r="H17" s="2" t="s">
        <v>72</v>
      </c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3600</v>
      </c>
      <c r="F18" s="46">
        <f>SUM(D18+E18)</f>
        <v>3600</v>
      </c>
      <c r="G18" s="46">
        <v>3600</v>
      </c>
      <c r="H18" s="2" t="s">
        <v>72</v>
      </c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20400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-2220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>
        <v>2160</v>
      </c>
      <c r="E28" s="50"/>
      <c r="G28" s="64"/>
      <c r="L28" s="14"/>
    </row>
    <row r="29" spans="1:12" x14ac:dyDescent="0.25">
      <c r="A29" s="36" t="s">
        <v>69</v>
      </c>
      <c r="B29" s="17"/>
      <c r="D29" s="34"/>
      <c r="G29" s="64"/>
      <c r="L29" s="14"/>
    </row>
    <row r="30" spans="1:12" x14ac:dyDescent="0.25">
      <c r="A30" s="36" t="s">
        <v>70</v>
      </c>
      <c r="D30" s="37">
        <f>SUM(G9+G11+G12+G15+G16+G17+G18+G19+G20-G16)</f>
        <v>16800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20820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5" x14ac:dyDescent="0.25"/>
  <cols>
    <col min="1" max="1" width="11.28515625" customWidth="1"/>
    <col min="8" max="8" width="12.5703125" customWidth="1"/>
  </cols>
  <sheetData>
    <row r="1" spans="1:11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</row>
    <row r="2" spans="1:1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</row>
    <row r="3" spans="1:11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</row>
    <row r="4" spans="1:11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</row>
    <row r="5" spans="1:11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</row>
    <row r="6" spans="1:1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</row>
    <row r="7" spans="1:11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</row>
    <row r="8" spans="1:11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1" x14ac:dyDescent="0.25">
      <c r="A9" s="43" t="s">
        <v>77</v>
      </c>
      <c r="B9" s="3">
        <v>1</v>
      </c>
      <c r="C9" s="44"/>
      <c r="D9" s="2"/>
      <c r="E9" s="46">
        <v>2000</v>
      </c>
      <c r="F9" s="46">
        <v>2500</v>
      </c>
      <c r="G9" s="46"/>
      <c r="H9" s="2" t="s">
        <v>72</v>
      </c>
      <c r="I9" s="2"/>
      <c r="J9" s="2"/>
      <c r="K9" s="47">
        <f>SUM(F9-G9)</f>
        <v>2500</v>
      </c>
    </row>
    <row r="10" spans="1:11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/>
      <c r="H10" s="2"/>
      <c r="I10" s="2"/>
      <c r="J10" s="44"/>
      <c r="K10" s="47"/>
    </row>
    <row r="11" spans="1:11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/>
      <c r="H11" s="43" t="s">
        <v>72</v>
      </c>
      <c r="I11" s="43"/>
      <c r="J11" s="43"/>
      <c r="K11" s="43"/>
    </row>
    <row r="12" spans="1:11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/>
      <c r="H12" s="2" t="s">
        <v>72</v>
      </c>
      <c r="I12" s="2"/>
      <c r="J12" s="44"/>
      <c r="K12" s="47"/>
    </row>
    <row r="13" spans="1:11" x14ac:dyDescent="0.25">
      <c r="A13" s="45" t="s">
        <v>74</v>
      </c>
      <c r="B13" s="3">
        <v>5</v>
      </c>
      <c r="C13" s="44"/>
      <c r="D13" s="43"/>
      <c r="E13" s="46">
        <v>1800</v>
      </c>
      <c r="F13" s="46">
        <f>SUM(D13+E13)</f>
        <v>1800</v>
      </c>
      <c r="G13" s="53"/>
      <c r="H13" s="2"/>
      <c r="I13" s="2"/>
      <c r="J13" s="44"/>
      <c r="K13" s="47">
        <f>SUM(F13-G13)</f>
        <v>1800</v>
      </c>
    </row>
    <row r="14" spans="1:11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18000</v>
      </c>
      <c r="G14" s="46"/>
      <c r="H14" s="2"/>
      <c r="I14" s="2"/>
      <c r="J14" s="44"/>
      <c r="K14" s="47">
        <f>SUM(F14-G14)</f>
        <v>18000</v>
      </c>
    </row>
    <row r="15" spans="1:11" x14ac:dyDescent="0.25">
      <c r="A15" s="43" t="s">
        <v>34</v>
      </c>
      <c r="B15" s="3">
        <v>7</v>
      </c>
      <c r="C15" s="44"/>
      <c r="D15" s="43"/>
      <c r="E15" s="46">
        <v>1800</v>
      </c>
      <c r="F15" s="46">
        <v>1900</v>
      </c>
      <c r="G15" s="53"/>
      <c r="H15" s="2" t="s">
        <v>72</v>
      </c>
      <c r="I15" s="2"/>
      <c r="J15" s="44"/>
      <c r="K15" s="47">
        <f>SUM(F15-G15)</f>
        <v>1900</v>
      </c>
    </row>
    <row r="16" spans="1:11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/>
      <c r="H16" s="2"/>
      <c r="I16" s="2"/>
      <c r="J16" s="44"/>
      <c r="K16" s="47">
        <f>SUM(F16-G16)</f>
        <v>1800</v>
      </c>
    </row>
    <row r="17" spans="1:11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/>
      <c r="H17" s="2" t="s">
        <v>72</v>
      </c>
      <c r="I17" s="2"/>
      <c r="J17" s="44"/>
      <c r="K17" s="47"/>
    </row>
    <row r="18" spans="1:11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/>
      <c r="H18" s="2" t="s">
        <v>72</v>
      </c>
      <c r="I18" s="2"/>
      <c r="J18" s="44"/>
      <c r="K18" s="47">
        <f>SUM(F18-G18)</f>
        <v>1800</v>
      </c>
    </row>
    <row r="19" spans="1:11" x14ac:dyDescent="0.25">
      <c r="A19" s="43" t="s">
        <v>42</v>
      </c>
      <c r="B19" s="3">
        <v>11</v>
      </c>
      <c r="C19" s="44"/>
      <c r="D19" s="44"/>
      <c r="E19" s="53">
        <v>2000</v>
      </c>
      <c r="F19" s="46">
        <v>2000</v>
      </c>
      <c r="G19" s="46"/>
      <c r="H19" s="2"/>
      <c r="I19" s="2"/>
      <c r="J19" s="44"/>
      <c r="K19" s="47"/>
    </row>
    <row r="20" spans="1:11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/>
      <c r="H20" s="2"/>
      <c r="I20" s="2"/>
      <c r="J20" s="44"/>
      <c r="K20" s="47"/>
    </row>
    <row r="21" spans="1:11" x14ac:dyDescent="0.25">
      <c r="A21" s="43" t="s">
        <v>76</v>
      </c>
      <c r="B21" s="3"/>
      <c r="C21" s="44"/>
      <c r="D21" s="44"/>
      <c r="E21" s="53">
        <v>1800</v>
      </c>
      <c r="F21" s="46">
        <v>1800</v>
      </c>
      <c r="G21" s="68"/>
      <c r="H21" s="2"/>
      <c r="I21" s="2"/>
      <c r="J21" s="44"/>
      <c r="K21" s="43"/>
    </row>
    <row r="22" spans="1:11" x14ac:dyDescent="0.25">
      <c r="A22" s="47"/>
      <c r="B22" s="16"/>
      <c r="C22" s="48"/>
      <c r="D22" s="46"/>
      <c r="E22" s="46">
        <f>SUM(E9:E21)</f>
        <v>24000</v>
      </c>
      <c r="F22" s="46"/>
      <c r="G22" s="46"/>
      <c r="H22" s="46"/>
      <c r="I22" s="46"/>
      <c r="J22" s="46"/>
      <c r="K22" s="49">
        <f>SUM(K9:K20)</f>
        <v>27800</v>
      </c>
    </row>
    <row r="23" spans="1:11" x14ac:dyDescent="0.25">
      <c r="A23" s="36" t="s">
        <v>60</v>
      </c>
      <c r="B23" s="17"/>
      <c r="C23" s="9"/>
      <c r="D23" s="32">
        <f>SUM(E22)</f>
        <v>24000</v>
      </c>
      <c r="E23" s="9"/>
      <c r="F23" s="9"/>
      <c r="G23" s="9"/>
      <c r="H23" s="9"/>
      <c r="I23" s="9"/>
      <c r="J23" s="9"/>
      <c r="K23" s="15"/>
    </row>
    <row r="24" spans="1:11" ht="18" x14ac:dyDescent="0.4">
      <c r="A24" s="70" t="s">
        <v>68</v>
      </c>
      <c r="B24" s="17"/>
      <c r="C24" s="9"/>
      <c r="D24" s="66">
        <f>SUM(E22*10%)</f>
        <v>2400</v>
      </c>
      <c r="E24" s="9"/>
      <c r="F24" s="51" t="s">
        <v>63</v>
      </c>
      <c r="G24" s="40"/>
      <c r="H24" s="41">
        <f>D23-D28-D29-D30</f>
        <v>19000</v>
      </c>
      <c r="I24" s="9"/>
      <c r="J24" s="9"/>
      <c r="K24" s="15"/>
    </row>
    <row r="25" spans="1:11" x14ac:dyDescent="0.25">
      <c r="A25" s="36" t="s">
        <v>67</v>
      </c>
      <c r="B25" s="9"/>
      <c r="C25" s="9"/>
      <c r="D25" s="23"/>
      <c r="E25" s="9"/>
      <c r="F25" s="37"/>
      <c r="G25" s="64"/>
      <c r="H25" s="9"/>
      <c r="I25" s="33"/>
      <c r="J25" s="9"/>
      <c r="K25" s="15"/>
    </row>
    <row r="26" spans="1:11" s="9" customFormat="1" x14ac:dyDescent="0.25">
      <c r="A26" s="36" t="s">
        <v>75</v>
      </c>
      <c r="D26" s="23"/>
      <c r="F26" s="37"/>
      <c r="G26" s="64"/>
      <c r="I26" s="33"/>
      <c r="K26" s="15"/>
    </row>
    <row r="27" spans="1:11" x14ac:dyDescent="0.25">
      <c r="A27" s="67" t="s">
        <v>58</v>
      </c>
      <c r="B27" s="9"/>
      <c r="C27" s="9"/>
      <c r="D27" s="9"/>
      <c r="E27" s="9"/>
      <c r="F27" s="37"/>
      <c r="G27" s="64"/>
      <c r="H27" s="9"/>
      <c r="I27" s="33"/>
      <c r="J27" s="9"/>
      <c r="K27" s="14"/>
    </row>
    <row r="28" spans="1:11" x14ac:dyDescent="0.25">
      <c r="A28" s="36" t="s">
        <v>22</v>
      </c>
      <c r="B28" s="17"/>
      <c r="C28" s="9"/>
      <c r="D28" s="34">
        <f>SUM(D23*10%)</f>
        <v>2400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</row>
    <row r="29" spans="1:11" x14ac:dyDescent="0.25">
      <c r="A29" s="36" t="s">
        <v>59</v>
      </c>
      <c r="B29" s="17"/>
      <c r="C29" s="9"/>
      <c r="D29" s="34">
        <v>1800</v>
      </c>
      <c r="E29" s="50"/>
      <c r="F29" s="9"/>
      <c r="G29" s="64"/>
      <c r="H29" s="9"/>
      <c r="I29" s="9"/>
      <c r="J29" s="9"/>
      <c r="K29" s="9"/>
    </row>
    <row r="30" spans="1:11" x14ac:dyDescent="0.25">
      <c r="A30" s="36" t="s">
        <v>69</v>
      </c>
      <c r="B30" s="17"/>
      <c r="C30" s="9"/>
      <c r="D30" s="34">
        <v>800</v>
      </c>
      <c r="E30" s="9"/>
      <c r="F30" s="9"/>
      <c r="G30" s="64"/>
      <c r="H30" s="9"/>
      <c r="I30" s="9"/>
      <c r="J30" s="9"/>
      <c r="K30" s="9"/>
    </row>
    <row r="31" spans="1:11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19</v>
      </c>
      <c r="I31" s="38"/>
      <c r="J31" s="38" t="s">
        <v>45</v>
      </c>
      <c r="K31" s="9"/>
    </row>
    <row r="32" spans="1:11" x14ac:dyDescent="0.25">
      <c r="A32" s="37" t="s">
        <v>62</v>
      </c>
      <c r="B32" s="17"/>
      <c r="C32" s="9"/>
      <c r="D32" s="35">
        <f>SUM(D28:D31)</f>
        <v>5000</v>
      </c>
      <c r="E32" s="9"/>
      <c r="F32" s="38" t="s">
        <v>24</v>
      </c>
      <c r="G32" s="39"/>
      <c r="H32" s="39" t="s">
        <v>20</v>
      </c>
      <c r="I32" s="38"/>
      <c r="J32" s="38" t="s">
        <v>25</v>
      </c>
      <c r="K32" s="9"/>
    </row>
    <row r="33" spans="1:11" x14ac:dyDescent="0.25">
      <c r="A33" s="37"/>
      <c r="B33" s="17"/>
      <c r="C33" s="9"/>
      <c r="D33" s="35"/>
      <c r="E33" s="9"/>
      <c r="F33" s="9"/>
      <c r="G33" s="9"/>
      <c r="H33" s="9"/>
      <c r="I33" s="9"/>
      <c r="J33" s="9"/>
      <c r="K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33"/>
    </sheetView>
  </sheetViews>
  <sheetFormatPr defaultRowHeight="15" x14ac:dyDescent="0.25"/>
  <cols>
    <col min="1" max="1" width="17.5703125" customWidth="1"/>
    <col min="4" max="4" width="10.5703125" bestFit="1" customWidth="1"/>
  </cols>
  <sheetData>
    <row r="1" spans="1:9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</row>
    <row r="2" spans="1:9" x14ac:dyDescent="0.25">
      <c r="A2" s="5"/>
      <c r="B2" s="5"/>
      <c r="C2" s="5"/>
      <c r="D2" s="5"/>
      <c r="E2" s="1" t="s">
        <v>6</v>
      </c>
      <c r="F2" s="1"/>
      <c r="G2" s="5"/>
      <c r="H2" s="5"/>
      <c r="I2" s="5"/>
    </row>
    <row r="3" spans="1:9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7"/>
    </row>
    <row r="4" spans="1:9" x14ac:dyDescent="0.25">
      <c r="A4" s="4"/>
      <c r="B4" s="4"/>
      <c r="C4" s="4"/>
      <c r="D4" s="5"/>
      <c r="E4" s="6" t="s">
        <v>5</v>
      </c>
      <c r="F4" s="6"/>
      <c r="G4" s="5"/>
      <c r="H4" s="4"/>
      <c r="I4" s="10"/>
    </row>
    <row r="5" spans="1:9" ht="15.75" x14ac:dyDescent="0.25">
      <c r="A5" s="4"/>
      <c r="B5" s="4"/>
      <c r="C5" s="4"/>
      <c r="D5" s="52" t="s">
        <v>43</v>
      </c>
      <c r="E5" s="4"/>
      <c r="F5" s="4"/>
      <c r="G5" s="4"/>
      <c r="H5" s="5"/>
      <c r="I5" s="9"/>
    </row>
    <row r="6" spans="1:9" x14ac:dyDescent="0.25">
      <c r="A6" s="4"/>
      <c r="B6" s="4"/>
      <c r="C6" s="4"/>
      <c r="D6" s="7"/>
      <c r="E6" s="4"/>
      <c r="F6" s="4"/>
      <c r="G6" s="4"/>
      <c r="H6" s="5"/>
      <c r="I6" s="9"/>
    </row>
    <row r="7" spans="1:9" ht="21" x14ac:dyDescent="0.25">
      <c r="A7" s="24"/>
      <c r="B7" s="24"/>
      <c r="C7" s="24"/>
      <c r="D7" s="30"/>
      <c r="E7" s="30"/>
      <c r="F7" s="31" t="s">
        <v>79</v>
      </c>
      <c r="G7" s="30"/>
      <c r="H7" s="24"/>
      <c r="I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13" t="s">
        <v>14</v>
      </c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47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47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43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47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47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47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47"/>
    </row>
    <row r="16" spans="1:9" x14ac:dyDescent="0.25">
      <c r="A16" s="43" t="s">
        <v>66</v>
      </c>
      <c r="B16" s="3">
        <v>9</v>
      </c>
      <c r="C16" s="44"/>
      <c r="D16" s="44"/>
      <c r="E16" s="46">
        <v>1800</v>
      </c>
      <c r="F16" s="46"/>
      <c r="G16" s="56"/>
      <c r="H16" s="44"/>
      <c r="I16" s="47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47"/>
    </row>
    <row r="18" spans="1:9" x14ac:dyDescent="0.25">
      <c r="A18" s="43" t="s">
        <v>42</v>
      </c>
      <c r="B18" s="3">
        <v>11</v>
      </c>
      <c r="C18" s="44"/>
      <c r="D18" s="44"/>
      <c r="E18" s="53">
        <v>2000</v>
      </c>
      <c r="F18" s="46"/>
      <c r="G18" s="46"/>
      <c r="H18" s="44"/>
      <c r="I18" s="47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47"/>
    </row>
    <row r="20" spans="1:9" x14ac:dyDescent="0.25">
      <c r="A20" s="43" t="s">
        <v>76</v>
      </c>
      <c r="B20" s="3"/>
      <c r="C20" s="44"/>
      <c r="D20" s="44"/>
      <c r="E20" s="53">
        <v>1800</v>
      </c>
      <c r="F20" s="46"/>
      <c r="G20" s="68"/>
      <c r="H20" s="44"/>
      <c r="I20" s="43"/>
    </row>
    <row r="21" spans="1:9" x14ac:dyDescent="0.25">
      <c r="A21" s="47"/>
      <c r="B21" s="16"/>
      <c r="C21" s="48"/>
      <c r="D21" s="46"/>
      <c r="E21" s="46">
        <f>SUM(E9:E20)</f>
        <v>22200</v>
      </c>
      <c r="F21" s="46"/>
      <c r="G21" s="46"/>
      <c r="H21" s="46"/>
      <c r="I21" s="49"/>
    </row>
    <row r="22" spans="1:9" x14ac:dyDescent="0.25">
      <c r="A22" s="36" t="s">
        <v>60</v>
      </c>
      <c r="B22" s="17"/>
      <c r="C22" s="9"/>
      <c r="D22" s="32">
        <f>SUM(E21)</f>
        <v>22200</v>
      </c>
      <c r="E22" s="9"/>
      <c r="F22" s="9"/>
      <c r="G22" s="9"/>
      <c r="H22" s="9"/>
      <c r="I22" s="15"/>
    </row>
    <row r="23" spans="1:9" ht="15.75" x14ac:dyDescent="0.25">
      <c r="A23" s="70" t="s">
        <v>68</v>
      </c>
      <c r="B23" s="17"/>
      <c r="C23" s="9"/>
      <c r="D23" s="66">
        <f>SUM(E21*10%)</f>
        <v>2220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2220</v>
      </c>
      <c r="E27" s="9"/>
      <c r="F27" s="18" t="s">
        <v>15</v>
      </c>
      <c r="G27" s="19"/>
      <c r="H27" s="18" t="s">
        <v>17</v>
      </c>
      <c r="I27" s="9"/>
    </row>
    <row r="28" spans="1:9" x14ac:dyDescent="0.25">
      <c r="A28" s="36" t="s">
        <v>59</v>
      </c>
      <c r="B28" s="17"/>
      <c r="C28" s="9"/>
      <c r="D28" s="34"/>
      <c r="E28" s="50"/>
      <c r="F28" s="9"/>
      <c r="G28" s="64"/>
      <c r="H28" s="9"/>
      <c r="I28" s="9"/>
    </row>
    <row r="29" spans="1:9" x14ac:dyDescent="0.25">
      <c r="A29" s="36" t="s">
        <v>69</v>
      </c>
      <c r="B29" s="17"/>
      <c r="C29" s="9"/>
      <c r="D29" s="34"/>
      <c r="E29" s="9"/>
      <c r="F29" s="9"/>
      <c r="G29" s="64"/>
      <c r="H29" s="9"/>
      <c r="I29" s="9"/>
    </row>
    <row r="30" spans="1:9" x14ac:dyDescent="0.25">
      <c r="A30" s="36" t="s">
        <v>70</v>
      </c>
      <c r="B30" s="9"/>
      <c r="C30" s="9"/>
      <c r="D30" s="37"/>
      <c r="E30" s="9"/>
      <c r="F30" s="38" t="s">
        <v>78</v>
      </c>
      <c r="G30" s="38"/>
      <c r="H30" s="38" t="s">
        <v>45</v>
      </c>
      <c r="I30" s="9"/>
    </row>
    <row r="31" spans="1:9" x14ac:dyDescent="0.25">
      <c r="A31" s="37" t="s">
        <v>62</v>
      </c>
      <c r="B31" s="17"/>
      <c r="C31" s="9"/>
      <c r="D31" s="35">
        <f>SUM(D27:D30)</f>
        <v>2220</v>
      </c>
      <c r="E31" s="9"/>
      <c r="F31" s="38" t="s">
        <v>24</v>
      </c>
      <c r="G31" s="39"/>
      <c r="H31" s="38" t="s">
        <v>25</v>
      </c>
      <c r="I31" s="9"/>
    </row>
    <row r="32" spans="1:9" x14ac:dyDescent="0.25">
      <c r="A32" s="37"/>
      <c r="B32" s="17"/>
      <c r="C32" s="9"/>
      <c r="D32" s="35"/>
      <c r="E32" s="9"/>
      <c r="F32" s="9"/>
      <c r="G32" s="9"/>
      <c r="H32" s="9"/>
      <c r="I32" s="9"/>
    </row>
    <row r="33" spans="4:4" x14ac:dyDescent="0.25">
      <c r="D33" s="72">
        <f>D22-D27</f>
        <v>19980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I36"/>
    </sheetView>
  </sheetViews>
  <sheetFormatPr defaultRowHeight="15" x14ac:dyDescent="0.25"/>
  <cols>
    <col min="1" max="1" width="17.42578125" customWidth="1"/>
    <col min="4" max="4" width="12.28515625" customWidth="1"/>
    <col min="9" max="9" width="9.28515625" customWidth="1"/>
  </cols>
  <sheetData>
    <row r="1" spans="1:9" ht="28.5" x14ac:dyDescent="0.45">
      <c r="A1" s="5"/>
      <c r="B1" s="5"/>
      <c r="C1" s="5"/>
      <c r="D1" s="11"/>
      <c r="E1" s="8" t="s">
        <v>4</v>
      </c>
      <c r="F1" s="8"/>
      <c r="G1" s="5"/>
      <c r="I1" s="5"/>
    </row>
    <row r="2" spans="1:9" x14ac:dyDescent="0.25">
      <c r="A2" s="5"/>
      <c r="B2" s="5"/>
      <c r="C2" s="5"/>
      <c r="D2" s="1" t="s">
        <v>6</v>
      </c>
      <c r="E2" s="1"/>
      <c r="F2" s="5"/>
      <c r="G2" s="5"/>
      <c r="I2" s="5"/>
    </row>
    <row r="3" spans="1:9" ht="15.75" x14ac:dyDescent="0.25">
      <c r="A3" s="24"/>
      <c r="B3" s="24"/>
      <c r="C3" s="24"/>
      <c r="D3" s="25" t="s">
        <v>7</v>
      </c>
      <c r="E3" s="26"/>
      <c r="F3" s="26"/>
      <c r="G3" s="24"/>
      <c r="I3" s="27"/>
    </row>
    <row r="4" spans="1:9" x14ac:dyDescent="0.25">
      <c r="A4" s="4"/>
      <c r="B4" s="4"/>
      <c r="C4" s="5"/>
      <c r="D4" s="6" t="s">
        <v>5</v>
      </c>
      <c r="E4" s="6"/>
      <c r="F4" s="5"/>
      <c r="G4" s="4"/>
      <c r="I4" s="10"/>
    </row>
    <row r="5" spans="1:9" ht="15.75" x14ac:dyDescent="0.25">
      <c r="A5" s="4"/>
      <c r="B5" s="4"/>
      <c r="C5" s="52" t="s">
        <v>43</v>
      </c>
      <c r="D5" s="4"/>
      <c r="E5" s="4"/>
      <c r="F5" s="4"/>
      <c r="G5" s="5"/>
      <c r="I5" s="9"/>
    </row>
    <row r="6" spans="1:9" x14ac:dyDescent="0.25">
      <c r="A6" s="4"/>
      <c r="B6" s="4"/>
      <c r="C6" s="7"/>
      <c r="D6" s="4"/>
      <c r="E6" s="4"/>
      <c r="F6" s="4"/>
      <c r="G6" s="5"/>
      <c r="I6" s="9"/>
    </row>
    <row r="7" spans="1:9" ht="21" x14ac:dyDescent="0.25">
      <c r="A7" s="24"/>
      <c r="B7" s="30"/>
      <c r="C7" s="30"/>
      <c r="D7" s="31" t="s">
        <v>82</v>
      </c>
      <c r="E7" s="30"/>
      <c r="F7" s="24"/>
      <c r="G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20400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20400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2040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2040</v>
      </c>
      <c r="E27" s="9"/>
      <c r="F27" s="18" t="s">
        <v>15</v>
      </c>
      <c r="G27" s="19"/>
      <c r="H27" s="18" t="s">
        <v>17</v>
      </c>
      <c r="I27" s="9"/>
    </row>
    <row r="28" spans="1:9" s="9" customFormat="1" x14ac:dyDescent="0.25">
      <c r="A28" s="36" t="s">
        <v>80</v>
      </c>
      <c r="B28" s="17"/>
      <c r="D28" s="34">
        <v>1800</v>
      </c>
      <c r="F28" s="18"/>
      <c r="G28" s="19"/>
      <c r="H28" s="18"/>
    </row>
    <row r="29" spans="1:9" x14ac:dyDescent="0.25">
      <c r="A29" s="36" t="s">
        <v>59</v>
      </c>
      <c r="B29" s="17"/>
      <c r="C29" s="9"/>
      <c r="D29" s="34"/>
      <c r="E29" s="50"/>
      <c r="F29" s="9"/>
      <c r="G29" s="64"/>
      <c r="H29" s="9"/>
      <c r="I29" s="9"/>
    </row>
    <row r="30" spans="1:9" x14ac:dyDescent="0.25">
      <c r="A30" s="36" t="s">
        <v>69</v>
      </c>
      <c r="B30" s="17"/>
      <c r="C30" s="9"/>
      <c r="D30" s="34"/>
      <c r="E30" s="9"/>
      <c r="F30" s="9"/>
      <c r="G30" s="64"/>
      <c r="H30" s="9"/>
      <c r="I30" s="9"/>
    </row>
    <row r="31" spans="1:9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45</v>
      </c>
      <c r="I31" s="9"/>
    </row>
    <row r="32" spans="1:9" x14ac:dyDescent="0.25">
      <c r="A32" s="37" t="s">
        <v>62</v>
      </c>
      <c r="B32" s="17"/>
      <c r="C32" s="9"/>
      <c r="D32" s="35">
        <f>SUM(D27:D31)</f>
        <v>3840</v>
      </c>
      <c r="E32" s="9"/>
      <c r="F32" s="38" t="s">
        <v>24</v>
      </c>
      <c r="G32" s="39"/>
      <c r="H32" s="38" t="s">
        <v>25</v>
      </c>
      <c r="I32" s="9"/>
    </row>
    <row r="33" spans="1:10" x14ac:dyDescent="0.25">
      <c r="A33" s="37" t="s">
        <v>84</v>
      </c>
      <c r="B33" s="17"/>
      <c r="C33" s="9"/>
      <c r="D33" s="35">
        <f>D22-D27-D28</f>
        <v>16560</v>
      </c>
      <c r="E33" s="9"/>
      <c r="F33" s="9"/>
      <c r="G33" s="9"/>
      <c r="H33" s="9"/>
      <c r="I33" s="9"/>
    </row>
    <row r="34" spans="1:10" x14ac:dyDescent="0.25">
      <c r="A34" s="9"/>
      <c r="B34" s="9"/>
      <c r="C34" s="9"/>
      <c r="D34" s="72"/>
      <c r="E34" s="9"/>
      <c r="F34" s="38" t="s">
        <v>81</v>
      </c>
      <c r="G34" s="38"/>
      <c r="H34" s="9"/>
      <c r="I34" s="9"/>
    </row>
    <row r="35" spans="1:10" x14ac:dyDescent="0.25">
      <c r="F35" s="38" t="s">
        <v>24</v>
      </c>
      <c r="G35" s="39"/>
    </row>
    <row r="36" spans="1:10" x14ac:dyDescent="0.25">
      <c r="J36" s="9" t="s">
        <v>83</v>
      </c>
    </row>
  </sheetData>
  <pageMargins left="0.12" right="0.1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7" workbookViewId="0">
      <selection activeCell="J239" sqref="J239"/>
    </sheetView>
  </sheetViews>
  <sheetFormatPr defaultRowHeight="15" x14ac:dyDescent="0.25"/>
  <cols>
    <col min="1" max="1" width="15.140625" customWidth="1"/>
  </cols>
  <sheetData>
    <row r="1" spans="1:9" x14ac:dyDescent="0.25">
      <c r="A1" s="5"/>
      <c r="B1" s="19"/>
      <c r="C1" s="19"/>
      <c r="D1" s="81" t="s">
        <v>4</v>
      </c>
      <c r="E1" s="81"/>
      <c r="F1" s="19"/>
      <c r="H1" s="9"/>
      <c r="I1" s="5"/>
    </row>
    <row r="2" spans="1:9" x14ac:dyDescent="0.25">
      <c r="A2" s="5"/>
      <c r="B2" s="19"/>
      <c r="C2" s="81" t="s">
        <v>87</v>
      </c>
      <c r="D2" s="81"/>
      <c r="E2" s="19"/>
      <c r="F2" s="19"/>
      <c r="H2" s="9"/>
      <c r="I2" s="5"/>
    </row>
    <row r="3" spans="1:9" x14ac:dyDescent="0.25">
      <c r="A3" s="24"/>
      <c r="B3" s="79"/>
      <c r="C3" s="82" t="s">
        <v>88</v>
      </c>
      <c r="D3" s="80"/>
      <c r="E3" s="80"/>
      <c r="F3" s="79"/>
      <c r="H3" s="9"/>
      <c r="I3" s="27"/>
    </row>
    <row r="4" spans="1:9" x14ac:dyDescent="0.25">
      <c r="A4" s="4"/>
      <c r="B4" s="5"/>
      <c r="C4" s="6" t="s">
        <v>5</v>
      </c>
      <c r="D4" s="6"/>
      <c r="E4" s="5"/>
      <c r="F4" s="4"/>
      <c r="H4" s="9"/>
      <c r="I4" s="10"/>
    </row>
    <row r="5" spans="1:9" ht="15.75" x14ac:dyDescent="0.25">
      <c r="A5" s="4"/>
      <c r="B5" s="52" t="s">
        <v>43</v>
      </c>
      <c r="C5" s="4"/>
      <c r="D5" s="4"/>
      <c r="E5" s="4"/>
      <c r="F5" s="5"/>
      <c r="H5" s="9"/>
      <c r="I5" s="9"/>
    </row>
    <row r="6" spans="1:9" ht="21" x14ac:dyDescent="0.25">
      <c r="A6" s="24"/>
      <c r="B6" s="30"/>
      <c r="C6" s="31" t="s">
        <v>85</v>
      </c>
      <c r="D6" s="30"/>
      <c r="E6" s="24"/>
      <c r="F6" s="29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74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75"/>
    </row>
    <row r="9" spans="1:9" x14ac:dyDescent="0.25">
      <c r="A9" s="43" t="s">
        <v>38</v>
      </c>
      <c r="B9" s="3">
        <v>2</v>
      </c>
      <c r="C9" s="44"/>
      <c r="D9" s="44"/>
      <c r="E9" s="46">
        <v>1800</v>
      </c>
      <c r="F9" s="46"/>
      <c r="G9" s="46"/>
      <c r="H9" s="44"/>
      <c r="I9" s="75"/>
    </row>
    <row r="10" spans="1:9" x14ac:dyDescent="0.25">
      <c r="A10" s="43" t="s">
        <v>51</v>
      </c>
      <c r="B10" s="69">
        <v>3</v>
      </c>
      <c r="C10" s="43"/>
      <c r="D10" s="43"/>
      <c r="E10" s="47">
        <v>1800</v>
      </c>
      <c r="F10" s="47"/>
      <c r="G10" s="47"/>
      <c r="H10" s="43"/>
      <c r="I10" s="76"/>
    </row>
    <row r="11" spans="1:9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  <c r="I11" s="75"/>
    </row>
    <row r="12" spans="1:9" x14ac:dyDescent="0.25">
      <c r="A12" s="45" t="s">
        <v>74</v>
      </c>
      <c r="B12" s="3">
        <v>5</v>
      </c>
      <c r="C12" s="44"/>
      <c r="D12" s="43"/>
      <c r="E12" s="46">
        <v>1800</v>
      </c>
      <c r="F12" s="46"/>
      <c r="G12" s="53"/>
      <c r="H12" s="44"/>
      <c r="I12" s="75"/>
    </row>
    <row r="13" spans="1:9" x14ac:dyDescent="0.25">
      <c r="A13" s="43"/>
      <c r="B13" s="3"/>
      <c r="C13" s="44"/>
      <c r="D13" s="43"/>
      <c r="E13" s="46"/>
      <c r="F13" s="46"/>
      <c r="G13" s="53"/>
      <c r="H13" s="44"/>
      <c r="I13" s="75"/>
    </row>
    <row r="14" spans="1:9" x14ac:dyDescent="0.25">
      <c r="A14" s="43" t="s">
        <v>35</v>
      </c>
      <c r="B14" s="3">
        <v>8</v>
      </c>
      <c r="C14" s="44"/>
      <c r="D14" s="44"/>
      <c r="E14" s="46">
        <v>1800</v>
      </c>
      <c r="F14" s="46"/>
      <c r="G14" s="46"/>
      <c r="H14" s="44"/>
      <c r="I14" s="75"/>
    </row>
    <row r="15" spans="1:9" x14ac:dyDescent="0.25">
      <c r="A15" s="43" t="s">
        <v>21</v>
      </c>
      <c r="B15" s="3"/>
      <c r="C15" s="44"/>
      <c r="D15" s="44"/>
      <c r="E15" s="46">
        <v>0</v>
      </c>
      <c r="F15" s="46"/>
      <c r="G15" s="56"/>
      <c r="H15" s="44"/>
      <c r="I15" s="75"/>
    </row>
    <row r="16" spans="1:9" x14ac:dyDescent="0.25">
      <c r="A16" s="45" t="s">
        <v>47</v>
      </c>
      <c r="B16" s="3">
        <v>10</v>
      </c>
      <c r="C16" s="44"/>
      <c r="D16" s="2"/>
      <c r="E16" s="46">
        <v>1800</v>
      </c>
      <c r="F16" s="46"/>
      <c r="G16" s="46"/>
      <c r="H16" s="44"/>
      <c r="I16" s="75"/>
    </row>
    <row r="17" spans="1:12" x14ac:dyDescent="0.25">
      <c r="A17" s="43" t="s">
        <v>42</v>
      </c>
      <c r="B17" s="3">
        <v>11</v>
      </c>
      <c r="C17" s="44"/>
      <c r="D17" s="44"/>
      <c r="E17" s="46">
        <v>2000</v>
      </c>
      <c r="F17" s="46"/>
      <c r="G17" s="46"/>
      <c r="H17" s="44"/>
      <c r="I17" s="75"/>
    </row>
    <row r="18" spans="1:12" x14ac:dyDescent="0.25">
      <c r="A18" s="43" t="s">
        <v>37</v>
      </c>
      <c r="B18" s="3">
        <v>12</v>
      </c>
      <c r="C18" s="44"/>
      <c r="D18" s="44"/>
      <c r="E18" s="46">
        <v>2000</v>
      </c>
      <c r="F18" s="46"/>
      <c r="G18" s="56"/>
      <c r="H18" s="44"/>
      <c r="I18" s="75"/>
    </row>
    <row r="19" spans="1:12" x14ac:dyDescent="0.25">
      <c r="A19" s="43" t="s">
        <v>76</v>
      </c>
      <c r="B19" s="3"/>
      <c r="C19" s="44"/>
      <c r="D19" s="44"/>
      <c r="E19" s="73">
        <v>1800</v>
      </c>
      <c r="F19" s="46"/>
      <c r="G19" s="68"/>
      <c r="H19" s="44"/>
      <c r="I19" s="76"/>
    </row>
    <row r="20" spans="1:12" x14ac:dyDescent="0.25">
      <c r="A20" s="47"/>
      <c r="B20" s="16"/>
      <c r="C20" s="48"/>
      <c r="D20" s="46"/>
      <c r="E20" s="46">
        <f>SUM(E8:E19)</f>
        <v>18600</v>
      </c>
      <c r="F20" s="46"/>
      <c r="G20" s="46"/>
      <c r="H20" s="46"/>
      <c r="I20" s="77"/>
    </row>
    <row r="21" spans="1:12" x14ac:dyDescent="0.25">
      <c r="A21" s="36" t="s">
        <v>60</v>
      </c>
      <c r="B21" s="17"/>
      <c r="C21" s="9"/>
      <c r="D21" s="32">
        <f>SUM(E20)</f>
        <v>18600</v>
      </c>
      <c r="E21" s="9"/>
      <c r="F21" s="9"/>
      <c r="G21" s="9"/>
      <c r="H21" s="9"/>
      <c r="I21" s="78"/>
    </row>
    <row r="22" spans="1:12" ht="15.75" x14ac:dyDescent="0.25">
      <c r="A22" s="70" t="s">
        <v>68</v>
      </c>
      <c r="B22" s="17"/>
      <c r="C22" s="9"/>
      <c r="D22" s="66">
        <f>SUM(E20*10%)</f>
        <v>1860</v>
      </c>
      <c r="E22" s="9"/>
      <c r="F22" s="51" t="s">
        <v>63</v>
      </c>
      <c r="G22" s="40"/>
      <c r="H22" s="9"/>
      <c r="I22" s="15"/>
    </row>
    <row r="23" spans="1:12" x14ac:dyDescent="0.25">
      <c r="A23" s="67" t="s">
        <v>58</v>
      </c>
      <c r="B23" s="9"/>
      <c r="C23" s="9"/>
      <c r="D23" s="9"/>
      <c r="E23" s="9"/>
      <c r="F23" s="37"/>
      <c r="G23" s="64"/>
      <c r="H23" s="9"/>
      <c r="I23" s="14"/>
    </row>
    <row r="24" spans="1:12" x14ac:dyDescent="0.25">
      <c r="A24" s="36" t="s">
        <v>22</v>
      </c>
      <c r="B24" s="17"/>
      <c r="C24" s="9"/>
      <c r="D24" s="34">
        <f>SUM(D21*10%)</f>
        <v>1860</v>
      </c>
      <c r="E24" s="9"/>
      <c r="F24" s="18" t="s">
        <v>15</v>
      </c>
      <c r="G24" s="19"/>
      <c r="H24" s="18" t="s">
        <v>17</v>
      </c>
      <c r="I24" s="9"/>
    </row>
    <row r="25" spans="1:12" x14ac:dyDescent="0.25">
      <c r="A25" s="37" t="s">
        <v>62</v>
      </c>
      <c r="B25" s="17"/>
      <c r="C25" s="9"/>
      <c r="D25" s="35">
        <f>SUM(D24:D24)</f>
        <v>1860</v>
      </c>
      <c r="E25" s="9"/>
      <c r="F25" s="38" t="s">
        <v>24</v>
      </c>
      <c r="G25" s="39"/>
      <c r="H25" s="38" t="s">
        <v>25</v>
      </c>
      <c r="I25" s="9"/>
      <c r="K25">
        <v>2</v>
      </c>
      <c r="L25" s="9">
        <v>1660</v>
      </c>
    </row>
    <row r="26" spans="1:12" x14ac:dyDescent="0.25">
      <c r="A26" s="37" t="s">
        <v>86</v>
      </c>
      <c r="B26" s="17"/>
      <c r="C26" s="9"/>
      <c r="D26" s="35">
        <f>D21-D22</f>
        <v>16740</v>
      </c>
      <c r="E26" s="9"/>
      <c r="F26" s="9"/>
      <c r="G26" s="9"/>
      <c r="H26" s="9"/>
      <c r="I26" s="9"/>
      <c r="L26">
        <v>1500</v>
      </c>
    </row>
    <row r="27" spans="1:12" x14ac:dyDescent="0.25">
      <c r="A27" s="9"/>
      <c r="B27" s="9"/>
      <c r="C27" s="9"/>
      <c r="D27" s="72"/>
      <c r="E27" s="9"/>
      <c r="F27" s="38" t="s">
        <v>81</v>
      </c>
      <c r="G27" s="38"/>
      <c r="H27" s="9"/>
      <c r="I27" s="9"/>
      <c r="L27">
        <v>2000</v>
      </c>
    </row>
    <row r="28" spans="1:12" x14ac:dyDescent="0.25">
      <c r="A28" s="9"/>
      <c r="B28" s="9"/>
      <c r="C28" s="9"/>
      <c r="D28" s="9"/>
      <c r="E28" s="9"/>
      <c r="F28" s="38" t="s">
        <v>24</v>
      </c>
      <c r="G28" s="39"/>
      <c r="H28" s="9"/>
      <c r="I28" s="9"/>
      <c r="L28">
        <v>2000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L29">
        <v>2000</v>
      </c>
    </row>
    <row r="30" spans="1:12" x14ac:dyDescent="0.25">
      <c r="L30">
        <v>3000</v>
      </c>
    </row>
    <row r="31" spans="1:12" x14ac:dyDescent="0.25">
      <c r="L31">
        <f>SUM(L25:L30)</f>
        <v>12160</v>
      </c>
    </row>
    <row r="32" spans="1:12" x14ac:dyDescent="0.25">
      <c r="L32" s="83">
        <v>0.1</v>
      </c>
    </row>
    <row r="33" spans="12:12" x14ac:dyDescent="0.25">
      <c r="L33">
        <f>L31*L32</f>
        <v>1216</v>
      </c>
    </row>
    <row r="34" spans="12:12" x14ac:dyDescent="0.25">
      <c r="L34">
        <f>L31-L33</f>
        <v>10944</v>
      </c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10" sqref="A10:E10"/>
    </sheetView>
  </sheetViews>
  <sheetFormatPr defaultRowHeight="15" x14ac:dyDescent="0.25"/>
  <cols>
    <col min="1" max="1" width="15.85546875" customWidth="1"/>
    <col min="6" max="6" width="10.85546875" customWidth="1"/>
  </cols>
  <sheetData>
    <row r="1" spans="1:9" x14ac:dyDescent="0.25">
      <c r="A1" s="9" t="s">
        <v>91</v>
      </c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5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5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27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10"/>
    </row>
    <row r="6" spans="1:9" ht="15.75" x14ac:dyDescent="0.25">
      <c r="A6" s="4"/>
      <c r="B6" s="52" t="s">
        <v>43</v>
      </c>
      <c r="C6" s="4"/>
      <c r="D6" s="4"/>
      <c r="E6" s="4"/>
      <c r="F6" s="5"/>
      <c r="G6" s="9"/>
      <c r="H6" s="9"/>
      <c r="I6" s="9"/>
    </row>
    <row r="7" spans="1:9" ht="21" x14ac:dyDescent="0.25">
      <c r="A7" s="24"/>
      <c r="B7" s="30"/>
      <c r="C7" s="31" t="s">
        <v>89</v>
      </c>
      <c r="D7" s="30"/>
      <c r="E7" s="24"/>
      <c r="F7" s="29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/>
      <c r="B14" s="3">
        <v>6</v>
      </c>
      <c r="C14" s="44"/>
      <c r="D14" s="43"/>
      <c r="E14" s="46"/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18600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18600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1860</v>
      </c>
      <c r="E23" s="9"/>
      <c r="F23" s="51" t="s">
        <v>63</v>
      </c>
      <c r="G23" s="40"/>
      <c r="H23" s="9"/>
      <c r="I23" s="15"/>
    </row>
    <row r="24" spans="1:9" x14ac:dyDescent="0.25">
      <c r="A24" s="67" t="s">
        <v>58</v>
      </c>
      <c r="B24" s="9"/>
      <c r="C24" s="9"/>
      <c r="D24" s="9"/>
      <c r="E24" s="9"/>
      <c r="F24" s="37"/>
      <c r="G24" s="64"/>
      <c r="H24" s="9"/>
      <c r="I24" s="14"/>
    </row>
    <row r="25" spans="1:9" x14ac:dyDescent="0.25">
      <c r="A25" s="36" t="s">
        <v>22</v>
      </c>
      <c r="B25" s="17"/>
      <c r="C25" s="9"/>
      <c r="D25" s="34">
        <f>SUM(D22*10%)</f>
        <v>1860</v>
      </c>
      <c r="E25" s="9"/>
      <c r="F25" s="18" t="s">
        <v>15</v>
      </c>
      <c r="G25" s="19"/>
      <c r="H25" s="18" t="s">
        <v>17</v>
      </c>
      <c r="I25" s="9"/>
    </row>
    <row r="26" spans="1:9" x14ac:dyDescent="0.25">
      <c r="A26" s="37" t="s">
        <v>62</v>
      </c>
      <c r="B26" s="17"/>
      <c r="C26" s="9"/>
      <c r="D26" s="35">
        <f>SUM(D25:D25)</f>
        <v>1860</v>
      </c>
      <c r="E26" s="9"/>
      <c r="F26" s="38" t="s">
        <v>24</v>
      </c>
      <c r="G26" s="39"/>
      <c r="H26" s="38" t="s">
        <v>25</v>
      </c>
      <c r="I26" s="9"/>
    </row>
    <row r="27" spans="1:9" x14ac:dyDescent="0.25">
      <c r="A27" s="37" t="s">
        <v>90</v>
      </c>
      <c r="B27" s="17"/>
      <c r="C27" s="9"/>
      <c r="D27" s="35">
        <f>D22-D23</f>
        <v>16740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 s="72"/>
      <c r="E28" s="9"/>
      <c r="F28" s="38" t="s">
        <v>81</v>
      </c>
      <c r="G28" s="38"/>
      <c r="H28" s="9"/>
      <c r="I28" s="9"/>
    </row>
    <row r="29" spans="1:9" x14ac:dyDescent="0.25">
      <c r="A29" s="9"/>
      <c r="B29" s="9"/>
      <c r="C29" s="9"/>
      <c r="D29" s="9"/>
      <c r="E29" s="9"/>
      <c r="F29" s="38" t="s">
        <v>24</v>
      </c>
      <c r="G29" s="39"/>
      <c r="H29" s="9"/>
      <c r="I29" s="9"/>
    </row>
    <row r="30" spans="1:9" x14ac:dyDescent="0.25">
      <c r="A30" s="9"/>
      <c r="B30" s="9"/>
      <c r="C30" s="9"/>
      <c r="D30" s="9"/>
      <c r="E30" s="9"/>
      <c r="F30" s="9"/>
      <c r="G30" s="9"/>
      <c r="H30" s="9"/>
      <c r="I30" s="9"/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sqref="A1:H137"/>
    </sheetView>
  </sheetViews>
  <sheetFormatPr defaultRowHeight="15" x14ac:dyDescent="0.25"/>
  <cols>
    <col min="1" max="1" width="18.5703125" customWidth="1"/>
    <col min="4" max="4" width="10.7109375" customWidth="1"/>
  </cols>
  <sheetData>
    <row r="1" spans="1:8" x14ac:dyDescent="0.25">
      <c r="A1" s="9" t="s">
        <v>91</v>
      </c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ht="21" x14ac:dyDescent="0.25">
      <c r="A7" s="24"/>
      <c r="B7" s="30"/>
      <c r="C7" s="31" t="s">
        <v>112</v>
      </c>
      <c r="D7" s="30"/>
      <c r="E7" s="24"/>
      <c r="F7" s="29"/>
      <c r="G7" s="9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 t="s">
        <v>95</v>
      </c>
      <c r="B10" s="3">
        <v>2</v>
      </c>
      <c r="C10" s="44"/>
      <c r="D10" s="44"/>
      <c r="E10" s="46">
        <v>1800</v>
      </c>
      <c r="F10" s="46"/>
      <c r="G10" s="46"/>
      <c r="H10" s="44"/>
    </row>
    <row r="11" spans="1:8" x14ac:dyDescent="0.25">
      <c r="A11" s="43" t="s">
        <v>116</v>
      </c>
      <c r="B11" s="69">
        <v>3</v>
      </c>
      <c r="C11" s="43"/>
      <c r="D11" s="43"/>
      <c r="E11" s="47">
        <v>420</v>
      </c>
      <c r="F11" s="47"/>
      <c r="G11" s="47"/>
      <c r="H11" s="43"/>
    </row>
    <row r="12" spans="1:8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</row>
    <row r="13" spans="1:8" x14ac:dyDescent="0.25">
      <c r="A13" s="45" t="s">
        <v>96</v>
      </c>
      <c r="B13" s="3">
        <v>5</v>
      </c>
      <c r="C13" s="44"/>
      <c r="D13" s="43"/>
      <c r="E13" s="46">
        <v>1800</v>
      </c>
      <c r="F13" s="46"/>
      <c r="G13" s="53"/>
      <c r="H13" s="44"/>
    </row>
    <row r="14" spans="1:8" x14ac:dyDescent="0.25">
      <c r="A14" s="43" t="s">
        <v>21</v>
      </c>
      <c r="B14" s="3">
        <v>6</v>
      </c>
      <c r="C14" s="44"/>
      <c r="D14" s="43"/>
      <c r="E14" s="46">
        <v>1800</v>
      </c>
      <c r="F14" s="46"/>
      <c r="G14" s="53"/>
      <c r="H14" s="44"/>
    </row>
    <row r="15" spans="1:8" x14ac:dyDescent="0.25">
      <c r="A15" s="43" t="s">
        <v>35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3" t="s">
        <v>66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10" x14ac:dyDescent="0.25">
      <c r="A17" s="88" t="s">
        <v>114</v>
      </c>
      <c r="B17" s="3">
        <v>9</v>
      </c>
      <c r="C17" s="44"/>
      <c r="D17" s="2"/>
      <c r="E17" s="46">
        <v>1800</v>
      </c>
      <c r="F17" s="46"/>
      <c r="G17" s="46"/>
      <c r="H17" s="44"/>
    </row>
    <row r="18" spans="1:10" x14ac:dyDescent="0.25">
      <c r="A18" s="88" t="s">
        <v>115</v>
      </c>
      <c r="B18" s="3">
        <v>10</v>
      </c>
      <c r="C18" s="44"/>
      <c r="D18" s="44"/>
      <c r="E18" s="46">
        <v>1800</v>
      </c>
      <c r="F18" s="46"/>
      <c r="G18" s="46"/>
      <c r="H18" s="44"/>
    </row>
    <row r="19" spans="1:10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10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10" x14ac:dyDescent="0.25">
      <c r="A21" s="47"/>
      <c r="B21" s="16"/>
      <c r="C21" s="48"/>
      <c r="D21" s="46"/>
      <c r="E21" s="46">
        <f>SUM(E9:E20)</f>
        <v>20820</v>
      </c>
      <c r="F21" s="46"/>
      <c r="G21" s="46"/>
      <c r="H21" s="46"/>
    </row>
    <row r="22" spans="1:10" x14ac:dyDescent="0.25">
      <c r="A22" s="36" t="s">
        <v>60</v>
      </c>
      <c r="B22" s="17"/>
      <c r="C22" s="9"/>
      <c r="D22" s="32">
        <f>SUM(E21)</f>
        <v>20820</v>
      </c>
      <c r="E22" s="9"/>
      <c r="F22" s="9"/>
      <c r="G22" s="9"/>
      <c r="H22" s="9"/>
    </row>
    <row r="23" spans="1:10" ht="15.75" x14ac:dyDescent="0.25">
      <c r="A23" s="70" t="s">
        <v>68</v>
      </c>
      <c r="B23" s="17"/>
      <c r="C23" s="9"/>
      <c r="D23" s="66">
        <f>SUM(E21*10%)</f>
        <v>2082</v>
      </c>
      <c r="E23" s="51" t="s">
        <v>63</v>
      </c>
      <c r="F23" s="40"/>
      <c r="G23" s="9"/>
    </row>
    <row r="24" spans="1:10" x14ac:dyDescent="0.25">
      <c r="A24" s="67" t="s">
        <v>58</v>
      </c>
      <c r="B24" s="9"/>
      <c r="C24" s="9"/>
      <c r="D24" s="9"/>
      <c r="E24" s="37"/>
      <c r="F24" s="64"/>
      <c r="G24" s="9"/>
    </row>
    <row r="25" spans="1:10" x14ac:dyDescent="0.25">
      <c r="A25" s="36" t="s">
        <v>22</v>
      </c>
      <c r="B25" s="17"/>
      <c r="C25" s="9"/>
      <c r="D25" s="34">
        <f>SUM(D22*10%)</f>
        <v>2082</v>
      </c>
      <c r="E25" s="18" t="s">
        <v>109</v>
      </c>
      <c r="F25" s="19"/>
      <c r="G25" s="18" t="s">
        <v>93</v>
      </c>
    </row>
    <row r="26" spans="1:10" x14ac:dyDescent="0.25">
      <c r="A26" s="84" t="s">
        <v>62</v>
      </c>
      <c r="B26" s="85"/>
      <c r="C26" s="86"/>
      <c r="D26" s="87">
        <f>SUM(D25:D25)</f>
        <v>2082</v>
      </c>
      <c r="E26" s="38" t="s">
        <v>24</v>
      </c>
      <c r="F26" s="39"/>
      <c r="G26" s="9" t="s">
        <v>94</v>
      </c>
    </row>
    <row r="27" spans="1:10" x14ac:dyDescent="0.25">
      <c r="A27" s="37" t="s">
        <v>113</v>
      </c>
      <c r="B27" s="17"/>
      <c r="C27" s="9"/>
      <c r="D27" s="35">
        <f>D22-D26</f>
        <v>18738</v>
      </c>
      <c r="E27" s="9"/>
      <c r="F27" s="9"/>
      <c r="G27" s="9"/>
    </row>
    <row r="28" spans="1:10" x14ac:dyDescent="0.25">
      <c r="A28" s="9"/>
      <c r="B28" s="9"/>
      <c r="C28" s="9"/>
      <c r="D28" s="72"/>
      <c r="E28" s="38" t="s">
        <v>81</v>
      </c>
      <c r="F28" s="38"/>
      <c r="G28" s="9"/>
      <c r="H28" s="18"/>
    </row>
    <row r="29" spans="1:10" x14ac:dyDescent="0.25">
      <c r="A29" s="9"/>
      <c r="B29" s="9"/>
      <c r="C29" s="9"/>
      <c r="D29" s="9"/>
      <c r="E29" s="38" t="s">
        <v>24</v>
      </c>
      <c r="F29" s="39"/>
      <c r="G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</row>
    <row r="31" spans="1:10" x14ac:dyDescent="0.25">
      <c r="J31">
        <v>18738</v>
      </c>
    </row>
    <row r="33" spans="1:8" x14ac:dyDescent="0.25">
      <c r="A33" s="9" t="s">
        <v>91</v>
      </c>
      <c r="B33" s="9"/>
      <c r="C33" s="9"/>
      <c r="D33" s="9"/>
      <c r="E33" s="9"/>
      <c r="F33" s="9"/>
      <c r="G33" s="9"/>
      <c r="H33" s="9"/>
    </row>
    <row r="34" spans="1:8" x14ac:dyDescent="0.25">
      <c r="A34" s="5" t="s">
        <v>92</v>
      </c>
      <c r="B34" s="19"/>
      <c r="C34" s="19"/>
      <c r="D34" s="81" t="s">
        <v>4</v>
      </c>
      <c r="E34" s="81"/>
      <c r="F34" s="19"/>
      <c r="G34" s="9"/>
      <c r="H34" s="9"/>
    </row>
    <row r="35" spans="1:8" x14ac:dyDescent="0.25">
      <c r="A35" s="5"/>
      <c r="B35" s="19"/>
      <c r="C35" s="81" t="s">
        <v>87</v>
      </c>
      <c r="D35" s="81"/>
      <c r="E35" s="19"/>
      <c r="F35" s="19"/>
      <c r="G35" s="9"/>
      <c r="H35" s="9"/>
    </row>
    <row r="36" spans="1:8" x14ac:dyDescent="0.25">
      <c r="A36" s="24"/>
      <c r="B36" s="79"/>
      <c r="C36" s="82" t="s">
        <v>88</v>
      </c>
      <c r="D36" s="80"/>
      <c r="E36" s="80"/>
      <c r="F36" s="79"/>
      <c r="G36" s="9"/>
      <c r="H36" s="9"/>
    </row>
    <row r="37" spans="1:8" x14ac:dyDescent="0.25">
      <c r="A37" s="4"/>
      <c r="B37" s="5"/>
      <c r="C37" s="6" t="s">
        <v>5</v>
      </c>
      <c r="D37" s="6"/>
      <c r="E37" s="5"/>
      <c r="F37" s="4"/>
      <c r="G37" s="9"/>
      <c r="H37" s="9"/>
    </row>
    <row r="38" spans="1:8" ht="15.75" x14ac:dyDescent="0.25">
      <c r="A38" s="4"/>
      <c r="B38" s="52" t="s">
        <v>97</v>
      </c>
      <c r="C38" s="4"/>
      <c r="D38" s="4"/>
      <c r="E38" s="4"/>
      <c r="F38" s="5"/>
      <c r="G38" s="9"/>
      <c r="H38" s="9"/>
    </row>
    <row r="39" spans="1:8" ht="21" x14ac:dyDescent="0.25">
      <c r="A39" s="24"/>
      <c r="B39" s="30"/>
      <c r="C39" s="31" t="s">
        <v>98</v>
      </c>
      <c r="D39" s="30"/>
      <c r="E39" s="24"/>
      <c r="F39" s="29"/>
      <c r="G39" s="9"/>
      <c r="H39" s="9"/>
    </row>
    <row r="40" spans="1:8" x14ac:dyDescent="0.25">
      <c r="A40" s="12" t="s">
        <v>0</v>
      </c>
      <c r="B40" s="12" t="s">
        <v>32</v>
      </c>
      <c r="C40" s="12" t="s">
        <v>52</v>
      </c>
      <c r="D40" s="22" t="s">
        <v>55</v>
      </c>
      <c r="E40" s="21" t="s">
        <v>1</v>
      </c>
      <c r="F40" s="22" t="s">
        <v>10</v>
      </c>
      <c r="G40" s="21" t="s">
        <v>3</v>
      </c>
      <c r="H40" s="13" t="s">
        <v>13</v>
      </c>
    </row>
    <row r="41" spans="1:8" x14ac:dyDescent="0.25">
      <c r="A41" s="43" t="s">
        <v>99</v>
      </c>
      <c r="B41" s="69">
        <v>14</v>
      </c>
      <c r="C41" s="44"/>
      <c r="D41" s="44"/>
      <c r="E41" s="46">
        <v>2000</v>
      </c>
      <c r="F41" s="46" t="s">
        <v>107</v>
      </c>
      <c r="G41" s="46"/>
      <c r="H41" s="44"/>
    </row>
    <row r="42" spans="1:8" x14ac:dyDescent="0.25">
      <c r="A42" s="43" t="s">
        <v>106</v>
      </c>
      <c r="B42" s="10">
        <v>15</v>
      </c>
      <c r="C42" s="43"/>
      <c r="D42" s="43"/>
      <c r="E42" s="47">
        <v>2000</v>
      </c>
      <c r="F42" s="47"/>
      <c r="G42" s="47"/>
      <c r="H42" s="43"/>
    </row>
    <row r="43" spans="1:8" x14ac:dyDescent="0.25">
      <c r="A43" s="89" t="s">
        <v>100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9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</row>
    <row r="45" spans="1:8" x14ac:dyDescent="0.25">
      <c r="A45" s="89" t="s">
        <v>104</v>
      </c>
      <c r="B45" s="43" t="s">
        <v>102</v>
      </c>
      <c r="C45" s="44"/>
      <c r="D45" s="43"/>
      <c r="E45" s="46">
        <v>5000</v>
      </c>
      <c r="F45" s="46" t="s">
        <v>107</v>
      </c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1500</v>
      </c>
      <c r="F46" s="46"/>
      <c r="G46" s="46"/>
      <c r="H46" s="44"/>
    </row>
    <row r="47" spans="1:8" x14ac:dyDescent="0.25">
      <c r="A47" s="43" t="s">
        <v>110</v>
      </c>
      <c r="B47" s="3"/>
      <c r="C47" s="44"/>
      <c r="D47" s="44"/>
      <c r="E47" s="46">
        <v>1200</v>
      </c>
      <c r="F47" s="46"/>
      <c r="G47" s="56"/>
      <c r="H47" s="44"/>
    </row>
    <row r="48" spans="1:8" x14ac:dyDescent="0.25">
      <c r="A48" s="88"/>
      <c r="B48" s="3"/>
      <c r="C48" s="44"/>
      <c r="D48" s="2"/>
      <c r="E48" s="46"/>
      <c r="F48" s="46"/>
      <c r="G48" s="46"/>
      <c r="H48" s="44"/>
    </row>
    <row r="49" spans="1:14" x14ac:dyDescent="0.25">
      <c r="A49" s="88"/>
      <c r="B49" s="3"/>
      <c r="C49" s="44"/>
      <c r="D49" s="44"/>
      <c r="E49" s="46"/>
      <c r="F49" s="46"/>
      <c r="G49" s="46"/>
      <c r="H49" s="44"/>
    </row>
    <row r="50" spans="1:14" x14ac:dyDescent="0.25">
      <c r="A50" s="43"/>
      <c r="B50" s="3"/>
      <c r="C50" s="44"/>
      <c r="D50" s="44"/>
      <c r="E50" s="46"/>
      <c r="F50" s="46"/>
      <c r="G50" s="56"/>
      <c r="H50" s="44"/>
    </row>
    <row r="51" spans="1:14" x14ac:dyDescent="0.25">
      <c r="A51" s="43"/>
      <c r="B51" s="3"/>
      <c r="C51" s="44"/>
      <c r="D51" s="44"/>
      <c r="E51" s="73"/>
      <c r="F51" s="46"/>
      <c r="G51" s="68"/>
      <c r="H51" s="44"/>
    </row>
    <row r="52" spans="1:14" x14ac:dyDescent="0.25">
      <c r="A52" s="47"/>
      <c r="B52" s="16"/>
      <c r="C52" s="48"/>
      <c r="D52" s="46"/>
      <c r="E52" s="46">
        <f>SUM(E41:E51)</f>
        <v>19200</v>
      </c>
      <c r="F52" s="46"/>
      <c r="G52" s="46"/>
      <c r="H52" s="46"/>
    </row>
    <row r="53" spans="1:14" x14ac:dyDescent="0.25">
      <c r="A53" s="36" t="s">
        <v>60</v>
      </c>
      <c r="B53" s="17"/>
      <c r="C53" s="9"/>
      <c r="D53" s="32">
        <f>SUM(E52)</f>
        <v>19200</v>
      </c>
      <c r="E53" s="9"/>
      <c r="F53" s="9"/>
      <c r="G53" s="9"/>
      <c r="H53" s="9"/>
    </row>
    <row r="54" spans="1:14" ht="15.75" x14ac:dyDescent="0.25">
      <c r="A54" s="70" t="s">
        <v>68</v>
      </c>
      <c r="B54" s="17"/>
      <c r="C54" s="9"/>
      <c r="D54" s="66">
        <f>SUM(E52*10%)</f>
        <v>1920</v>
      </c>
      <c r="E54" s="51" t="s">
        <v>63</v>
      </c>
      <c r="F54" s="40"/>
      <c r="G54" s="9"/>
      <c r="H54" s="9"/>
      <c r="N54" s="9"/>
    </row>
    <row r="55" spans="1:14" x14ac:dyDescent="0.25">
      <c r="A55" s="67" t="s">
        <v>58</v>
      </c>
      <c r="B55" s="9"/>
      <c r="C55" s="9"/>
      <c r="D55" s="9"/>
      <c r="E55" s="37"/>
      <c r="F55" s="18" t="s">
        <v>109</v>
      </c>
      <c r="G55" s="19"/>
      <c r="H55" s="18" t="s">
        <v>93</v>
      </c>
      <c r="N55" s="9"/>
    </row>
    <row r="56" spans="1:14" x14ac:dyDescent="0.25">
      <c r="A56" s="36" t="s">
        <v>22</v>
      </c>
      <c r="B56" s="17"/>
      <c r="C56" s="9"/>
      <c r="D56" s="34">
        <f>SUM(D53*10%)</f>
        <v>1920</v>
      </c>
      <c r="F56" s="38" t="s">
        <v>24</v>
      </c>
      <c r="G56" s="39"/>
      <c r="H56" s="9" t="s">
        <v>94</v>
      </c>
      <c r="N56" s="9"/>
    </row>
    <row r="57" spans="1:14" ht="16.5" x14ac:dyDescent="0.35">
      <c r="A57" s="92" t="s">
        <v>108</v>
      </c>
      <c r="B57" s="85"/>
      <c r="C57" s="86"/>
      <c r="D57" s="87"/>
      <c r="F57" s="9"/>
      <c r="G57" s="9"/>
      <c r="H57" s="9"/>
      <c r="N57" s="18"/>
    </row>
    <row r="58" spans="1:14" x14ac:dyDescent="0.25">
      <c r="B58" s="76" t="s">
        <v>99</v>
      </c>
      <c r="C58" s="90"/>
      <c r="D58" s="91">
        <v>2000</v>
      </c>
      <c r="E58" s="91"/>
      <c r="F58" s="38" t="s">
        <v>81</v>
      </c>
      <c r="G58" s="38"/>
      <c r="N58" s="9"/>
    </row>
    <row r="59" spans="1:14" x14ac:dyDescent="0.25">
      <c r="A59">
        <v>2</v>
      </c>
      <c r="E59" s="91" t="s">
        <v>107</v>
      </c>
      <c r="F59" s="38" t="s">
        <v>24</v>
      </c>
      <c r="G59" s="39"/>
    </row>
    <row r="60" spans="1:14" x14ac:dyDescent="0.25">
      <c r="B60" s="37"/>
      <c r="C60" s="9"/>
      <c r="D60" s="35">
        <f>SUM(D56:D58)</f>
        <v>3920</v>
      </c>
      <c r="E60" s="91"/>
    </row>
    <row r="61" spans="1:14" x14ac:dyDescent="0.25">
      <c r="A61" s="9" t="s">
        <v>111</v>
      </c>
      <c r="D61" s="72">
        <f>D53-D60</f>
        <v>15280</v>
      </c>
      <c r="E61" s="9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28" workbookViewId="0">
      <selection activeCell="G57" sqref="G57"/>
    </sheetView>
  </sheetViews>
  <sheetFormatPr defaultRowHeight="15" x14ac:dyDescent="0.25"/>
  <cols>
    <col min="1" max="1" width="14.42578125" customWidth="1"/>
    <col min="4" max="4" width="11.28515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ht="21" x14ac:dyDescent="0.25">
      <c r="A6" s="24"/>
      <c r="B6" s="30"/>
      <c r="C6" s="31" t="s">
        <v>117</v>
      </c>
      <c r="D6" s="30"/>
      <c r="E6" s="24"/>
      <c r="F6" s="29"/>
      <c r="G6" s="9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95</v>
      </c>
      <c r="B9" s="3">
        <v>2</v>
      </c>
      <c r="C9" s="44"/>
      <c r="D9" s="44"/>
      <c r="E9" s="46">
        <v>1800</v>
      </c>
      <c r="F9" s="46"/>
      <c r="G9" s="46"/>
      <c r="H9" s="44"/>
    </row>
    <row r="10" spans="1:8" x14ac:dyDescent="0.25">
      <c r="A10" s="43" t="s">
        <v>116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</row>
    <row r="12" spans="1:8" x14ac:dyDescent="0.25">
      <c r="A12" s="45" t="s">
        <v>96</v>
      </c>
      <c r="B12" s="3">
        <v>5</v>
      </c>
      <c r="C12" s="44"/>
      <c r="D12" s="43"/>
      <c r="E12" s="46">
        <v>1800</v>
      </c>
      <c r="F12" s="46"/>
      <c r="G12" s="53"/>
      <c r="H12" s="44"/>
    </row>
    <row r="13" spans="1:8" x14ac:dyDescent="0.25">
      <c r="A13" s="43" t="s">
        <v>21</v>
      </c>
      <c r="B13" s="3">
        <v>6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35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3" t="s">
        <v>66</v>
      </c>
      <c r="B15" s="3">
        <v>8</v>
      </c>
      <c r="C15" s="44"/>
      <c r="D15" s="44"/>
      <c r="E15" s="46">
        <v>1800</v>
      </c>
      <c r="F15" s="46"/>
      <c r="G15" s="56"/>
      <c r="H15" s="44"/>
    </row>
    <row r="16" spans="1:8" x14ac:dyDescent="0.25">
      <c r="A16" s="88" t="s">
        <v>114</v>
      </c>
      <c r="B16" s="3">
        <v>9</v>
      </c>
      <c r="C16" s="44"/>
      <c r="D16" s="2"/>
      <c r="E16" s="46">
        <v>1800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1800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20600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20600</v>
      </c>
      <c r="E21" s="9"/>
      <c r="F21" s="9"/>
      <c r="G21" s="9"/>
      <c r="H21" s="9"/>
    </row>
    <row r="22" spans="1:8" ht="15.75" x14ac:dyDescent="0.25">
      <c r="A22" s="70" t="s">
        <v>68</v>
      </c>
      <c r="B22" s="17"/>
      <c r="C22" s="9"/>
      <c r="D22" s="66">
        <f>SUM(E20*10%)</f>
        <v>2060</v>
      </c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"/>
      <c r="D23" s="9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2060</v>
      </c>
      <c r="E24" s="18" t="s">
        <v>109</v>
      </c>
      <c r="F24" s="19"/>
      <c r="G24" s="18" t="s">
        <v>93</v>
      </c>
      <c r="H24" s="9"/>
    </row>
    <row r="25" spans="1:8" x14ac:dyDescent="0.25">
      <c r="A25" s="84" t="s">
        <v>62</v>
      </c>
      <c r="B25" s="85"/>
      <c r="C25" s="86"/>
      <c r="D25" s="87">
        <f>SUM(D24:D24)</f>
        <v>2060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113</v>
      </c>
      <c r="B26" s="17"/>
      <c r="C26" s="9"/>
      <c r="D26" s="35">
        <f>D21-D25</f>
        <v>18540</v>
      </c>
      <c r="E26" s="9"/>
      <c r="F26" s="9"/>
      <c r="G26" s="9"/>
      <c r="H26" s="9"/>
    </row>
    <row r="27" spans="1:8" x14ac:dyDescent="0.25">
      <c r="A27" s="9"/>
      <c r="B27" s="9"/>
      <c r="C27" s="9"/>
      <c r="D27" s="72"/>
      <c r="E27" s="38" t="s">
        <v>81</v>
      </c>
      <c r="F27" s="38"/>
      <c r="G27" s="9"/>
      <c r="H27" s="18"/>
    </row>
    <row r="28" spans="1:8" x14ac:dyDescent="0.25">
      <c r="A28" s="9"/>
      <c r="B28" s="9"/>
      <c r="C28" s="9"/>
      <c r="D28" s="9"/>
      <c r="E28" s="38" t="s">
        <v>24</v>
      </c>
      <c r="F28" s="3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5" t="s">
        <v>92</v>
      </c>
      <c r="B30" s="19"/>
      <c r="C30" s="19"/>
      <c r="D30" s="81" t="s">
        <v>4</v>
      </c>
      <c r="E30" s="81"/>
      <c r="F30" s="19"/>
      <c r="G30" s="9"/>
      <c r="H30" s="9"/>
    </row>
    <row r="31" spans="1:8" x14ac:dyDescent="0.25">
      <c r="A31" s="5"/>
      <c r="B31" s="19"/>
      <c r="C31" s="81" t="s">
        <v>87</v>
      </c>
      <c r="D31" s="81"/>
      <c r="E31" s="19"/>
      <c r="F31" s="19"/>
      <c r="G31" s="9"/>
      <c r="H31" s="9"/>
    </row>
    <row r="32" spans="1:8" x14ac:dyDescent="0.25">
      <c r="A32" s="24"/>
      <c r="B32" s="79"/>
      <c r="C32" s="82" t="s">
        <v>88</v>
      </c>
      <c r="D32" s="80"/>
      <c r="E32" s="80"/>
      <c r="F32" s="79"/>
      <c r="G32" s="9"/>
      <c r="H32" s="9"/>
    </row>
    <row r="33" spans="1:10" x14ac:dyDescent="0.25">
      <c r="A33" s="4"/>
      <c r="B33" s="5"/>
      <c r="C33" s="6" t="s">
        <v>5</v>
      </c>
      <c r="D33" s="6"/>
      <c r="E33" s="5"/>
      <c r="F33" s="4"/>
      <c r="G33" s="9"/>
      <c r="H33" s="9"/>
    </row>
    <row r="34" spans="1:10" ht="15.75" x14ac:dyDescent="0.25">
      <c r="A34" s="4"/>
      <c r="B34" s="52" t="s">
        <v>97</v>
      </c>
      <c r="C34" s="4"/>
      <c r="D34" s="4"/>
      <c r="E34" s="4"/>
      <c r="F34" s="5"/>
      <c r="G34" s="9"/>
      <c r="H34" s="9"/>
    </row>
    <row r="35" spans="1:10" ht="21" x14ac:dyDescent="0.25">
      <c r="A35" s="24"/>
      <c r="B35" s="30"/>
      <c r="C35" s="31" t="s">
        <v>118</v>
      </c>
      <c r="D35" s="30"/>
      <c r="E35" s="24"/>
      <c r="F35" s="29"/>
      <c r="G35" s="9"/>
      <c r="H35" s="9"/>
    </row>
    <row r="36" spans="1:10" x14ac:dyDescent="0.25">
      <c r="A36" s="12" t="s">
        <v>0</v>
      </c>
      <c r="B36" s="12" t="s">
        <v>32</v>
      </c>
      <c r="C36" s="12" t="s">
        <v>52</v>
      </c>
      <c r="D36" s="22" t="s">
        <v>55</v>
      </c>
      <c r="E36" s="21" t="s">
        <v>1</v>
      </c>
      <c r="F36" s="22" t="s">
        <v>10</v>
      </c>
      <c r="G36" s="21" t="s">
        <v>3</v>
      </c>
      <c r="H36" s="13" t="s">
        <v>13</v>
      </c>
    </row>
    <row r="37" spans="1:10" x14ac:dyDescent="0.25">
      <c r="A37" s="43" t="s">
        <v>99</v>
      </c>
      <c r="B37" s="69">
        <v>14</v>
      </c>
      <c r="C37" s="44"/>
      <c r="D37" s="44"/>
      <c r="E37" s="46">
        <v>2000</v>
      </c>
      <c r="F37" s="46"/>
      <c r="G37" s="46"/>
      <c r="H37" s="44"/>
    </row>
    <row r="38" spans="1:10" x14ac:dyDescent="0.25">
      <c r="A38" s="43" t="s">
        <v>106</v>
      </c>
      <c r="B38" s="10">
        <v>15</v>
      </c>
      <c r="C38" s="43"/>
      <c r="D38" s="43"/>
      <c r="E38" s="47">
        <v>2000</v>
      </c>
      <c r="F38" s="47"/>
      <c r="G38" s="47"/>
      <c r="H38" s="43"/>
    </row>
    <row r="39" spans="1:10" x14ac:dyDescent="0.25">
      <c r="A39" s="89" t="s">
        <v>100</v>
      </c>
      <c r="B39" s="3"/>
      <c r="C39" s="44"/>
      <c r="D39" s="2"/>
      <c r="E39" s="46">
        <v>3000</v>
      </c>
      <c r="F39" s="46"/>
      <c r="G39" s="56"/>
      <c r="H39" s="44"/>
    </row>
    <row r="40" spans="1:10" x14ac:dyDescent="0.25">
      <c r="A40" s="89" t="s">
        <v>103</v>
      </c>
      <c r="B40" s="45" t="s">
        <v>101</v>
      </c>
      <c r="C40" s="44"/>
      <c r="D40" s="43"/>
      <c r="E40" s="46">
        <v>4500</v>
      </c>
      <c r="F40" s="46"/>
      <c r="G40" s="53"/>
      <c r="H40" s="44"/>
    </row>
    <row r="41" spans="1:10" x14ac:dyDescent="0.25">
      <c r="A41" s="89" t="s">
        <v>104</v>
      </c>
      <c r="B41" s="43" t="s">
        <v>102</v>
      </c>
      <c r="C41" s="44"/>
      <c r="D41" s="43"/>
      <c r="E41" s="46">
        <v>5000</v>
      </c>
      <c r="F41" s="46"/>
      <c r="G41" s="53"/>
      <c r="H41" s="44"/>
    </row>
    <row r="42" spans="1:10" x14ac:dyDescent="0.25">
      <c r="A42" s="43" t="s">
        <v>105</v>
      </c>
      <c r="B42" s="3"/>
      <c r="C42" s="44"/>
      <c r="D42" s="44"/>
      <c r="E42" s="46">
        <v>1500</v>
      </c>
      <c r="F42" s="46"/>
      <c r="G42" s="46"/>
      <c r="H42" s="44"/>
    </row>
    <row r="43" spans="1:10" x14ac:dyDescent="0.25">
      <c r="A43" s="43" t="s">
        <v>110</v>
      </c>
      <c r="B43" s="3"/>
      <c r="C43" s="44"/>
      <c r="D43" s="44"/>
      <c r="E43" s="46">
        <v>1300</v>
      </c>
      <c r="F43" s="46"/>
      <c r="G43" s="56"/>
      <c r="H43" s="44"/>
    </row>
    <row r="44" spans="1:10" x14ac:dyDescent="0.25">
      <c r="A44" s="43"/>
      <c r="B44" s="3"/>
      <c r="C44" s="44"/>
      <c r="D44" s="44"/>
      <c r="E44" s="73"/>
      <c r="F44" s="46"/>
      <c r="G44" s="68"/>
      <c r="H44" s="44"/>
    </row>
    <row r="45" spans="1:10" x14ac:dyDescent="0.25">
      <c r="A45" s="47"/>
      <c r="B45" s="16"/>
      <c r="C45" s="48"/>
      <c r="D45" s="46"/>
      <c r="E45" s="46">
        <f>SUM(E37:E44)</f>
        <v>19300</v>
      </c>
      <c r="F45" s="46"/>
      <c r="G45" s="46"/>
      <c r="H45" s="46"/>
    </row>
    <row r="46" spans="1:10" x14ac:dyDescent="0.25">
      <c r="A46" s="36" t="s">
        <v>60</v>
      </c>
      <c r="B46" s="17"/>
      <c r="C46" s="9"/>
      <c r="D46" s="32">
        <f>SUM(E45)</f>
        <v>19300</v>
      </c>
      <c r="E46" s="9"/>
      <c r="F46" s="18" t="s">
        <v>109</v>
      </c>
      <c r="G46" s="19"/>
      <c r="H46" s="18" t="s">
        <v>93</v>
      </c>
      <c r="J46" s="9" t="s">
        <v>120</v>
      </c>
    </row>
    <row r="47" spans="1:10" x14ac:dyDescent="0.25">
      <c r="A47" s="70" t="s">
        <v>68</v>
      </c>
      <c r="B47" s="17"/>
      <c r="C47" s="9"/>
      <c r="D47" s="66">
        <f>SUM(E45*10%)</f>
        <v>1930</v>
      </c>
      <c r="E47" s="51" t="s">
        <v>63</v>
      </c>
      <c r="F47" s="38" t="s">
        <v>24</v>
      </c>
      <c r="G47" s="39"/>
      <c r="H47" s="9" t="s">
        <v>94</v>
      </c>
      <c r="J47">
        <v>18540</v>
      </c>
    </row>
    <row r="48" spans="1:10" x14ac:dyDescent="0.25">
      <c r="A48" s="67" t="s">
        <v>58</v>
      </c>
      <c r="B48" s="9"/>
      <c r="C48" s="9"/>
      <c r="D48" s="9"/>
      <c r="E48" s="37"/>
      <c r="F48" s="9"/>
      <c r="G48" s="9"/>
      <c r="H48" s="9"/>
      <c r="J48">
        <f>SUM(J46:J47)</f>
        <v>18540</v>
      </c>
    </row>
    <row r="49" spans="1:9" x14ac:dyDescent="0.25">
      <c r="A49" s="36" t="s">
        <v>22</v>
      </c>
      <c r="B49" s="17"/>
      <c r="C49" s="9"/>
      <c r="D49" s="34">
        <f>SUM(D46*10%)</f>
        <v>1930</v>
      </c>
      <c r="E49" s="9"/>
      <c r="F49" s="38" t="s">
        <v>81</v>
      </c>
      <c r="G49" s="38"/>
      <c r="H49" s="9"/>
    </row>
    <row r="50" spans="1:9" ht="16.5" x14ac:dyDescent="0.35">
      <c r="A50" s="92" t="s">
        <v>108</v>
      </c>
      <c r="B50" s="85"/>
      <c r="C50" s="86"/>
      <c r="D50" s="87"/>
      <c r="E50" s="9"/>
      <c r="F50" s="38" t="s">
        <v>24</v>
      </c>
      <c r="G50" s="39"/>
      <c r="H50" s="9"/>
    </row>
    <row r="51" spans="1:9" x14ac:dyDescent="0.25">
      <c r="A51" s="9" t="s">
        <v>119</v>
      </c>
      <c r="B51" s="9"/>
      <c r="C51" s="9"/>
      <c r="D51" s="72">
        <f>D46-D47</f>
        <v>17370</v>
      </c>
      <c r="E51" s="91"/>
      <c r="F51" s="9"/>
      <c r="G51" s="9"/>
      <c r="H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72"/>
    </row>
    <row r="53" spans="1:9" x14ac:dyDescent="0.25">
      <c r="A53" s="9"/>
      <c r="B53" s="37"/>
      <c r="C53" s="9"/>
      <c r="D53" s="35"/>
      <c r="E53" s="91"/>
    </row>
    <row r="56" spans="1:9" x14ac:dyDescent="0.25">
      <c r="A56" s="9"/>
      <c r="B56" s="9"/>
      <c r="C56" s="9"/>
      <c r="D56" s="9"/>
      <c r="E56" s="9"/>
      <c r="F56" s="9"/>
      <c r="G56" s="9"/>
      <c r="H56" s="9"/>
    </row>
    <row r="57" spans="1:9" x14ac:dyDescent="0.25">
      <c r="A57" s="9"/>
      <c r="B57" s="9"/>
      <c r="C57" s="9"/>
      <c r="D57" s="9"/>
      <c r="E57" s="9"/>
      <c r="F57" s="9"/>
      <c r="G57" s="9"/>
      <c r="H57" s="9"/>
    </row>
    <row r="58" spans="1:9" x14ac:dyDescent="0.25">
      <c r="A58" s="9"/>
      <c r="B58" s="9"/>
      <c r="C58" s="9"/>
      <c r="D58" s="9"/>
      <c r="E58" s="9"/>
      <c r="F58" s="9"/>
      <c r="G58" s="9"/>
      <c r="H58" s="9"/>
    </row>
    <row r="59" spans="1:9" x14ac:dyDescent="0.25">
      <c r="A59" s="9"/>
      <c r="B59" s="9"/>
      <c r="C59" s="9"/>
      <c r="D59" s="9"/>
      <c r="E59" s="9"/>
      <c r="F59" s="9"/>
      <c r="G59" s="9"/>
      <c r="H59" s="9"/>
    </row>
    <row r="60" spans="1:9" x14ac:dyDescent="0.25">
      <c r="A60" s="9"/>
      <c r="B60" s="9"/>
      <c r="C60" s="9"/>
      <c r="D60" s="9"/>
      <c r="E60" s="9"/>
      <c r="F60" s="9"/>
      <c r="G60" s="9"/>
      <c r="H60" s="9"/>
    </row>
    <row r="61" spans="1:9" x14ac:dyDescent="0.25">
      <c r="A61" s="9"/>
      <c r="B61" s="9"/>
      <c r="C61" s="9"/>
      <c r="D61" s="9"/>
      <c r="E61" s="9"/>
      <c r="F61" s="9"/>
      <c r="G61" s="9"/>
      <c r="H61" s="9"/>
    </row>
    <row r="62" spans="1:9" x14ac:dyDescent="0.25">
      <c r="A62" s="9"/>
      <c r="B62" s="9"/>
      <c r="C62" s="9"/>
      <c r="D62" s="9"/>
      <c r="E62" s="9"/>
      <c r="F62" s="9"/>
      <c r="G62" s="9"/>
      <c r="H62" s="9"/>
    </row>
    <row r="63" spans="1:9" x14ac:dyDescent="0.25">
      <c r="A63" s="9"/>
      <c r="B63" s="9"/>
      <c r="C63" s="9"/>
      <c r="D63" s="9"/>
      <c r="E63" s="9"/>
      <c r="F63" s="9"/>
      <c r="G63" s="9"/>
      <c r="H63" s="9"/>
    </row>
    <row r="64" spans="1:9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</sheetData>
  <pageMargins left="0.7" right="0.7" top="0.12" bottom="0.3" header="0.3" footer="0.12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workbookViewId="0">
      <selection sqref="A1:J63"/>
    </sheetView>
  </sheetViews>
  <sheetFormatPr defaultRowHeight="15" x14ac:dyDescent="0.25"/>
  <cols>
    <col min="1" max="1" width="6.85546875" customWidth="1"/>
    <col min="2" max="2" width="14.28515625" customWidth="1"/>
    <col min="5" max="5" width="11.28515625" customWidth="1"/>
  </cols>
  <sheetData>
    <row r="2" spans="2:9" x14ac:dyDescent="0.25">
      <c r="B2" s="5" t="s">
        <v>92</v>
      </c>
      <c r="C2" s="19"/>
      <c r="D2" s="19"/>
      <c r="E2" s="81" t="s">
        <v>4</v>
      </c>
      <c r="F2" s="81"/>
      <c r="G2" s="19"/>
      <c r="H2" s="9"/>
      <c r="I2" s="9"/>
    </row>
    <row r="3" spans="2:9" x14ac:dyDescent="0.25">
      <c r="B3" s="5"/>
      <c r="C3" s="19"/>
      <c r="D3" s="81" t="s">
        <v>87</v>
      </c>
      <c r="E3" s="81"/>
      <c r="F3" s="19"/>
      <c r="G3" s="19"/>
      <c r="H3" s="9"/>
      <c r="I3" s="9"/>
    </row>
    <row r="4" spans="2:9" x14ac:dyDescent="0.25">
      <c r="B4" s="24"/>
      <c r="C4" s="79"/>
      <c r="D4" s="82" t="s">
        <v>88</v>
      </c>
      <c r="E4" s="80"/>
      <c r="F4" s="80"/>
      <c r="G4" s="79"/>
      <c r="H4" s="9"/>
      <c r="I4" s="9"/>
    </row>
    <row r="5" spans="2:9" x14ac:dyDescent="0.25">
      <c r="B5" s="4"/>
      <c r="C5" s="5"/>
      <c r="D5" s="6" t="s">
        <v>5</v>
      </c>
      <c r="E5" s="6"/>
      <c r="F5" s="5"/>
      <c r="G5" s="4"/>
      <c r="H5" s="9"/>
      <c r="I5" s="9"/>
    </row>
    <row r="6" spans="2:9" ht="15.75" x14ac:dyDescent="0.25">
      <c r="B6" s="4"/>
      <c r="C6" s="52" t="s">
        <v>43</v>
      </c>
      <c r="D6" s="4"/>
      <c r="E6" s="4"/>
      <c r="F6" s="4"/>
      <c r="G6" s="5"/>
      <c r="H6" s="9"/>
      <c r="I6" s="9"/>
    </row>
    <row r="7" spans="2:9" x14ac:dyDescent="0.25">
      <c r="B7" s="94"/>
      <c r="C7" s="95"/>
      <c r="D7" s="95"/>
      <c r="E7" s="96" t="s">
        <v>125</v>
      </c>
      <c r="F7" s="95"/>
      <c r="G7" s="95"/>
      <c r="H7" s="95"/>
      <c r="I7" s="9"/>
    </row>
    <row r="8" spans="2:9" x14ac:dyDescent="0.25">
      <c r="B8" s="12" t="s">
        <v>0</v>
      </c>
      <c r="C8" s="12" t="s">
        <v>32</v>
      </c>
      <c r="D8" s="12" t="s">
        <v>52</v>
      </c>
      <c r="E8" s="22" t="s">
        <v>55</v>
      </c>
      <c r="F8" s="21" t="s">
        <v>1</v>
      </c>
      <c r="G8" s="22" t="s">
        <v>10</v>
      </c>
      <c r="H8" s="21" t="s">
        <v>3</v>
      </c>
      <c r="I8" s="13" t="s">
        <v>13</v>
      </c>
    </row>
    <row r="9" spans="2:9" x14ac:dyDescent="0.25">
      <c r="B9" s="43" t="s">
        <v>77</v>
      </c>
      <c r="C9" s="3">
        <v>1</v>
      </c>
      <c r="D9" s="44"/>
      <c r="E9" s="2"/>
      <c r="F9" s="46">
        <v>2000</v>
      </c>
      <c r="G9" s="46" t="s">
        <v>107</v>
      </c>
      <c r="H9" s="46"/>
      <c r="I9" s="2"/>
    </row>
    <row r="10" spans="2:9" x14ac:dyDescent="0.25">
      <c r="B10" s="43" t="s">
        <v>95</v>
      </c>
      <c r="C10" s="3">
        <v>2</v>
      </c>
      <c r="D10" s="44"/>
      <c r="E10" s="44"/>
      <c r="F10" s="46">
        <v>1800</v>
      </c>
      <c r="G10" s="46" t="s">
        <v>107</v>
      </c>
      <c r="H10" s="46"/>
      <c r="I10" s="44"/>
    </row>
    <row r="11" spans="2:9" x14ac:dyDescent="0.25">
      <c r="B11" s="43" t="s">
        <v>121</v>
      </c>
      <c r="C11" s="69">
        <v>3</v>
      </c>
      <c r="D11" s="43"/>
      <c r="E11" s="43"/>
      <c r="F11" s="47">
        <v>1800</v>
      </c>
      <c r="G11" s="47"/>
      <c r="H11" s="47"/>
      <c r="I11" s="43"/>
    </row>
    <row r="12" spans="2:9" x14ac:dyDescent="0.25">
      <c r="B12" s="43" t="s">
        <v>122</v>
      </c>
      <c r="C12" s="3">
        <v>4</v>
      </c>
      <c r="D12" s="44"/>
      <c r="E12" s="2"/>
      <c r="F12" s="46">
        <v>1800</v>
      </c>
      <c r="G12" s="46"/>
      <c r="H12" s="56"/>
      <c r="I12" s="44"/>
    </row>
    <row r="13" spans="2:9" x14ac:dyDescent="0.25">
      <c r="B13" s="45" t="s">
        <v>123</v>
      </c>
      <c r="C13" s="3">
        <v>5</v>
      </c>
      <c r="D13" s="44"/>
      <c r="E13" s="43"/>
      <c r="F13" s="46"/>
      <c r="G13" s="46"/>
      <c r="H13" s="53"/>
      <c r="I13" s="44"/>
    </row>
    <row r="14" spans="2:9" x14ac:dyDescent="0.25">
      <c r="B14" s="43" t="s">
        <v>124</v>
      </c>
      <c r="C14" s="3">
        <v>6</v>
      </c>
      <c r="D14" s="44"/>
      <c r="E14" s="43"/>
      <c r="F14" s="46">
        <v>2000</v>
      </c>
      <c r="G14" s="46"/>
      <c r="H14" s="53"/>
      <c r="I14" s="44"/>
    </row>
    <row r="15" spans="2:9" x14ac:dyDescent="0.25">
      <c r="B15" s="43" t="s">
        <v>66</v>
      </c>
      <c r="C15" s="3">
        <v>7</v>
      </c>
      <c r="D15" s="44"/>
      <c r="E15" s="44"/>
      <c r="F15" s="46">
        <v>1800</v>
      </c>
      <c r="G15" s="46"/>
      <c r="H15" s="46"/>
      <c r="I15" s="44"/>
    </row>
    <row r="16" spans="2:9" x14ac:dyDescent="0.25">
      <c r="B16" s="45" t="s">
        <v>123</v>
      </c>
      <c r="C16" s="3">
        <v>8</v>
      </c>
      <c r="D16" s="44"/>
      <c r="E16" s="44"/>
      <c r="F16" s="46"/>
      <c r="G16" s="46"/>
      <c r="H16" s="56"/>
      <c r="I16" s="44"/>
    </row>
    <row r="17" spans="2:9" x14ac:dyDescent="0.25">
      <c r="B17" s="88" t="s">
        <v>114</v>
      </c>
      <c r="C17" s="3">
        <v>9</v>
      </c>
      <c r="D17" s="44"/>
      <c r="E17" s="2"/>
      <c r="F17" s="46">
        <v>1800</v>
      </c>
      <c r="G17" s="46" t="s">
        <v>107</v>
      </c>
      <c r="H17" s="46"/>
      <c r="I17" s="44"/>
    </row>
    <row r="18" spans="2:9" x14ac:dyDescent="0.25">
      <c r="B18" s="88" t="s">
        <v>115</v>
      </c>
      <c r="C18" s="3">
        <v>10</v>
      </c>
      <c r="D18" s="44"/>
      <c r="E18" s="44"/>
      <c r="F18" s="46">
        <v>1800</v>
      </c>
      <c r="G18" s="46"/>
      <c r="H18" s="46"/>
      <c r="I18" s="44"/>
    </row>
    <row r="19" spans="2:9" x14ac:dyDescent="0.25">
      <c r="B19" s="43" t="s">
        <v>42</v>
      </c>
      <c r="C19" s="3">
        <v>11</v>
      </c>
      <c r="D19" s="44"/>
      <c r="E19" s="44"/>
      <c r="F19" s="46">
        <v>2000</v>
      </c>
      <c r="G19" s="46"/>
      <c r="H19" s="56"/>
      <c r="I19" s="44"/>
    </row>
    <row r="20" spans="2:9" x14ac:dyDescent="0.25">
      <c r="B20" s="43" t="s">
        <v>37</v>
      </c>
      <c r="C20" s="3">
        <v>12</v>
      </c>
      <c r="D20" s="44"/>
      <c r="E20" s="44"/>
      <c r="F20" s="73">
        <v>2000</v>
      </c>
      <c r="G20" s="46"/>
      <c r="H20" s="68"/>
      <c r="I20" s="44"/>
    </row>
    <row r="21" spans="2:9" x14ac:dyDescent="0.25">
      <c r="B21" s="47"/>
      <c r="C21" s="16"/>
      <c r="D21" s="48"/>
      <c r="E21" s="46"/>
      <c r="F21" s="46">
        <f>SUM(F9:F20)</f>
        <v>18800</v>
      </c>
      <c r="G21" s="46"/>
      <c r="H21" s="46"/>
      <c r="I21" s="46"/>
    </row>
    <row r="22" spans="2:9" x14ac:dyDescent="0.25">
      <c r="B22" s="36" t="s">
        <v>60</v>
      </c>
      <c r="C22" s="17"/>
      <c r="D22" s="9"/>
      <c r="E22" s="32">
        <f>SUM(F21)</f>
        <v>18800</v>
      </c>
      <c r="F22" s="9"/>
      <c r="G22" s="9"/>
      <c r="H22" s="9"/>
      <c r="I22" s="9"/>
    </row>
    <row r="23" spans="2:9" ht="15.75" x14ac:dyDescent="0.25">
      <c r="B23" s="70"/>
      <c r="C23" s="17"/>
      <c r="D23" s="9"/>
      <c r="E23" s="66"/>
      <c r="F23" s="51" t="s">
        <v>63</v>
      </c>
      <c r="G23" s="40"/>
      <c r="H23" s="9"/>
      <c r="I23" s="9"/>
    </row>
    <row r="24" spans="2:9" x14ac:dyDescent="0.25">
      <c r="B24" s="67" t="s">
        <v>58</v>
      </c>
      <c r="C24" s="9"/>
      <c r="D24" s="9"/>
      <c r="E24" s="9"/>
      <c r="F24" s="37"/>
      <c r="G24" s="64"/>
      <c r="H24" s="9"/>
      <c r="I24" s="9"/>
    </row>
    <row r="25" spans="2:9" x14ac:dyDescent="0.25">
      <c r="B25" s="36" t="s">
        <v>22</v>
      </c>
      <c r="C25" s="17"/>
      <c r="D25" s="9"/>
      <c r="E25" s="34">
        <f>SUM(E22*10%)</f>
        <v>1880</v>
      </c>
      <c r="F25" s="18" t="s">
        <v>109</v>
      </c>
      <c r="G25" s="19"/>
      <c r="H25" s="18" t="s">
        <v>93</v>
      </c>
      <c r="I25" s="9"/>
    </row>
    <row r="26" spans="2:9" x14ac:dyDescent="0.25">
      <c r="B26" s="84" t="s">
        <v>62</v>
      </c>
      <c r="C26" s="85"/>
      <c r="D26" s="86"/>
      <c r="E26" s="87">
        <f>SUM(E25:E25)</f>
        <v>1880</v>
      </c>
      <c r="F26" s="38" t="s">
        <v>24</v>
      </c>
      <c r="G26" s="39"/>
      <c r="H26" s="9" t="s">
        <v>94</v>
      </c>
      <c r="I26" s="9"/>
    </row>
    <row r="27" spans="2:9" x14ac:dyDescent="0.25">
      <c r="B27" s="37" t="s">
        <v>132</v>
      </c>
      <c r="C27" s="17"/>
      <c r="D27" s="9"/>
      <c r="E27" s="35">
        <f>E22-E26</f>
        <v>16920</v>
      </c>
      <c r="F27" s="9"/>
      <c r="G27" s="9"/>
      <c r="H27" s="9"/>
      <c r="I27" s="9"/>
    </row>
    <row r="28" spans="2:9" x14ac:dyDescent="0.25">
      <c r="B28" s="9" t="s">
        <v>133</v>
      </c>
      <c r="C28" s="9"/>
      <c r="D28" s="9"/>
      <c r="E28" s="72">
        <v>0</v>
      </c>
      <c r="F28" s="38" t="s">
        <v>81</v>
      </c>
      <c r="G28" s="38"/>
      <c r="H28" s="9"/>
      <c r="I28" s="18"/>
    </row>
    <row r="29" spans="2:9" x14ac:dyDescent="0.25">
      <c r="B29" s="9"/>
      <c r="C29" s="9"/>
      <c r="D29" s="9"/>
      <c r="E29" s="9"/>
      <c r="F29" s="38" t="s">
        <v>24</v>
      </c>
      <c r="G29" s="3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5" t="s">
        <v>92</v>
      </c>
      <c r="C31" s="19"/>
      <c r="D31" s="19"/>
      <c r="E31" s="81" t="s">
        <v>4</v>
      </c>
      <c r="F31" s="81"/>
      <c r="G31" s="19"/>
      <c r="H31" s="9"/>
      <c r="I31" s="9"/>
    </row>
    <row r="32" spans="2:9" x14ac:dyDescent="0.25">
      <c r="B32" s="5"/>
      <c r="C32" s="19"/>
      <c r="D32" s="81" t="s">
        <v>87</v>
      </c>
      <c r="E32" s="81"/>
      <c r="F32" s="19"/>
      <c r="G32" s="19"/>
      <c r="H32" s="9"/>
      <c r="I32" s="9"/>
    </row>
    <row r="33" spans="1:11" x14ac:dyDescent="0.25">
      <c r="B33" s="24"/>
      <c r="C33" s="79"/>
      <c r="D33" s="82" t="s">
        <v>88</v>
      </c>
      <c r="E33" s="80"/>
      <c r="F33" s="80"/>
      <c r="G33" s="79"/>
      <c r="H33" s="9"/>
      <c r="I33" s="9"/>
    </row>
    <row r="34" spans="1:11" x14ac:dyDescent="0.25">
      <c r="B34" s="4"/>
      <c r="C34" s="5"/>
      <c r="D34" s="6" t="s">
        <v>5</v>
      </c>
      <c r="E34" s="6"/>
      <c r="F34" s="5"/>
      <c r="G34" s="4"/>
      <c r="H34" s="9"/>
      <c r="I34" s="9"/>
    </row>
    <row r="35" spans="1:11" ht="15.75" x14ac:dyDescent="0.25">
      <c r="B35" s="4"/>
      <c r="C35" s="52" t="s">
        <v>97</v>
      </c>
      <c r="D35" s="4"/>
      <c r="E35" s="4"/>
      <c r="F35" s="4"/>
      <c r="G35" s="5"/>
      <c r="H35" s="9"/>
      <c r="I35" s="9"/>
    </row>
    <row r="36" spans="1:11" x14ac:dyDescent="0.25">
      <c r="A36" s="94"/>
      <c r="B36" s="95"/>
      <c r="C36" s="95"/>
      <c r="D36" s="96" t="s">
        <v>126</v>
      </c>
      <c r="E36" s="95"/>
      <c r="F36" s="95"/>
      <c r="G36" s="95"/>
      <c r="H36" s="9"/>
      <c r="I36" s="9"/>
    </row>
    <row r="37" spans="1:11" x14ac:dyDescent="0.25">
      <c r="B37" s="12" t="s">
        <v>0</v>
      </c>
      <c r="C37" s="12" t="s">
        <v>32</v>
      </c>
      <c r="D37" s="12" t="s">
        <v>52</v>
      </c>
      <c r="E37" s="22" t="s">
        <v>55</v>
      </c>
      <c r="F37" s="21" t="s">
        <v>1</v>
      </c>
      <c r="G37" s="22" t="s">
        <v>10</v>
      </c>
      <c r="H37" s="21" t="s">
        <v>3</v>
      </c>
      <c r="I37" s="13" t="s">
        <v>13</v>
      </c>
      <c r="K37">
        <v>2500</v>
      </c>
    </row>
    <row r="38" spans="1:11" x14ac:dyDescent="0.25">
      <c r="B38" s="43" t="s">
        <v>106</v>
      </c>
      <c r="C38" s="10">
        <v>15</v>
      </c>
      <c r="D38" s="43"/>
      <c r="E38" s="43"/>
      <c r="F38" s="47">
        <v>2000</v>
      </c>
      <c r="G38" s="47"/>
      <c r="H38" s="47"/>
      <c r="I38" s="43"/>
      <c r="K38">
        <v>3000</v>
      </c>
    </row>
    <row r="39" spans="1:11" x14ac:dyDescent="0.25">
      <c r="B39" s="89" t="s">
        <v>130</v>
      </c>
      <c r="C39" s="3"/>
      <c r="D39" s="44"/>
      <c r="E39" s="2"/>
      <c r="F39" s="46">
        <v>3000</v>
      </c>
      <c r="G39" s="46"/>
      <c r="H39" s="56"/>
      <c r="I39" s="44"/>
      <c r="K39">
        <v>2000</v>
      </c>
    </row>
    <row r="40" spans="1:11" x14ac:dyDescent="0.25">
      <c r="B40" s="89" t="s">
        <v>103</v>
      </c>
      <c r="C40" s="45" t="s">
        <v>101</v>
      </c>
      <c r="D40" s="44"/>
      <c r="E40" s="43"/>
      <c r="F40" s="46">
        <v>4500</v>
      </c>
      <c r="G40" s="46" t="s">
        <v>107</v>
      </c>
      <c r="H40" s="53"/>
      <c r="I40" s="44"/>
      <c r="K40">
        <v>2000</v>
      </c>
    </row>
    <row r="41" spans="1:11" x14ac:dyDescent="0.25">
      <c r="B41" s="89" t="s">
        <v>104</v>
      </c>
      <c r="C41" s="43" t="s">
        <v>102</v>
      </c>
      <c r="D41" s="44"/>
      <c r="E41" s="43"/>
      <c r="F41" s="46">
        <v>5000</v>
      </c>
      <c r="G41" s="46"/>
      <c r="H41" s="53"/>
      <c r="I41" s="44"/>
      <c r="K41">
        <v>2000</v>
      </c>
    </row>
    <row r="42" spans="1:11" x14ac:dyDescent="0.25">
      <c r="B42" s="43" t="s">
        <v>105</v>
      </c>
      <c r="C42" s="3"/>
      <c r="D42" s="44"/>
      <c r="E42" s="44"/>
      <c r="F42" s="46">
        <v>1500</v>
      </c>
      <c r="G42" s="46"/>
      <c r="H42" s="46"/>
      <c r="I42" s="44"/>
      <c r="K42">
        <v>2000</v>
      </c>
    </row>
    <row r="43" spans="1:11" x14ac:dyDescent="0.25">
      <c r="B43" s="43" t="s">
        <v>129</v>
      </c>
      <c r="C43" s="3"/>
      <c r="D43" s="44"/>
      <c r="E43" s="44"/>
      <c r="F43" s="46">
        <v>2000</v>
      </c>
      <c r="G43" s="46"/>
      <c r="H43" s="56"/>
      <c r="I43" s="44"/>
      <c r="K43">
        <v>2500</v>
      </c>
    </row>
    <row r="44" spans="1:11" x14ac:dyDescent="0.25">
      <c r="B44" s="43" t="s">
        <v>131</v>
      </c>
      <c r="C44" s="3"/>
      <c r="D44" s="44"/>
      <c r="E44" s="44"/>
      <c r="F44" s="73">
        <v>2000</v>
      </c>
      <c r="G44" s="46"/>
      <c r="H44" s="68"/>
      <c r="I44" s="44"/>
      <c r="K44">
        <v>2800</v>
      </c>
    </row>
    <row r="45" spans="1:11" x14ac:dyDescent="0.25">
      <c r="B45" s="47"/>
      <c r="C45" s="16"/>
      <c r="D45" s="48"/>
      <c r="E45" s="46"/>
      <c r="F45" s="46">
        <f>SUM(F38:F44)</f>
        <v>20000</v>
      </c>
      <c r="G45" s="46"/>
      <c r="H45" s="46"/>
      <c r="I45" s="46"/>
      <c r="K45">
        <v>2000</v>
      </c>
    </row>
    <row r="46" spans="1:11" x14ac:dyDescent="0.25">
      <c r="B46" s="36" t="s">
        <v>60</v>
      </c>
      <c r="C46" s="17"/>
      <c r="D46" s="9"/>
      <c r="E46" s="32">
        <f>SUM(F45)</f>
        <v>20000</v>
      </c>
      <c r="F46" s="9"/>
      <c r="G46" s="18" t="s">
        <v>109</v>
      </c>
      <c r="H46" s="19"/>
      <c r="I46" s="18" t="s">
        <v>93</v>
      </c>
      <c r="K46">
        <v>1000</v>
      </c>
    </row>
    <row r="47" spans="1:11" x14ac:dyDescent="0.25">
      <c r="B47" s="70"/>
      <c r="C47" s="17"/>
      <c r="D47" s="9"/>
      <c r="E47" s="66"/>
      <c r="F47" s="51"/>
      <c r="G47" s="38" t="s">
        <v>24</v>
      </c>
      <c r="H47" s="39"/>
      <c r="I47" s="9" t="s">
        <v>94</v>
      </c>
      <c r="K47">
        <v>3000</v>
      </c>
    </row>
    <row r="48" spans="1:11" x14ac:dyDescent="0.25">
      <c r="B48" s="67" t="s">
        <v>58</v>
      </c>
      <c r="C48" s="9"/>
      <c r="D48" s="9"/>
      <c r="E48" s="9"/>
      <c r="F48" s="37"/>
      <c r="G48" s="9"/>
      <c r="H48" s="9"/>
      <c r="I48" s="9"/>
      <c r="K48">
        <v>4400</v>
      </c>
    </row>
    <row r="49" spans="2:11" x14ac:dyDescent="0.25">
      <c r="B49" s="36" t="s">
        <v>22</v>
      </c>
      <c r="C49" s="17"/>
      <c r="D49" s="9"/>
      <c r="E49" s="34">
        <f>SUM(E46*10%)</f>
        <v>2000</v>
      </c>
      <c r="F49" s="9"/>
      <c r="G49" s="38" t="s">
        <v>81</v>
      </c>
      <c r="H49" s="38"/>
      <c r="I49" s="9"/>
      <c r="K49">
        <v>2000</v>
      </c>
    </row>
    <row r="50" spans="2:11" x14ac:dyDescent="0.25">
      <c r="B50" s="36" t="s">
        <v>127</v>
      </c>
      <c r="E50">
        <v>4500</v>
      </c>
      <c r="G50" s="38" t="s">
        <v>24</v>
      </c>
      <c r="H50" s="39"/>
      <c r="I50" s="9"/>
      <c r="K50">
        <v>2800</v>
      </c>
    </row>
    <row r="51" spans="2:11" x14ac:dyDescent="0.25">
      <c r="B51" s="36" t="s">
        <v>128</v>
      </c>
      <c r="D51" s="86"/>
      <c r="E51" s="87">
        <f>SUM(E49:E50)</f>
        <v>6500</v>
      </c>
      <c r="F51" s="9"/>
      <c r="G51" s="9"/>
      <c r="H51" s="9"/>
      <c r="I51" s="9"/>
      <c r="K51">
        <v>2500</v>
      </c>
    </row>
    <row r="52" spans="2:11" ht="16.5" x14ac:dyDescent="0.35">
      <c r="B52" s="92"/>
      <c r="C52" s="85"/>
      <c r="D52" s="9"/>
      <c r="E52" s="72"/>
      <c r="F52" s="91"/>
      <c r="G52" s="9"/>
      <c r="H52" s="9"/>
      <c r="I52" s="9"/>
      <c r="K52">
        <v>2500</v>
      </c>
    </row>
    <row r="53" spans="2:11" x14ac:dyDescent="0.25">
      <c r="B53" s="9" t="s">
        <v>119</v>
      </c>
      <c r="C53" s="93">
        <v>42349</v>
      </c>
      <c r="D53" s="9"/>
      <c r="E53" s="35">
        <f>E46-E51</f>
        <v>13500</v>
      </c>
      <c r="F53" s="91"/>
      <c r="G53" s="9"/>
      <c r="H53" s="9"/>
      <c r="I53" s="9"/>
      <c r="K53">
        <v>2500</v>
      </c>
    </row>
    <row r="54" spans="2:11" x14ac:dyDescent="0.25">
      <c r="B54" s="36" t="s">
        <v>26</v>
      </c>
      <c r="E54">
        <v>0</v>
      </c>
      <c r="K54">
        <v>4500</v>
      </c>
    </row>
    <row r="55" spans="2:11" x14ac:dyDescent="0.25">
      <c r="K55">
        <v>2000</v>
      </c>
    </row>
    <row r="56" spans="2:11" x14ac:dyDescent="0.25">
      <c r="K56">
        <v>2000</v>
      </c>
    </row>
    <row r="57" spans="2:11" x14ac:dyDescent="0.25">
      <c r="K57">
        <v>2000</v>
      </c>
    </row>
    <row r="58" spans="2:11" x14ac:dyDescent="0.25">
      <c r="K58">
        <v>2000</v>
      </c>
    </row>
    <row r="59" spans="2:11" x14ac:dyDescent="0.25">
      <c r="K59">
        <v>2000</v>
      </c>
    </row>
    <row r="60" spans="2:11" x14ac:dyDescent="0.25">
      <c r="K60">
        <v>4000</v>
      </c>
    </row>
    <row r="61" spans="2:11" x14ac:dyDescent="0.25">
      <c r="K61">
        <v>3500</v>
      </c>
    </row>
    <row r="62" spans="2:11" x14ac:dyDescent="0.25">
      <c r="K62">
        <v>2000</v>
      </c>
    </row>
    <row r="63" spans="2:11" x14ac:dyDescent="0.25">
      <c r="K63">
        <v>3000</v>
      </c>
    </row>
    <row r="64" spans="2:11" x14ac:dyDescent="0.25">
      <c r="K64">
        <v>2500</v>
      </c>
    </row>
    <row r="65" spans="11:11" x14ac:dyDescent="0.25">
      <c r="K65">
        <v>2500</v>
      </c>
    </row>
    <row r="66" spans="11:11" x14ac:dyDescent="0.25">
      <c r="K66">
        <v>2500</v>
      </c>
    </row>
    <row r="67" spans="11:11" x14ac:dyDescent="0.25">
      <c r="K67">
        <v>2000</v>
      </c>
    </row>
    <row r="68" spans="11:11" x14ac:dyDescent="0.25">
      <c r="K68">
        <f>SUM(K37:K67)</f>
        <v>78000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opLeftCell="A34" workbookViewId="0">
      <selection sqref="A1:I57"/>
    </sheetView>
  </sheetViews>
  <sheetFormatPr defaultRowHeight="15" x14ac:dyDescent="0.25"/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135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95</v>
      </c>
      <c r="C11" s="3">
        <v>2</v>
      </c>
      <c r="D11" s="44"/>
      <c r="E11" s="44"/>
      <c r="F11" s="46">
        <v>1800</v>
      </c>
      <c r="G11" s="46"/>
      <c r="H11" s="46"/>
      <c r="I11" s="44"/>
      <c r="J11" s="9"/>
    </row>
    <row r="12" spans="1:10" x14ac:dyDescent="0.25">
      <c r="A12" s="9"/>
      <c r="B12" s="43" t="s">
        <v>121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122</v>
      </c>
      <c r="C13" s="3">
        <v>4</v>
      </c>
      <c r="D13" s="44"/>
      <c r="E13" s="2"/>
      <c r="F13" s="46">
        <v>1800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/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123</v>
      </c>
      <c r="C17" s="3">
        <v>8</v>
      </c>
      <c r="D17" s="44"/>
      <c r="E17" s="44"/>
      <c r="F17" s="46"/>
      <c r="G17" s="46"/>
      <c r="H17" s="56"/>
      <c r="I17" s="44"/>
      <c r="J17" s="9"/>
    </row>
    <row r="18" spans="1:10" x14ac:dyDescent="0.25">
      <c r="A18" s="9"/>
      <c r="B18" s="88" t="s">
        <v>114</v>
      </c>
      <c r="C18" s="3">
        <v>9</v>
      </c>
      <c r="D18" s="44"/>
      <c r="E18" s="2"/>
      <c r="F18" s="46">
        <v>1800</v>
      </c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18800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18800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1880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s="84" t="s">
        <v>62</v>
      </c>
      <c r="C27" s="85"/>
      <c r="D27" s="86"/>
      <c r="E27" s="87">
        <f>SUM(E26:E26)</f>
        <v>1880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s="37" t="s">
        <v>134</v>
      </c>
      <c r="C28" s="17"/>
      <c r="D28" s="9"/>
      <c r="E28" s="35">
        <f>E23-E27</f>
        <v>16920</v>
      </c>
      <c r="F28" s="9"/>
      <c r="G28" s="9"/>
      <c r="H28" s="9"/>
      <c r="I28" s="9"/>
      <c r="J28" s="9"/>
    </row>
    <row r="29" spans="1:10" x14ac:dyDescent="0.25">
      <c r="A29" s="9"/>
      <c r="B29" s="9" t="s">
        <v>133</v>
      </c>
      <c r="C29" s="9"/>
      <c r="D29" s="9"/>
      <c r="E29" s="72">
        <v>0</v>
      </c>
      <c r="F29" s="38" t="s">
        <v>81</v>
      </c>
      <c r="G29" s="38"/>
      <c r="H29" s="9"/>
      <c r="I29" s="18"/>
      <c r="J29" s="9"/>
    </row>
    <row r="30" spans="1:10" x14ac:dyDescent="0.25">
      <c r="A30" s="9"/>
      <c r="B30" s="9"/>
      <c r="C30" s="9"/>
      <c r="D30" s="9"/>
      <c r="E30" s="9"/>
      <c r="F30" s="38" t="s">
        <v>24</v>
      </c>
      <c r="G30" s="3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5" t="s">
        <v>92</v>
      </c>
      <c r="C32" s="19"/>
      <c r="D32" s="19"/>
      <c r="E32" s="81" t="s">
        <v>4</v>
      </c>
      <c r="F32" s="81"/>
      <c r="G32" s="19"/>
      <c r="H32" s="9"/>
      <c r="I32" s="9"/>
      <c r="J32" s="9"/>
    </row>
    <row r="33" spans="1:10" x14ac:dyDescent="0.25">
      <c r="A33" s="9"/>
      <c r="B33" s="5"/>
      <c r="C33" s="19"/>
      <c r="D33" s="81" t="s">
        <v>87</v>
      </c>
      <c r="E33" s="81"/>
      <c r="F33" s="19"/>
      <c r="G33" s="19"/>
      <c r="H33" s="9"/>
      <c r="I33" s="9"/>
      <c r="J33" s="9"/>
    </row>
    <row r="34" spans="1:10" x14ac:dyDescent="0.25">
      <c r="A34" s="9"/>
      <c r="B34" s="24"/>
      <c r="C34" s="79"/>
      <c r="D34" s="82" t="s">
        <v>88</v>
      </c>
      <c r="E34" s="80"/>
      <c r="F34" s="80"/>
      <c r="G34" s="79"/>
      <c r="H34" s="9"/>
      <c r="I34" s="9"/>
      <c r="J34" s="9"/>
    </row>
    <row r="35" spans="1:10" x14ac:dyDescent="0.25">
      <c r="A35" s="9"/>
      <c r="B35" s="4"/>
      <c r="C35" s="5"/>
      <c r="D35" s="6" t="s">
        <v>5</v>
      </c>
      <c r="E35" s="6"/>
      <c r="F35" s="5"/>
      <c r="G35" s="4"/>
      <c r="H35" s="9"/>
      <c r="I35" s="9"/>
      <c r="J35" s="9"/>
    </row>
    <row r="36" spans="1:10" ht="15.75" x14ac:dyDescent="0.25">
      <c r="A36" s="9"/>
      <c r="B36" s="4"/>
      <c r="C36" s="52" t="s">
        <v>97</v>
      </c>
      <c r="D36" s="4"/>
      <c r="E36" s="4"/>
      <c r="F36" s="4"/>
      <c r="G36" s="5"/>
      <c r="H36" s="9"/>
      <c r="I36" s="9"/>
      <c r="J36" s="9"/>
    </row>
    <row r="37" spans="1:10" x14ac:dyDescent="0.25">
      <c r="A37" s="94"/>
      <c r="B37" s="95"/>
      <c r="C37" s="95"/>
      <c r="D37" s="96" t="s">
        <v>136</v>
      </c>
      <c r="E37" s="95"/>
      <c r="F37" s="95"/>
      <c r="G37" s="95"/>
      <c r="H37" s="9"/>
      <c r="I37" s="9"/>
      <c r="J37" s="9"/>
    </row>
    <row r="38" spans="1:10" x14ac:dyDescent="0.25">
      <c r="A38" s="9"/>
      <c r="B38" s="12" t="s">
        <v>0</v>
      </c>
      <c r="C38" s="12" t="s">
        <v>32</v>
      </c>
      <c r="D38" s="12" t="s">
        <v>52</v>
      </c>
      <c r="E38" s="22" t="s">
        <v>55</v>
      </c>
      <c r="F38" s="21" t="s">
        <v>1</v>
      </c>
      <c r="G38" s="22" t="s">
        <v>10</v>
      </c>
      <c r="H38" s="21" t="s">
        <v>3</v>
      </c>
      <c r="I38" s="13" t="s">
        <v>13</v>
      </c>
      <c r="J38" s="9"/>
    </row>
    <row r="39" spans="1:10" x14ac:dyDescent="0.25">
      <c r="A39" s="9"/>
      <c r="B39" s="43" t="s">
        <v>106</v>
      </c>
      <c r="C39" s="10">
        <v>15</v>
      </c>
      <c r="D39" s="43"/>
      <c r="E39" s="43"/>
      <c r="F39" s="47">
        <v>2000</v>
      </c>
      <c r="G39" s="47"/>
      <c r="H39" s="47"/>
      <c r="I39" s="43"/>
      <c r="J39" s="9"/>
    </row>
    <row r="40" spans="1:10" x14ac:dyDescent="0.25">
      <c r="A40" s="9"/>
      <c r="B40" s="89" t="s">
        <v>130</v>
      </c>
      <c r="C40" s="3"/>
      <c r="D40" s="44"/>
      <c r="E40" s="2"/>
      <c r="F40" s="46">
        <v>3000</v>
      </c>
      <c r="G40" s="46"/>
      <c r="H40" s="56"/>
      <c r="I40" s="44"/>
      <c r="J40" s="9"/>
    </row>
    <row r="41" spans="1:10" x14ac:dyDescent="0.25">
      <c r="A41" s="9"/>
      <c r="B41" s="89" t="s">
        <v>103</v>
      </c>
      <c r="C41" s="45" t="s">
        <v>101</v>
      </c>
      <c r="D41" s="44"/>
      <c r="E41" s="43"/>
      <c r="F41" s="46">
        <v>4500</v>
      </c>
      <c r="G41" s="46"/>
      <c r="H41" s="53"/>
      <c r="I41" s="44"/>
      <c r="J41" s="9"/>
    </row>
    <row r="42" spans="1:10" x14ac:dyDescent="0.25">
      <c r="A42" s="9"/>
      <c r="B42" s="89" t="s">
        <v>104</v>
      </c>
      <c r="C42" s="43" t="s">
        <v>102</v>
      </c>
      <c r="D42" s="44"/>
      <c r="E42" s="43"/>
      <c r="F42" s="46">
        <v>5000</v>
      </c>
      <c r="G42" s="46"/>
      <c r="H42" s="53"/>
      <c r="I42" s="44"/>
      <c r="J42" s="9"/>
    </row>
    <row r="43" spans="1:10" x14ac:dyDescent="0.25">
      <c r="A43" s="9"/>
      <c r="B43" s="43" t="s">
        <v>105</v>
      </c>
      <c r="C43" s="3"/>
      <c r="D43" s="44"/>
      <c r="E43" s="44"/>
      <c r="F43" s="46">
        <v>1500</v>
      </c>
      <c r="G43" s="46"/>
      <c r="H43" s="46"/>
      <c r="I43" s="44"/>
      <c r="J43" s="9"/>
    </row>
    <row r="44" spans="1:10" x14ac:dyDescent="0.25">
      <c r="A44" s="9"/>
      <c r="B44" s="43" t="s">
        <v>129</v>
      </c>
      <c r="C44" s="3"/>
      <c r="D44" s="44"/>
      <c r="E44" s="44"/>
      <c r="F44" s="46">
        <v>2000</v>
      </c>
      <c r="G44" s="46"/>
      <c r="H44" s="56"/>
      <c r="I44" s="44"/>
      <c r="J44" s="9"/>
    </row>
    <row r="45" spans="1:10" x14ac:dyDescent="0.25">
      <c r="A45" s="9"/>
      <c r="B45" s="43" t="s">
        <v>131</v>
      </c>
      <c r="C45" s="3"/>
      <c r="D45" s="44"/>
      <c r="E45" s="44"/>
      <c r="F45" s="73">
        <v>2000</v>
      </c>
      <c r="G45" s="46"/>
      <c r="H45" s="68"/>
      <c r="I45" s="44"/>
      <c r="J45" s="9"/>
    </row>
    <row r="46" spans="1:10" x14ac:dyDescent="0.25">
      <c r="A46" s="9"/>
      <c r="B46" s="47"/>
      <c r="C46" s="16"/>
      <c r="D46" s="48"/>
      <c r="E46" s="46"/>
      <c r="F46" s="46">
        <f>SUM(F39:F45)</f>
        <v>20000</v>
      </c>
      <c r="G46" s="46"/>
      <c r="H46" s="46"/>
      <c r="I46" s="46"/>
      <c r="J46" s="9"/>
    </row>
    <row r="47" spans="1:10" x14ac:dyDescent="0.25">
      <c r="A47" s="9"/>
      <c r="B47" s="36" t="s">
        <v>60</v>
      </c>
      <c r="C47" s="17"/>
      <c r="D47" s="9"/>
      <c r="E47" s="32">
        <f>SUM(F46)</f>
        <v>20000</v>
      </c>
      <c r="F47" s="9"/>
      <c r="G47" s="18" t="s">
        <v>109</v>
      </c>
      <c r="H47" s="19"/>
      <c r="I47" s="18" t="s">
        <v>93</v>
      </c>
      <c r="J47" s="9"/>
    </row>
    <row r="48" spans="1:10" x14ac:dyDescent="0.25">
      <c r="A48" s="9"/>
      <c r="B48" s="70"/>
      <c r="C48" s="17"/>
      <c r="D48" s="9"/>
      <c r="E48" s="66"/>
      <c r="F48" s="51"/>
      <c r="G48" s="38" t="s">
        <v>24</v>
      </c>
      <c r="H48" s="39"/>
      <c r="I48" s="9" t="s">
        <v>94</v>
      </c>
      <c r="J48" s="9"/>
    </row>
    <row r="49" spans="1:10" x14ac:dyDescent="0.25">
      <c r="A49" s="9"/>
      <c r="B49" s="67" t="s">
        <v>58</v>
      </c>
      <c r="C49" s="9"/>
      <c r="D49" s="9"/>
      <c r="E49" s="9"/>
      <c r="F49" s="37"/>
      <c r="G49" s="9"/>
      <c r="H49" s="9"/>
      <c r="I49" s="9"/>
      <c r="J49" s="9"/>
    </row>
    <row r="50" spans="1:10" x14ac:dyDescent="0.25">
      <c r="A50" s="9"/>
      <c r="B50" s="36" t="s">
        <v>22</v>
      </c>
      <c r="C50" s="17"/>
      <c r="D50" s="9"/>
      <c r="E50" s="34">
        <f>SUM(E47*10%)</f>
        <v>2000</v>
      </c>
      <c r="F50" s="9"/>
      <c r="G50" s="38" t="s">
        <v>81</v>
      </c>
      <c r="H50" s="38"/>
      <c r="I50" s="9"/>
      <c r="J50" s="9"/>
    </row>
    <row r="51" spans="1:10" x14ac:dyDescent="0.25">
      <c r="A51" s="9"/>
      <c r="B51" s="36"/>
      <c r="C51" s="9"/>
      <c r="D51" s="9"/>
      <c r="E51" s="9"/>
      <c r="F51" s="9"/>
      <c r="G51" s="38" t="s">
        <v>24</v>
      </c>
      <c r="H51" s="39"/>
      <c r="I51" s="9"/>
      <c r="J51" s="9"/>
    </row>
    <row r="52" spans="1:10" x14ac:dyDescent="0.25">
      <c r="A52" s="9"/>
      <c r="B52" s="36" t="s">
        <v>128</v>
      </c>
      <c r="C52" s="9"/>
      <c r="D52" s="86"/>
      <c r="E52" s="87">
        <f>SUM(E50:E51)</f>
        <v>2000</v>
      </c>
      <c r="F52" s="9"/>
      <c r="G52" s="9"/>
      <c r="H52" s="9"/>
      <c r="I52" s="9"/>
      <c r="J52" s="9"/>
    </row>
    <row r="53" spans="1:10" ht="16.5" x14ac:dyDescent="0.35">
      <c r="A53" s="9"/>
      <c r="B53" s="92"/>
      <c r="C53" s="85"/>
      <c r="D53" s="9"/>
      <c r="E53" s="72"/>
      <c r="F53" s="91"/>
      <c r="G53" s="9"/>
      <c r="H53" s="9"/>
      <c r="I53" s="9"/>
      <c r="J53" s="9"/>
    </row>
    <row r="54" spans="1:10" x14ac:dyDescent="0.25">
      <c r="A54" s="9"/>
      <c r="B54" s="9" t="s">
        <v>119</v>
      </c>
      <c r="C54" s="93">
        <v>42381</v>
      </c>
      <c r="D54" s="9"/>
      <c r="E54" s="35">
        <f>E47-E52</f>
        <v>18000</v>
      </c>
      <c r="F54" s="91"/>
      <c r="G54" s="9"/>
      <c r="H54" s="9"/>
      <c r="I54" s="9"/>
      <c r="J54" s="9"/>
    </row>
    <row r="55" spans="1:10" x14ac:dyDescent="0.25">
      <c r="A55" s="9"/>
      <c r="B55" s="36" t="s">
        <v>26</v>
      </c>
      <c r="C55" s="9"/>
      <c r="D55" s="9"/>
      <c r="E55" s="9">
        <v>0</v>
      </c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sqref="A1:I61"/>
    </sheetView>
  </sheetViews>
  <sheetFormatPr defaultRowHeight="15" x14ac:dyDescent="0.25"/>
  <cols>
    <col min="2" max="2" width="14.5703125" customWidth="1"/>
    <col min="8" max="8" width="10.5703125" bestFit="1" customWidth="1"/>
  </cols>
  <sheetData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141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122</v>
      </c>
      <c r="C14" s="3">
        <v>4</v>
      </c>
      <c r="D14" s="44"/>
      <c r="E14" s="2"/>
      <c r="F14" s="46">
        <v>1800</v>
      </c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137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20600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20600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2060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2060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138</v>
      </c>
      <c r="C29" s="17"/>
      <c r="D29" s="9"/>
      <c r="E29" s="35">
        <f>E24-E28</f>
        <v>18540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 s="72">
        <v>0</v>
      </c>
      <c r="F30" s="38" t="s">
        <v>81</v>
      </c>
      <c r="G30" s="38"/>
      <c r="H30" s="9">
        <v>5000</v>
      </c>
      <c r="I30" s="18"/>
    </row>
    <row r="31" spans="1:9" x14ac:dyDescent="0.25">
      <c r="A31" s="9"/>
      <c r="B31" s="9"/>
      <c r="C31" s="9"/>
      <c r="D31" s="9"/>
      <c r="E31" s="9"/>
      <c r="F31" s="38" t="s">
        <v>24</v>
      </c>
      <c r="G31" s="39"/>
      <c r="H31" s="72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142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143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" sqref="A2:J56"/>
    </sheetView>
  </sheetViews>
  <sheetFormatPr defaultRowHeight="15" x14ac:dyDescent="0.25"/>
  <cols>
    <col min="2" max="2" width="1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21</v>
      </c>
      <c r="C14" s="3"/>
      <c r="D14" s="44"/>
      <c r="E14" s="2"/>
      <c r="F14" s="46"/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18800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18800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1880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1880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147</v>
      </c>
      <c r="C29" s="17"/>
      <c r="D29" s="9"/>
      <c r="E29" s="35">
        <f>E24-E28</f>
        <v>16920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>
        <v>0</v>
      </c>
      <c r="G30" s="9"/>
      <c r="H30" s="18"/>
    </row>
    <row r="31" spans="1:9" x14ac:dyDescent="0.25">
      <c r="A31" s="9"/>
      <c r="B31" s="9"/>
      <c r="C31" s="9"/>
      <c r="D31" s="9"/>
      <c r="E31" s="38" t="s">
        <v>81</v>
      </c>
      <c r="F31" s="38"/>
      <c r="G31" s="72"/>
      <c r="H31" s="9"/>
    </row>
    <row r="32" spans="1:9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21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0" workbookViewId="0">
      <selection activeCell="M31" sqref="M31"/>
    </sheetView>
  </sheetViews>
  <sheetFormatPr defaultRowHeight="15" x14ac:dyDescent="0.25"/>
  <cols>
    <col min="2" max="2" width="11.140625" customWidth="1"/>
    <col min="7" max="7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20800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20800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2080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2080</v>
      </c>
      <c r="F28" s="38" t="s">
        <v>24</v>
      </c>
      <c r="G28" s="39"/>
      <c r="H28" s="9" t="s">
        <v>94</v>
      </c>
      <c r="I28" s="9"/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18720</v>
      </c>
      <c r="F29" s="9"/>
      <c r="G29" s="9"/>
      <c r="H29" s="9"/>
      <c r="I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1:10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  <c r="J33" s="9"/>
    </row>
    <row r="34" spans="1:10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  <c r="J34" s="9"/>
    </row>
    <row r="35" spans="1:10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  <c r="J35" s="9"/>
    </row>
    <row r="36" spans="1:10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  <c r="J36" s="9"/>
    </row>
    <row r="37" spans="1:10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  <c r="J37" s="9"/>
    </row>
    <row r="38" spans="1:10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  <c r="J38" s="9"/>
    </row>
    <row r="39" spans="1:10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  <c r="J39" s="9"/>
    </row>
    <row r="40" spans="1:10" x14ac:dyDescent="0.25">
      <c r="A40" s="9"/>
      <c r="B40" s="43" t="s">
        <v>21</v>
      </c>
      <c r="C40" s="10"/>
      <c r="D40" s="43"/>
      <c r="E40" s="43"/>
      <c r="F40" s="47"/>
      <c r="G40" s="47"/>
      <c r="H40" s="47"/>
      <c r="I40" s="43"/>
      <c r="J40" s="9"/>
    </row>
    <row r="41" spans="1:10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  <c r="J41" s="9"/>
    </row>
    <row r="42" spans="1:10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  <c r="J42" s="9"/>
    </row>
    <row r="43" spans="1:10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  <c r="J43" s="9"/>
    </row>
    <row r="44" spans="1:10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  <c r="J44" s="9"/>
    </row>
    <row r="45" spans="1:10" x14ac:dyDescent="0.25">
      <c r="A45" s="9"/>
      <c r="B45" s="43" t="s">
        <v>137</v>
      </c>
      <c r="C45" s="3"/>
      <c r="D45" s="44"/>
      <c r="E45" s="44"/>
      <c r="F45" s="46">
        <v>3000</v>
      </c>
      <c r="G45" s="46"/>
      <c r="H45" s="56"/>
      <c r="I45" s="44"/>
      <c r="J45" s="9"/>
    </row>
    <row r="46" spans="1:10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  <c r="J46" s="9"/>
    </row>
    <row r="47" spans="1:10" x14ac:dyDescent="0.25">
      <c r="A47" s="9"/>
      <c r="B47" s="47"/>
      <c r="C47" s="16"/>
      <c r="D47" s="48"/>
      <c r="E47" s="46"/>
      <c r="F47" s="46">
        <f>SUM(F40:F46)</f>
        <v>20000</v>
      </c>
      <c r="G47" s="46"/>
      <c r="H47" s="46"/>
      <c r="I47" s="46"/>
      <c r="J47" s="9"/>
    </row>
    <row r="48" spans="1:10" x14ac:dyDescent="0.25">
      <c r="A48" s="9"/>
      <c r="B48" s="36" t="s">
        <v>60</v>
      </c>
      <c r="C48" s="17"/>
      <c r="D48" s="9"/>
      <c r="E48" s="32">
        <f>SUM(F47)</f>
        <v>20000</v>
      </c>
      <c r="F48" s="9"/>
      <c r="G48" s="18" t="s">
        <v>109</v>
      </c>
      <c r="H48" s="19"/>
      <c r="I48" s="18" t="s">
        <v>93</v>
      </c>
      <c r="J48" s="9"/>
    </row>
    <row r="49" spans="1:10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  <c r="J49" s="9"/>
    </row>
    <row r="50" spans="1:10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  <c r="J50" s="9"/>
    </row>
    <row r="51" spans="1:10" x14ac:dyDescent="0.25">
      <c r="A51" s="9"/>
      <c r="B51" s="36" t="s">
        <v>22</v>
      </c>
      <c r="C51" s="17"/>
      <c r="D51" s="9"/>
      <c r="E51" s="34">
        <f>SUM(E48*10%)</f>
        <v>2000</v>
      </c>
      <c r="F51" s="9"/>
      <c r="G51" s="38" t="s">
        <v>81</v>
      </c>
      <c r="H51" s="38"/>
      <c r="I51" s="9"/>
      <c r="J51" s="9"/>
    </row>
    <row r="52" spans="1:10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  <c r="J52" s="9"/>
    </row>
    <row r="53" spans="1:10" x14ac:dyDescent="0.25">
      <c r="A53" s="9"/>
      <c r="B53" s="36" t="s">
        <v>128</v>
      </c>
      <c r="C53" s="9"/>
      <c r="D53" s="86"/>
      <c r="E53" s="87">
        <f>SUM(E51:E52)</f>
        <v>2000</v>
      </c>
      <c r="F53" s="9"/>
      <c r="G53" s="9"/>
      <c r="H53" s="9"/>
      <c r="I53" s="9"/>
      <c r="J53" s="9"/>
    </row>
    <row r="54" spans="1:10" ht="16.5" x14ac:dyDescent="0.35">
      <c r="A54" s="9"/>
      <c r="B54" s="92"/>
      <c r="C54" s="85"/>
      <c r="D54" s="9"/>
      <c r="E54" s="72"/>
      <c r="F54" s="91"/>
      <c r="G54" s="9"/>
      <c r="H54" s="9"/>
      <c r="I54" s="9"/>
      <c r="J54" s="9"/>
    </row>
    <row r="55" spans="1:10" x14ac:dyDescent="0.25">
      <c r="A55" s="9"/>
      <c r="B55" s="9" t="s">
        <v>151</v>
      </c>
      <c r="C55" s="93"/>
      <c r="D55" s="9"/>
      <c r="E55" s="35">
        <f>E48-E53</f>
        <v>18000</v>
      </c>
      <c r="F55" s="91"/>
      <c r="G55" s="9"/>
      <c r="H55" s="9"/>
      <c r="I55" s="9"/>
      <c r="J55" s="9"/>
    </row>
    <row r="56" spans="1:10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  <c r="J5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9"/>
      <c r="B1" s="5" t="s">
        <v>92</v>
      </c>
      <c r="C1" s="19"/>
      <c r="D1" s="19"/>
      <c r="E1" s="81" t="s">
        <v>4</v>
      </c>
      <c r="F1" s="81"/>
      <c r="G1" s="19"/>
      <c r="H1" s="9"/>
      <c r="I1" s="9"/>
    </row>
    <row r="2" spans="1:9" x14ac:dyDescent="0.25">
      <c r="A2" s="9"/>
      <c r="B2" s="5"/>
      <c r="C2" s="19"/>
      <c r="D2" s="81" t="s">
        <v>87</v>
      </c>
      <c r="E2" s="81"/>
      <c r="F2" s="19"/>
      <c r="G2" s="19"/>
      <c r="H2" s="9"/>
      <c r="I2" s="9"/>
    </row>
    <row r="3" spans="1:9" x14ac:dyDescent="0.25">
      <c r="A3" s="9"/>
      <c r="B3" s="24"/>
      <c r="C3" s="79"/>
      <c r="D3" s="82" t="s">
        <v>88</v>
      </c>
      <c r="E3" s="80"/>
      <c r="F3" s="80"/>
      <c r="G3" s="79"/>
      <c r="H3" s="9"/>
      <c r="I3" s="9"/>
    </row>
    <row r="4" spans="1:9" x14ac:dyDescent="0.25">
      <c r="A4" s="9"/>
      <c r="B4" s="4"/>
      <c r="C4" s="5"/>
      <c r="D4" s="6" t="s">
        <v>5</v>
      </c>
      <c r="E4" s="6"/>
      <c r="F4" s="5"/>
      <c r="G4" s="4"/>
      <c r="H4" s="9"/>
      <c r="I4" s="9"/>
    </row>
    <row r="5" spans="1:9" ht="15.75" x14ac:dyDescent="0.25">
      <c r="A5" s="9"/>
      <c r="B5" s="4"/>
      <c r="C5" s="52" t="s">
        <v>97</v>
      </c>
      <c r="D5" s="4"/>
      <c r="E5" s="4"/>
      <c r="F5" s="4"/>
      <c r="G5" s="5"/>
      <c r="H5" s="9"/>
      <c r="I5" s="9"/>
    </row>
    <row r="6" spans="1:9" x14ac:dyDescent="0.25">
      <c r="A6" s="94"/>
      <c r="B6" s="95"/>
      <c r="C6" s="95"/>
      <c r="D6" s="96" t="s">
        <v>148</v>
      </c>
      <c r="E6" s="95"/>
      <c r="F6" s="95"/>
      <c r="G6" s="95"/>
      <c r="H6" s="9"/>
      <c r="I6" s="9"/>
    </row>
    <row r="7" spans="1:9" x14ac:dyDescent="0.25">
      <c r="A7" s="9"/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13</v>
      </c>
    </row>
    <row r="8" spans="1:9" x14ac:dyDescent="0.25">
      <c r="A8" s="9"/>
      <c r="B8" s="43" t="s">
        <v>106</v>
      </c>
      <c r="C8" s="10">
        <v>15</v>
      </c>
      <c r="D8" s="43"/>
      <c r="E8" s="43"/>
      <c r="F8" s="47">
        <v>2000</v>
      </c>
      <c r="G8" s="47"/>
      <c r="H8" s="47"/>
      <c r="I8" s="43"/>
    </row>
    <row r="9" spans="1:9" x14ac:dyDescent="0.25">
      <c r="A9" s="9"/>
      <c r="B9" s="88" t="s">
        <v>130</v>
      </c>
      <c r="C9" s="3"/>
      <c r="D9" s="44"/>
      <c r="E9" s="2"/>
      <c r="F9" s="46">
        <v>3000</v>
      </c>
      <c r="G9" s="46"/>
      <c r="H9" s="56"/>
      <c r="I9" s="44"/>
    </row>
    <row r="10" spans="1:9" x14ac:dyDescent="0.25">
      <c r="A10" s="9"/>
      <c r="B10" s="88" t="s">
        <v>103</v>
      </c>
      <c r="C10" s="45" t="s">
        <v>101</v>
      </c>
      <c r="D10" s="44"/>
      <c r="E10" s="43"/>
      <c r="F10" s="46">
        <v>4500</v>
      </c>
      <c r="G10" s="46"/>
      <c r="H10" s="53"/>
      <c r="I10" s="44"/>
    </row>
    <row r="11" spans="1:9" x14ac:dyDescent="0.25">
      <c r="A11" s="9"/>
      <c r="B11" s="88" t="s">
        <v>104</v>
      </c>
      <c r="C11" s="43" t="s">
        <v>102</v>
      </c>
      <c r="D11" s="44"/>
      <c r="E11" s="43"/>
      <c r="F11" s="46">
        <v>5000</v>
      </c>
      <c r="G11" s="46"/>
      <c r="H11" s="53"/>
      <c r="I11" s="44"/>
    </row>
    <row r="12" spans="1:9" x14ac:dyDescent="0.25">
      <c r="A12" s="9"/>
      <c r="B12" s="43" t="s">
        <v>105</v>
      </c>
      <c r="C12" s="3"/>
      <c r="D12" s="44"/>
      <c r="E12" s="44"/>
      <c r="F12" s="46">
        <v>2500</v>
      </c>
      <c r="G12" s="46"/>
      <c r="H12" s="46"/>
      <c r="I12" s="44"/>
    </row>
    <row r="13" spans="1:9" x14ac:dyDescent="0.25">
      <c r="A13" s="9"/>
      <c r="B13" s="43" t="s">
        <v>21</v>
      </c>
      <c r="C13" s="3"/>
      <c r="D13" s="44"/>
      <c r="E13" s="44"/>
      <c r="F13" s="46">
        <v>0</v>
      </c>
      <c r="G13" s="46"/>
      <c r="H13" s="56"/>
      <c r="I13" s="44"/>
    </row>
    <row r="14" spans="1:9" x14ac:dyDescent="0.25">
      <c r="A14" s="9"/>
      <c r="B14" s="43" t="s">
        <v>131</v>
      </c>
      <c r="C14" s="3"/>
      <c r="D14" s="44"/>
      <c r="E14" s="44"/>
      <c r="F14" s="73">
        <v>2000</v>
      </c>
      <c r="G14" s="46"/>
      <c r="H14" s="68"/>
      <c r="I14" s="44"/>
    </row>
    <row r="15" spans="1:9" x14ac:dyDescent="0.25">
      <c r="A15" s="9"/>
      <c r="B15" s="47"/>
      <c r="C15" s="16"/>
      <c r="D15" s="48"/>
      <c r="E15" s="46"/>
      <c r="F15" s="46">
        <f>SUM(F8:F14)</f>
        <v>19000</v>
      </c>
      <c r="G15" s="46"/>
      <c r="H15" s="46"/>
      <c r="I15" s="46"/>
    </row>
    <row r="16" spans="1:9" x14ac:dyDescent="0.25">
      <c r="A16" s="9"/>
      <c r="B16" s="36" t="s">
        <v>60</v>
      </c>
      <c r="C16" s="17"/>
      <c r="D16" s="9"/>
      <c r="E16" s="32">
        <f>SUM(F15)</f>
        <v>19000</v>
      </c>
      <c r="F16" s="9"/>
      <c r="G16" s="18" t="s">
        <v>109</v>
      </c>
      <c r="H16" s="19"/>
      <c r="I16" s="18" t="s">
        <v>93</v>
      </c>
    </row>
    <row r="17" spans="1:9" x14ac:dyDescent="0.25">
      <c r="A17" s="9"/>
      <c r="B17" s="70"/>
      <c r="C17" s="17"/>
      <c r="D17" s="9"/>
      <c r="E17" s="66"/>
      <c r="F17" s="51"/>
      <c r="G17" s="38" t="s">
        <v>24</v>
      </c>
      <c r="H17" s="39"/>
      <c r="I17" s="9" t="s">
        <v>94</v>
      </c>
    </row>
    <row r="18" spans="1:9" x14ac:dyDescent="0.25">
      <c r="A18" s="9"/>
      <c r="B18" s="67" t="s">
        <v>58</v>
      </c>
      <c r="C18" s="9"/>
      <c r="D18" s="9"/>
      <c r="E18" s="9"/>
      <c r="F18" s="37"/>
      <c r="G18" s="9"/>
      <c r="H18" s="9"/>
      <c r="I18" s="9"/>
    </row>
    <row r="19" spans="1:9" x14ac:dyDescent="0.25">
      <c r="A19" s="9"/>
      <c r="B19" s="36" t="s">
        <v>22</v>
      </c>
      <c r="C19" s="17"/>
      <c r="D19" s="9"/>
      <c r="E19" s="34">
        <f>SUM(E16*10%)</f>
        <v>1900</v>
      </c>
      <c r="F19" s="9"/>
      <c r="G19" s="38" t="s">
        <v>81</v>
      </c>
      <c r="H19" s="38"/>
      <c r="I19" s="9"/>
    </row>
    <row r="20" spans="1:9" x14ac:dyDescent="0.25">
      <c r="A20" s="9"/>
      <c r="B20" s="36"/>
      <c r="C20" s="9"/>
      <c r="D20" s="9"/>
      <c r="E20" s="9"/>
      <c r="F20" s="9"/>
      <c r="G20" s="38" t="s">
        <v>24</v>
      </c>
      <c r="H20" s="39"/>
      <c r="I20" s="9"/>
    </row>
    <row r="21" spans="1:9" x14ac:dyDescent="0.25">
      <c r="A21" s="9"/>
      <c r="B21" s="36" t="s">
        <v>128</v>
      </c>
      <c r="C21" s="9"/>
      <c r="D21" s="86"/>
      <c r="E21" s="87">
        <f>SUM(E19:E20)</f>
        <v>1900</v>
      </c>
      <c r="F21" s="9"/>
      <c r="G21" s="9"/>
      <c r="H21" s="9"/>
      <c r="I21" s="9"/>
    </row>
    <row r="22" spans="1:9" ht="16.5" x14ac:dyDescent="0.35">
      <c r="A22" s="9"/>
      <c r="B22" s="92"/>
      <c r="C22" s="85"/>
      <c r="D22" s="9"/>
      <c r="E22" s="72"/>
      <c r="F22" s="91"/>
      <c r="G22" s="9"/>
      <c r="H22" s="9"/>
      <c r="I22" s="9"/>
    </row>
    <row r="23" spans="1:9" x14ac:dyDescent="0.25">
      <c r="A23" s="9"/>
      <c r="B23" s="9" t="s">
        <v>139</v>
      </c>
      <c r="C23" s="93"/>
      <c r="D23" s="9"/>
      <c r="E23" s="35">
        <f>E16-E21</f>
        <v>17100</v>
      </c>
      <c r="F23" s="91"/>
      <c r="G23" s="9"/>
      <c r="H23" s="9"/>
      <c r="I23" s="9"/>
    </row>
    <row r="24" spans="1:9" x14ac:dyDescent="0.25">
      <c r="A24" s="9"/>
      <c r="B24" s="36" t="s">
        <v>26</v>
      </c>
      <c r="C24" s="9"/>
      <c r="D24" s="9"/>
      <c r="E24" s="9">
        <v>0</v>
      </c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9"/>
      <c r="C27" s="9"/>
      <c r="D27">
        <v>1900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>
        <v>1400</v>
      </c>
      <c r="E28" s="9"/>
      <c r="F28" s="9"/>
      <c r="G28" s="9"/>
      <c r="H28" s="9"/>
      <c r="I28" s="9"/>
    </row>
    <row r="29" spans="1:9" x14ac:dyDescent="0.25">
      <c r="A29" s="9"/>
      <c r="B29" s="9"/>
      <c r="C29" s="9"/>
      <c r="D29">
        <f>SUM(D27:D28)</f>
        <v>3300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>
        <v>2300</v>
      </c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>
        <v>1250</v>
      </c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>
        <v>700</v>
      </c>
      <c r="E32" s="9"/>
      <c r="F32" s="9"/>
      <c r="G32" s="9"/>
      <c r="H32" s="9"/>
      <c r="I32" s="9"/>
    </row>
    <row r="33" spans="4:4" x14ac:dyDescent="0.25">
      <c r="D33">
        <f>SUM(D30:D32)</f>
        <v>4250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J34"/>
    </sheetView>
  </sheetViews>
  <sheetFormatPr defaultRowHeight="15" x14ac:dyDescent="0.25"/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152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137</v>
      </c>
      <c r="C12" s="3">
        <v>2</v>
      </c>
      <c r="D12" s="44"/>
      <c r="E12" s="44"/>
      <c r="F12" s="46">
        <v>2000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/>
      <c r="C19" s="3"/>
      <c r="D19" s="44"/>
      <c r="E19" s="2"/>
      <c r="F19" s="46"/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19200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19200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1920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1920</v>
      </c>
      <c r="F28" s="38" t="s">
        <v>24</v>
      </c>
      <c r="G28" s="39"/>
      <c r="H28" s="9" t="s">
        <v>94</v>
      </c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17280</v>
      </c>
      <c r="F29" s="9"/>
      <c r="G29" s="9"/>
      <c r="H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9:9" x14ac:dyDescent="0.25">
      <c r="I33" s="9"/>
    </row>
    <row r="34" spans="9:9" x14ac:dyDescent="0.25">
      <c r="I34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K34" sqref="K34"/>
    </sheetView>
  </sheetViews>
  <sheetFormatPr defaultRowHeight="15" x14ac:dyDescent="0.25"/>
  <cols>
    <col min="2" max="2" width="11.140625" customWidth="1"/>
  </cols>
  <sheetData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97</v>
      </c>
      <c r="D7" s="4"/>
      <c r="E7" s="4"/>
      <c r="F7" s="4"/>
      <c r="G7" s="5"/>
      <c r="H7" s="9"/>
      <c r="I7" s="9"/>
      <c r="J7" s="9"/>
    </row>
    <row r="8" spans="1:10" x14ac:dyDescent="0.25">
      <c r="A8" s="94"/>
      <c r="B8" s="95"/>
      <c r="C8" s="95"/>
      <c r="D8" s="96" t="s">
        <v>153</v>
      </c>
      <c r="E8" s="95"/>
      <c r="F8" s="95"/>
      <c r="G8" s="95"/>
      <c r="H8" s="9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21</v>
      </c>
      <c r="C10" s="10"/>
      <c r="D10" s="43"/>
      <c r="E10" s="43"/>
      <c r="F10" s="47"/>
      <c r="G10" s="47"/>
      <c r="H10" s="47"/>
      <c r="I10" s="43"/>
      <c r="J10" s="9"/>
    </row>
    <row r="11" spans="1:10" x14ac:dyDescent="0.25">
      <c r="A11" s="9"/>
      <c r="B11" s="88" t="s">
        <v>130</v>
      </c>
      <c r="C11" s="3"/>
      <c r="D11" s="44"/>
      <c r="E11" s="2"/>
      <c r="F11" s="46">
        <v>3000</v>
      </c>
      <c r="G11" s="46"/>
      <c r="H11" s="56"/>
      <c r="I11" s="44"/>
      <c r="J11" s="9"/>
    </row>
    <row r="12" spans="1:10" x14ac:dyDescent="0.25">
      <c r="A12" s="9"/>
      <c r="B12" s="88" t="s">
        <v>103</v>
      </c>
      <c r="C12" s="45" t="s">
        <v>101</v>
      </c>
      <c r="D12" s="44"/>
      <c r="E12" s="43"/>
      <c r="F12" s="46">
        <v>4500</v>
      </c>
      <c r="G12" s="46"/>
      <c r="H12" s="53"/>
      <c r="I12" s="44"/>
      <c r="J12" s="9"/>
    </row>
    <row r="13" spans="1:10" x14ac:dyDescent="0.25">
      <c r="A13" s="9"/>
      <c r="B13" s="88" t="s">
        <v>104</v>
      </c>
      <c r="C13" s="43" t="s">
        <v>102</v>
      </c>
      <c r="D13" s="44"/>
      <c r="E13" s="43"/>
      <c r="F13" s="46">
        <v>5000</v>
      </c>
      <c r="G13" s="46"/>
      <c r="H13" s="53"/>
      <c r="I13" s="44"/>
      <c r="J13" s="9"/>
    </row>
    <row r="14" spans="1:10" x14ac:dyDescent="0.25">
      <c r="A14" s="9"/>
      <c r="B14" s="43" t="s">
        <v>105</v>
      </c>
      <c r="C14" s="3"/>
      <c r="D14" s="44"/>
      <c r="E14" s="44"/>
      <c r="F14" s="46">
        <v>2500</v>
      </c>
      <c r="G14" s="46"/>
      <c r="H14" s="46"/>
      <c r="I14" s="44"/>
      <c r="J14" s="9"/>
    </row>
    <row r="15" spans="1:10" x14ac:dyDescent="0.25">
      <c r="A15" s="9"/>
      <c r="B15" s="43" t="s">
        <v>137</v>
      </c>
      <c r="C15" s="3"/>
      <c r="D15" s="44"/>
      <c r="E15" s="44"/>
      <c r="F15" s="46">
        <v>3000</v>
      </c>
      <c r="G15" s="46"/>
      <c r="H15" s="56"/>
      <c r="I15" s="44"/>
      <c r="J15" s="9"/>
    </row>
    <row r="16" spans="1:10" x14ac:dyDescent="0.25">
      <c r="A16" s="9"/>
      <c r="B16" s="43" t="s">
        <v>131</v>
      </c>
      <c r="C16" s="3"/>
      <c r="D16" s="44"/>
      <c r="E16" s="44"/>
      <c r="F16" s="73">
        <v>2000</v>
      </c>
      <c r="G16" s="46"/>
      <c r="H16" s="68"/>
      <c r="I16" s="44"/>
      <c r="J16" s="9"/>
    </row>
    <row r="17" spans="1:10" x14ac:dyDescent="0.25">
      <c r="A17" s="9"/>
      <c r="B17" s="47"/>
      <c r="C17" s="16"/>
      <c r="D17" s="48"/>
      <c r="E17" s="46"/>
      <c r="F17" s="46">
        <f>SUM(F11:F16)</f>
        <v>20000</v>
      </c>
      <c r="G17" s="46"/>
      <c r="H17" s="46"/>
      <c r="I17" s="46"/>
      <c r="J17" s="9"/>
    </row>
    <row r="18" spans="1:10" x14ac:dyDescent="0.25">
      <c r="A18" s="9"/>
      <c r="B18" s="100" t="s">
        <v>60</v>
      </c>
      <c r="C18" s="101"/>
      <c r="D18" s="97"/>
      <c r="E18" s="102">
        <f>SUM(F17)</f>
        <v>20000</v>
      </c>
      <c r="F18" s="9"/>
      <c r="G18" s="18" t="s">
        <v>109</v>
      </c>
      <c r="H18" s="19"/>
      <c r="I18" s="18" t="s">
        <v>93</v>
      </c>
      <c r="J18" s="9"/>
    </row>
    <row r="19" spans="1:10" x14ac:dyDescent="0.25">
      <c r="A19" s="9"/>
      <c r="B19" s="103"/>
      <c r="C19" s="101"/>
      <c r="D19" s="97"/>
      <c r="E19" s="104"/>
      <c r="F19" s="51"/>
      <c r="G19" s="38" t="s">
        <v>24</v>
      </c>
      <c r="H19" s="39"/>
      <c r="I19" s="9" t="s">
        <v>94</v>
      </c>
      <c r="J19" s="9"/>
    </row>
    <row r="20" spans="1:10" x14ac:dyDescent="0.25">
      <c r="A20" s="9"/>
      <c r="B20" s="67" t="s">
        <v>58</v>
      </c>
      <c r="C20" s="9"/>
      <c r="D20" s="9"/>
      <c r="E20" s="9"/>
      <c r="F20" s="37"/>
      <c r="G20" s="9"/>
      <c r="H20" s="9"/>
      <c r="I20" s="9"/>
      <c r="J20" s="9"/>
    </row>
    <row r="21" spans="1:10" x14ac:dyDescent="0.25">
      <c r="A21" s="9"/>
      <c r="B21" s="36" t="s">
        <v>22</v>
      </c>
      <c r="C21" s="17"/>
      <c r="D21" s="9"/>
      <c r="E21" s="34">
        <f>SUM(E18*10%)</f>
        <v>2000</v>
      </c>
      <c r="F21" s="9"/>
      <c r="G21" s="38" t="s">
        <v>81</v>
      </c>
      <c r="H21" s="38"/>
      <c r="I21" s="9"/>
      <c r="J21" s="9"/>
    </row>
    <row r="22" spans="1:10" x14ac:dyDescent="0.25">
      <c r="A22" s="9"/>
      <c r="B22" s="36"/>
      <c r="C22" s="9"/>
      <c r="D22" s="9"/>
      <c r="E22" s="9"/>
      <c r="F22" s="9"/>
      <c r="G22" s="38" t="s">
        <v>24</v>
      </c>
      <c r="H22" s="39"/>
      <c r="I22" s="9"/>
      <c r="J22" s="9"/>
    </row>
    <row r="23" spans="1:10" x14ac:dyDescent="0.25">
      <c r="A23" s="9"/>
      <c r="B23" s="36" t="s">
        <v>154</v>
      </c>
      <c r="C23" s="9"/>
      <c r="D23" s="86"/>
      <c r="E23" s="87">
        <f>SUM(E21:E22)</f>
        <v>2000</v>
      </c>
      <c r="F23" s="9"/>
      <c r="G23" s="9"/>
      <c r="H23" s="9"/>
      <c r="I23" s="9"/>
      <c r="J23" s="9"/>
    </row>
    <row r="24" spans="1:10" ht="16.5" x14ac:dyDescent="0.35">
      <c r="A24" s="9"/>
      <c r="B24" s="92"/>
      <c r="C24" s="85"/>
      <c r="D24" s="9"/>
      <c r="E24" s="72"/>
      <c r="F24" s="91"/>
      <c r="G24" s="9"/>
      <c r="H24" s="9"/>
      <c r="I24" s="9"/>
      <c r="J24" s="9"/>
    </row>
    <row r="25" spans="1:10" x14ac:dyDescent="0.25">
      <c r="A25" s="9"/>
      <c r="B25" s="97" t="s">
        <v>151</v>
      </c>
      <c r="C25" s="98"/>
      <c r="D25" s="97"/>
      <c r="E25" s="99">
        <f>E18-E23</f>
        <v>18000</v>
      </c>
      <c r="F25" s="91"/>
      <c r="G25" s="9"/>
      <c r="H25" s="9"/>
      <c r="I25" s="9"/>
      <c r="J25" s="9">
        <v>18900</v>
      </c>
    </row>
    <row r="26" spans="1:10" x14ac:dyDescent="0.25">
      <c r="A26" s="9"/>
      <c r="B26" s="36" t="s">
        <v>26</v>
      </c>
      <c r="C26" s="9"/>
      <c r="D26" s="9"/>
      <c r="E26" s="9">
        <v>0</v>
      </c>
      <c r="F26" s="9"/>
      <c r="G26" s="9"/>
      <c r="H26" s="9"/>
      <c r="I26" s="9"/>
      <c r="J26" s="9">
        <v>18000</v>
      </c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>
        <f>SUM(J25:J26)</f>
        <v>36900</v>
      </c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41"/>
    </sheetView>
  </sheetViews>
  <sheetFormatPr defaultRowHeight="15" x14ac:dyDescent="0.25"/>
  <cols>
    <col min="4" max="4" width="12.5703125" customWidth="1"/>
    <col min="5" max="5" width="12.7109375" customWidth="1"/>
    <col min="6" max="6" width="10.5703125" bestFit="1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9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9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9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9"/>
    </row>
    <row r="6" spans="1:9" ht="15.75" x14ac:dyDescent="0.25">
      <c r="A6" s="4"/>
      <c r="B6" s="52" t="s">
        <v>97</v>
      </c>
      <c r="C6" s="4"/>
      <c r="D6" s="4"/>
      <c r="E6" s="4"/>
      <c r="F6" s="5"/>
      <c r="G6" s="9"/>
      <c r="H6" s="9"/>
      <c r="I6" s="9"/>
    </row>
    <row r="7" spans="1:9" x14ac:dyDescent="0.25">
      <c r="A7" s="95"/>
      <c r="B7" s="95"/>
      <c r="C7" s="96" t="s">
        <v>156</v>
      </c>
      <c r="D7" s="95"/>
      <c r="E7" s="95"/>
      <c r="F7" s="95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9"/>
    </row>
    <row r="9" spans="1:9" x14ac:dyDescent="0.25">
      <c r="A9" s="43" t="s">
        <v>161</v>
      </c>
      <c r="B9" s="10"/>
      <c r="C9" s="43"/>
      <c r="D9" s="43"/>
      <c r="E9" s="47">
        <v>5000</v>
      </c>
      <c r="F9" s="47"/>
      <c r="G9" s="47"/>
      <c r="H9" s="43"/>
      <c r="I9" s="9"/>
    </row>
    <row r="10" spans="1:9" x14ac:dyDescent="0.25">
      <c r="A10" s="88" t="s">
        <v>130</v>
      </c>
      <c r="B10" s="3"/>
      <c r="C10" s="44"/>
      <c r="D10" s="2"/>
      <c r="E10" s="46">
        <v>3000</v>
      </c>
      <c r="F10" s="46"/>
      <c r="G10" s="56"/>
      <c r="H10" s="44"/>
      <c r="I10" s="9"/>
    </row>
    <row r="11" spans="1:9" x14ac:dyDescent="0.25">
      <c r="A11" s="88" t="s">
        <v>103</v>
      </c>
      <c r="B11" s="45" t="s">
        <v>101</v>
      </c>
      <c r="C11" s="44"/>
      <c r="D11" s="43"/>
      <c r="E11" s="46">
        <v>4500</v>
      </c>
      <c r="F11" s="46" t="s">
        <v>107</v>
      </c>
      <c r="G11" s="53"/>
      <c r="H11" s="44"/>
      <c r="I11" s="9"/>
    </row>
    <row r="12" spans="1:9" x14ac:dyDescent="0.25">
      <c r="A12" s="88" t="s">
        <v>104</v>
      </c>
      <c r="B12" s="43" t="s">
        <v>102</v>
      </c>
      <c r="C12" s="44"/>
      <c r="D12" s="43"/>
      <c r="E12" s="46">
        <v>5000</v>
      </c>
      <c r="F12" s="46"/>
      <c r="G12" s="53"/>
      <c r="H12" s="44"/>
      <c r="I12" s="9"/>
    </row>
    <row r="13" spans="1:9" x14ac:dyDescent="0.25">
      <c r="A13" s="43" t="s">
        <v>105</v>
      </c>
      <c r="B13" s="3"/>
      <c r="C13" s="44"/>
      <c r="D13" s="44"/>
      <c r="E13" s="46">
        <v>2500</v>
      </c>
      <c r="F13" s="46"/>
      <c r="G13" s="46"/>
      <c r="H13" s="44"/>
      <c r="I13" s="9"/>
    </row>
    <row r="14" spans="1:9" x14ac:dyDescent="0.25">
      <c r="A14" s="43" t="s">
        <v>137</v>
      </c>
      <c r="B14" s="3"/>
      <c r="C14" s="44"/>
      <c r="D14" s="44"/>
      <c r="E14" s="46">
        <v>2000</v>
      </c>
      <c r="F14" s="46"/>
      <c r="G14" s="56"/>
      <c r="H14" s="44"/>
      <c r="I14" s="9"/>
    </row>
    <row r="15" spans="1:9" x14ac:dyDescent="0.25">
      <c r="A15" s="43" t="s">
        <v>131</v>
      </c>
      <c r="B15" s="3"/>
      <c r="C15" s="44"/>
      <c r="D15" s="44"/>
      <c r="E15" s="73"/>
      <c r="F15" s="46"/>
      <c r="G15" s="68"/>
      <c r="H15" s="44"/>
      <c r="I15" s="9"/>
    </row>
    <row r="16" spans="1:9" x14ac:dyDescent="0.25">
      <c r="A16" s="47" t="s">
        <v>137</v>
      </c>
      <c r="B16" s="16"/>
      <c r="C16" s="48"/>
      <c r="D16" s="46"/>
      <c r="E16" s="46">
        <v>3000</v>
      </c>
      <c r="F16" s="46"/>
      <c r="G16" s="46"/>
      <c r="H16" s="46"/>
      <c r="I16" s="9"/>
    </row>
    <row r="17" spans="1:9" x14ac:dyDescent="0.25">
      <c r="A17" s="44"/>
      <c r="B17" s="44"/>
      <c r="C17" s="44"/>
      <c r="D17" s="44"/>
      <c r="E17" s="44"/>
      <c r="F17" s="44"/>
      <c r="G17" s="44"/>
      <c r="H17" s="44"/>
    </row>
    <row r="18" spans="1:9" x14ac:dyDescent="0.25">
      <c r="A18" s="44"/>
      <c r="B18" s="44"/>
      <c r="C18" s="44"/>
      <c r="D18" s="44"/>
      <c r="E18" s="105">
        <f>SUM(E9:E17)</f>
        <v>25000</v>
      </c>
      <c r="F18" s="44"/>
      <c r="G18" s="44"/>
      <c r="H18" s="44"/>
    </row>
    <row r="20" spans="1:9" x14ac:dyDescent="0.25">
      <c r="A20" s="100" t="s">
        <v>60</v>
      </c>
      <c r="B20" s="101"/>
      <c r="C20" s="97"/>
      <c r="D20" s="102">
        <f>E18</f>
        <v>25000</v>
      </c>
      <c r="E20" s="9"/>
      <c r="F20" s="18" t="s">
        <v>109</v>
      </c>
      <c r="G20" s="19"/>
      <c r="H20" s="18" t="s">
        <v>93</v>
      </c>
      <c r="I20" s="9"/>
    </row>
    <row r="21" spans="1:9" x14ac:dyDescent="0.25">
      <c r="A21" s="103"/>
      <c r="B21" s="101"/>
      <c r="C21" s="97"/>
      <c r="D21" s="104"/>
      <c r="E21" s="51"/>
      <c r="F21" s="38" t="s">
        <v>24</v>
      </c>
      <c r="G21" s="39"/>
      <c r="H21" s="9" t="s">
        <v>94</v>
      </c>
      <c r="I21" s="9"/>
    </row>
    <row r="22" spans="1:9" x14ac:dyDescent="0.25">
      <c r="A22" s="67" t="s">
        <v>58</v>
      </c>
      <c r="B22" s="9"/>
      <c r="C22" s="9"/>
      <c r="D22" s="9"/>
      <c r="E22" s="37"/>
      <c r="F22" s="9"/>
      <c r="G22" s="9"/>
      <c r="H22" s="9"/>
      <c r="I22" s="9"/>
    </row>
    <row r="23" spans="1:9" x14ac:dyDescent="0.25">
      <c r="A23" s="36" t="s">
        <v>22</v>
      </c>
      <c r="B23" s="17"/>
      <c r="C23" s="9"/>
      <c r="D23" s="34">
        <f>SUM(D20*10%)</f>
        <v>2500</v>
      </c>
      <c r="E23" s="9"/>
      <c r="F23" s="38" t="s">
        <v>81</v>
      </c>
      <c r="G23" s="38"/>
      <c r="H23" s="9"/>
      <c r="I23" s="9"/>
    </row>
    <row r="24" spans="1:9" x14ac:dyDescent="0.25">
      <c r="A24" s="36" t="s">
        <v>158</v>
      </c>
      <c r="B24" s="9"/>
      <c r="C24" s="9"/>
      <c r="D24" s="9">
        <v>2500</v>
      </c>
      <c r="E24" s="9"/>
      <c r="F24" s="38" t="s">
        <v>24</v>
      </c>
      <c r="G24" s="39"/>
      <c r="H24" s="9"/>
      <c r="I24" s="9"/>
    </row>
    <row r="25" spans="1:9" x14ac:dyDescent="0.25">
      <c r="A25" t="s">
        <v>159</v>
      </c>
      <c r="D25">
        <v>4500</v>
      </c>
      <c r="E25" s="9"/>
      <c r="F25" s="9"/>
      <c r="G25" s="9"/>
      <c r="H25" s="9"/>
      <c r="I25" s="9"/>
    </row>
    <row r="26" spans="1:9" x14ac:dyDescent="0.25">
      <c r="E26" s="91"/>
      <c r="F26" s="9"/>
      <c r="G26" s="9"/>
      <c r="H26" s="9"/>
      <c r="I26" s="9"/>
    </row>
    <row r="27" spans="1:9" x14ac:dyDescent="0.25">
      <c r="A27" s="36" t="s">
        <v>154</v>
      </c>
      <c r="B27" s="9"/>
      <c r="C27" s="86"/>
      <c r="D27" s="87">
        <f>SUM(D23:D26)</f>
        <v>9500</v>
      </c>
      <c r="E27" s="91"/>
      <c r="F27" s="9"/>
      <c r="G27" s="9"/>
      <c r="H27" s="9"/>
      <c r="I27" s="9"/>
    </row>
    <row r="28" spans="1:9" ht="16.5" x14ac:dyDescent="0.35">
      <c r="A28" s="92"/>
      <c r="B28" s="85"/>
      <c r="C28" s="9"/>
      <c r="D28" s="72"/>
      <c r="E28" s="9"/>
      <c r="G28" s="9"/>
      <c r="H28" s="9"/>
      <c r="I28" s="9"/>
    </row>
    <row r="29" spans="1:9" x14ac:dyDescent="0.25">
      <c r="A29" s="97" t="s">
        <v>151</v>
      </c>
      <c r="B29" s="98" t="s">
        <v>157</v>
      </c>
      <c r="C29" s="97"/>
      <c r="D29" s="99">
        <f>D20-D27</f>
        <v>15500</v>
      </c>
      <c r="E29" s="9"/>
      <c r="F29" s="9"/>
      <c r="G29" s="9"/>
      <c r="H29" s="9"/>
      <c r="I29" s="9"/>
    </row>
    <row r="30" spans="1:9" x14ac:dyDescent="0.25">
      <c r="A30" s="36" t="s">
        <v>26</v>
      </c>
      <c r="B30" s="9"/>
      <c r="C30" s="9"/>
      <c r="D30" s="72">
        <v>0</v>
      </c>
      <c r="E30" s="9"/>
      <c r="F30" s="9"/>
      <c r="G30" s="9"/>
      <c r="H30" s="9"/>
      <c r="I3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workbookViewId="0">
      <selection activeCell="A2" sqref="A2:J35"/>
    </sheetView>
  </sheetViews>
  <sheetFormatPr defaultRowHeight="15" x14ac:dyDescent="0.25"/>
  <cols>
    <col min="2" max="2" width="10.5703125" customWidth="1"/>
    <col min="5" max="5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155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137</v>
      </c>
      <c r="C11" s="3">
        <v>2</v>
      </c>
      <c r="D11" s="44"/>
      <c r="E11" s="44"/>
      <c r="F11" s="46">
        <v>2000</v>
      </c>
      <c r="G11" s="46"/>
      <c r="H11" s="46"/>
      <c r="I11" s="44"/>
      <c r="J11" s="9"/>
    </row>
    <row r="12" spans="1:10" x14ac:dyDescent="0.25">
      <c r="A12" s="9"/>
      <c r="B12" s="43" t="s">
        <v>140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149</v>
      </c>
      <c r="C13" s="3">
        <v>4</v>
      </c>
      <c r="D13" s="44"/>
      <c r="E13" s="2"/>
      <c r="F13" s="46">
        <v>2000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>
        <v>2000</v>
      </c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144</v>
      </c>
      <c r="C17" s="3">
        <v>8</v>
      </c>
      <c r="D17" s="44"/>
      <c r="E17" s="44"/>
      <c r="F17" s="46">
        <v>1800</v>
      </c>
      <c r="G17" s="46"/>
      <c r="H17" s="56"/>
      <c r="I17" s="44"/>
      <c r="J17" s="9"/>
    </row>
    <row r="18" spans="1:10" x14ac:dyDescent="0.25">
      <c r="A18" s="9"/>
      <c r="B18" s="88"/>
      <c r="C18" s="3"/>
      <c r="D18" s="44"/>
      <c r="E18" s="2"/>
      <c r="F18" s="46"/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21200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21200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2120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t="s">
        <v>160</v>
      </c>
      <c r="E27">
        <v>3000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t="s">
        <v>162</v>
      </c>
      <c r="E28">
        <v>2000</v>
      </c>
      <c r="G28" s="9"/>
      <c r="H28" s="9"/>
      <c r="I28" s="9"/>
      <c r="J28" s="9"/>
    </row>
    <row r="29" spans="1:10" x14ac:dyDescent="0.25">
      <c r="A29" s="9"/>
      <c r="B29" s="37" t="s">
        <v>62</v>
      </c>
      <c r="C29" s="17"/>
      <c r="D29" s="9"/>
      <c r="E29" s="35">
        <f>SUM(E26:E28)</f>
        <v>7120</v>
      </c>
      <c r="G29" s="9"/>
      <c r="H29" s="18"/>
      <c r="I29" s="9"/>
      <c r="J29" s="9"/>
    </row>
    <row r="30" spans="1:10" x14ac:dyDescent="0.25">
      <c r="A30" s="9"/>
      <c r="B30" s="9" t="s">
        <v>133</v>
      </c>
      <c r="C30" s="9"/>
      <c r="D30" s="9"/>
      <c r="E30" s="72">
        <f>E23-E29</f>
        <v>14080</v>
      </c>
      <c r="F30" s="9"/>
      <c r="G30" s="72"/>
      <c r="H30" s="9"/>
      <c r="I30" s="9"/>
      <c r="J30" s="9"/>
    </row>
    <row r="31" spans="1:10" x14ac:dyDescent="0.25">
      <c r="A31" s="9"/>
      <c r="F31" s="9"/>
      <c r="G31" s="9"/>
      <c r="H31" s="9"/>
      <c r="I31" s="9"/>
      <c r="J31" s="9"/>
    </row>
    <row r="32" spans="1:10" x14ac:dyDescent="0.25">
      <c r="A32" s="9"/>
      <c r="F32" s="38"/>
      <c r="G32" s="9"/>
      <c r="H32" s="9"/>
      <c r="I32" s="9"/>
      <c r="J32" s="9"/>
    </row>
    <row r="33" spans="1:12" x14ac:dyDescent="0.25">
      <c r="A33" s="9"/>
      <c r="B33" s="9"/>
      <c r="C33" s="9"/>
      <c r="D33" s="9"/>
      <c r="E33" s="38" t="s">
        <v>81</v>
      </c>
      <c r="F33" s="39"/>
      <c r="G33" s="9"/>
      <c r="H33" s="9"/>
      <c r="I33" s="9"/>
      <c r="J33" s="9"/>
    </row>
    <row r="34" spans="1:12" x14ac:dyDescent="0.25">
      <c r="B34" s="9"/>
      <c r="C34" s="9"/>
      <c r="D34" s="9"/>
      <c r="E34" s="9"/>
      <c r="F34" s="9"/>
    </row>
    <row r="42" spans="1:12" x14ac:dyDescent="0.25">
      <c r="L42">
        <v>14080</v>
      </c>
    </row>
    <row r="43" spans="1:12" x14ac:dyDescent="0.25">
      <c r="L43">
        <v>15500</v>
      </c>
    </row>
    <row r="44" spans="1:12" x14ac:dyDescent="0.25">
      <c r="L44">
        <v>7600</v>
      </c>
    </row>
    <row r="45" spans="1:12" x14ac:dyDescent="0.25">
      <c r="L45">
        <f>SUM(L42:L44)</f>
        <v>37180</v>
      </c>
    </row>
    <row r="46" spans="1:12" x14ac:dyDescent="0.25">
      <c r="L46" t="s">
        <v>163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workbookViewId="0">
      <selection activeCell="A49" sqref="A49"/>
    </sheetView>
  </sheetViews>
  <sheetFormatPr defaultRowHeight="15" x14ac:dyDescent="0.25"/>
  <cols>
    <col min="1" max="1" width="14.7109375" customWidth="1"/>
    <col min="4" max="4" width="10.7109375" customWidth="1"/>
    <col min="5" max="5" width="15.42578125" customWidth="1"/>
    <col min="6" max="6" width="11.140625" customWidth="1"/>
  </cols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5" t="s">
        <v>92</v>
      </c>
      <c r="B3" s="19"/>
      <c r="C3" s="19"/>
      <c r="D3" s="81" t="s">
        <v>4</v>
      </c>
      <c r="E3" s="81"/>
      <c r="F3" s="19"/>
      <c r="G3" s="9"/>
      <c r="H3" s="9"/>
      <c r="I3" s="9"/>
    </row>
    <row r="4" spans="1:10" x14ac:dyDescent="0.25">
      <c r="A4" s="5"/>
      <c r="B4" s="19"/>
      <c r="C4" s="81" t="s">
        <v>87</v>
      </c>
      <c r="D4" s="81"/>
      <c r="E4" s="19"/>
      <c r="F4" s="19"/>
      <c r="G4" s="9"/>
      <c r="H4" s="9"/>
      <c r="I4" s="9"/>
    </row>
    <row r="5" spans="1:10" x14ac:dyDescent="0.25">
      <c r="A5" s="24"/>
      <c r="B5" s="79"/>
      <c r="C5" s="82" t="s">
        <v>88</v>
      </c>
      <c r="D5" s="80"/>
      <c r="E5" s="80"/>
      <c r="F5" s="79"/>
      <c r="G5" s="9"/>
      <c r="H5" s="9"/>
      <c r="I5" s="9"/>
    </row>
    <row r="6" spans="1:10" x14ac:dyDescent="0.25">
      <c r="A6" s="4"/>
      <c r="B6" s="5"/>
      <c r="C6" s="6" t="s">
        <v>5</v>
      </c>
      <c r="D6" s="6"/>
      <c r="E6" s="5"/>
      <c r="F6" s="4"/>
      <c r="G6" s="9"/>
      <c r="H6" s="9"/>
      <c r="I6" s="9"/>
    </row>
    <row r="7" spans="1:10" ht="15.75" x14ac:dyDescent="0.25">
      <c r="A7" s="4"/>
      <c r="B7" s="52" t="s">
        <v>43</v>
      </c>
      <c r="C7" s="4"/>
      <c r="D7" s="4"/>
      <c r="E7" s="4"/>
      <c r="F7" s="5"/>
      <c r="G7" s="9"/>
      <c r="H7" s="9"/>
      <c r="I7" s="9"/>
    </row>
    <row r="8" spans="1:10" x14ac:dyDescent="0.25">
      <c r="A8" s="94"/>
      <c r="B8" s="95"/>
      <c r="C8" s="95"/>
      <c r="D8" s="96" t="s">
        <v>174</v>
      </c>
      <c r="E8" s="95"/>
      <c r="F8" s="95"/>
      <c r="G8" s="95"/>
      <c r="H8" s="9"/>
      <c r="I8" s="9"/>
    </row>
    <row r="9" spans="1:10" x14ac:dyDescent="0.25">
      <c r="A9" s="12" t="s">
        <v>0</v>
      </c>
      <c r="B9" s="12" t="s">
        <v>32</v>
      </c>
      <c r="C9" s="12" t="s">
        <v>52</v>
      </c>
      <c r="D9" s="22" t="s">
        <v>55</v>
      </c>
      <c r="E9" s="21" t="s">
        <v>1</v>
      </c>
      <c r="F9" s="22" t="s">
        <v>10</v>
      </c>
      <c r="G9" s="21" t="s">
        <v>3</v>
      </c>
      <c r="H9" s="13" t="s">
        <v>13</v>
      </c>
      <c r="I9" s="9"/>
    </row>
    <row r="10" spans="1:10" x14ac:dyDescent="0.25">
      <c r="A10" s="43" t="s">
        <v>77</v>
      </c>
      <c r="B10" s="3">
        <v>1</v>
      </c>
      <c r="C10" s="44"/>
      <c r="D10" s="2"/>
      <c r="E10" s="46">
        <v>2000</v>
      </c>
      <c r="F10" s="46"/>
      <c r="G10" s="46"/>
      <c r="H10" s="2"/>
      <c r="I10" s="9"/>
    </row>
    <row r="11" spans="1:10" x14ac:dyDescent="0.25">
      <c r="A11" s="43"/>
      <c r="B11" s="3">
        <v>2</v>
      </c>
      <c r="C11" s="44"/>
      <c r="D11" s="44"/>
      <c r="E11" s="46">
        <v>0</v>
      </c>
      <c r="F11" s="46"/>
      <c r="G11" s="46"/>
      <c r="H11" s="44"/>
      <c r="I11" s="9"/>
    </row>
    <row r="12" spans="1:10" x14ac:dyDescent="0.25">
      <c r="A12" s="43"/>
      <c r="B12" s="69">
        <v>3</v>
      </c>
      <c r="C12" s="43"/>
      <c r="D12" s="43"/>
      <c r="E12" s="47">
        <v>0</v>
      </c>
      <c r="F12" s="47"/>
      <c r="G12" s="47"/>
      <c r="H12" s="43"/>
      <c r="I12" s="9"/>
    </row>
    <row r="13" spans="1:10" x14ac:dyDescent="0.25">
      <c r="A13" s="43" t="s">
        <v>149</v>
      </c>
      <c r="B13" s="3">
        <v>4</v>
      </c>
      <c r="C13" s="44"/>
      <c r="D13" s="2"/>
      <c r="E13" s="46">
        <v>2000</v>
      </c>
      <c r="F13" s="46"/>
      <c r="G13" s="56"/>
      <c r="H13" s="44"/>
      <c r="I13" s="9"/>
    </row>
    <row r="14" spans="1:10" x14ac:dyDescent="0.25">
      <c r="A14" s="45" t="s">
        <v>123</v>
      </c>
      <c r="B14" s="3">
        <v>5</v>
      </c>
      <c r="C14" s="44"/>
      <c r="D14" s="43"/>
      <c r="E14" s="46">
        <v>2000</v>
      </c>
      <c r="F14" s="46"/>
      <c r="G14" s="53"/>
      <c r="H14" s="44"/>
      <c r="I14" s="9"/>
    </row>
    <row r="15" spans="1:10" x14ac:dyDescent="0.25">
      <c r="A15" s="43" t="s">
        <v>124</v>
      </c>
      <c r="B15" s="3">
        <v>6</v>
      </c>
      <c r="C15" s="44"/>
      <c r="D15" s="43"/>
      <c r="E15" s="46">
        <v>2000</v>
      </c>
      <c r="F15" s="46"/>
      <c r="G15" s="53"/>
      <c r="H15" s="44"/>
      <c r="I15" s="9"/>
    </row>
    <row r="16" spans="1:10" x14ac:dyDescent="0.25">
      <c r="A16" s="43" t="s">
        <v>66</v>
      </c>
      <c r="B16" s="3">
        <v>7</v>
      </c>
      <c r="C16" s="44"/>
      <c r="D16" s="44"/>
      <c r="E16" s="46">
        <v>1800</v>
      </c>
      <c r="F16" s="46"/>
      <c r="G16" s="46"/>
      <c r="H16" s="44"/>
      <c r="I16" s="9"/>
    </row>
    <row r="17" spans="1:10" x14ac:dyDescent="0.25">
      <c r="A17" s="45" t="s">
        <v>144</v>
      </c>
      <c r="B17" s="3">
        <v>8</v>
      </c>
      <c r="C17" s="44"/>
      <c r="D17" s="44"/>
      <c r="E17" s="46">
        <v>1800</v>
      </c>
      <c r="F17" s="46"/>
      <c r="G17" s="56"/>
      <c r="H17" s="44"/>
      <c r="I17" s="9"/>
    </row>
    <row r="18" spans="1:10" x14ac:dyDescent="0.25">
      <c r="A18" s="88"/>
      <c r="B18" s="3">
        <v>9</v>
      </c>
      <c r="C18" s="44"/>
      <c r="D18" s="2"/>
      <c r="E18" s="46">
        <v>0</v>
      </c>
      <c r="F18" s="46"/>
      <c r="G18" s="46"/>
      <c r="H18" s="44"/>
      <c r="I18" s="9"/>
    </row>
    <row r="19" spans="1:10" x14ac:dyDescent="0.25">
      <c r="A19" s="88" t="s">
        <v>115</v>
      </c>
      <c r="B19" s="3">
        <v>10</v>
      </c>
      <c r="C19" s="44"/>
      <c r="D19" s="44"/>
      <c r="E19" s="46">
        <v>1800</v>
      </c>
      <c r="F19" s="46"/>
      <c r="G19" s="46"/>
      <c r="H19" s="44"/>
      <c r="I19" s="9"/>
    </row>
    <row r="20" spans="1:10" x14ac:dyDescent="0.25">
      <c r="A20" s="43" t="s">
        <v>42</v>
      </c>
      <c r="B20" s="3">
        <v>11</v>
      </c>
      <c r="C20" s="44"/>
      <c r="D20" s="44"/>
      <c r="E20" s="46">
        <v>2000</v>
      </c>
      <c r="F20" s="46"/>
      <c r="G20" s="56"/>
      <c r="H20" s="44"/>
      <c r="I20" s="9"/>
    </row>
    <row r="21" spans="1:10" x14ac:dyDescent="0.25">
      <c r="A21" s="43" t="s">
        <v>37</v>
      </c>
      <c r="B21" s="3">
        <v>12</v>
      </c>
      <c r="C21" s="44"/>
      <c r="D21" s="44"/>
      <c r="E21" s="73">
        <v>2000</v>
      </c>
      <c r="F21" s="46"/>
      <c r="G21" s="68"/>
      <c r="H21" s="44"/>
      <c r="I21" s="9"/>
    </row>
    <row r="22" spans="1:10" x14ac:dyDescent="0.25">
      <c r="A22" s="47"/>
      <c r="B22" s="16"/>
      <c r="C22" s="48"/>
      <c r="D22" s="46"/>
      <c r="E22" s="46">
        <f>SUM(E10:E21)</f>
        <v>17400</v>
      </c>
      <c r="F22" s="46"/>
      <c r="G22" s="46"/>
      <c r="H22" s="46"/>
      <c r="I22" s="9"/>
    </row>
    <row r="23" spans="1:10" x14ac:dyDescent="0.25">
      <c r="A23" s="36" t="s">
        <v>60</v>
      </c>
      <c r="B23" s="17"/>
      <c r="C23" s="9"/>
      <c r="D23" s="32">
        <f>SUM(E22)</f>
        <v>17400</v>
      </c>
      <c r="E23" s="9"/>
      <c r="F23" s="9"/>
      <c r="G23" s="9"/>
      <c r="H23" s="9"/>
      <c r="I23" s="9"/>
    </row>
    <row r="24" spans="1:10" ht="15.75" x14ac:dyDescent="0.25">
      <c r="A24" s="70"/>
      <c r="B24" s="17"/>
      <c r="C24" s="90"/>
      <c r="D24" s="66"/>
      <c r="E24" s="51" t="s">
        <v>63</v>
      </c>
      <c r="F24" s="40"/>
      <c r="G24" s="9"/>
      <c r="H24" s="9"/>
      <c r="I24" s="9"/>
    </row>
    <row r="25" spans="1:10" x14ac:dyDescent="0.25">
      <c r="A25" s="67" t="s">
        <v>58</v>
      </c>
      <c r="B25" s="9"/>
      <c r="C25" s="90"/>
      <c r="D25" s="90"/>
      <c r="E25" s="37"/>
      <c r="F25" s="64"/>
      <c r="G25" s="9"/>
      <c r="H25" s="9"/>
      <c r="I25" s="9"/>
    </row>
    <row r="26" spans="1:10" x14ac:dyDescent="0.25">
      <c r="A26" s="36" t="s">
        <v>22</v>
      </c>
      <c r="B26" s="17"/>
      <c r="C26" s="9"/>
      <c r="D26" s="34">
        <f>SUM(D23*10%)</f>
        <v>1740</v>
      </c>
      <c r="E26" s="18" t="s">
        <v>109</v>
      </c>
      <c r="F26" s="19"/>
      <c r="G26" s="18" t="s">
        <v>93</v>
      </c>
      <c r="H26" s="9"/>
      <c r="I26" s="9"/>
    </row>
    <row r="27" spans="1:10" x14ac:dyDescent="0.25">
      <c r="A27" s="9" t="s">
        <v>160</v>
      </c>
      <c r="B27" s="9"/>
      <c r="C27" s="9"/>
      <c r="D27" s="9">
        <v>3000</v>
      </c>
      <c r="E27" s="38" t="s">
        <v>24</v>
      </c>
      <c r="F27" s="39"/>
      <c r="G27" s="9" t="s">
        <v>94</v>
      </c>
      <c r="H27" s="9"/>
      <c r="I27" s="9"/>
    </row>
    <row r="28" spans="1:10" x14ac:dyDescent="0.25">
      <c r="A28" s="37" t="s">
        <v>62</v>
      </c>
      <c r="B28" s="17"/>
      <c r="C28" s="9"/>
      <c r="D28" s="35">
        <f>SUM(D26:D27)</f>
        <v>4740</v>
      </c>
      <c r="E28" s="9"/>
      <c r="F28" s="9"/>
      <c r="G28" s="9"/>
      <c r="H28" s="9"/>
      <c r="I28" s="9"/>
    </row>
    <row r="29" spans="1:10" x14ac:dyDescent="0.25">
      <c r="E29" s="38" t="s">
        <v>173</v>
      </c>
      <c r="F29" s="9"/>
      <c r="G29" s="18"/>
      <c r="H29" s="9"/>
      <c r="I29" s="9"/>
    </row>
    <row r="30" spans="1:10" x14ac:dyDescent="0.25">
      <c r="A30" s="9" t="s">
        <v>178</v>
      </c>
      <c r="B30" s="9"/>
      <c r="C30" s="9"/>
      <c r="D30" s="72">
        <f>D23-D28</f>
        <v>12660</v>
      </c>
      <c r="E30" s="9"/>
      <c r="F30" s="72"/>
      <c r="G30" s="9"/>
      <c r="H30" s="9"/>
      <c r="I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10" x14ac:dyDescent="0.25">
      <c r="A32" s="9"/>
      <c r="B32" s="9"/>
      <c r="C32" s="9"/>
      <c r="D32" s="9"/>
      <c r="E32" s="9"/>
      <c r="F32" s="38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F33" s="3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10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</row>
    <row r="38" spans="1:10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</row>
    <row r="39" spans="1:10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</row>
    <row r="40" spans="1:10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</row>
    <row r="41" spans="1:10" ht="15.75" x14ac:dyDescent="0.25">
      <c r="A41" s="4"/>
      <c r="B41" s="52" t="s">
        <v>97</v>
      </c>
      <c r="C41" s="4"/>
      <c r="D41" s="4"/>
      <c r="E41" s="4"/>
      <c r="F41" s="5"/>
      <c r="G41" s="9"/>
      <c r="H41" s="9"/>
      <c r="I41" s="9"/>
    </row>
    <row r="42" spans="1:10" x14ac:dyDescent="0.25">
      <c r="A42" s="95"/>
      <c r="B42" s="95"/>
      <c r="C42" s="96" t="s">
        <v>177</v>
      </c>
      <c r="D42" s="95"/>
      <c r="E42" s="95"/>
      <c r="F42" s="95"/>
      <c r="G42" s="9"/>
      <c r="H42" s="9"/>
      <c r="I42" s="9"/>
    </row>
    <row r="43" spans="1:10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</row>
    <row r="44" spans="1:10" x14ac:dyDescent="0.25">
      <c r="A44" s="43" t="s">
        <v>161</v>
      </c>
      <c r="B44" s="10"/>
      <c r="C44" s="43"/>
      <c r="D44" s="43"/>
      <c r="E44" s="47">
        <v>2000</v>
      </c>
      <c r="F44" s="47"/>
      <c r="G44" s="47"/>
      <c r="H44" s="43"/>
      <c r="I44" s="9"/>
    </row>
    <row r="45" spans="1:10" x14ac:dyDescent="0.25">
      <c r="A45" s="88" t="s">
        <v>130</v>
      </c>
      <c r="B45" s="3"/>
      <c r="C45" s="44"/>
      <c r="D45" s="2"/>
      <c r="E45" s="46">
        <v>3000</v>
      </c>
      <c r="F45" s="46"/>
      <c r="G45" s="56"/>
      <c r="H45" s="44"/>
      <c r="I45" s="9"/>
    </row>
    <row r="46" spans="1:10" x14ac:dyDescent="0.25">
      <c r="A46" s="88" t="s">
        <v>103</v>
      </c>
      <c r="B46" s="45" t="s">
        <v>101</v>
      </c>
      <c r="C46" s="44"/>
      <c r="D46" s="43"/>
      <c r="E46" s="46">
        <v>4500</v>
      </c>
      <c r="F46" s="46" t="s">
        <v>107</v>
      </c>
      <c r="G46" s="53"/>
      <c r="H46" s="44"/>
      <c r="I46" s="9"/>
    </row>
    <row r="47" spans="1:10" x14ac:dyDescent="0.25">
      <c r="A47" s="88" t="s">
        <v>104</v>
      </c>
      <c r="B47" s="43" t="s">
        <v>102</v>
      </c>
      <c r="C47" s="44"/>
      <c r="D47" s="43"/>
      <c r="E47" s="46">
        <v>5000</v>
      </c>
      <c r="F47" s="46"/>
      <c r="G47" s="53"/>
      <c r="H47" s="44"/>
      <c r="I47" s="9"/>
    </row>
    <row r="48" spans="1:10" x14ac:dyDescent="0.25">
      <c r="A48" s="43" t="s">
        <v>105</v>
      </c>
      <c r="B48" s="3"/>
      <c r="C48" s="44"/>
      <c r="D48" s="44"/>
      <c r="E48" s="46">
        <v>2500</v>
      </c>
      <c r="F48" s="46"/>
      <c r="G48" s="46"/>
      <c r="H48" s="44"/>
      <c r="I48" s="9"/>
    </row>
    <row r="49" spans="1:9" s="9" customFormat="1" x14ac:dyDescent="0.25">
      <c r="A49" s="43" t="s">
        <v>137</v>
      </c>
      <c r="B49" s="3"/>
      <c r="C49" s="44"/>
      <c r="D49" s="44"/>
      <c r="E49" s="46">
        <v>2000</v>
      </c>
      <c r="F49" s="46"/>
      <c r="G49" s="46"/>
      <c r="H49" s="44"/>
    </row>
    <row r="50" spans="1:9" x14ac:dyDescent="0.25">
      <c r="A50" s="43" t="s">
        <v>131</v>
      </c>
      <c r="B50" s="3"/>
      <c r="C50" s="44"/>
      <c r="D50" s="44"/>
      <c r="E50" s="73"/>
      <c r="F50" s="46"/>
      <c r="G50" s="68"/>
      <c r="H50" s="44"/>
      <c r="I50" s="9"/>
    </row>
    <row r="51" spans="1:9" x14ac:dyDescent="0.25">
      <c r="A51" s="47" t="s">
        <v>175</v>
      </c>
      <c r="B51" s="16"/>
      <c r="C51" s="48"/>
      <c r="D51" s="46"/>
      <c r="E51" s="46">
        <v>3000</v>
      </c>
      <c r="F51" s="46"/>
      <c r="G51" s="46"/>
      <c r="H51" s="46"/>
      <c r="I51" s="9"/>
    </row>
    <row r="52" spans="1:9" x14ac:dyDescent="0.25">
      <c r="A52" s="44" t="s">
        <v>137</v>
      </c>
      <c r="B52" s="44"/>
      <c r="C52" s="44"/>
      <c r="D52" s="44"/>
      <c r="E52" s="44">
        <v>1500</v>
      </c>
      <c r="F52" s="44"/>
      <c r="G52" s="44"/>
      <c r="H52" s="44"/>
      <c r="I52" s="9"/>
    </row>
    <row r="53" spans="1:9" x14ac:dyDescent="0.25">
      <c r="A53" s="45" t="s">
        <v>137</v>
      </c>
      <c r="E53" s="63">
        <v>2500</v>
      </c>
      <c r="I53" s="9"/>
    </row>
    <row r="54" spans="1:9" x14ac:dyDescent="0.25">
      <c r="A54" s="44"/>
      <c r="B54" s="44"/>
      <c r="C54" s="44"/>
      <c r="D54" s="44"/>
      <c r="E54" s="105">
        <f>SUM(E44:E53)</f>
        <v>26000</v>
      </c>
      <c r="F54" s="44"/>
      <c r="G54" s="44"/>
      <c r="H54" s="44"/>
      <c r="I54" s="9"/>
    </row>
    <row r="55" spans="1:9" x14ac:dyDescent="0.25">
      <c r="A55" s="100" t="s">
        <v>60</v>
      </c>
      <c r="B55" s="101"/>
      <c r="C55" s="97"/>
      <c r="D55" s="102">
        <f>E54</f>
        <v>26000</v>
      </c>
      <c r="E55" s="18" t="s">
        <v>109</v>
      </c>
      <c r="F55" s="19"/>
      <c r="G55" s="18" t="s">
        <v>93</v>
      </c>
      <c r="H55" s="9"/>
    </row>
    <row r="56" spans="1:9" x14ac:dyDescent="0.25">
      <c r="A56" s="103"/>
      <c r="B56" s="101"/>
      <c r="C56" s="97"/>
      <c r="D56" s="104"/>
      <c r="E56" s="38" t="s">
        <v>24</v>
      </c>
      <c r="F56" s="39"/>
      <c r="G56" s="9" t="s">
        <v>94</v>
      </c>
      <c r="H56" s="9"/>
    </row>
    <row r="57" spans="1:9" x14ac:dyDescent="0.25">
      <c r="A57" s="67" t="s">
        <v>58</v>
      </c>
      <c r="B57" s="9"/>
      <c r="C57" s="9"/>
      <c r="D57" s="9"/>
      <c r="E57" s="9"/>
      <c r="F57" s="9"/>
      <c r="G57" s="9"/>
      <c r="H57" s="9"/>
    </row>
    <row r="58" spans="1:9" x14ac:dyDescent="0.25">
      <c r="A58" s="36" t="s">
        <v>22</v>
      </c>
      <c r="B58" s="17"/>
      <c r="C58" s="9"/>
      <c r="D58" s="34">
        <f>SUM(D55*10%)</f>
        <v>2600</v>
      </c>
      <c r="E58" s="38" t="s">
        <v>81</v>
      </c>
      <c r="F58" s="38"/>
      <c r="G58" s="9"/>
      <c r="H58" s="9"/>
    </row>
    <row r="59" spans="1:9" x14ac:dyDescent="0.25">
      <c r="A59" s="36" t="s">
        <v>154</v>
      </c>
      <c r="B59" s="9"/>
      <c r="C59" s="86"/>
      <c r="D59" s="87">
        <f>D58</f>
        <v>2600</v>
      </c>
      <c r="E59" s="38" t="s">
        <v>24</v>
      </c>
      <c r="F59" s="39"/>
      <c r="G59" s="9"/>
      <c r="H59" s="9"/>
    </row>
    <row r="60" spans="1:9" x14ac:dyDescent="0.25">
      <c r="A60" s="9" t="s">
        <v>176</v>
      </c>
      <c r="B60" s="9"/>
      <c r="C60" s="9"/>
      <c r="D60" s="72">
        <f>D55-D59</f>
        <v>23400</v>
      </c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9" x14ac:dyDescent="0.25">
      <c r="E62" s="91"/>
      <c r="F62" s="9"/>
      <c r="G62" s="9"/>
      <c r="H62" s="9"/>
      <c r="I62" s="9"/>
    </row>
    <row r="63" spans="1:9" ht="16.5" x14ac:dyDescent="0.35">
      <c r="A63" s="92"/>
      <c r="B63" s="85"/>
      <c r="C63" s="9"/>
      <c r="D63" s="72"/>
      <c r="E63" s="9"/>
      <c r="F63" s="9"/>
      <c r="G63" s="9"/>
      <c r="H63" s="9"/>
      <c r="I63" s="9"/>
    </row>
    <row r="64" spans="1:9" x14ac:dyDescent="0.25">
      <c r="A64" s="97"/>
      <c r="B64" s="98"/>
      <c r="C64" s="97"/>
      <c r="D64" s="99"/>
      <c r="E64" s="9"/>
      <c r="F64" s="9"/>
      <c r="G64" s="9"/>
      <c r="H64" s="9"/>
      <c r="I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10" x14ac:dyDescent="0.25">
      <c r="A66" s="9"/>
      <c r="B66" s="9"/>
      <c r="C66" s="9"/>
      <c r="D66" s="9"/>
      <c r="E66" s="9"/>
      <c r="F66" s="9">
        <v>12660</v>
      </c>
      <c r="G66" s="9"/>
      <c r="H66" s="9"/>
      <c r="I66" s="9"/>
    </row>
    <row r="67" spans="1:10" x14ac:dyDescent="0.25">
      <c r="A67" s="9"/>
      <c r="B67" s="9"/>
      <c r="C67" s="9"/>
      <c r="D67" s="9"/>
      <c r="E67" s="9"/>
      <c r="F67" s="9">
        <v>23400</v>
      </c>
      <c r="G67" s="9"/>
      <c r="H67" s="9"/>
      <c r="I67" s="9"/>
    </row>
    <row r="68" spans="1:10" x14ac:dyDescent="0.25">
      <c r="A68" s="9"/>
      <c r="B68" s="9"/>
      <c r="C68" s="9"/>
      <c r="D68" s="9"/>
      <c r="E68" s="9"/>
      <c r="F68" s="9">
        <f>SUM(F66:F67)</f>
        <v>36060</v>
      </c>
      <c r="G68" s="9"/>
      <c r="H68" s="9"/>
      <c r="I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</row>
    <row r="73" spans="1:10" ht="15.75" x14ac:dyDescent="0.25">
      <c r="B73" s="4"/>
      <c r="C73" s="52"/>
      <c r="D73" s="4" t="s">
        <v>171</v>
      </c>
      <c r="E73" s="4"/>
      <c r="F73" s="4"/>
      <c r="G73" s="5"/>
      <c r="H73" s="9"/>
    </row>
    <row r="74" spans="1:10" x14ac:dyDescent="0.25">
      <c r="B74" s="95"/>
      <c r="C74" s="95"/>
      <c r="D74" s="96" t="s">
        <v>177</v>
      </c>
      <c r="E74" s="95"/>
      <c r="F74" s="95"/>
      <c r="G74" s="95"/>
      <c r="H74" s="9"/>
      <c r="I74" s="90"/>
      <c r="J74" s="90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0"/>
      <c r="J75" s="90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0"/>
      <c r="J76" s="90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0"/>
      <c r="J77" s="90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0"/>
      <c r="J78" s="90"/>
    </row>
    <row r="79" spans="1:10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  <c r="I79" s="90"/>
      <c r="J79" s="90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0"/>
      <c r="J80" s="90"/>
    </row>
    <row r="81" spans="1:10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  <c r="I81" s="90"/>
      <c r="J81" s="90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0"/>
      <c r="J82" s="90"/>
    </row>
    <row r="84" spans="1:10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10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  <c r="I86" s="9"/>
    </row>
    <row r="87" spans="1:10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</row>
    <row r="91" spans="1:10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  <c r="I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</row>
    <row r="93" spans="1:10" x14ac:dyDescent="0.25">
      <c r="A93" s="97" t="s">
        <v>151</v>
      </c>
      <c r="B93" s="98" t="s">
        <v>157</v>
      </c>
      <c r="C93" s="97"/>
      <c r="D93" s="99">
        <f>D84-D91</f>
        <v>7600</v>
      </c>
      <c r="E93" s="9"/>
      <c r="F93" s="9"/>
      <c r="G93" s="9"/>
      <c r="H93" s="9"/>
      <c r="I93" s="9"/>
    </row>
    <row r="94" spans="1:10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  <c r="I94" s="9"/>
    </row>
    <row r="95" spans="1:10" x14ac:dyDescent="0.25"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43" workbookViewId="0">
      <selection activeCell="A48" sqref="A48"/>
    </sheetView>
  </sheetViews>
  <sheetFormatPr defaultRowHeight="15" x14ac:dyDescent="0.25"/>
  <cols>
    <col min="1" max="1" width="10.85546875" customWidth="1"/>
    <col min="4" max="5" width="11.140625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x14ac:dyDescent="0.25">
      <c r="A7" s="94"/>
      <c r="B7" s="95"/>
      <c r="C7" s="95"/>
      <c r="D7" s="96" t="s">
        <v>179</v>
      </c>
      <c r="E7" s="95"/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/>
      <c r="B10" s="3">
        <v>2</v>
      </c>
      <c r="C10" s="44"/>
      <c r="D10" s="44"/>
      <c r="E10" s="46">
        <v>0</v>
      </c>
      <c r="F10" s="46"/>
      <c r="G10" s="46"/>
      <c r="H10" s="44"/>
    </row>
    <row r="11" spans="1:8" x14ac:dyDescent="0.25">
      <c r="A11" s="43"/>
      <c r="B11" s="69">
        <v>3</v>
      </c>
      <c r="C11" s="43"/>
      <c r="D11" s="43"/>
      <c r="E11" s="47">
        <v>0</v>
      </c>
      <c r="F11" s="47"/>
      <c r="G11" s="47"/>
      <c r="H11" s="43"/>
    </row>
    <row r="12" spans="1:8" x14ac:dyDescent="0.25">
      <c r="A12" s="43" t="s">
        <v>149</v>
      </c>
      <c r="B12" s="3">
        <v>4</v>
      </c>
      <c r="C12" s="44"/>
      <c r="D12" s="2"/>
      <c r="E12" s="46">
        <v>2000</v>
      </c>
      <c r="F12" s="46"/>
      <c r="G12" s="56"/>
      <c r="H12" s="44"/>
    </row>
    <row r="13" spans="1:8" x14ac:dyDescent="0.25">
      <c r="A13" s="45" t="s">
        <v>123</v>
      </c>
      <c r="B13" s="3">
        <v>5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124</v>
      </c>
      <c r="B14" s="3">
        <v>6</v>
      </c>
      <c r="C14" s="44"/>
      <c r="D14" s="43"/>
      <c r="E14" s="46">
        <v>2000</v>
      </c>
      <c r="F14" s="46"/>
      <c r="G14" s="53"/>
      <c r="H14" s="44"/>
    </row>
    <row r="15" spans="1:8" x14ac:dyDescent="0.25">
      <c r="A15" s="43" t="s">
        <v>66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5" t="s">
        <v>144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8" x14ac:dyDescent="0.25">
      <c r="A17" s="88"/>
      <c r="B17" s="3">
        <v>9</v>
      </c>
      <c r="C17" s="44"/>
      <c r="D17" s="2"/>
      <c r="E17" s="46">
        <v>0</v>
      </c>
      <c r="F17" s="46"/>
      <c r="G17" s="46"/>
      <c r="H17" s="44"/>
    </row>
    <row r="18" spans="1:8" x14ac:dyDescent="0.25">
      <c r="A18" s="88" t="s">
        <v>115</v>
      </c>
      <c r="B18" s="3">
        <v>10</v>
      </c>
      <c r="C18" s="44"/>
      <c r="D18" s="44"/>
      <c r="E18" s="46">
        <v>2000</v>
      </c>
      <c r="F18" s="46"/>
      <c r="G18" s="46"/>
      <c r="H18" s="44"/>
    </row>
    <row r="19" spans="1:8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8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8" x14ac:dyDescent="0.25">
      <c r="A21" s="47"/>
      <c r="B21" s="16"/>
      <c r="C21" s="48"/>
      <c r="D21" s="46"/>
      <c r="E21" s="46">
        <f>SUM(E9:E20)</f>
        <v>17600</v>
      </c>
      <c r="F21" s="46"/>
      <c r="G21" s="46"/>
      <c r="H21" s="46"/>
    </row>
    <row r="22" spans="1:8" x14ac:dyDescent="0.25">
      <c r="A22" s="36" t="s">
        <v>60</v>
      </c>
      <c r="B22" s="17"/>
      <c r="C22" s="9"/>
      <c r="D22" s="32">
        <f>SUM(E21)</f>
        <v>17600</v>
      </c>
      <c r="E22" s="9"/>
      <c r="F22" s="9"/>
      <c r="G22" s="9"/>
      <c r="H22" s="9"/>
    </row>
    <row r="23" spans="1:8" ht="15.75" x14ac:dyDescent="0.25">
      <c r="A23" s="70"/>
      <c r="B23" s="17"/>
      <c r="C23" s="90"/>
      <c r="D23" s="66"/>
      <c r="E23" s="51" t="s">
        <v>63</v>
      </c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SUM(D22*10%)</f>
        <v>1760</v>
      </c>
      <c r="E25" s="18" t="s">
        <v>109</v>
      </c>
      <c r="F25" s="19"/>
      <c r="G25" s="18" t="s">
        <v>93</v>
      </c>
      <c r="H25" s="9"/>
    </row>
    <row r="26" spans="1:8" x14ac:dyDescent="0.25">
      <c r="A26" s="37" t="s">
        <v>62</v>
      </c>
      <c r="B26" s="17"/>
      <c r="C26" s="9"/>
      <c r="D26" s="35">
        <f>SUM(D25:D25)</f>
        <v>1760</v>
      </c>
      <c r="E26" s="38" t="s">
        <v>24</v>
      </c>
      <c r="F26" s="39"/>
      <c r="G26" s="9" t="s">
        <v>94</v>
      </c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 t="s">
        <v>178</v>
      </c>
      <c r="B28" s="9"/>
      <c r="C28" s="9"/>
      <c r="D28" s="72">
        <f>D22-D26</f>
        <v>15840</v>
      </c>
      <c r="E28" s="38" t="s">
        <v>173</v>
      </c>
      <c r="F28" s="9"/>
      <c r="G28" s="18"/>
      <c r="H28" s="9"/>
    </row>
    <row r="29" spans="1:8" x14ac:dyDescent="0.25">
      <c r="E29" s="9"/>
      <c r="F29" s="72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38"/>
      <c r="G31" s="9"/>
      <c r="H31" s="9"/>
    </row>
    <row r="32" spans="1:8" x14ac:dyDescent="0.25">
      <c r="A32" s="9"/>
      <c r="B32" s="9"/>
      <c r="C32" s="9"/>
      <c r="D32" s="9"/>
      <c r="E32" s="9"/>
      <c r="F32" s="3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5" t="s">
        <v>92</v>
      </c>
      <c r="B36" s="19"/>
      <c r="C36" s="19"/>
      <c r="D36" s="81" t="s">
        <v>4</v>
      </c>
      <c r="E36" s="81"/>
      <c r="F36" s="19"/>
      <c r="G36" s="9"/>
      <c r="H36" s="9"/>
    </row>
    <row r="37" spans="1:8" x14ac:dyDescent="0.25">
      <c r="A37" s="5"/>
      <c r="B37" s="19"/>
      <c r="C37" s="81" t="s">
        <v>87</v>
      </c>
      <c r="D37" s="81"/>
      <c r="E37" s="19"/>
      <c r="F37" s="19"/>
      <c r="G37" s="9"/>
      <c r="H37" s="9"/>
    </row>
    <row r="38" spans="1:8" x14ac:dyDescent="0.25">
      <c r="A38" s="24"/>
      <c r="B38" s="79"/>
      <c r="C38" s="82" t="s">
        <v>88</v>
      </c>
      <c r="D38" s="80"/>
      <c r="E38" s="80"/>
      <c r="F38" s="79"/>
      <c r="G38" s="9"/>
      <c r="H38" s="9"/>
    </row>
    <row r="39" spans="1:8" x14ac:dyDescent="0.25">
      <c r="A39" s="4"/>
      <c r="B39" s="5"/>
      <c r="C39" s="6" t="s">
        <v>5</v>
      </c>
      <c r="D39" s="6"/>
      <c r="E39" s="5"/>
      <c r="F39" s="4"/>
      <c r="G39" s="9"/>
      <c r="H39" s="9"/>
    </row>
    <row r="40" spans="1:8" ht="15.75" x14ac:dyDescent="0.25">
      <c r="A40" s="4"/>
      <c r="B40" s="52" t="s">
        <v>97</v>
      </c>
      <c r="C40" s="4"/>
      <c r="D40" s="4"/>
      <c r="E40" s="4"/>
      <c r="F40" s="5"/>
      <c r="G40" s="9"/>
      <c r="H40" s="9"/>
    </row>
    <row r="41" spans="1:8" x14ac:dyDescent="0.25">
      <c r="A41" s="95"/>
      <c r="B41" s="95"/>
      <c r="C41" s="96" t="s">
        <v>182</v>
      </c>
      <c r="D41" s="95"/>
      <c r="E41" s="95"/>
      <c r="F41" s="95"/>
      <c r="G41" s="9"/>
      <c r="H41" s="9"/>
    </row>
    <row r="42" spans="1:8" x14ac:dyDescent="0.25">
      <c r="A42" s="12" t="s">
        <v>0</v>
      </c>
      <c r="B42" s="12" t="s">
        <v>32</v>
      </c>
      <c r="C42" s="12" t="s">
        <v>52</v>
      </c>
      <c r="D42" s="22" t="s">
        <v>55</v>
      </c>
      <c r="E42" s="21" t="s">
        <v>1</v>
      </c>
      <c r="F42" s="22" t="s">
        <v>10</v>
      </c>
      <c r="G42" s="21" t="s">
        <v>3</v>
      </c>
      <c r="H42" s="13" t="s">
        <v>13</v>
      </c>
    </row>
    <row r="43" spans="1:8" x14ac:dyDescent="0.25">
      <c r="A43" s="43"/>
      <c r="B43" s="10"/>
      <c r="C43" s="43"/>
      <c r="D43" s="43"/>
      <c r="E43" s="47"/>
      <c r="F43" s="47"/>
      <c r="G43" s="47"/>
      <c r="H43" s="43"/>
    </row>
    <row r="44" spans="1:8" x14ac:dyDescent="0.25">
      <c r="A44" s="88" t="s">
        <v>130</v>
      </c>
      <c r="B44" s="3"/>
      <c r="C44" s="44"/>
      <c r="D44" s="2"/>
      <c r="E44" s="46">
        <v>3000</v>
      </c>
      <c r="F44" s="46"/>
      <c r="G44" s="56"/>
      <c r="H44" s="44"/>
    </row>
    <row r="45" spans="1:8" x14ac:dyDescent="0.25">
      <c r="A45" s="88" t="s">
        <v>103</v>
      </c>
      <c r="B45" s="45" t="s">
        <v>101</v>
      </c>
      <c r="C45" s="44"/>
      <c r="D45" s="43"/>
      <c r="E45" s="46">
        <v>4500</v>
      </c>
      <c r="F45" s="46" t="s">
        <v>107</v>
      </c>
      <c r="G45" s="53"/>
      <c r="H45" s="44"/>
    </row>
    <row r="46" spans="1:8" x14ac:dyDescent="0.25">
      <c r="A46" s="88" t="s">
        <v>104</v>
      </c>
      <c r="B46" s="43" t="s">
        <v>102</v>
      </c>
      <c r="C46" s="44"/>
      <c r="D46" s="43"/>
      <c r="E46" s="46">
        <v>5000</v>
      </c>
      <c r="F46" s="46"/>
      <c r="G46" s="53"/>
      <c r="H46" s="44"/>
    </row>
    <row r="47" spans="1:8" x14ac:dyDescent="0.25">
      <c r="A47" s="43" t="s">
        <v>105</v>
      </c>
      <c r="B47" s="3"/>
      <c r="C47" s="44"/>
      <c r="D47" s="44"/>
      <c r="E47" s="46">
        <v>2500</v>
      </c>
      <c r="F47" s="46"/>
      <c r="G47" s="46"/>
      <c r="H47" s="44"/>
    </row>
    <row r="48" spans="1:8" x14ac:dyDescent="0.25">
      <c r="A48" s="43" t="s">
        <v>137</v>
      </c>
      <c r="B48" s="3"/>
      <c r="C48" s="44"/>
      <c r="D48" s="44"/>
      <c r="E48" s="46">
        <v>2000</v>
      </c>
      <c r="F48" s="46"/>
      <c r="G48" s="46"/>
      <c r="H48" s="44"/>
    </row>
    <row r="49" spans="1:8" x14ac:dyDescent="0.25">
      <c r="A49" s="43" t="s">
        <v>131</v>
      </c>
      <c r="B49" s="3"/>
      <c r="C49" s="44"/>
      <c r="D49" s="44"/>
      <c r="E49" s="73"/>
      <c r="F49" s="46"/>
      <c r="G49" s="68"/>
      <c r="H49" s="44"/>
    </row>
    <row r="50" spans="1:8" x14ac:dyDescent="0.25">
      <c r="A50" s="47" t="s">
        <v>175</v>
      </c>
      <c r="B50" s="16"/>
      <c r="C50" s="48"/>
      <c r="D50" s="46"/>
      <c r="E50" s="46">
        <v>3000</v>
      </c>
      <c r="F50" s="46"/>
      <c r="G50" s="46"/>
      <c r="H50" s="46"/>
    </row>
    <row r="51" spans="1:8" x14ac:dyDescent="0.25">
      <c r="A51" s="44" t="s">
        <v>137</v>
      </c>
      <c r="B51" s="44"/>
      <c r="C51" s="44"/>
      <c r="D51" s="44"/>
      <c r="E51" s="44">
        <v>1500</v>
      </c>
      <c r="F51" s="44"/>
      <c r="G51" s="44"/>
      <c r="H51" s="44"/>
    </row>
    <row r="52" spans="1:8" x14ac:dyDescent="0.25">
      <c r="A52" s="45" t="s">
        <v>137</v>
      </c>
      <c r="B52" s="9"/>
      <c r="C52" s="9"/>
      <c r="D52" s="9"/>
      <c r="E52" s="63">
        <v>2500</v>
      </c>
      <c r="F52" s="9"/>
      <c r="G52" s="9"/>
      <c r="H52" s="9"/>
    </row>
    <row r="53" spans="1:8" x14ac:dyDescent="0.25">
      <c r="A53" s="44"/>
      <c r="B53" s="44"/>
      <c r="C53" s="44"/>
      <c r="D53" s="44"/>
      <c r="E53" s="105">
        <f>SUM(E43:E52)</f>
        <v>24000</v>
      </c>
      <c r="F53" s="44"/>
      <c r="G53" s="44"/>
      <c r="H53" s="44"/>
    </row>
    <row r="54" spans="1:8" x14ac:dyDescent="0.25">
      <c r="A54" s="100" t="s">
        <v>60</v>
      </c>
      <c r="B54" s="101"/>
      <c r="C54" s="97"/>
      <c r="D54" s="102">
        <f>E53</f>
        <v>24000</v>
      </c>
      <c r="E54" s="18" t="s">
        <v>109</v>
      </c>
      <c r="F54" s="19"/>
      <c r="G54" s="18" t="s">
        <v>93</v>
      </c>
      <c r="H54" s="9"/>
    </row>
    <row r="55" spans="1:8" x14ac:dyDescent="0.25">
      <c r="A55" s="103"/>
      <c r="B55" s="101"/>
      <c r="C55" s="97"/>
      <c r="D55" s="104"/>
      <c r="E55" s="38" t="s">
        <v>24</v>
      </c>
      <c r="F55" s="39"/>
      <c r="G55" s="9" t="s">
        <v>94</v>
      </c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SUM(D54*10%)</f>
        <v>2400</v>
      </c>
      <c r="E57" s="38" t="s">
        <v>81</v>
      </c>
      <c r="F57" s="35">
        <f>D54-D57</f>
        <v>21600</v>
      </c>
      <c r="G57" s="9"/>
      <c r="H57" s="9"/>
    </row>
    <row r="58" spans="1:8" s="9" customFormat="1" x14ac:dyDescent="0.25">
      <c r="A58" s="36" t="s">
        <v>180</v>
      </c>
      <c r="B58" s="17"/>
      <c r="D58" s="34">
        <v>5500</v>
      </c>
      <c r="E58" s="38"/>
      <c r="F58" s="38"/>
    </row>
    <row r="59" spans="1:8" x14ac:dyDescent="0.25">
      <c r="A59" s="36" t="s">
        <v>154</v>
      </c>
      <c r="B59" s="9"/>
      <c r="C59" s="86"/>
      <c r="D59" s="87">
        <f>SUM(D57:D58)</f>
        <v>7900</v>
      </c>
      <c r="E59" s="38" t="s">
        <v>24</v>
      </c>
      <c r="F59" s="39"/>
      <c r="G59" s="9"/>
      <c r="H59" s="9"/>
    </row>
    <row r="60" spans="1:8" x14ac:dyDescent="0.25">
      <c r="A60" s="9" t="s">
        <v>181</v>
      </c>
      <c r="B60" s="9"/>
      <c r="C60" s="9"/>
      <c r="D60" s="72">
        <f>D54-D59</f>
        <v>16100</v>
      </c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/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182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</row>
    <row r="79" spans="1:8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1"/>
      <c r="F90" s="9"/>
      <c r="G90" s="9"/>
      <c r="H90" s="9"/>
    </row>
    <row r="91" spans="1:8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</row>
    <row r="92" spans="1:8" ht="16.5" x14ac:dyDescent="0.35">
      <c r="A92" s="92"/>
      <c r="B92" s="85"/>
      <c r="C92" s="9"/>
      <c r="D92" s="72"/>
      <c r="E92" s="9"/>
      <c r="F92" s="9"/>
      <c r="G92" s="9"/>
      <c r="H92" s="9"/>
    </row>
    <row r="93" spans="1:8" x14ac:dyDescent="0.25">
      <c r="A93" s="97" t="s">
        <v>151</v>
      </c>
      <c r="B93" s="98" t="s">
        <v>183</v>
      </c>
      <c r="C93" s="97"/>
      <c r="D93" s="99">
        <f>D84-D91</f>
        <v>7600</v>
      </c>
      <c r="E93" s="9"/>
      <c r="F93" s="9"/>
      <c r="G93" s="9"/>
      <c r="H93" s="9"/>
    </row>
    <row r="94" spans="1:8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28" workbookViewId="0">
      <selection activeCell="A47" sqref="A47"/>
    </sheetView>
  </sheetViews>
  <sheetFormatPr defaultRowHeight="15" x14ac:dyDescent="0.25"/>
  <cols>
    <col min="1" max="1" width="12.5703125" customWidth="1"/>
    <col min="4" max="4" width="11.140625" customWidth="1"/>
    <col min="5" max="5" width="10.8554687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190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</row>
    <row r="10" spans="1:9" x14ac:dyDescent="0.25">
      <c r="A10" s="43" t="s">
        <v>21</v>
      </c>
      <c r="B10" s="69">
        <v>3</v>
      </c>
      <c r="C10" s="43"/>
      <c r="D10" s="43"/>
      <c r="E10" s="47">
        <v>0</v>
      </c>
      <c r="F10" s="47"/>
      <c r="G10" s="47"/>
      <c r="H10" s="43"/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</row>
    <row r="12" spans="1:9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53"/>
      <c r="H13" s="44"/>
      <c r="I13" s="9"/>
    </row>
    <row r="14" spans="1:9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  <c r="I14" s="9"/>
    </row>
    <row r="15" spans="1:9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</row>
    <row r="16" spans="1:9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</row>
    <row r="20" spans="1:9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  <c r="I20" s="9"/>
    </row>
    <row r="21" spans="1:9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37" t="s">
        <v>191</v>
      </c>
      <c r="B25" s="9"/>
      <c r="C25" s="9"/>
      <c r="D25" s="9">
        <v>1500</v>
      </c>
      <c r="E25" s="38" t="s">
        <v>24</v>
      </c>
      <c r="F25" s="39"/>
      <c r="G25" s="9" t="s">
        <v>94</v>
      </c>
      <c r="H25" s="9"/>
      <c r="I25" s="9"/>
    </row>
    <row r="26" spans="1:9" x14ac:dyDescent="0.25">
      <c r="E26" s="9"/>
      <c r="F26" s="9"/>
      <c r="G26" s="9"/>
      <c r="H26" s="9"/>
      <c r="I26" s="9"/>
    </row>
    <row r="27" spans="1:9" x14ac:dyDescent="0.25">
      <c r="A27" t="s">
        <v>154</v>
      </c>
      <c r="D27" s="72">
        <f>SUM(D24:D26)</f>
        <v>3080</v>
      </c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9"/>
      <c r="E28" s="9"/>
      <c r="F28" s="72"/>
      <c r="G28" s="9"/>
      <c r="H28" s="9"/>
      <c r="I28" s="9"/>
    </row>
    <row r="29" spans="1:9" x14ac:dyDescent="0.25">
      <c r="A29" s="9" t="s">
        <v>192</v>
      </c>
      <c r="B29" s="9"/>
      <c r="C29" s="9"/>
      <c r="D29" s="72">
        <f>D21-D27</f>
        <v>12720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/>
      <c r="E30" s="9"/>
      <c r="F30" s="38"/>
      <c r="G30" s="9"/>
      <c r="H30" s="9"/>
      <c r="I30" s="9"/>
    </row>
    <row r="31" spans="1:9" x14ac:dyDescent="0.25">
      <c r="A31" s="9" t="s">
        <v>26</v>
      </c>
      <c r="B31" s="9"/>
      <c r="C31" s="9"/>
      <c r="D31" s="9">
        <v>0</v>
      </c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5"/>
      <c r="B40" s="95"/>
      <c r="C40" s="96" t="s">
        <v>193</v>
      </c>
      <c r="D40" s="95"/>
      <c r="E40" s="95"/>
      <c r="F40" s="95"/>
      <c r="G40" s="9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</row>
    <row r="46" spans="1:9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  <c r="I46" s="9"/>
    </row>
    <row r="47" spans="1:9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  <c r="I47" s="9"/>
    </row>
    <row r="48" spans="1:9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</row>
    <row r="49" spans="1:13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</row>
    <row r="50" spans="1:13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</row>
    <row r="51" spans="1:13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</row>
    <row r="52" spans="1:13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  <c r="I52" s="9"/>
    </row>
    <row r="53" spans="1:13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  <c r="I53" s="9"/>
    </row>
    <row r="54" spans="1:13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13" x14ac:dyDescent="0.25">
      <c r="A55" s="67" t="s">
        <v>58</v>
      </c>
      <c r="B55" s="9"/>
      <c r="C55" s="9"/>
      <c r="D55" s="9"/>
      <c r="E55" s="9"/>
      <c r="F55" s="9"/>
      <c r="G55" s="9"/>
      <c r="H55" s="9"/>
      <c r="I55" s="9"/>
    </row>
    <row r="56" spans="1:13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  <c r="I56" s="9"/>
    </row>
    <row r="57" spans="1:13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  <c r="I57" s="9"/>
    </row>
    <row r="58" spans="1:13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  <c r="I58" s="9"/>
    </row>
    <row r="59" spans="1:13" x14ac:dyDescent="0.25">
      <c r="A59" s="9" t="s">
        <v>195</v>
      </c>
      <c r="B59" s="9"/>
      <c r="C59" s="9"/>
      <c r="D59" s="72">
        <f>D53-D58</f>
        <v>19100</v>
      </c>
      <c r="E59" s="9"/>
      <c r="F59" s="9"/>
      <c r="G59" s="9"/>
      <c r="H59" s="9"/>
      <c r="I59" s="9"/>
    </row>
    <row r="60" spans="1:13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  <c r="I60" s="9"/>
    </row>
    <row r="61" spans="1:13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13" ht="16.5" x14ac:dyDescent="0.35">
      <c r="A62" s="92"/>
      <c r="B62" s="85"/>
      <c r="C62" s="9"/>
      <c r="D62" s="72"/>
      <c r="E62" s="9"/>
      <c r="F62" s="9"/>
      <c r="G62" s="9"/>
      <c r="H62" s="9"/>
      <c r="I62" s="9"/>
    </row>
    <row r="63" spans="1:13" x14ac:dyDescent="0.25">
      <c r="A63" s="97"/>
      <c r="B63" s="98"/>
      <c r="C63" s="97"/>
      <c r="D63" s="99"/>
      <c r="E63" s="9"/>
      <c r="F63" s="9"/>
      <c r="G63" s="9"/>
      <c r="H63" s="9"/>
      <c r="I63" s="9"/>
      <c r="M63">
        <v>19100</v>
      </c>
    </row>
    <row r="64" spans="1:13" x14ac:dyDescent="0.25">
      <c r="A64" s="36"/>
      <c r="B64" s="9"/>
      <c r="C64" s="9"/>
      <c r="D64" s="72"/>
      <c r="E64" s="9"/>
      <c r="F64" s="9"/>
      <c r="G64" s="9"/>
      <c r="H64" s="9"/>
      <c r="I64" s="9"/>
      <c r="M64">
        <v>12720</v>
      </c>
    </row>
    <row r="65" spans="1:13" x14ac:dyDescent="0.25">
      <c r="A65" s="9"/>
      <c r="B65" s="9"/>
      <c r="C65" s="9"/>
      <c r="D65" s="9"/>
      <c r="E65" s="9"/>
      <c r="F65" s="9"/>
      <c r="G65" s="9"/>
      <c r="H65" s="9"/>
      <c r="I65" s="9"/>
      <c r="M65">
        <f>SUM(M63:M64)</f>
        <v>31820</v>
      </c>
    </row>
    <row r="66" spans="1:13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13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13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  <c r="I68" s="9"/>
    </row>
    <row r="69" spans="1:13" x14ac:dyDescent="0.25">
      <c r="A69" s="5"/>
      <c r="B69" s="19"/>
      <c r="C69" s="81" t="s">
        <v>87</v>
      </c>
      <c r="D69" s="81"/>
      <c r="E69" s="19"/>
      <c r="F69" s="19"/>
      <c r="G69" s="9"/>
      <c r="H69" s="9"/>
      <c r="I69" s="9"/>
    </row>
    <row r="70" spans="1:13" x14ac:dyDescent="0.25">
      <c r="A70" s="24"/>
      <c r="B70" s="79"/>
      <c r="C70" s="82" t="s">
        <v>88</v>
      </c>
      <c r="D70" s="80"/>
      <c r="E70" s="80"/>
      <c r="F70" s="79"/>
      <c r="G70" s="9"/>
      <c r="H70" s="9"/>
      <c r="I70" s="9"/>
    </row>
    <row r="71" spans="1:13" x14ac:dyDescent="0.25">
      <c r="A71" s="4"/>
      <c r="B71" s="5"/>
      <c r="C71" s="6" t="s">
        <v>5</v>
      </c>
      <c r="D71" s="6"/>
      <c r="E71" s="5"/>
      <c r="F71" s="4"/>
      <c r="G71" s="9"/>
      <c r="H71" s="9"/>
      <c r="I71" s="9"/>
    </row>
    <row r="72" spans="1:13" ht="15.75" x14ac:dyDescent="0.25">
      <c r="A72" s="9"/>
      <c r="B72" s="4"/>
      <c r="C72" s="52"/>
      <c r="D72" s="4" t="s">
        <v>171</v>
      </c>
      <c r="E72" s="4"/>
      <c r="F72" s="4"/>
      <c r="G72" s="5"/>
      <c r="H72" s="9"/>
      <c r="I72" s="9"/>
    </row>
    <row r="73" spans="1:13" x14ac:dyDescent="0.25">
      <c r="A73" s="9"/>
      <c r="B73" s="95"/>
      <c r="C73" s="95"/>
      <c r="D73" s="96" t="s">
        <v>187</v>
      </c>
      <c r="E73" s="95"/>
      <c r="F73" s="95"/>
      <c r="G73" s="95"/>
      <c r="H73" s="9"/>
      <c r="I73" s="9"/>
    </row>
    <row r="74" spans="1:13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  <c r="I74" s="9"/>
    </row>
    <row r="75" spans="1:13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  <c r="I75" s="9"/>
    </row>
    <row r="76" spans="1:13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13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  <c r="I77" s="9"/>
    </row>
    <row r="78" spans="1:13" x14ac:dyDescent="0.25">
      <c r="A78" s="43" t="s">
        <v>170</v>
      </c>
      <c r="B78" s="3"/>
      <c r="C78" s="109">
        <v>3500</v>
      </c>
      <c r="D78" s="46">
        <v>3500</v>
      </c>
      <c r="E78" s="105">
        <f>C78+D78</f>
        <v>7000</v>
      </c>
      <c r="F78" s="44">
        <v>4400</v>
      </c>
      <c r="G78" s="107">
        <f>E78-F78</f>
        <v>2600</v>
      </c>
      <c r="H78" s="44" t="s">
        <v>186</v>
      </c>
      <c r="I78" s="9"/>
    </row>
    <row r="79" spans="1:13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  <c r="I79" s="9"/>
    </row>
    <row r="80" spans="1:13" x14ac:dyDescent="0.25">
      <c r="A80" s="110" t="s">
        <v>2</v>
      </c>
      <c r="B80" s="111"/>
      <c r="C80" s="110">
        <f>SUM(C75:C79)</f>
        <v>7000</v>
      </c>
      <c r="D80" s="53">
        <f>SUM(D75:D79)</f>
        <v>14000</v>
      </c>
      <c r="E80" s="112">
        <f>SUM(E75:E79)</f>
        <v>21000</v>
      </c>
      <c r="F80" s="113">
        <f>SUM(F75:F79)</f>
        <v>13400</v>
      </c>
      <c r="G80" s="114">
        <f>SUM(G75:G79)</f>
        <v>7600</v>
      </c>
      <c r="H80" s="44"/>
      <c r="I80" s="9"/>
      <c r="J80">
        <v>3500</v>
      </c>
    </row>
    <row r="81" spans="1:10" x14ac:dyDescent="0.25">
      <c r="A81" s="43"/>
      <c r="B81" s="3"/>
      <c r="C81" s="44"/>
      <c r="D81" s="46"/>
      <c r="E81" s="44"/>
      <c r="F81" s="9"/>
      <c r="G81" s="9"/>
      <c r="H81" s="9"/>
      <c r="I81" s="9"/>
      <c r="J81">
        <v>3500</v>
      </c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>
        <f>SUM(J80:J81)</f>
        <v>7000</v>
      </c>
    </row>
    <row r="83" spans="1:10" x14ac:dyDescent="0.25">
      <c r="A83" s="100" t="s">
        <v>60</v>
      </c>
      <c r="B83" s="101"/>
      <c r="C83" s="97"/>
      <c r="D83" s="102">
        <f>D80</f>
        <v>14000</v>
      </c>
      <c r="E83" s="9"/>
      <c r="F83" s="18" t="s">
        <v>109</v>
      </c>
      <c r="G83" s="19"/>
      <c r="H83" s="18" t="s">
        <v>93</v>
      </c>
      <c r="I83" s="9"/>
    </row>
    <row r="84" spans="1:10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  <c r="I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10" x14ac:dyDescent="0.25">
      <c r="A86" s="36" t="s">
        <v>22</v>
      </c>
      <c r="B86" s="17"/>
      <c r="C86" s="9"/>
      <c r="D86" s="34">
        <f>C85*D83</f>
        <v>0</v>
      </c>
      <c r="E86" s="9"/>
      <c r="F86" s="38" t="s">
        <v>81</v>
      </c>
      <c r="G86" s="38"/>
      <c r="H86" s="9"/>
      <c r="I86" s="9"/>
    </row>
    <row r="87" spans="1:10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  <c r="I87" s="9"/>
    </row>
    <row r="88" spans="1:10" x14ac:dyDescent="0.25">
      <c r="A88" s="9" t="s">
        <v>184</v>
      </c>
      <c r="B88" s="9"/>
      <c r="C88" s="9"/>
      <c r="D88" s="9">
        <v>3500</v>
      </c>
      <c r="E88" s="9"/>
      <c r="F88" s="9"/>
      <c r="G88" s="9"/>
      <c r="H88" s="9"/>
      <c r="I88" s="9"/>
    </row>
    <row r="89" spans="1:10" x14ac:dyDescent="0.25">
      <c r="A89" s="9" t="s">
        <v>185</v>
      </c>
      <c r="B89" s="9"/>
      <c r="C89" s="9"/>
      <c r="D89" s="9">
        <v>3500</v>
      </c>
      <c r="E89" s="91"/>
      <c r="F89" s="9"/>
      <c r="G89" s="9"/>
      <c r="H89" s="9"/>
      <c r="I89" s="9"/>
    </row>
    <row r="90" spans="1:10" x14ac:dyDescent="0.25">
      <c r="A90" s="36" t="s">
        <v>154</v>
      </c>
      <c r="B90" s="9"/>
      <c r="C90" s="86"/>
      <c r="D90" s="87">
        <f>SUM(D86:D89)</f>
        <v>12000</v>
      </c>
      <c r="E90" s="91"/>
      <c r="F90" s="9"/>
      <c r="G90" s="9"/>
      <c r="H90" s="9"/>
      <c r="I90" s="9"/>
    </row>
    <row r="91" spans="1:10" ht="16.5" x14ac:dyDescent="0.35">
      <c r="A91" s="92"/>
      <c r="B91" s="85"/>
      <c r="C91" s="9"/>
      <c r="D91" s="72"/>
      <c r="E91" s="9"/>
      <c r="F91" s="9"/>
      <c r="G91" s="9"/>
      <c r="H91" s="9"/>
      <c r="I91" s="9"/>
    </row>
    <row r="92" spans="1:10" x14ac:dyDescent="0.25">
      <c r="A92" s="97" t="s">
        <v>188</v>
      </c>
      <c r="B92" s="98"/>
      <c r="C92" s="97"/>
      <c r="D92" s="72">
        <v>600</v>
      </c>
      <c r="E92" s="9"/>
      <c r="F92" s="9"/>
      <c r="G92" s="9"/>
      <c r="H92" s="9"/>
      <c r="I92" s="9"/>
    </row>
    <row r="93" spans="1:10" x14ac:dyDescent="0.25">
      <c r="A93" s="36" t="s">
        <v>26</v>
      </c>
      <c r="B93" s="9"/>
      <c r="C93" s="9"/>
      <c r="D93">
        <v>0</v>
      </c>
      <c r="E93" s="9"/>
      <c r="F93" s="9"/>
      <c r="G93" s="9"/>
      <c r="H93" s="9"/>
      <c r="I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1" workbookViewId="0">
      <selection activeCell="A47" sqref="A47"/>
    </sheetView>
  </sheetViews>
  <sheetFormatPr defaultRowHeight="15" x14ac:dyDescent="0.25"/>
  <cols>
    <col min="4" max="4" width="11.85546875" customWidth="1"/>
    <col min="5" max="5" width="10.85546875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199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</row>
    <row r="10" spans="1:8" x14ac:dyDescent="0.25">
      <c r="A10" s="43" t="s">
        <v>137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</row>
    <row r="13" spans="1:8" x14ac:dyDescent="0.25">
      <c r="A13" s="43" t="s">
        <v>137</v>
      </c>
      <c r="B13" s="3">
        <v>6</v>
      </c>
      <c r="C13" s="44"/>
      <c r="D13" s="43"/>
      <c r="E13" s="46"/>
      <c r="F13" s="46"/>
      <c r="G13" s="53"/>
      <c r="H13" s="44"/>
    </row>
    <row r="14" spans="1:8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</row>
    <row r="25" spans="1:8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201</v>
      </c>
      <c r="B26" s="9"/>
      <c r="C26" s="9"/>
      <c r="D26" s="9"/>
      <c r="E26" s="9"/>
      <c r="F26" s="9"/>
      <c r="G26" s="9"/>
      <c r="H26" s="9"/>
    </row>
    <row r="27" spans="1:8" x14ac:dyDescent="0.25">
      <c r="A27" s="9" t="s">
        <v>154</v>
      </c>
      <c r="B27" s="9"/>
      <c r="C27" s="9"/>
      <c r="D27" s="72">
        <f>SUM(D24:D26)</f>
        <v>3580</v>
      </c>
      <c r="E27" s="38" t="s">
        <v>173</v>
      </c>
      <c r="F27" s="9"/>
      <c r="G27" s="18"/>
      <c r="H27" s="9"/>
    </row>
    <row r="28" spans="1:8" x14ac:dyDescent="0.25">
      <c r="A28" s="9"/>
      <c r="B28" s="9"/>
      <c r="C28" s="9"/>
      <c r="D28" s="9"/>
      <c r="E28" s="9"/>
      <c r="F28" s="72"/>
      <c r="G28" s="9"/>
      <c r="H28" s="9"/>
    </row>
    <row r="29" spans="1:8" x14ac:dyDescent="0.25">
      <c r="A29" s="9" t="s">
        <v>192</v>
      </c>
      <c r="B29" s="9"/>
      <c r="C29" s="9"/>
      <c r="D29" s="72">
        <f>D21-D27</f>
        <v>12220</v>
      </c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38"/>
      <c r="G30" s="9"/>
      <c r="H30" s="9"/>
    </row>
    <row r="31" spans="1:8" x14ac:dyDescent="0.25">
      <c r="A31" s="9" t="s">
        <v>26</v>
      </c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8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8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8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8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8" x14ac:dyDescent="0.25">
      <c r="A40" s="95"/>
      <c r="B40" s="95"/>
      <c r="C40" s="96" t="s">
        <v>198</v>
      </c>
      <c r="D40" s="95"/>
      <c r="E40" s="95"/>
      <c r="F40" s="95"/>
      <c r="G40" s="9"/>
      <c r="H40" s="9"/>
    </row>
    <row r="41" spans="1:8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8" x14ac:dyDescent="0.25">
      <c r="A42" s="43"/>
      <c r="B42" s="10"/>
      <c r="C42" s="43"/>
      <c r="D42" s="43"/>
      <c r="E42" s="47"/>
      <c r="F42" s="47"/>
      <c r="G42" s="47"/>
      <c r="H42" s="43"/>
    </row>
    <row r="43" spans="1:8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</row>
    <row r="45" spans="1:8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</row>
    <row r="47" spans="1:8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</row>
    <row r="48" spans="1:8" x14ac:dyDescent="0.25">
      <c r="A48" s="43" t="s">
        <v>131</v>
      </c>
      <c r="B48" s="3"/>
      <c r="C48" s="44"/>
      <c r="D48" s="44"/>
      <c r="E48" s="73"/>
      <c r="F48" s="46"/>
      <c r="G48" s="68"/>
      <c r="H48" s="44"/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</row>
    <row r="51" spans="1:8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</row>
    <row r="52" spans="1:8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</row>
    <row r="53" spans="1:8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67" t="s">
        <v>58</v>
      </c>
      <c r="B55" s="9"/>
      <c r="C55" s="9"/>
      <c r="D55" s="9"/>
      <c r="E55" s="9"/>
      <c r="F55" s="9"/>
      <c r="G55" s="9"/>
      <c r="H55" s="9"/>
    </row>
    <row r="56" spans="1:8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</row>
    <row r="57" spans="1:8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</row>
    <row r="58" spans="1:8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</row>
    <row r="59" spans="1:8" x14ac:dyDescent="0.25">
      <c r="A59" s="9" t="s">
        <v>202</v>
      </c>
      <c r="B59" s="9"/>
      <c r="C59" s="9"/>
      <c r="D59" s="72">
        <f>D53-D58</f>
        <v>19100</v>
      </c>
      <c r="E59" s="9"/>
      <c r="F59" s="9"/>
      <c r="G59" s="9"/>
      <c r="H59" s="9"/>
    </row>
    <row r="60" spans="1:8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ht="16.5" x14ac:dyDescent="0.35">
      <c r="A62" s="92"/>
      <c r="B62" s="85"/>
      <c r="C62" s="9"/>
      <c r="D62" s="72"/>
      <c r="E62" s="9" t="s">
        <v>163</v>
      </c>
      <c r="F62" s="9"/>
      <c r="G62" s="9"/>
      <c r="H62" s="9"/>
    </row>
    <row r="63" spans="1:8" x14ac:dyDescent="0.25">
      <c r="A63" s="97"/>
      <c r="B63" s="98"/>
      <c r="C63" s="97"/>
      <c r="D63" s="99"/>
      <c r="E63" s="9"/>
      <c r="F63" s="9"/>
      <c r="G63" s="9"/>
      <c r="H63" s="9"/>
    </row>
    <row r="64" spans="1:8" x14ac:dyDescent="0.25">
      <c r="A64" s="36"/>
      <c r="B64" s="9"/>
      <c r="C64" s="9"/>
      <c r="D64" s="72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</row>
    <row r="69" spans="1:8" x14ac:dyDescent="0.25">
      <c r="A69" s="5"/>
      <c r="B69" s="19"/>
      <c r="C69" s="81" t="s">
        <v>87</v>
      </c>
      <c r="D69" s="81"/>
      <c r="E69" s="19"/>
      <c r="F69" s="19"/>
      <c r="G69" s="9"/>
      <c r="H69" s="9"/>
    </row>
    <row r="70" spans="1:8" x14ac:dyDescent="0.25">
      <c r="A70" s="24"/>
      <c r="B70" s="79"/>
      <c r="C70" s="82" t="s">
        <v>88</v>
      </c>
      <c r="D70" s="80"/>
      <c r="E70" s="80"/>
      <c r="F70" s="79"/>
      <c r="G70" s="9"/>
      <c r="H70" s="9"/>
    </row>
    <row r="71" spans="1:8" x14ac:dyDescent="0.25">
      <c r="A71" s="4"/>
      <c r="B71" s="5"/>
      <c r="C71" s="6" t="s">
        <v>5</v>
      </c>
      <c r="D71" s="6"/>
      <c r="E71" s="5"/>
      <c r="F71" s="4"/>
      <c r="G71" s="9"/>
      <c r="H71" s="9"/>
    </row>
    <row r="72" spans="1:8" ht="15.75" x14ac:dyDescent="0.25">
      <c r="A72" s="9"/>
      <c r="B72" s="4"/>
      <c r="C72" s="52"/>
      <c r="D72" s="4" t="s">
        <v>171</v>
      </c>
      <c r="E72" s="4"/>
      <c r="F72" s="4"/>
      <c r="G72" s="5"/>
      <c r="H72" s="9"/>
    </row>
    <row r="73" spans="1:8" x14ac:dyDescent="0.25">
      <c r="A73" s="9"/>
      <c r="B73" s="95"/>
      <c r="C73" s="95"/>
      <c r="D73" s="96" t="s">
        <v>197</v>
      </c>
      <c r="E73" s="95"/>
      <c r="F73" s="95"/>
      <c r="G73" s="95"/>
      <c r="H73" s="9"/>
    </row>
    <row r="74" spans="1:8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</row>
    <row r="75" spans="1:8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</row>
    <row r="76" spans="1:8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</row>
    <row r="78" spans="1:8" x14ac:dyDescent="0.25">
      <c r="A78" s="43"/>
      <c r="B78" s="3"/>
      <c r="C78" s="109"/>
      <c r="D78" s="46"/>
      <c r="E78" s="105"/>
      <c r="F78" s="44"/>
      <c r="G78" s="107"/>
      <c r="H78" s="44"/>
    </row>
    <row r="79" spans="1:8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</row>
    <row r="80" spans="1:8" x14ac:dyDescent="0.25">
      <c r="A80" s="110" t="s">
        <v>2</v>
      </c>
      <c r="B80" s="111"/>
      <c r="C80" s="110">
        <f>SUM(C75:C79)</f>
        <v>3500</v>
      </c>
      <c r="D80" s="53">
        <f>SUM(D75:D79)</f>
        <v>10500</v>
      </c>
      <c r="E80" s="112">
        <f>SUM(E75:E79)</f>
        <v>14000</v>
      </c>
      <c r="F80" s="113">
        <f>SUM(F75:F79)</f>
        <v>9000</v>
      </c>
      <c r="G80" s="114">
        <f>SUM(G75:G79)</f>
        <v>5000</v>
      </c>
      <c r="H80" s="44"/>
    </row>
    <row r="81" spans="1:8" x14ac:dyDescent="0.25">
      <c r="A81" s="43"/>
      <c r="B81" s="3"/>
      <c r="C81" s="44"/>
      <c r="D81" s="46"/>
      <c r="E81" s="44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100" t="s">
        <v>60</v>
      </c>
      <c r="B83" s="101"/>
      <c r="C83" s="97"/>
      <c r="D83" s="102">
        <f>D80</f>
        <v>10500</v>
      </c>
      <c r="E83" s="9"/>
      <c r="F83" s="18" t="s">
        <v>109</v>
      </c>
      <c r="G83" s="19"/>
      <c r="H83" s="18" t="s">
        <v>93</v>
      </c>
    </row>
    <row r="84" spans="1:8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</row>
    <row r="85" spans="1:8" x14ac:dyDescent="0.25">
      <c r="A85" s="9" t="s">
        <v>196</v>
      </c>
      <c r="B85" s="9"/>
      <c r="C85" s="83">
        <v>0.1</v>
      </c>
      <c r="D85" s="9"/>
      <c r="E85" s="9"/>
      <c r="F85" s="9"/>
      <c r="G85" s="9"/>
      <c r="H85" s="9"/>
    </row>
    <row r="86" spans="1:8" x14ac:dyDescent="0.25">
      <c r="A86" s="36" t="s">
        <v>22</v>
      </c>
      <c r="B86" s="17"/>
      <c r="C86" s="9"/>
      <c r="D86" s="34">
        <f>C85*D83</f>
        <v>1050</v>
      </c>
      <c r="E86" s="9"/>
      <c r="F86" s="38" t="s">
        <v>81</v>
      </c>
      <c r="G86" s="38"/>
      <c r="H86" s="9"/>
    </row>
    <row r="87" spans="1:8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1"/>
      <c r="F89" s="9"/>
      <c r="G89" s="9"/>
      <c r="H89" s="9"/>
    </row>
    <row r="90" spans="1:8" x14ac:dyDescent="0.25">
      <c r="A90" s="36" t="s">
        <v>154</v>
      </c>
      <c r="B90" s="9"/>
      <c r="C90" s="86"/>
      <c r="D90" s="87">
        <f>SUM(D86:D89)</f>
        <v>6050</v>
      </c>
      <c r="E90" s="91"/>
      <c r="F90" s="9"/>
      <c r="G90" s="9"/>
      <c r="H90" s="9"/>
    </row>
    <row r="91" spans="1:8" ht="16.5" x14ac:dyDescent="0.35">
      <c r="A91" s="92"/>
      <c r="B91" s="85"/>
      <c r="C91" s="9"/>
      <c r="D91" s="72"/>
      <c r="E91" s="9"/>
      <c r="F91" s="9"/>
      <c r="G91" s="9"/>
      <c r="H91" s="9"/>
    </row>
    <row r="92" spans="1:8" x14ac:dyDescent="0.25">
      <c r="A92" s="97" t="s">
        <v>200</v>
      </c>
      <c r="B92" s="98"/>
      <c r="C92" s="97"/>
      <c r="D92" s="72">
        <f>D83-D90</f>
        <v>4450</v>
      </c>
      <c r="E92" s="9"/>
      <c r="F92" s="9"/>
      <c r="G92" s="9"/>
      <c r="H92" s="9"/>
    </row>
    <row r="93" spans="1:8" x14ac:dyDescent="0.25">
      <c r="A93" s="36" t="s">
        <v>26</v>
      </c>
      <c r="B93" s="9"/>
      <c r="C93" s="9"/>
      <c r="D93" s="9">
        <v>0</v>
      </c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activeCell="A46" sqref="A46"/>
    </sheetView>
  </sheetViews>
  <sheetFormatPr defaultRowHeight="15" x14ac:dyDescent="0.25"/>
  <cols>
    <col min="4" max="4" width="13.140625" customWidth="1"/>
    <col min="5" max="5" width="12" customWidth="1"/>
  </cols>
  <sheetData>
    <row r="1" spans="1:10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  <c r="J1" s="9"/>
    </row>
    <row r="2" spans="1:10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J2" s="9"/>
    </row>
    <row r="3" spans="1:10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J3" s="9"/>
    </row>
    <row r="4" spans="1:10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J4" s="9"/>
    </row>
    <row r="5" spans="1:10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J5" s="9"/>
    </row>
    <row r="6" spans="1:10" x14ac:dyDescent="0.25">
      <c r="A6" s="94"/>
      <c r="B6" s="95"/>
      <c r="C6" s="95"/>
      <c r="D6" s="96" t="s">
        <v>203</v>
      </c>
      <c r="E6" s="95"/>
      <c r="F6" s="95"/>
      <c r="G6" s="95"/>
      <c r="H6" s="9"/>
      <c r="I6" s="9"/>
      <c r="J6" s="9"/>
    </row>
    <row r="7" spans="1:10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  <c r="J7" s="9"/>
    </row>
    <row r="8" spans="1:10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  <c r="J8" s="9"/>
    </row>
    <row r="9" spans="1:10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  <c r="J9" s="9"/>
    </row>
    <row r="10" spans="1:10" x14ac:dyDescent="0.25">
      <c r="A10" s="43" t="s">
        <v>204</v>
      </c>
      <c r="B10" s="69">
        <v>3</v>
      </c>
      <c r="C10" s="43"/>
      <c r="D10" s="43"/>
      <c r="E10" s="47">
        <v>2000</v>
      </c>
      <c r="F10" s="47"/>
      <c r="G10" s="47"/>
      <c r="H10" s="43"/>
      <c r="I10" s="9"/>
      <c r="J10" s="9"/>
    </row>
    <row r="11" spans="1:10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  <c r="J11" s="9"/>
    </row>
    <row r="12" spans="1:10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  <c r="J12" s="9"/>
    </row>
    <row r="13" spans="1:10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53"/>
      <c r="H13" s="44"/>
      <c r="I13" s="9"/>
      <c r="J13" s="9"/>
    </row>
    <row r="14" spans="1:10" x14ac:dyDescent="0.25">
      <c r="A14" s="43" t="s">
        <v>21</v>
      </c>
      <c r="B14" s="3">
        <v>7</v>
      </c>
      <c r="C14" s="44"/>
      <c r="D14" s="44"/>
      <c r="E14" s="46"/>
      <c r="F14" s="46"/>
      <c r="G14" s="46"/>
      <c r="H14" s="44"/>
      <c r="I14" s="9"/>
      <c r="J14" s="9"/>
    </row>
    <row r="15" spans="1:10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  <c r="J15" s="9"/>
    </row>
    <row r="16" spans="1:10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  <c r="J16" s="9"/>
    </row>
    <row r="17" spans="1:10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  <c r="J17" s="9"/>
    </row>
    <row r="18" spans="1:10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  <c r="J18" s="9"/>
    </row>
    <row r="19" spans="1:10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  <c r="J19" s="9"/>
    </row>
    <row r="20" spans="1:10" x14ac:dyDescent="0.25">
      <c r="A20" s="47"/>
      <c r="B20" s="16"/>
      <c r="C20" s="48"/>
      <c r="D20" s="46"/>
      <c r="E20" s="46">
        <f>SUM(E8:E19)</f>
        <v>18000</v>
      </c>
      <c r="F20" s="46"/>
      <c r="G20" s="46"/>
      <c r="H20" s="46"/>
      <c r="I20" s="9"/>
      <c r="J20" s="9"/>
    </row>
    <row r="21" spans="1:10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  <c r="I21" s="9"/>
      <c r="J21" s="9"/>
    </row>
    <row r="22" spans="1:10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  <c r="J22" s="9"/>
    </row>
    <row r="23" spans="1:10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J23" s="9"/>
    </row>
    <row r="24" spans="1:10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  <c r="I24" s="9"/>
      <c r="J24" s="9"/>
    </row>
    <row r="25" spans="1:10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  <c r="I25" s="9"/>
      <c r="J25" s="9"/>
    </row>
    <row r="26" spans="1:10" x14ac:dyDescent="0.25">
      <c r="A26" s="37" t="s">
        <v>201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 t="s">
        <v>154</v>
      </c>
      <c r="B27" s="9"/>
      <c r="C27" s="9"/>
      <c r="D27" s="72">
        <f>SUM(D24:D26)</f>
        <v>3800</v>
      </c>
      <c r="E27" s="38" t="s">
        <v>173</v>
      </c>
      <c r="F27" s="9"/>
      <c r="G27" s="18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72"/>
      <c r="G28" s="9"/>
      <c r="H28" s="9"/>
      <c r="I28" s="9"/>
      <c r="J28" s="9"/>
    </row>
    <row r="29" spans="1:10" x14ac:dyDescent="0.25">
      <c r="A29" s="9" t="s">
        <v>192</v>
      </c>
      <c r="B29" s="9"/>
      <c r="C29" s="9"/>
      <c r="D29" s="72">
        <f>D21-D27</f>
        <v>14200</v>
      </c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38"/>
      <c r="G30" s="9"/>
      <c r="H30" s="9"/>
      <c r="I30" s="9"/>
      <c r="J30" s="9"/>
    </row>
    <row r="31" spans="1:10" x14ac:dyDescent="0.25">
      <c r="A31" s="9" t="s">
        <v>26</v>
      </c>
      <c r="B31" s="9"/>
      <c r="C31" s="9"/>
      <c r="D31" s="9"/>
      <c r="E31" s="9"/>
      <c r="F31" s="3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  <c r="J35" s="9"/>
    </row>
    <row r="36" spans="1:10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  <c r="J36" s="9"/>
    </row>
    <row r="37" spans="1:10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  <c r="J37" s="9"/>
    </row>
    <row r="38" spans="1:10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  <c r="J38" s="9"/>
    </row>
    <row r="39" spans="1:10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  <c r="J39" s="9"/>
    </row>
    <row r="40" spans="1:10" x14ac:dyDescent="0.25">
      <c r="C40" s="95"/>
      <c r="D40" s="95"/>
      <c r="E40" s="96" t="s">
        <v>205</v>
      </c>
      <c r="F40" s="95"/>
      <c r="G40" s="95"/>
      <c r="H40" s="9"/>
      <c r="I40" s="9"/>
      <c r="J40" s="9"/>
    </row>
    <row r="41" spans="1:10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  <c r="J41" s="9"/>
    </row>
    <row r="42" spans="1:10" x14ac:dyDescent="0.25">
      <c r="A42" s="43"/>
      <c r="B42" s="10"/>
      <c r="C42" s="43"/>
      <c r="D42" s="43"/>
      <c r="E42" s="47"/>
      <c r="F42" s="47"/>
      <c r="G42" s="47"/>
      <c r="H42" s="43"/>
      <c r="I42" s="9"/>
      <c r="J42" s="9"/>
    </row>
    <row r="43" spans="1:10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  <c r="J43" s="9"/>
    </row>
    <row r="44" spans="1:10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  <c r="I44" s="9"/>
      <c r="J44" s="9"/>
    </row>
    <row r="45" spans="1:10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  <c r="J45" s="9"/>
    </row>
    <row r="46" spans="1:10" x14ac:dyDescent="0.25">
      <c r="A46" s="43"/>
      <c r="B46" s="3"/>
      <c r="C46" s="44"/>
      <c r="D46" s="44"/>
      <c r="E46" s="46"/>
      <c r="F46" s="46"/>
      <c r="G46" s="46"/>
      <c r="H46" s="44"/>
      <c r="I46" s="9"/>
      <c r="J46" s="9"/>
    </row>
    <row r="47" spans="1:10" x14ac:dyDescent="0.25">
      <c r="A47" s="43"/>
      <c r="B47" s="3"/>
      <c r="C47" s="44"/>
      <c r="D47" s="44"/>
      <c r="E47" s="46"/>
      <c r="F47" s="46"/>
      <c r="G47" s="46"/>
      <c r="H47" s="44"/>
      <c r="I47" s="9"/>
      <c r="J47" s="9"/>
    </row>
    <row r="48" spans="1:10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  <c r="J48" s="9"/>
    </row>
    <row r="49" spans="1:10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  <c r="J49" s="9"/>
    </row>
    <row r="50" spans="1:10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  <c r="J50" s="9"/>
    </row>
    <row r="51" spans="1:10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  <c r="J51" s="9"/>
    </row>
    <row r="52" spans="1:10" x14ac:dyDescent="0.25">
      <c r="A52" s="44"/>
      <c r="B52" s="44"/>
      <c r="C52" s="44"/>
      <c r="D52" s="44"/>
      <c r="E52" s="105">
        <f>SUM(E42:E51)</f>
        <v>19500</v>
      </c>
      <c r="F52" s="44"/>
      <c r="G52" s="44"/>
      <c r="H52" s="44"/>
      <c r="I52" s="9"/>
      <c r="J52" s="9"/>
    </row>
    <row r="53" spans="1:10" x14ac:dyDescent="0.25">
      <c r="A53" s="100" t="s">
        <v>60</v>
      </c>
      <c r="B53" s="101"/>
      <c r="C53" s="97"/>
      <c r="D53" s="102">
        <f>E52</f>
        <v>19500</v>
      </c>
      <c r="E53" s="18" t="s">
        <v>109</v>
      </c>
      <c r="F53" s="19"/>
      <c r="G53" s="18" t="s">
        <v>93</v>
      </c>
      <c r="H53" s="9"/>
      <c r="I53" s="9"/>
      <c r="J53" s="9"/>
    </row>
    <row r="54" spans="1:10" x14ac:dyDescent="0.25">
      <c r="A54" s="103" t="s">
        <v>206</v>
      </c>
      <c r="B54" s="101"/>
      <c r="C54" s="97"/>
      <c r="D54" s="104">
        <v>4000</v>
      </c>
      <c r="E54" s="38" t="s">
        <v>24</v>
      </c>
      <c r="F54" s="39"/>
      <c r="G54" s="9" t="s">
        <v>94</v>
      </c>
      <c r="H54" s="9"/>
      <c r="I54" s="9"/>
      <c r="J54" s="9"/>
    </row>
    <row r="55" spans="1:10" s="9" customFormat="1" x14ac:dyDescent="0.25">
      <c r="A55" s="103"/>
      <c r="B55" s="101"/>
      <c r="C55" s="97"/>
      <c r="D55" s="104">
        <f>SUM(D53:D54)</f>
        <v>23500</v>
      </c>
      <c r="E55" s="38"/>
      <c r="F55" s="39"/>
    </row>
    <row r="56" spans="1:10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36" t="s">
        <v>22</v>
      </c>
      <c r="B57" s="17"/>
      <c r="C57" s="9"/>
      <c r="D57" s="34">
        <f>SUM(D53*10%)</f>
        <v>1950</v>
      </c>
      <c r="E57" s="38" t="s">
        <v>81</v>
      </c>
      <c r="F57" s="35">
        <f>D53-D57</f>
        <v>17550</v>
      </c>
      <c r="G57" s="9"/>
      <c r="H57" s="9"/>
      <c r="I57" s="9"/>
      <c r="J57" s="9"/>
    </row>
    <row r="58" spans="1:10" x14ac:dyDescent="0.25">
      <c r="A58" s="36"/>
      <c r="B58" s="17"/>
      <c r="C58" s="9"/>
      <c r="D58" s="34"/>
      <c r="E58" s="38"/>
      <c r="F58" s="38"/>
      <c r="G58" s="9"/>
      <c r="H58" s="9"/>
      <c r="I58" s="9"/>
      <c r="J58" s="9"/>
    </row>
    <row r="59" spans="1:10" x14ac:dyDescent="0.25">
      <c r="A59" s="36" t="s">
        <v>154</v>
      </c>
      <c r="B59" s="9"/>
      <c r="C59" s="86"/>
      <c r="D59" s="87">
        <f>SUM(D57:D58)</f>
        <v>1950</v>
      </c>
      <c r="E59" s="38" t="s">
        <v>24</v>
      </c>
      <c r="F59" s="39"/>
      <c r="G59" s="9"/>
      <c r="H59" s="9"/>
      <c r="I59" s="9"/>
      <c r="J59" s="9"/>
    </row>
    <row r="60" spans="1:10" x14ac:dyDescent="0.25">
      <c r="A60" s="9" t="s">
        <v>207</v>
      </c>
      <c r="B60" s="9"/>
      <c r="C60" s="9"/>
      <c r="D60" s="72">
        <f>D55-D59</f>
        <v>21550</v>
      </c>
      <c r="E60" s="9"/>
      <c r="F60" s="9"/>
      <c r="G60" s="9"/>
      <c r="H60" s="9"/>
      <c r="I60" s="9"/>
      <c r="J60" s="9"/>
    </row>
    <row r="61" spans="1:10" x14ac:dyDescent="0.25">
      <c r="A61" s="36" t="s">
        <v>26</v>
      </c>
      <c r="B61" s="9"/>
      <c r="C61" s="9"/>
      <c r="D61" s="9">
        <v>0</v>
      </c>
      <c r="E61" s="91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1"/>
      <c r="F62" s="9"/>
      <c r="G62" s="9"/>
      <c r="H62" s="9"/>
      <c r="I62" s="9"/>
      <c r="J62" s="9"/>
    </row>
    <row r="63" spans="1:10" ht="16.5" x14ac:dyDescent="0.35">
      <c r="A63" s="92"/>
      <c r="B63" s="85"/>
      <c r="C63" s="9"/>
      <c r="D63" s="72"/>
      <c r="E63" s="9" t="s">
        <v>163</v>
      </c>
      <c r="F63" s="9"/>
      <c r="G63" s="9"/>
      <c r="H63" s="9"/>
      <c r="I63" s="9"/>
      <c r="J63" s="9"/>
    </row>
    <row r="64" spans="1:10" x14ac:dyDescent="0.25">
      <c r="A64" s="97"/>
      <c r="B64" s="98"/>
      <c r="C64" s="97"/>
      <c r="D64" s="99"/>
      <c r="E64" s="9"/>
      <c r="F64" s="9"/>
      <c r="G64" s="9"/>
      <c r="H64" s="9"/>
      <c r="I64" s="9"/>
      <c r="J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  <c r="J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  <c r="J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  <c r="J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  <c r="J72" s="9"/>
    </row>
    <row r="73" spans="1:10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  <c r="J73" s="9"/>
    </row>
    <row r="74" spans="1:10" x14ac:dyDescent="0.25">
      <c r="A74" s="9"/>
      <c r="B74" s="95"/>
      <c r="C74" s="95"/>
      <c r="D74" s="96" t="s">
        <v>197</v>
      </c>
      <c r="E74" s="95"/>
      <c r="F74" s="95"/>
      <c r="G74" s="95"/>
      <c r="H74" s="9"/>
      <c r="I74" s="9"/>
      <c r="J74" s="9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  <c r="J75" s="9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  <c r="J76" s="9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  <c r="J77" s="9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"/>
      <c r="J78" s="9"/>
    </row>
    <row r="79" spans="1:10" x14ac:dyDescent="0.25">
      <c r="A79" s="43"/>
      <c r="B79" s="3"/>
      <c r="C79" s="109"/>
      <c r="D79" s="46"/>
      <c r="E79" s="105"/>
      <c r="F79" s="44"/>
      <c r="G79" s="107"/>
      <c r="H79" s="44"/>
      <c r="I79" s="9"/>
      <c r="J79" s="9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  <c r="J80" s="9"/>
    </row>
    <row r="81" spans="1:10" x14ac:dyDescent="0.25">
      <c r="A81" s="110" t="s">
        <v>2</v>
      </c>
      <c r="B81" s="111"/>
      <c r="C81" s="110">
        <f>SUM(C76:C80)</f>
        <v>3500</v>
      </c>
      <c r="D81" s="53">
        <f>SUM(D76:D80)</f>
        <v>10500</v>
      </c>
      <c r="E81" s="112">
        <f>SUM(E76:E80)</f>
        <v>14000</v>
      </c>
      <c r="F81" s="113">
        <f>SUM(F76:F80)</f>
        <v>9000</v>
      </c>
      <c r="G81" s="114">
        <f>SUM(G76:G80)</f>
        <v>5000</v>
      </c>
      <c r="H81" s="44"/>
      <c r="I81" s="9"/>
      <c r="J81" s="9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00" t="s">
        <v>60</v>
      </c>
      <c r="B84" s="101"/>
      <c r="C84" s="97"/>
      <c r="D84" s="102">
        <f>D81</f>
        <v>10500</v>
      </c>
      <c r="E84" s="9"/>
      <c r="F84" s="18" t="s">
        <v>109</v>
      </c>
      <c r="G84" s="19"/>
      <c r="H84" s="18" t="s">
        <v>93</v>
      </c>
      <c r="I84" s="9"/>
      <c r="J84" s="9"/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  <c r="J85" s="9"/>
    </row>
    <row r="86" spans="1:10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  <c r="J86" s="9"/>
    </row>
    <row r="87" spans="1:10" x14ac:dyDescent="0.25">
      <c r="A87" s="36" t="s">
        <v>22</v>
      </c>
      <c r="B87" s="17"/>
      <c r="C87" s="9"/>
      <c r="D87" s="34">
        <f>C86*D84</f>
        <v>1050</v>
      </c>
      <c r="E87" s="9"/>
      <c r="F87" s="38" t="s">
        <v>81</v>
      </c>
      <c r="G87" s="38"/>
      <c r="H87" s="9"/>
      <c r="I87" s="9"/>
      <c r="J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  <c r="J90" s="9"/>
    </row>
    <row r="91" spans="1:10" x14ac:dyDescent="0.25">
      <c r="A91" s="36" t="s">
        <v>154</v>
      </c>
      <c r="B91" s="9"/>
      <c r="C91" s="86"/>
      <c r="D91" s="87">
        <f>SUM(D87:D90)</f>
        <v>6050</v>
      </c>
      <c r="E91" s="91"/>
      <c r="F91" s="9"/>
      <c r="G91" s="9"/>
      <c r="H91" s="9"/>
      <c r="I91" s="9"/>
      <c r="J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  <c r="J92" s="9"/>
    </row>
    <row r="93" spans="1:10" x14ac:dyDescent="0.25">
      <c r="A93" s="97" t="s">
        <v>200</v>
      </c>
      <c r="B93" s="98"/>
      <c r="C93" s="97"/>
      <c r="D93" s="72">
        <f>D84-D91</f>
        <v>4450</v>
      </c>
      <c r="E93" s="9"/>
      <c r="F93" s="9"/>
      <c r="G93" s="9"/>
      <c r="H93" s="9"/>
      <c r="I93" s="9"/>
      <c r="J93" s="9"/>
    </row>
    <row r="94" spans="1:10" x14ac:dyDescent="0.25">
      <c r="A94" s="36" t="s">
        <v>26</v>
      </c>
      <c r="B94" s="9"/>
      <c r="C94" s="9"/>
      <c r="D94" s="9">
        <v>0</v>
      </c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opLeftCell="A121" workbookViewId="0">
      <selection activeCell="C132" sqref="C132"/>
    </sheetView>
  </sheetViews>
  <sheetFormatPr defaultRowHeight="15" x14ac:dyDescent="0.25"/>
  <cols>
    <col min="1" max="1" width="15.28515625" customWidth="1"/>
    <col min="2" max="2" width="7.140625" customWidth="1"/>
    <col min="3" max="3" width="10.42578125" customWidth="1"/>
    <col min="4" max="4" width="11" customWidth="1"/>
    <col min="5" max="5" width="11.140625" customWidth="1"/>
    <col min="6" max="6" width="10.42578125" customWidth="1"/>
    <col min="7" max="7" width="10.5703125" bestFit="1" customWidth="1"/>
    <col min="8" max="8" width="10.285156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210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0</v>
      </c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0</v>
      </c>
      <c r="H11" s="68">
        <f t="shared" si="1"/>
        <v>2000</v>
      </c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>
        <f t="shared" si="0"/>
        <v>0</v>
      </c>
      <c r="G16" s="46">
        <v>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v>2000</v>
      </c>
      <c r="H20" s="68">
        <f>SUM(H8:H19)</f>
        <v>4000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</row>
    <row r="25" spans="1:8" x14ac:dyDescent="0.25">
      <c r="A25" s="100" t="s">
        <v>229</v>
      </c>
      <c r="B25" s="97"/>
      <c r="C25" s="121">
        <f>D21-D24</f>
        <v>16200</v>
      </c>
      <c r="E25" s="38" t="s">
        <v>24</v>
      </c>
      <c r="F25" s="39"/>
      <c r="G25" s="9" t="s">
        <v>94</v>
      </c>
      <c r="H25" s="9"/>
    </row>
    <row r="26" spans="1:8" x14ac:dyDescent="0.25">
      <c r="A26" s="122" t="s">
        <v>227</v>
      </c>
      <c r="E26" s="9"/>
      <c r="F26" s="9"/>
      <c r="G26" s="9"/>
      <c r="H26" s="9"/>
    </row>
    <row r="27" spans="1:8" x14ac:dyDescent="0.25">
      <c r="A27" s="37" t="s">
        <v>191</v>
      </c>
      <c r="B27" s="9"/>
      <c r="C27" s="9"/>
      <c r="D27" s="9">
        <v>3000</v>
      </c>
      <c r="E27" s="38" t="s">
        <v>173</v>
      </c>
      <c r="F27" s="9"/>
      <c r="G27" s="18"/>
      <c r="H27" s="9"/>
    </row>
    <row r="28" spans="1:8" x14ac:dyDescent="0.25">
      <c r="A28" s="9" t="s">
        <v>209</v>
      </c>
      <c r="B28" s="9"/>
      <c r="C28" s="9"/>
      <c r="D28" s="72">
        <v>13200</v>
      </c>
      <c r="E28" s="9"/>
      <c r="F28" s="72"/>
      <c r="G28" s="9"/>
      <c r="H28" s="9"/>
    </row>
    <row r="29" spans="1:8" x14ac:dyDescent="0.25">
      <c r="A29" s="9" t="s">
        <v>154</v>
      </c>
      <c r="D29">
        <f>SUM(D27:D28)</f>
        <v>16200</v>
      </c>
      <c r="E29" s="9"/>
      <c r="F29" s="9"/>
      <c r="G29" s="9"/>
      <c r="H29" s="9"/>
    </row>
    <row r="30" spans="1:8" x14ac:dyDescent="0.25">
      <c r="A30" s="97" t="s">
        <v>26</v>
      </c>
      <c r="B30" s="97"/>
      <c r="C30" s="97"/>
      <c r="D30" s="121">
        <v>0</v>
      </c>
      <c r="E30" s="9"/>
      <c r="F30" s="38"/>
      <c r="G30" s="72"/>
      <c r="H30" s="9"/>
    </row>
    <row r="31" spans="1:8" x14ac:dyDescent="0.25"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</row>
    <row r="35" spans="1:11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11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11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11" x14ac:dyDescent="0.25">
      <c r="A38" s="4"/>
      <c r="B38" s="5"/>
      <c r="C38" s="6" t="s">
        <v>5</v>
      </c>
      <c r="D38" s="6"/>
      <c r="E38" s="5"/>
      <c r="F38" s="4"/>
      <c r="G38" s="9"/>
      <c r="H38" s="9"/>
      <c r="K38" s="83"/>
    </row>
    <row r="39" spans="1:11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11" x14ac:dyDescent="0.25">
      <c r="A40" s="9"/>
      <c r="B40" s="9"/>
      <c r="C40" s="95"/>
      <c r="D40" s="95"/>
      <c r="E40" s="96" t="s">
        <v>212</v>
      </c>
      <c r="F40" s="95"/>
      <c r="G40" s="95"/>
      <c r="H40" s="9"/>
    </row>
    <row r="41" spans="1:11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11" x14ac:dyDescent="0.25">
      <c r="A42" s="43"/>
      <c r="B42" s="10"/>
      <c r="C42" s="43"/>
      <c r="D42" s="43"/>
      <c r="E42" s="47"/>
      <c r="F42" s="47"/>
      <c r="G42" s="47"/>
      <c r="H42" s="43"/>
    </row>
    <row r="43" spans="1:11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</row>
    <row r="44" spans="1:11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</row>
    <row r="45" spans="1:11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</row>
    <row r="46" spans="1:11" x14ac:dyDescent="0.25">
      <c r="A46" s="43" t="s">
        <v>211</v>
      </c>
      <c r="B46" s="3"/>
      <c r="C46" s="44"/>
      <c r="D46" s="44"/>
      <c r="E46" s="46">
        <v>1500</v>
      </c>
      <c r="F46" s="46">
        <f t="shared" si="2"/>
        <v>1500</v>
      </c>
      <c r="G46" s="46"/>
      <c r="H46" s="105">
        <f t="shared" si="3"/>
        <v>1500</v>
      </c>
    </row>
    <row r="47" spans="1:11" x14ac:dyDescent="0.25">
      <c r="A47" s="43" t="s">
        <v>137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</row>
    <row r="48" spans="1:11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</row>
    <row r="51" spans="1:8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</row>
    <row r="52" spans="1:8" x14ac:dyDescent="0.25">
      <c r="A52" s="44"/>
      <c r="B52" s="44"/>
      <c r="C52" s="44"/>
      <c r="D52" s="44"/>
      <c r="E52" s="105">
        <f>SUM(E42:E51)</f>
        <v>23000</v>
      </c>
      <c r="F52" s="105">
        <f>SUM(F43:F51)</f>
        <v>23000</v>
      </c>
      <c r="G52" s="105">
        <f>SUM(G42:G51)</f>
        <v>19500</v>
      </c>
      <c r="H52" s="105">
        <f t="shared" si="3"/>
        <v>3500</v>
      </c>
    </row>
    <row r="53" spans="1:8" x14ac:dyDescent="0.25">
      <c r="A53" s="100" t="s">
        <v>60</v>
      </c>
      <c r="B53" s="101"/>
      <c r="C53" s="97"/>
      <c r="D53" s="102">
        <f>E52</f>
        <v>23000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103"/>
      <c r="B55" s="101"/>
      <c r="C55" s="97"/>
      <c r="D55" s="104">
        <f>SUM(D53:D54)</f>
        <v>23000</v>
      </c>
      <c r="E55" s="38"/>
      <c r="F55" s="39"/>
      <c r="G55" s="9"/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SUM(D53*10%)</f>
        <v>2300</v>
      </c>
      <c r="E57" s="38" t="s">
        <v>81</v>
      </c>
      <c r="F57" s="35"/>
      <c r="G57" s="9"/>
      <c r="H57" s="9"/>
    </row>
    <row r="58" spans="1:8" x14ac:dyDescent="0.25">
      <c r="A58" s="9" t="s">
        <v>213</v>
      </c>
      <c r="B58" s="9"/>
      <c r="C58" s="9"/>
      <c r="D58" s="72">
        <v>24700</v>
      </c>
      <c r="E58" s="38"/>
      <c r="F58" s="38"/>
      <c r="G58" s="9"/>
      <c r="H58" s="9"/>
    </row>
    <row r="59" spans="1:8" x14ac:dyDescent="0.25">
      <c r="A59" s="36" t="s">
        <v>154</v>
      </c>
      <c r="B59" s="9"/>
      <c r="C59" s="86"/>
      <c r="D59" s="87">
        <f>SUM(D57:D58)</f>
        <v>27000</v>
      </c>
      <c r="E59" s="38" t="s">
        <v>24</v>
      </c>
      <c r="F59" s="39"/>
      <c r="G59" s="9"/>
      <c r="H59" s="9"/>
    </row>
    <row r="60" spans="1:8" x14ac:dyDescent="0.25">
      <c r="E60" s="9"/>
      <c r="F60" s="9"/>
      <c r="G60" s="9"/>
      <c r="H60" s="9"/>
    </row>
    <row r="61" spans="1:8" x14ac:dyDescent="0.25">
      <c r="A61" s="36" t="s">
        <v>26</v>
      </c>
      <c r="B61" s="9"/>
      <c r="C61" s="9"/>
      <c r="D61" s="72">
        <f>D55-D59</f>
        <v>-4000</v>
      </c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 t="s">
        <v>163</v>
      </c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228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</row>
    <row r="79" spans="1:8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97" t="s">
        <v>226</v>
      </c>
      <c r="B88" s="97"/>
      <c r="C88" s="97"/>
      <c r="D88" s="121">
        <f>D84-D87</f>
        <v>12600</v>
      </c>
      <c r="E88" s="9"/>
      <c r="F88" s="38" t="s">
        <v>24</v>
      </c>
      <c r="G88" s="39"/>
      <c r="H88" s="9"/>
    </row>
    <row r="89" spans="1:8" x14ac:dyDescent="0.25">
      <c r="A89" s="122" t="s">
        <v>227</v>
      </c>
      <c r="B89" s="97"/>
      <c r="C89" s="97"/>
      <c r="D89" s="97"/>
      <c r="E89" s="9"/>
      <c r="F89" s="9"/>
      <c r="G89" s="9"/>
      <c r="H89" s="9"/>
    </row>
    <row r="90" spans="1:8" x14ac:dyDescent="0.25">
      <c r="A90" s="36" t="s">
        <v>172</v>
      </c>
      <c r="B90" s="9"/>
      <c r="C90" s="9"/>
      <c r="D90" s="9">
        <v>5000</v>
      </c>
      <c r="E90" s="91"/>
      <c r="F90" s="9"/>
      <c r="G90" s="9"/>
      <c r="H90" s="9"/>
    </row>
    <row r="91" spans="1:8" x14ac:dyDescent="0.25">
      <c r="A91" s="9" t="s">
        <v>224</v>
      </c>
      <c r="B91" s="9"/>
      <c r="C91" s="9"/>
      <c r="D91" s="9">
        <v>7600</v>
      </c>
      <c r="E91" s="91"/>
      <c r="F91" s="9"/>
      <c r="G91" s="9"/>
      <c r="H91" s="9"/>
    </row>
    <row r="92" spans="1:8" x14ac:dyDescent="0.25">
      <c r="A92" s="9" t="s">
        <v>225</v>
      </c>
      <c r="B92" s="9"/>
      <c r="C92" s="9"/>
      <c r="D92" s="9">
        <v>1600</v>
      </c>
      <c r="E92" s="9"/>
      <c r="F92" s="9"/>
      <c r="G92" s="9"/>
      <c r="H92" s="9"/>
    </row>
    <row r="93" spans="1:8" x14ac:dyDescent="0.25">
      <c r="A93" s="36" t="s">
        <v>154</v>
      </c>
      <c r="B93" s="9"/>
      <c r="C93" s="86"/>
      <c r="D93" s="87">
        <f>SUM(D90:D92)</f>
        <v>14200</v>
      </c>
      <c r="E93" s="9"/>
      <c r="F93" s="9"/>
      <c r="G93" s="9"/>
      <c r="H93" s="9"/>
    </row>
    <row r="94" spans="1:8" ht="16.5" x14ac:dyDescent="0.35">
      <c r="A94" s="92"/>
      <c r="B94" s="85"/>
      <c r="C94" s="9"/>
      <c r="D94" s="72"/>
      <c r="E94" s="9"/>
      <c r="F94" s="9"/>
      <c r="G94" s="9"/>
      <c r="H94" s="9"/>
    </row>
    <row r="95" spans="1:8" x14ac:dyDescent="0.25">
      <c r="A95" s="97" t="s">
        <v>26</v>
      </c>
      <c r="B95" s="98"/>
      <c r="C95" s="97"/>
      <c r="D95" s="72">
        <f>D88-D93</f>
        <v>-1600</v>
      </c>
      <c r="E95" s="9"/>
      <c r="F95" s="9"/>
      <c r="G95" s="9"/>
      <c r="H95" s="9"/>
    </row>
    <row r="96" spans="1:8" x14ac:dyDescent="0.25">
      <c r="A96" s="36" t="s">
        <v>26</v>
      </c>
      <c r="B96" s="9"/>
      <c r="C96" s="9"/>
      <c r="D96" s="9"/>
      <c r="E96" s="9"/>
      <c r="F96" s="9"/>
      <c r="G96" s="9"/>
      <c r="H96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5" t="s">
        <v>92</v>
      </c>
      <c r="B100" s="19"/>
      <c r="C100" s="19"/>
      <c r="D100" s="81" t="s">
        <v>4</v>
      </c>
      <c r="E100" s="81"/>
      <c r="F100" s="19"/>
      <c r="G100" s="9"/>
      <c r="H100" s="9"/>
    </row>
    <row r="101" spans="1:8" x14ac:dyDescent="0.25">
      <c r="A101" s="5"/>
      <c r="B101" s="19"/>
      <c r="C101" s="81" t="s">
        <v>87</v>
      </c>
      <c r="D101" s="81"/>
      <c r="E101" s="19"/>
      <c r="F101" s="19"/>
      <c r="G101" s="9"/>
      <c r="H101" s="9"/>
    </row>
    <row r="102" spans="1:8" x14ac:dyDescent="0.25">
      <c r="A102" s="24"/>
      <c r="B102" s="79"/>
      <c r="C102" s="82" t="s">
        <v>88</v>
      </c>
      <c r="D102" s="80"/>
      <c r="E102" s="80"/>
      <c r="F102" s="79"/>
      <c r="G102" s="9"/>
      <c r="H102" s="9"/>
    </row>
    <row r="103" spans="1:8" x14ac:dyDescent="0.25">
      <c r="A103" s="4"/>
      <c r="B103" s="5"/>
      <c r="C103" s="6" t="s">
        <v>5</v>
      </c>
      <c r="D103" s="6"/>
      <c r="E103" s="5"/>
      <c r="F103" s="4"/>
      <c r="G103" s="9"/>
      <c r="H103" s="9"/>
    </row>
    <row r="104" spans="1:8" ht="15.75" x14ac:dyDescent="0.25">
      <c r="A104" s="4"/>
      <c r="B104" s="52" t="s">
        <v>97</v>
      </c>
      <c r="C104" s="4"/>
      <c r="D104" s="4"/>
      <c r="E104" s="4"/>
      <c r="F104" s="5"/>
      <c r="G104" s="9"/>
      <c r="H104" s="9"/>
    </row>
    <row r="105" spans="1:8" x14ac:dyDescent="0.25">
      <c r="A105" s="9"/>
      <c r="B105" s="9"/>
      <c r="C105" s="95"/>
      <c r="D105" s="95"/>
      <c r="E105" s="96" t="s">
        <v>212</v>
      </c>
      <c r="F105" s="95"/>
      <c r="G105" s="95"/>
      <c r="H105" s="9"/>
    </row>
    <row r="106" spans="1:8" x14ac:dyDescent="0.25">
      <c r="A106" s="12" t="s">
        <v>0</v>
      </c>
      <c r="B106" s="12" t="s">
        <v>32</v>
      </c>
      <c r="C106" s="12" t="s">
        <v>52</v>
      </c>
      <c r="D106" s="22" t="s">
        <v>55</v>
      </c>
      <c r="E106" s="21" t="s">
        <v>1</v>
      </c>
      <c r="F106" s="22" t="s">
        <v>10</v>
      </c>
      <c r="G106" s="21" t="s">
        <v>3</v>
      </c>
      <c r="H106" s="13" t="s">
        <v>13</v>
      </c>
    </row>
    <row r="107" spans="1:8" x14ac:dyDescent="0.25">
      <c r="A107" s="43" t="s">
        <v>214</v>
      </c>
      <c r="B107" s="120">
        <v>1</v>
      </c>
      <c r="C107" s="116"/>
      <c r="D107" s="43"/>
      <c r="E107" s="47"/>
      <c r="F107" s="47"/>
      <c r="G107" s="47"/>
      <c r="H107" s="43"/>
    </row>
    <row r="108" spans="1:8" x14ac:dyDescent="0.25">
      <c r="A108" s="88"/>
      <c r="B108" s="120">
        <v>2</v>
      </c>
      <c r="C108" s="117"/>
      <c r="D108" s="2"/>
      <c r="E108" s="46"/>
      <c r="F108" s="46"/>
      <c r="G108" s="56"/>
      <c r="H108" s="44"/>
    </row>
    <row r="109" spans="1:8" x14ac:dyDescent="0.25">
      <c r="A109" s="88" t="s">
        <v>215</v>
      </c>
      <c r="B109" s="120">
        <v>3</v>
      </c>
      <c r="C109" s="117"/>
      <c r="D109" s="43"/>
      <c r="E109" s="46"/>
      <c r="F109" s="46"/>
      <c r="G109" s="53">
        <v>2500</v>
      </c>
      <c r="H109" s="44"/>
    </row>
    <row r="110" spans="1:8" x14ac:dyDescent="0.25">
      <c r="A110" s="88"/>
      <c r="B110" s="120">
        <v>4</v>
      </c>
      <c r="C110" s="117"/>
      <c r="D110" s="43"/>
      <c r="E110" s="46"/>
      <c r="F110" s="46"/>
      <c r="G110" s="53"/>
      <c r="H110" s="44"/>
    </row>
    <row r="111" spans="1:8" x14ac:dyDescent="0.25">
      <c r="A111" s="43" t="s">
        <v>216</v>
      </c>
      <c r="B111" s="120">
        <v>5</v>
      </c>
      <c r="C111" s="117"/>
      <c r="D111" s="44"/>
      <c r="E111" s="46">
        <v>1500</v>
      </c>
      <c r="F111" s="46"/>
      <c r="G111" s="46">
        <v>1500</v>
      </c>
      <c r="H111" s="44"/>
    </row>
    <row r="112" spans="1:8" x14ac:dyDescent="0.25">
      <c r="A112" s="43"/>
      <c r="B112" s="120">
        <v>6</v>
      </c>
      <c r="C112" s="117"/>
      <c r="D112" s="44"/>
      <c r="E112" s="46"/>
      <c r="F112" s="46"/>
      <c r="G112" s="46"/>
      <c r="H112" s="44"/>
    </row>
    <row r="113" spans="1:8" x14ac:dyDescent="0.25">
      <c r="A113" s="43" t="s">
        <v>217</v>
      </c>
      <c r="B113" s="120">
        <v>7</v>
      </c>
      <c r="C113" s="117"/>
      <c r="D113" s="44"/>
      <c r="E113" s="73" t="s">
        <v>163</v>
      </c>
      <c r="F113" s="46"/>
      <c r="G113" s="68"/>
      <c r="H113" s="44"/>
    </row>
    <row r="114" spans="1:8" x14ac:dyDescent="0.25">
      <c r="A114" s="47" t="s">
        <v>218</v>
      </c>
      <c r="B114" s="120">
        <v>8</v>
      </c>
      <c r="C114" s="118"/>
      <c r="D114" s="46"/>
      <c r="E114" s="46"/>
      <c r="F114" s="46"/>
      <c r="G114" s="46"/>
      <c r="H114" s="46"/>
    </row>
    <row r="115" spans="1:8" x14ac:dyDescent="0.25">
      <c r="A115" s="44" t="s">
        <v>219</v>
      </c>
      <c r="B115" s="120">
        <v>9</v>
      </c>
      <c r="C115" s="117"/>
      <c r="D115" s="44"/>
      <c r="E115" s="44">
        <v>2500</v>
      </c>
      <c r="F115" s="44"/>
      <c r="G115" s="44"/>
      <c r="H115" s="44"/>
    </row>
    <row r="116" spans="1:8" x14ac:dyDescent="0.25">
      <c r="A116" s="45"/>
      <c r="B116" s="120">
        <v>10</v>
      </c>
      <c r="C116" s="9"/>
      <c r="D116" s="44"/>
      <c r="E116" s="115"/>
      <c r="F116" s="44"/>
      <c r="G116" s="44"/>
      <c r="H116" s="44"/>
    </row>
    <row r="117" spans="1:8" x14ac:dyDescent="0.25">
      <c r="A117" s="44" t="s">
        <v>214</v>
      </c>
      <c r="B117" s="120">
        <v>11</v>
      </c>
      <c r="C117" s="119"/>
      <c r="D117" s="44"/>
      <c r="E117" s="105"/>
      <c r="F117" s="44"/>
      <c r="G117" s="44"/>
      <c r="H117" s="44"/>
    </row>
    <row r="118" spans="1:8" x14ac:dyDescent="0.25">
      <c r="A118" s="44" t="s">
        <v>220</v>
      </c>
      <c r="B118" s="120">
        <v>12</v>
      </c>
      <c r="C118" s="119"/>
      <c r="D118" s="44"/>
      <c r="E118" s="44">
        <v>2000</v>
      </c>
      <c r="F118" s="44"/>
      <c r="G118" s="44"/>
      <c r="H118" s="44"/>
    </row>
    <row r="119" spans="1:8" x14ac:dyDescent="0.25">
      <c r="A119" s="44" t="s">
        <v>221</v>
      </c>
      <c r="B119" s="120">
        <v>13</v>
      </c>
      <c r="C119" s="117"/>
      <c r="D119" s="44"/>
      <c r="E119" s="44">
        <v>2500</v>
      </c>
      <c r="F119" s="44"/>
      <c r="G119" s="44"/>
      <c r="H119" s="44"/>
    </row>
    <row r="120" spans="1:8" x14ac:dyDescent="0.25">
      <c r="A120" s="113" t="s">
        <v>2</v>
      </c>
      <c r="B120" s="120"/>
      <c r="C120" s="117"/>
      <c r="D120" s="44"/>
      <c r="E120" s="44"/>
      <c r="F120" s="44"/>
      <c r="G120" s="44"/>
      <c r="H120" s="44"/>
    </row>
    <row r="122" spans="1:8" x14ac:dyDescent="0.25">
      <c r="A122" t="s">
        <v>222</v>
      </c>
    </row>
    <row r="123" spans="1:8" x14ac:dyDescent="0.25">
      <c r="A123" s="44"/>
      <c r="B123" s="120">
        <v>1</v>
      </c>
      <c r="C123" s="44"/>
      <c r="D123" s="44"/>
      <c r="E123" s="44"/>
      <c r="F123" s="44"/>
      <c r="G123" s="44"/>
      <c r="H123" s="44"/>
    </row>
    <row r="124" spans="1:8" x14ac:dyDescent="0.25">
      <c r="A124" s="44"/>
      <c r="B124" s="120">
        <v>2</v>
      </c>
      <c r="C124" s="44"/>
      <c r="D124" s="44"/>
      <c r="E124" s="44"/>
      <c r="F124" s="44"/>
      <c r="G124" s="44"/>
      <c r="H124" s="44"/>
    </row>
    <row r="125" spans="1:8" x14ac:dyDescent="0.25">
      <c r="A125" s="44"/>
      <c r="B125" s="120">
        <v>3</v>
      </c>
      <c r="C125" s="44"/>
      <c r="D125" s="44"/>
      <c r="E125" s="44"/>
      <c r="F125" s="44"/>
      <c r="G125" s="44"/>
      <c r="H125" s="44"/>
    </row>
    <row r="126" spans="1:8" x14ac:dyDescent="0.25">
      <c r="A126" s="44"/>
      <c r="B126" s="120">
        <v>4</v>
      </c>
      <c r="C126" s="44"/>
      <c r="D126" s="44"/>
      <c r="E126" s="44"/>
      <c r="F126" s="44"/>
      <c r="G126" s="44"/>
      <c r="H126" s="44"/>
    </row>
    <row r="127" spans="1:8" x14ac:dyDescent="0.25">
      <c r="A127" s="44" t="s">
        <v>223</v>
      </c>
      <c r="B127" s="120">
        <v>5</v>
      </c>
      <c r="C127" s="44"/>
      <c r="D127" s="44"/>
      <c r="E127" s="44">
        <v>1200</v>
      </c>
      <c r="F127" s="44"/>
      <c r="G127" s="44"/>
      <c r="H127" s="44"/>
    </row>
    <row r="128" spans="1:8" x14ac:dyDescent="0.25">
      <c r="A128" s="44"/>
      <c r="B128" s="44"/>
      <c r="C128" s="44"/>
      <c r="D128" s="44"/>
      <c r="E128" s="44"/>
      <c r="F128" s="44"/>
      <c r="G128" s="44"/>
      <c r="H128" s="44"/>
    </row>
    <row r="129" spans="1:10" x14ac:dyDescent="0.25">
      <c r="A129" s="44"/>
      <c r="B129" s="44"/>
      <c r="C129" s="44"/>
      <c r="D129" s="44"/>
      <c r="E129" s="105">
        <f>SUM(E107:E128)</f>
        <v>9700</v>
      </c>
      <c r="F129" s="44"/>
      <c r="G129" s="44"/>
      <c r="H129" s="44"/>
    </row>
    <row r="130" spans="1:10" x14ac:dyDescent="0.25">
      <c r="A130" s="100" t="s">
        <v>60</v>
      </c>
      <c r="B130" s="101"/>
      <c r="C130" s="97"/>
      <c r="D130" s="102">
        <f>E129</f>
        <v>9700</v>
      </c>
      <c r="E130" s="18" t="s">
        <v>109</v>
      </c>
      <c r="F130" s="19"/>
      <c r="G130" s="18" t="s">
        <v>93</v>
      </c>
      <c r="H130" s="9"/>
    </row>
    <row r="131" spans="1:10" x14ac:dyDescent="0.25">
      <c r="A131" s="103" t="s">
        <v>206</v>
      </c>
      <c r="B131" s="101"/>
      <c r="C131" s="97"/>
      <c r="D131" s="104">
        <f>D130</f>
        <v>9700</v>
      </c>
      <c r="E131" s="38" t="s">
        <v>24</v>
      </c>
      <c r="F131" s="39"/>
      <c r="G131" s="9" t="s">
        <v>94</v>
      </c>
      <c r="H131" s="9"/>
    </row>
    <row r="132" spans="1:10" x14ac:dyDescent="0.25">
      <c r="A132" s="103"/>
      <c r="B132" s="101"/>
      <c r="C132" s="97"/>
      <c r="D132" s="104"/>
      <c r="E132" s="38"/>
      <c r="F132" s="39"/>
      <c r="G132" s="9"/>
      <c r="H132" s="9"/>
    </row>
    <row r="133" spans="1:10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J133">
        <v>24000</v>
      </c>
    </row>
    <row r="134" spans="1:10" x14ac:dyDescent="0.25">
      <c r="A134" s="36" t="s">
        <v>22</v>
      </c>
      <c r="B134" s="17"/>
      <c r="C134" s="9"/>
      <c r="D134" s="34">
        <f>SUM(D130*10%)</f>
        <v>970</v>
      </c>
      <c r="E134" s="38" t="s">
        <v>81</v>
      </c>
      <c r="F134" s="35">
        <f>D130-D134</f>
        <v>8730</v>
      </c>
      <c r="G134" s="9"/>
      <c r="H134" s="9"/>
      <c r="J134">
        <v>3700</v>
      </c>
    </row>
    <row r="135" spans="1:10" x14ac:dyDescent="0.25">
      <c r="A135" s="36" t="s">
        <v>180</v>
      </c>
      <c r="B135" s="17"/>
      <c r="C135" s="9"/>
      <c r="D135" s="34">
        <v>5000</v>
      </c>
      <c r="E135" s="38"/>
      <c r="F135" s="38"/>
      <c r="G135" s="9"/>
      <c r="H135" s="9"/>
      <c r="J135">
        <v>8000</v>
      </c>
    </row>
    <row r="136" spans="1:10" x14ac:dyDescent="0.25">
      <c r="A136" s="36" t="s">
        <v>154</v>
      </c>
      <c r="B136" s="9"/>
      <c r="C136" s="86"/>
      <c r="D136" s="87">
        <f>SUM(D134:D135)</f>
        <v>5970</v>
      </c>
      <c r="E136" s="38" t="s">
        <v>24</v>
      </c>
      <c r="F136" s="39"/>
      <c r="G136" s="9"/>
      <c r="H136" s="9"/>
      <c r="J136">
        <f>SUM(J133:J135)</f>
        <v>35700</v>
      </c>
    </row>
    <row r="137" spans="1:10" x14ac:dyDescent="0.25">
      <c r="A137" s="9"/>
      <c r="B137" s="9"/>
      <c r="C137" s="9"/>
      <c r="D137" s="72"/>
      <c r="E137" s="9"/>
      <c r="F137" s="9"/>
      <c r="G137" s="9"/>
      <c r="H137" s="9"/>
    </row>
    <row r="138" spans="1:10" x14ac:dyDescent="0.25">
      <c r="A138" s="36" t="s">
        <v>26</v>
      </c>
      <c r="B138" s="9"/>
      <c r="C138" s="9"/>
      <c r="D138" s="72">
        <f>D131-D136</f>
        <v>3730</v>
      </c>
      <c r="E138" s="91"/>
      <c r="F138" s="9"/>
      <c r="G138" s="9"/>
      <c r="H138" s="9"/>
    </row>
    <row r="139" spans="1:10" x14ac:dyDescent="0.25">
      <c r="A139" s="9"/>
      <c r="B139" s="9"/>
      <c r="C139" s="9"/>
      <c r="D139" s="9"/>
      <c r="E139" s="91"/>
      <c r="F139" s="9"/>
      <c r="G139" s="9"/>
      <c r="H139" s="9"/>
    </row>
    <row r="140" spans="1:10" ht="16.5" x14ac:dyDescent="0.35">
      <c r="A140" s="92"/>
      <c r="B140" s="85"/>
      <c r="C140" s="9"/>
      <c r="D140" s="72"/>
      <c r="E140" s="9" t="s">
        <v>163</v>
      </c>
      <c r="F140" s="9"/>
      <c r="G140" s="9"/>
      <c r="H14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99" workbookViewId="0">
      <selection activeCell="C133" sqref="C133"/>
    </sheetView>
  </sheetViews>
  <sheetFormatPr defaultRowHeight="15" x14ac:dyDescent="0.25"/>
  <cols>
    <col min="1" max="1" width="15" customWidth="1"/>
    <col min="3" max="3" width="14.7109375" customWidth="1"/>
    <col min="4" max="4" width="11.85546875" customWidth="1"/>
    <col min="5" max="5" width="10.28515625" customWidth="1"/>
    <col min="6" max="6" width="11" customWidth="1"/>
    <col min="7" max="7" width="14" customWidth="1"/>
    <col min="8" max="8" width="11.42578125" customWidth="1"/>
    <col min="9" max="9" width="10.5703125" bestFit="1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234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229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0</v>
      </c>
      <c r="F51" s="46">
        <f t="shared" si="2"/>
        <v>0</v>
      </c>
      <c r="G51" s="63">
        <v>2500</v>
      </c>
      <c r="H51" s="105">
        <f t="shared" si="3"/>
        <v>-2500</v>
      </c>
      <c r="I51" s="9"/>
    </row>
    <row r="52" spans="1:9" x14ac:dyDescent="0.25">
      <c r="A52" s="44"/>
      <c r="B52" s="44"/>
      <c r="C52" s="44"/>
      <c r="D52" s="44"/>
      <c r="E52" s="105">
        <f>SUM(E42:E51)</f>
        <v>19000</v>
      </c>
      <c r="F52" s="105">
        <f>SUM(F43:F51)</f>
        <v>19000</v>
      </c>
      <c r="G52" s="105">
        <f>SUM(G42:G51)</f>
        <v>19500</v>
      </c>
      <c r="H52" s="105">
        <f t="shared" si="3"/>
        <v>-500</v>
      </c>
      <c r="I52" s="9"/>
    </row>
    <row r="53" spans="1:9" x14ac:dyDescent="0.25">
      <c r="A53" s="100" t="s">
        <v>60</v>
      </c>
      <c r="B53" s="101"/>
      <c r="C53" s="97"/>
      <c r="D53" s="102">
        <f>E52</f>
        <v>19000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19000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1900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t="s">
        <v>231</v>
      </c>
      <c r="D59">
        <v>1000</v>
      </c>
      <c r="G59" s="9"/>
      <c r="H59" s="9"/>
      <c r="I59" s="9"/>
    </row>
    <row r="60" spans="1:9" x14ac:dyDescent="0.25">
      <c r="D60" s="72">
        <f>SUM(D57:D59)</f>
        <v>7900</v>
      </c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 ca="1">SUM(D57:F6490)</f>
        <v>11669497010238.242</v>
      </c>
      <c r="E61" s="38" t="s">
        <v>24</v>
      </c>
      <c r="F61" s="3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D55-D60</f>
        <v>11100</v>
      </c>
      <c r="E63" s="91"/>
      <c r="F63" s="9"/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s="9" customFormat="1" x14ac:dyDescent="0.25">
      <c r="A89" s="9" t="s">
        <v>233</v>
      </c>
      <c r="D89" s="72">
        <v>7600</v>
      </c>
      <c r="F89" s="38"/>
      <c r="G89" s="3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E91" s="91"/>
      <c r="F91" s="9"/>
      <c r="G91" s="9"/>
      <c r="H91" s="9"/>
      <c r="I91" s="9"/>
    </row>
    <row r="92" spans="1:9" x14ac:dyDescent="0.25"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/>
      <c r="E108" s="47">
        <v>4500</v>
      </c>
      <c r="F108" s="47"/>
      <c r="G108" s="47"/>
      <c r="H108" s="43"/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6"/>
      <c r="G109" s="56"/>
      <c r="H109" s="44"/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6"/>
      <c r="G110" s="53">
        <v>2500</v>
      </c>
      <c r="H110" s="44"/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6"/>
      <c r="G111" s="53"/>
      <c r="H111" s="44"/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6"/>
      <c r="G112" s="46">
        <v>1500</v>
      </c>
      <c r="H112" s="44"/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6"/>
      <c r="G113" s="46"/>
      <c r="H113" s="44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6"/>
      <c r="G114" s="68"/>
      <c r="H114" s="44"/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6"/>
      <c r="G115" s="46"/>
      <c r="H115" s="46"/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4"/>
      <c r="G116" s="44"/>
      <c r="H116" s="44"/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4"/>
      <c r="G117" s="44"/>
      <c r="H117" s="44"/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4"/>
      <c r="G118" s="44"/>
      <c r="H118" s="44"/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4"/>
      <c r="G119" s="44"/>
      <c r="H119" s="44"/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4"/>
      <c r="G120" s="44"/>
      <c r="H120" s="44"/>
      <c r="I120" s="9"/>
    </row>
    <row r="121" spans="1:9" s="9" customFormat="1" x14ac:dyDescent="0.25">
      <c r="A121" s="44" t="s">
        <v>21</v>
      </c>
      <c r="B121" s="120">
        <v>14</v>
      </c>
      <c r="C121" s="117"/>
      <c r="D121" s="44"/>
      <c r="E121" s="44"/>
      <c r="F121" s="44"/>
      <c r="G121" s="44"/>
      <c r="H121" s="44"/>
    </row>
    <row r="122" spans="1:9" s="9" customFormat="1" x14ac:dyDescent="0.25">
      <c r="A122" s="44" t="s">
        <v>220</v>
      </c>
      <c r="B122" s="120">
        <v>15</v>
      </c>
      <c r="C122" s="117"/>
      <c r="D122" s="44"/>
      <c r="E122" s="44">
        <v>2500</v>
      </c>
      <c r="F122" s="44"/>
      <c r="G122" s="44"/>
      <c r="H122" s="44"/>
    </row>
    <row r="123" spans="1:9" s="9" customFormat="1" x14ac:dyDescent="0.25">
      <c r="A123" s="125" t="s">
        <v>251</v>
      </c>
      <c r="E123" s="125">
        <v>2500</v>
      </c>
      <c r="F123" s="44"/>
      <c r="G123" s="44"/>
      <c r="H123" s="44"/>
    </row>
    <row r="124" spans="1:9" s="9" customFormat="1" x14ac:dyDescent="0.25">
      <c r="A124" s="44"/>
      <c r="B124" s="120"/>
      <c r="C124" s="117"/>
      <c r="D124" s="44"/>
      <c r="E124" s="44"/>
      <c r="F124" s="44"/>
      <c r="G124" s="44"/>
      <c r="H124" s="44"/>
    </row>
    <row r="125" spans="1:9" s="9" customFormat="1" ht="28.5" x14ac:dyDescent="0.45">
      <c r="A125" s="123" t="s">
        <v>249</v>
      </c>
      <c r="B125" s="120"/>
      <c r="C125" s="117"/>
      <c r="D125" s="44"/>
      <c r="E125" s="44"/>
      <c r="F125" s="44"/>
      <c r="G125" s="44"/>
      <c r="H125" s="44"/>
    </row>
    <row r="126" spans="1:9" s="9" customFormat="1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4"/>
      <c r="G126" s="44"/>
      <c r="H126" s="44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4"/>
      <c r="G127" s="44"/>
      <c r="H127" s="44"/>
      <c r="I127" s="9"/>
    </row>
    <row r="128" spans="1:9" x14ac:dyDescent="0.25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4"/>
      <c r="G129" s="44"/>
      <c r="H129" s="44"/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30000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34640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11760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x14ac:dyDescent="0.25">
      <c r="A140" s="36" t="s">
        <v>257</v>
      </c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274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274</v>
      </c>
      <c r="H143" s="44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</row>
    <row r="145" spans="1:8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</row>
    <row r="146" spans="1:8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</row>
    <row r="147" spans="1:8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</row>
    <row r="148" spans="1:8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</row>
    <row r="149" spans="1:8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</row>
    <row r="150" spans="1:8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</row>
    <row r="151" spans="1:8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</row>
    <row r="152" spans="1:8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</row>
    <row r="153" spans="1:8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</row>
    <row r="154" spans="1:8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</row>
    <row r="155" spans="1:8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</row>
    <row r="156" spans="1:8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</row>
    <row r="157" spans="1:8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</row>
    <row r="158" spans="1:8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</row>
    <row r="159" spans="1:8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</row>
    <row r="160" spans="1:8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</row>
    <row r="161" spans="1:8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</row>
    <row r="162" spans="1:8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</row>
    <row r="163" spans="1:8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</row>
    <row r="164" spans="1:8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</row>
    <row r="165" spans="1:8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</row>
    <row r="166" spans="1:8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</row>
    <row r="167" spans="1:8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</row>
    <row r="168" spans="1:8" x14ac:dyDescent="0.25">
      <c r="A168" s="44"/>
      <c r="B168" s="120"/>
      <c r="C168" s="44"/>
      <c r="D168" s="44"/>
      <c r="E168" s="44"/>
      <c r="F168" s="44"/>
      <c r="G168" s="44"/>
      <c r="H168" s="44"/>
    </row>
    <row r="169" spans="1:8" x14ac:dyDescent="0.25">
      <c r="A169" s="44"/>
      <c r="B169" s="120"/>
      <c r="C169" s="44"/>
      <c r="D169" s="44"/>
      <c r="E169" s="44"/>
      <c r="F169" s="44"/>
      <c r="G169" s="44"/>
      <c r="H169" s="44"/>
    </row>
    <row r="172" spans="1:8" x14ac:dyDescent="0.25">
      <c r="A172" s="100" t="s">
        <v>60</v>
      </c>
      <c r="B172" s="101"/>
      <c r="C172" s="97"/>
      <c r="D172" s="102">
        <f>E167</f>
        <v>46500</v>
      </c>
    </row>
    <row r="173" spans="1:8" x14ac:dyDescent="0.25">
      <c r="B173" s="101"/>
      <c r="C173" s="128">
        <v>0.1</v>
      </c>
      <c r="D173" s="104"/>
    </row>
    <row r="174" spans="1:8" x14ac:dyDescent="0.25">
      <c r="A174" s="103"/>
      <c r="B174" s="101"/>
      <c r="C174" s="97"/>
    </row>
    <row r="175" spans="1:8" x14ac:dyDescent="0.25">
      <c r="A175" s="67" t="s">
        <v>58</v>
      </c>
      <c r="B175" s="9"/>
      <c r="C175" s="9"/>
      <c r="D175" s="9"/>
    </row>
    <row r="177" spans="1:8" x14ac:dyDescent="0.25">
      <c r="A177" s="103" t="s">
        <v>196</v>
      </c>
      <c r="D177" s="104">
        <f>D172*C173</f>
        <v>4650</v>
      </c>
    </row>
    <row r="178" spans="1:8" x14ac:dyDescent="0.25">
      <c r="A178" s="36" t="s">
        <v>275</v>
      </c>
      <c r="B178" s="17"/>
      <c r="C178" s="9"/>
      <c r="D178" s="34">
        <f>E142+E143+E155+E166</f>
        <v>11500</v>
      </c>
    </row>
    <row r="179" spans="1:8" x14ac:dyDescent="0.25">
      <c r="A179" s="36" t="s">
        <v>252</v>
      </c>
      <c r="B179" s="17"/>
      <c r="C179" s="9"/>
      <c r="D179" s="34">
        <v>30000</v>
      </c>
    </row>
    <row r="180" spans="1:8" x14ac:dyDescent="0.25">
      <c r="A180" s="36" t="s">
        <v>154</v>
      </c>
      <c r="B180" s="9"/>
      <c r="C180" s="86"/>
      <c r="D180" s="87">
        <f>SUM(D177:D179)</f>
        <v>46150</v>
      </c>
    </row>
    <row r="181" spans="1:8" x14ac:dyDescent="0.25">
      <c r="A181" s="9"/>
      <c r="B181" s="9"/>
      <c r="C181" s="9"/>
      <c r="D181" s="72">
        <f>D180</f>
        <v>46150</v>
      </c>
      <c r="H181" t="s">
        <v>276</v>
      </c>
    </row>
    <row r="182" spans="1:8" x14ac:dyDescent="0.25">
      <c r="A182" s="36" t="s">
        <v>26</v>
      </c>
      <c r="D182" s="72">
        <f>D172-D181</f>
        <v>350</v>
      </c>
    </row>
    <row r="183" spans="1:8" x14ac:dyDescent="0.25">
      <c r="A183" s="24"/>
      <c r="B183" s="79"/>
      <c r="C183" s="82" t="s">
        <v>88</v>
      </c>
      <c r="D183" s="80"/>
      <c r="E183" s="80"/>
      <c r="F183" s="79"/>
      <c r="G183" s="9"/>
      <c r="H183" s="9"/>
    </row>
    <row r="184" spans="1:8" x14ac:dyDescent="0.25">
      <c r="A184" s="4"/>
      <c r="B184" s="5"/>
      <c r="C184" s="6" t="s">
        <v>5</v>
      </c>
      <c r="D184" s="6"/>
      <c r="E184" s="5"/>
      <c r="F184" s="4"/>
      <c r="G184" s="9"/>
      <c r="H184" s="9"/>
    </row>
    <row r="185" spans="1:8" ht="15.75" x14ac:dyDescent="0.25">
      <c r="A185" s="4"/>
      <c r="B185" s="52"/>
      <c r="C185" s="4"/>
      <c r="D185" s="4"/>
      <c r="E185" s="4"/>
      <c r="F185" s="5"/>
      <c r="G185" s="9"/>
      <c r="H185" s="9"/>
    </row>
    <row r="186" spans="1:8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</row>
    <row r="187" spans="1:8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</row>
    <row r="188" spans="1:8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H188" s="43"/>
    </row>
    <row r="189" spans="1:8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</row>
    <row r="190" spans="1:8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</row>
    <row r="191" spans="1:8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</row>
    <row r="192" spans="1:8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</row>
    <row r="193" spans="1:8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</row>
    <row r="194" spans="1:8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</row>
    <row r="195" spans="1:8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</row>
    <row r="196" spans="1:8" x14ac:dyDescent="0.25">
      <c r="A196" s="44"/>
      <c r="B196" s="120"/>
      <c r="C196" s="117"/>
      <c r="D196" s="44"/>
      <c r="E196" s="44"/>
      <c r="F196" s="44"/>
      <c r="G196" s="44"/>
      <c r="H196" s="44"/>
    </row>
    <row r="197" spans="1:8" x14ac:dyDescent="0.25">
      <c r="A197" s="45"/>
      <c r="B197" s="120"/>
      <c r="C197" s="9"/>
      <c r="D197" s="44"/>
      <c r="E197" s="115"/>
      <c r="F197" s="44"/>
      <c r="G197" s="44"/>
      <c r="H197" s="4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opLeftCell="A79" workbookViewId="0">
      <selection activeCell="C31" sqref="C31"/>
    </sheetView>
  </sheetViews>
  <sheetFormatPr defaultRowHeight="15" x14ac:dyDescent="0.25"/>
  <cols>
    <col min="1" max="1" width="18.140625" customWidth="1"/>
    <col min="3" max="3" width="11.42578125" customWidth="1"/>
    <col min="4" max="4" width="11.140625" customWidth="1"/>
    <col min="5" max="5" width="10.5703125" customWidth="1"/>
    <col min="6" max="6" width="10.85546875" customWidth="1"/>
    <col min="7" max="7" width="11.28515625" customWidth="1"/>
    <col min="8" max="8" width="12.140625" customWidth="1"/>
    <col min="9" max="9" width="11.5703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298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300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  <c r="I51" s="9"/>
    </row>
    <row r="52" spans="1:9" x14ac:dyDescent="0.25">
      <c r="A52" s="44"/>
      <c r="B52" s="44"/>
      <c r="C52" s="44"/>
      <c r="D52" s="44"/>
      <c r="E52" s="105">
        <f>SUM(E42:E51)</f>
        <v>21500</v>
      </c>
      <c r="F52" s="105">
        <f>SUM(F43:F51)</f>
        <v>21500</v>
      </c>
      <c r="G52" s="105">
        <f>SUM(G42:G51)</f>
        <v>19500</v>
      </c>
      <c r="H52" s="105">
        <f t="shared" si="3"/>
        <v>2000</v>
      </c>
      <c r="I52" s="9"/>
    </row>
    <row r="53" spans="1:9" x14ac:dyDescent="0.25">
      <c r="A53" s="100" t="s">
        <v>60</v>
      </c>
      <c r="B53" s="101"/>
      <c r="C53" s="97"/>
      <c r="D53" s="102">
        <f>E52</f>
        <v>21500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21500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2150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s="9" t="s">
        <v>231</v>
      </c>
      <c r="B59" s="9"/>
      <c r="C59" s="9"/>
      <c r="D59" s="9">
        <v>1000</v>
      </c>
      <c r="E59" s="9"/>
      <c r="F59" s="9"/>
      <c r="G59" s="9"/>
      <c r="H59" s="9"/>
      <c r="I59" s="9"/>
    </row>
    <row r="60" spans="1:9" x14ac:dyDescent="0.25">
      <c r="A60" s="9" t="s">
        <v>299</v>
      </c>
      <c r="B60" s="9"/>
      <c r="C60" s="9"/>
      <c r="D60" s="72">
        <v>13900</v>
      </c>
      <c r="E60" s="9"/>
      <c r="F60" s="9"/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>SUM(D57:D60)</f>
        <v>22050</v>
      </c>
      <c r="E61" s="38" t="s">
        <v>24</v>
      </c>
      <c r="F61" s="130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D55-D61</f>
        <v>-550</v>
      </c>
      <c r="E63" s="91"/>
      <c r="F63" s="72">
        <f>D58+D59+D60</f>
        <v>19900</v>
      </c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x14ac:dyDescent="0.25">
      <c r="A89" s="9" t="s">
        <v>233</v>
      </c>
      <c r="B89" s="9"/>
      <c r="C89" s="9"/>
      <c r="D89" s="72">
        <v>7600</v>
      </c>
      <c r="E89" s="9"/>
      <c r="F89" s="38"/>
      <c r="G89" s="39"/>
      <c r="H89" s="9"/>
      <c r="I89" s="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1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A96" s="9"/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A97" s="9"/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>
        <v>4500</v>
      </c>
      <c r="E108" s="47">
        <v>4500</v>
      </c>
      <c r="F108" s="47">
        <f>D108+E108</f>
        <v>9000</v>
      </c>
      <c r="G108" s="47">
        <v>4500</v>
      </c>
      <c r="H108" s="129">
        <f>F108-G108</f>
        <v>4500</v>
      </c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7">
        <f t="shared" ref="F109:F129" si="4">D109+E109</f>
        <v>4500</v>
      </c>
      <c r="G109" s="56">
        <v>4500</v>
      </c>
      <c r="H109" s="129">
        <f t="shared" ref="H109:H128" si="5">F109-G109</f>
        <v>0</v>
      </c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7">
        <f t="shared" si="4"/>
        <v>4500</v>
      </c>
      <c r="G110" s="53">
        <v>4500</v>
      </c>
      <c r="H110" s="129">
        <f t="shared" si="5"/>
        <v>0</v>
      </c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7">
        <f t="shared" si="4"/>
        <v>2500</v>
      </c>
      <c r="G111" s="53">
        <v>2500</v>
      </c>
      <c r="H111" s="129">
        <f t="shared" si="5"/>
        <v>0</v>
      </c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7">
        <f t="shared" si="4"/>
        <v>2500</v>
      </c>
      <c r="G112" s="46">
        <v>1500</v>
      </c>
      <c r="H112" s="129">
        <f t="shared" si="5"/>
        <v>1000</v>
      </c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7">
        <f t="shared" si="4"/>
        <v>2500</v>
      </c>
      <c r="G113" s="46">
        <v>2500</v>
      </c>
      <c r="H113" s="129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7">
        <f t="shared" si="4"/>
        <v>2500</v>
      </c>
      <c r="G114" s="68"/>
      <c r="H114" s="129">
        <f t="shared" si="5"/>
        <v>2500</v>
      </c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7">
        <f t="shared" si="4"/>
        <v>2500</v>
      </c>
      <c r="G115" s="46">
        <v>2500</v>
      </c>
      <c r="H115" s="129">
        <f t="shared" si="5"/>
        <v>0</v>
      </c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7">
        <f t="shared" si="4"/>
        <v>0</v>
      </c>
      <c r="G116" s="44"/>
      <c r="H116" s="129">
        <f t="shared" si="5"/>
        <v>0</v>
      </c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7">
        <f t="shared" si="4"/>
        <v>2500</v>
      </c>
      <c r="G117" s="44">
        <v>2500</v>
      </c>
      <c r="H117" s="129">
        <f t="shared" si="5"/>
        <v>0</v>
      </c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7">
        <f t="shared" si="4"/>
        <v>2500</v>
      </c>
      <c r="G118" s="44">
        <v>2500</v>
      </c>
      <c r="H118" s="129">
        <f t="shared" si="5"/>
        <v>0</v>
      </c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7">
        <f t="shared" si="4"/>
        <v>2700</v>
      </c>
      <c r="G119" s="44">
        <v>2700</v>
      </c>
      <c r="H119" s="129">
        <f t="shared" si="5"/>
        <v>0</v>
      </c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7">
        <f t="shared" si="4"/>
        <v>4500</v>
      </c>
      <c r="G120" s="44">
        <v>4500</v>
      </c>
      <c r="H120" s="129">
        <f t="shared" si="5"/>
        <v>0</v>
      </c>
      <c r="I120" s="9"/>
    </row>
    <row r="121" spans="1:9" x14ac:dyDescent="0.25">
      <c r="A121" s="44" t="s">
        <v>21</v>
      </c>
      <c r="B121" s="120">
        <v>14</v>
      </c>
      <c r="C121" s="117"/>
      <c r="D121" s="44"/>
      <c r="E121" s="44"/>
      <c r="F121" s="47">
        <f t="shared" si="4"/>
        <v>0</v>
      </c>
      <c r="G121" s="44"/>
      <c r="H121" s="129">
        <f t="shared" si="5"/>
        <v>0</v>
      </c>
      <c r="I121" s="9"/>
    </row>
    <row r="122" spans="1:9" x14ac:dyDescent="0.25">
      <c r="A122" s="44" t="s">
        <v>220</v>
      </c>
      <c r="B122" s="120">
        <v>15</v>
      </c>
      <c r="C122" s="117"/>
      <c r="D122" s="44"/>
      <c r="E122" s="44">
        <v>2500</v>
      </c>
      <c r="F122" s="47">
        <f t="shared" si="4"/>
        <v>2500</v>
      </c>
      <c r="G122" s="44">
        <v>2500</v>
      </c>
      <c r="H122" s="129">
        <f t="shared" si="5"/>
        <v>0</v>
      </c>
      <c r="I122" s="9"/>
    </row>
    <row r="123" spans="1:9" x14ac:dyDescent="0.25">
      <c r="A123" s="125" t="s">
        <v>251</v>
      </c>
      <c r="B123" s="9"/>
      <c r="C123" s="9"/>
      <c r="D123" s="9"/>
      <c r="E123" s="125">
        <v>2500</v>
      </c>
      <c r="F123" s="47">
        <f t="shared" si="4"/>
        <v>2500</v>
      </c>
      <c r="G123" s="44"/>
      <c r="H123" s="129">
        <f t="shared" si="5"/>
        <v>2500</v>
      </c>
      <c r="I123" s="9"/>
    </row>
    <row r="124" spans="1:9" x14ac:dyDescent="0.25">
      <c r="A124" s="44"/>
      <c r="B124" s="120"/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ht="28.5" x14ac:dyDescent="0.45">
      <c r="A125" s="123" t="s">
        <v>249</v>
      </c>
      <c r="B125" s="120"/>
      <c r="C125" s="117"/>
      <c r="D125" s="44"/>
      <c r="E125" s="44"/>
      <c r="F125" s="47">
        <f t="shared" si="4"/>
        <v>0</v>
      </c>
      <c r="G125" s="44"/>
      <c r="H125" s="129">
        <f t="shared" si="5"/>
        <v>0</v>
      </c>
      <c r="I125" s="9"/>
    </row>
    <row r="126" spans="1:9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7">
        <f t="shared" si="4"/>
        <v>1600</v>
      </c>
      <c r="G126" s="44">
        <v>1600</v>
      </c>
      <c r="H126" s="129">
        <f t="shared" si="5"/>
        <v>0</v>
      </c>
      <c r="I126" s="9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7">
        <f t="shared" si="4"/>
        <v>1600</v>
      </c>
      <c r="G127" s="44">
        <v>1600</v>
      </c>
      <c r="H127" s="129">
        <f t="shared" si="5"/>
        <v>0</v>
      </c>
      <c r="I127" s="9"/>
    </row>
    <row r="128" spans="1:9" x14ac:dyDescent="0.25">
      <c r="A128" s="9"/>
      <c r="B128" s="9"/>
      <c r="C128" s="9"/>
      <c r="D128" s="9"/>
      <c r="E128" s="9"/>
      <c r="F128" s="47">
        <f t="shared" si="4"/>
        <v>0</v>
      </c>
      <c r="G128" s="9"/>
      <c r="H128" s="129">
        <f t="shared" si="5"/>
        <v>0</v>
      </c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7">
        <f t="shared" si="4"/>
        <v>46400</v>
      </c>
      <c r="G129" s="44"/>
      <c r="H129" s="129">
        <f>SUM(H108:H128)</f>
        <v>10500</v>
      </c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41760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46400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ht="28.5" x14ac:dyDescent="0.45">
      <c r="A140" s="615" t="s">
        <v>301</v>
      </c>
      <c r="B140" s="615"/>
      <c r="C140" s="615"/>
      <c r="D140" s="615"/>
      <c r="E140" s="615"/>
      <c r="F140" s="615"/>
      <c r="G140" s="615"/>
      <c r="H140" s="615"/>
      <c r="I140" s="9"/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  <c r="I141" s="9"/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107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107</v>
      </c>
      <c r="H143" s="44"/>
      <c r="I143" s="9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  <c r="I144" s="9"/>
    </row>
    <row r="145" spans="1:9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  <c r="I145" s="9"/>
    </row>
    <row r="146" spans="1:9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  <c r="I146" s="9"/>
    </row>
    <row r="147" spans="1:9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  <c r="I147" s="9"/>
    </row>
    <row r="148" spans="1:9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  <c r="I148" s="9"/>
    </row>
    <row r="149" spans="1:9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  <c r="I149" s="9"/>
    </row>
    <row r="150" spans="1:9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  <c r="I150" s="9"/>
    </row>
    <row r="151" spans="1:9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  <c r="I151" s="9"/>
    </row>
    <row r="152" spans="1:9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  <c r="I152" s="9"/>
    </row>
    <row r="153" spans="1:9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  <c r="I153" s="9"/>
    </row>
    <row r="154" spans="1:9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  <c r="I154" s="9"/>
    </row>
    <row r="155" spans="1:9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  <c r="I155" s="9"/>
    </row>
    <row r="156" spans="1:9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  <c r="I157" s="9"/>
    </row>
    <row r="158" spans="1:9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  <c r="I158" s="9"/>
    </row>
    <row r="159" spans="1:9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  <c r="I159" s="9"/>
    </row>
    <row r="160" spans="1:9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  <c r="I161" s="9"/>
    </row>
    <row r="162" spans="1:9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  <c r="I162" s="9"/>
    </row>
    <row r="163" spans="1:9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  <c r="I163" s="9"/>
    </row>
    <row r="164" spans="1:9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  <c r="I164" s="9"/>
    </row>
    <row r="165" spans="1:9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  <c r="I165" s="9"/>
    </row>
    <row r="166" spans="1:9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  <c r="I166" s="9"/>
    </row>
    <row r="167" spans="1:9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  <c r="I167" s="9"/>
    </row>
    <row r="168" spans="1:9" x14ac:dyDescent="0.25">
      <c r="A168" s="44"/>
      <c r="B168" s="120"/>
      <c r="C168" s="44"/>
      <c r="D168" s="44"/>
      <c r="E168" s="44"/>
      <c r="F168" s="44"/>
      <c r="G168" s="44"/>
      <c r="H168" s="44"/>
      <c r="I168" s="9"/>
    </row>
    <row r="169" spans="1:9" x14ac:dyDescent="0.25">
      <c r="A169" s="44"/>
      <c r="B169" s="120"/>
      <c r="C169" s="44"/>
      <c r="D169" s="44"/>
      <c r="E169" s="44"/>
      <c r="F169" s="44"/>
      <c r="G169" s="44"/>
      <c r="H169" s="44"/>
      <c r="I169" s="9"/>
    </row>
    <row r="170" spans="1:9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5">
      <c r="A172" s="100" t="s">
        <v>60</v>
      </c>
      <c r="B172" s="101"/>
      <c r="C172" s="97"/>
      <c r="D172" s="102">
        <f>E167</f>
        <v>46500</v>
      </c>
      <c r="E172" s="9">
        <v>8000</v>
      </c>
      <c r="F172" s="72">
        <f>D172+E172</f>
        <v>54500</v>
      </c>
      <c r="G172" s="9"/>
      <c r="H172" s="9"/>
      <c r="I172" s="9"/>
    </row>
    <row r="173" spans="1:9" x14ac:dyDescent="0.25">
      <c r="A173" s="9"/>
      <c r="B173" s="101"/>
      <c r="C173" s="128">
        <v>0.1</v>
      </c>
      <c r="D173" s="104"/>
      <c r="E173" s="9"/>
      <c r="F173" s="9"/>
      <c r="G173" s="9"/>
      <c r="H173" s="9"/>
      <c r="I173" s="9"/>
    </row>
    <row r="174" spans="1:9" x14ac:dyDescent="0.25">
      <c r="A174" s="103"/>
      <c r="B174" s="101"/>
      <c r="C174" s="97"/>
      <c r="D174" s="9"/>
      <c r="E174" s="9"/>
      <c r="F174" s="9"/>
      <c r="G174" s="9"/>
      <c r="H174" s="9"/>
      <c r="I174" s="9"/>
    </row>
    <row r="175" spans="1:9" x14ac:dyDescent="0.25">
      <c r="A175" s="67" t="s">
        <v>58</v>
      </c>
      <c r="B175" s="9"/>
      <c r="C175" s="9"/>
      <c r="D175" s="9"/>
      <c r="E175" s="9"/>
      <c r="F175" s="9"/>
      <c r="G175" s="9"/>
      <c r="H175" s="9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13" x14ac:dyDescent="0.25">
      <c r="A177" s="103" t="s">
        <v>196</v>
      </c>
      <c r="B177" s="9"/>
      <c r="C177" s="9"/>
      <c r="D177" s="104">
        <f>D172*C173</f>
        <v>4650</v>
      </c>
      <c r="E177" s="9"/>
      <c r="F177" s="9"/>
      <c r="G177" s="9"/>
      <c r="H177" s="9"/>
      <c r="I177" s="9"/>
    </row>
    <row r="178" spans="1:13" x14ac:dyDescent="0.25">
      <c r="A178" s="36" t="s">
        <v>275</v>
      </c>
      <c r="B178" s="17"/>
      <c r="C178" s="9"/>
      <c r="D178" s="34">
        <f>E142+E143+E155+E166</f>
        <v>11500</v>
      </c>
      <c r="E178" s="9"/>
      <c r="F178" s="9"/>
      <c r="G178" s="9"/>
      <c r="H178" s="9"/>
      <c r="I178" s="9"/>
    </row>
    <row r="179" spans="1:13" x14ac:dyDescent="0.25">
      <c r="A179" s="36" t="s">
        <v>252</v>
      </c>
      <c r="B179" s="17"/>
      <c r="C179" s="9"/>
      <c r="D179" s="34">
        <v>30000</v>
      </c>
      <c r="E179" s="9"/>
      <c r="F179" s="9"/>
      <c r="G179" s="9"/>
      <c r="H179" s="9"/>
      <c r="I179" s="9"/>
    </row>
    <row r="180" spans="1:13" x14ac:dyDescent="0.25">
      <c r="A180" s="36" t="s">
        <v>154</v>
      </c>
      <c r="B180" s="9"/>
      <c r="C180" s="86"/>
      <c r="D180" s="87">
        <f>SUM(D177:D179)</f>
        <v>46150</v>
      </c>
      <c r="E180" s="9"/>
      <c r="F180" s="9"/>
      <c r="G180" s="9"/>
      <c r="H180" s="9"/>
      <c r="I180" s="9"/>
    </row>
    <row r="181" spans="1:13" x14ac:dyDescent="0.25">
      <c r="A181" s="9"/>
      <c r="B181" s="9"/>
      <c r="C181" s="9"/>
      <c r="D181" s="72"/>
      <c r="E181" s="9"/>
      <c r="F181" s="9"/>
      <c r="G181" s="9"/>
      <c r="H181" s="9" t="s">
        <v>276</v>
      </c>
      <c r="I181" s="9"/>
    </row>
    <row r="182" spans="1:13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13" x14ac:dyDescent="0.25">
      <c r="A183" s="24"/>
      <c r="B183" s="79"/>
      <c r="C183" s="82" t="s">
        <v>88</v>
      </c>
      <c r="D183" s="80"/>
      <c r="E183" s="80"/>
      <c r="F183" s="79"/>
      <c r="G183" s="9"/>
      <c r="H183" s="9"/>
      <c r="I183" s="9"/>
    </row>
    <row r="184" spans="1:13" x14ac:dyDescent="0.25">
      <c r="A184" s="4"/>
      <c r="B184" s="5"/>
      <c r="C184" s="6" t="s">
        <v>5</v>
      </c>
      <c r="D184" s="6"/>
      <c r="E184" s="5"/>
      <c r="F184" s="4"/>
      <c r="G184" s="9"/>
      <c r="H184" s="9"/>
      <c r="I184" s="9"/>
    </row>
    <row r="185" spans="1:13" ht="15.75" x14ac:dyDescent="0.25">
      <c r="A185" s="4"/>
      <c r="B185" s="52"/>
      <c r="C185" s="4"/>
      <c r="D185" s="4"/>
      <c r="E185" s="4"/>
      <c r="F185" s="5"/>
      <c r="G185" s="9"/>
      <c r="H185" s="9"/>
      <c r="I185" s="9"/>
    </row>
    <row r="186" spans="1:13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  <c r="I186" s="9"/>
    </row>
    <row r="187" spans="1:13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  <c r="I187" s="9"/>
    </row>
    <row r="188" spans="1:13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G188" s="9"/>
      <c r="H188" s="43"/>
      <c r="I188" s="9"/>
    </row>
    <row r="189" spans="1:13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  <c r="I189" s="9"/>
    </row>
    <row r="190" spans="1:13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  <c r="I190" s="9"/>
      <c r="M190" s="83"/>
    </row>
    <row r="191" spans="1:13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  <c r="I191" s="9"/>
    </row>
    <row r="192" spans="1:13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  <c r="I192" s="9"/>
    </row>
    <row r="193" spans="1:9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  <c r="I193" s="9"/>
    </row>
    <row r="194" spans="1:9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  <c r="I194" s="9"/>
    </row>
    <row r="195" spans="1:9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  <c r="I195" s="9"/>
    </row>
    <row r="196" spans="1:9" x14ac:dyDescent="0.25">
      <c r="A196" s="44"/>
      <c r="B196" s="120">
        <v>9</v>
      </c>
      <c r="C196" s="117"/>
      <c r="D196" s="44"/>
      <c r="E196" s="44"/>
      <c r="F196" s="44" t="s">
        <v>163</v>
      </c>
      <c r="G196" s="44"/>
      <c r="H196" s="44"/>
      <c r="I196" s="9"/>
    </row>
    <row r="197" spans="1:9" x14ac:dyDescent="0.25">
      <c r="A197" s="45" t="s">
        <v>137</v>
      </c>
      <c r="B197" s="120">
        <v>10</v>
      </c>
      <c r="C197" s="9"/>
      <c r="D197" s="44"/>
      <c r="E197" s="115"/>
      <c r="F197" s="44"/>
      <c r="G197" s="44"/>
      <c r="H197" s="44"/>
      <c r="I197" s="9"/>
    </row>
    <row r="198" spans="1:9" x14ac:dyDescent="0.25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5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5">
      <c r="A200" s="9"/>
      <c r="B200" s="100" t="s">
        <v>60</v>
      </c>
      <c r="C200" s="101"/>
      <c r="D200" s="97"/>
      <c r="E200" s="102">
        <f>F195</f>
        <v>21500</v>
      </c>
      <c r="F200" s="9"/>
      <c r="G200" s="9"/>
      <c r="H200" s="9"/>
      <c r="I200" s="9"/>
    </row>
    <row r="201" spans="1:9" x14ac:dyDescent="0.25">
      <c r="A201" s="9"/>
      <c r="B201" s="9"/>
      <c r="C201" s="101"/>
      <c r="D201" s="128">
        <v>0.1</v>
      </c>
      <c r="E201" s="104"/>
      <c r="F201" s="9"/>
      <c r="G201" s="9"/>
      <c r="H201" s="9"/>
      <c r="I201" s="9"/>
    </row>
    <row r="202" spans="1:9" x14ac:dyDescent="0.25">
      <c r="A202" s="9"/>
      <c r="B202" s="103"/>
      <c r="C202" s="101"/>
      <c r="D202" s="97"/>
      <c r="E202" s="9"/>
      <c r="F202" s="9"/>
      <c r="G202" s="9"/>
      <c r="H202" s="9"/>
      <c r="I202" s="9"/>
    </row>
    <row r="203" spans="1:9" x14ac:dyDescent="0.25">
      <c r="A203" s="9"/>
      <c r="B203" s="67" t="s">
        <v>58</v>
      </c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5">
      <c r="A205" s="9"/>
      <c r="B205" s="103" t="s">
        <v>196</v>
      </c>
      <c r="C205" s="9"/>
      <c r="D205" s="9"/>
      <c r="E205" s="104">
        <f>E200*D201</f>
        <v>2150</v>
      </c>
      <c r="F205" s="9"/>
      <c r="G205" s="9"/>
      <c r="H205" s="9"/>
      <c r="I205" s="9"/>
    </row>
    <row r="206" spans="1:9" x14ac:dyDescent="0.25">
      <c r="A206" s="9"/>
      <c r="B206" s="36" t="s">
        <v>275</v>
      </c>
      <c r="C206" s="17"/>
      <c r="D206" s="9"/>
      <c r="E206" s="34">
        <f>F170+F171+F183+F194</f>
        <v>3500</v>
      </c>
      <c r="F206" s="9"/>
      <c r="G206" s="9"/>
      <c r="H206" s="9"/>
      <c r="I206" s="9"/>
    </row>
    <row r="207" spans="1:9" x14ac:dyDescent="0.25">
      <c r="A207" s="9"/>
      <c r="B207" s="36" t="s">
        <v>252</v>
      </c>
      <c r="C207" s="17"/>
      <c r="D207" s="9"/>
      <c r="E207" s="34">
        <v>23400</v>
      </c>
      <c r="F207" s="9"/>
      <c r="G207" s="9"/>
      <c r="H207" s="9"/>
      <c r="I207" s="9"/>
    </row>
    <row r="208" spans="1:9" x14ac:dyDescent="0.25">
      <c r="A208" s="9"/>
      <c r="B208" s="36" t="s">
        <v>154</v>
      </c>
      <c r="C208" s="9"/>
      <c r="D208" s="86"/>
      <c r="E208" s="87">
        <f>SUM(E205:E207)</f>
        <v>29050</v>
      </c>
      <c r="F208" s="72">
        <f>E206+E207</f>
        <v>26900</v>
      </c>
      <c r="G208" s="9"/>
      <c r="H208" s="9"/>
      <c r="I208" s="9"/>
    </row>
    <row r="209" spans="1:9" x14ac:dyDescent="0.25">
      <c r="A209" s="9"/>
      <c r="B209" s="36" t="s">
        <v>252</v>
      </c>
      <c r="C209" s="9"/>
      <c r="D209" s="9"/>
      <c r="E209" s="72">
        <f>E200-E208</f>
        <v>-7550</v>
      </c>
      <c r="F209" s="9"/>
      <c r="G209" s="9"/>
      <c r="H209" s="9"/>
      <c r="I209" s="9"/>
    </row>
    <row r="210" spans="1:9" x14ac:dyDescent="0.25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5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5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5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5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5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5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5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5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5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5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5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5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5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5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5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5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5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5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5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5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5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5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5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5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5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5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5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5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5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5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5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5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5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5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5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5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5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5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5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5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5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5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5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5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5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5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5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5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5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5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5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5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5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5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5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5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5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5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5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5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5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5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5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5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5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5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5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5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5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5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5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5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5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5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5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5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5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5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5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5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5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5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5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5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5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5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5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5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5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5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5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5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5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5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5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5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5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5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5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5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5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5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5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5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5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5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5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5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5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5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5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5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5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5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5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5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5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5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5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5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5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5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5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5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5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5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5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5">
      <c r="A342" s="9"/>
      <c r="B342" s="9"/>
      <c r="C342" s="9"/>
      <c r="D342" s="9"/>
      <c r="E342" s="9"/>
      <c r="F342" s="9"/>
      <c r="G342" s="9"/>
      <c r="H342" s="9"/>
      <c r="I342" s="9"/>
    </row>
  </sheetData>
  <mergeCells count="1">
    <mergeCell ref="A140:H140"/>
  </mergeCells>
  <pageMargins left="0.7" right="0.7" top="0.75" bottom="0.75" header="0.3" footer="0.3"/>
  <pageSetup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opLeftCell="A31" workbookViewId="0">
      <selection activeCell="D67" sqref="D67"/>
    </sheetView>
  </sheetViews>
  <sheetFormatPr defaultRowHeight="15" x14ac:dyDescent="0.25"/>
  <cols>
    <col min="1" max="1" width="13.28515625" customWidth="1"/>
    <col min="3" max="3" width="10.85546875" customWidth="1"/>
    <col min="4" max="4" width="11" customWidth="1"/>
    <col min="5" max="5" width="11.140625" customWidth="1"/>
    <col min="6" max="6" width="10.5703125" customWidth="1"/>
    <col min="7" max="8" width="11.1406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286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</row>
    <row r="14" spans="1:9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v>2000</v>
      </c>
      <c r="H20" s="68">
        <f>SUM(H8:H19)</f>
        <v>6500</v>
      </c>
      <c r="I20" s="9"/>
    </row>
    <row r="21" spans="1:9" x14ac:dyDescent="0.25">
      <c r="A21" s="36" t="s">
        <v>60</v>
      </c>
      <c r="B21" s="17"/>
      <c r="C21" s="9"/>
      <c r="D21" s="32">
        <f>SUM(E20)</f>
        <v>22000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2200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287</v>
      </c>
      <c r="B25" s="97"/>
      <c r="C25" s="121">
        <f>D21-D24</f>
        <v>19800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291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297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46">
        <v>4500</v>
      </c>
      <c r="H44" s="105">
        <f t="shared" ref="H44:H54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/>
      <c r="B47" s="3"/>
      <c r="C47" s="44"/>
      <c r="D47" s="44"/>
      <c r="E47" s="46"/>
      <c r="F47" s="46">
        <f t="shared" si="2"/>
        <v>0</v>
      </c>
      <c r="G47" s="46"/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/>
      <c r="B50" s="44"/>
      <c r="C50" s="44"/>
      <c r="D50" s="44"/>
      <c r="E50" s="44"/>
      <c r="F50" s="46"/>
      <c r="G50" s="44"/>
      <c r="H50" s="105">
        <f t="shared" si="3"/>
        <v>0</v>
      </c>
      <c r="I50" s="9"/>
    </row>
    <row r="51" spans="1:9" x14ac:dyDescent="0.25">
      <c r="A51" s="88" t="s">
        <v>296</v>
      </c>
      <c r="B51" s="44"/>
      <c r="C51" s="44"/>
      <c r="D51" s="44"/>
      <c r="E51" s="115">
        <v>2500</v>
      </c>
      <c r="F51" s="46">
        <f t="shared" si="2"/>
        <v>2500</v>
      </c>
      <c r="G51" s="115">
        <v>2500</v>
      </c>
      <c r="H51" s="105">
        <f t="shared" si="3"/>
        <v>0</v>
      </c>
      <c r="I51" s="9"/>
    </row>
    <row r="52" spans="1:9" s="9" customFormat="1" x14ac:dyDescent="0.25">
      <c r="A52" s="88"/>
      <c r="B52" s="44"/>
      <c r="C52" s="44"/>
      <c r="D52" s="44"/>
      <c r="E52" s="115"/>
      <c r="F52" s="46"/>
      <c r="G52" s="115"/>
      <c r="H52" s="105">
        <f t="shared" si="3"/>
        <v>0</v>
      </c>
    </row>
    <row r="53" spans="1:9" s="9" customFormat="1" x14ac:dyDescent="0.25">
      <c r="A53" s="88" t="s">
        <v>288</v>
      </c>
      <c r="B53" s="44"/>
      <c r="C53" s="44"/>
      <c r="D53" s="44"/>
      <c r="E53" s="115">
        <v>1500</v>
      </c>
      <c r="F53" s="46">
        <f t="shared" si="2"/>
        <v>1500</v>
      </c>
      <c r="G53" s="115"/>
      <c r="H53" s="105">
        <f t="shared" si="3"/>
        <v>1500</v>
      </c>
    </row>
    <row r="54" spans="1:9" s="9" customFormat="1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15"/>
      <c r="H54" s="105">
        <f t="shared" si="3"/>
        <v>1500</v>
      </c>
    </row>
    <row r="55" spans="1:9" x14ac:dyDescent="0.25">
      <c r="A55" s="44"/>
      <c r="B55" s="44"/>
      <c r="C55" s="44"/>
      <c r="D55" s="44"/>
      <c r="E55" s="105">
        <f>SUM(E42:E54)</f>
        <v>21000</v>
      </c>
      <c r="F55" s="105">
        <f>SUM(F43:F54)</f>
        <v>21000</v>
      </c>
      <c r="G55" s="105">
        <f>SUM(G42:G51)</f>
        <v>16000</v>
      </c>
      <c r="H55" s="105">
        <f>SUM(H43:H54)</f>
        <v>5000</v>
      </c>
      <c r="I55" s="9"/>
    </row>
    <row r="56" spans="1:9" x14ac:dyDescent="0.25">
      <c r="A56" s="100" t="s">
        <v>60</v>
      </c>
      <c r="B56" s="101"/>
      <c r="C56" s="97"/>
      <c r="D56" s="102">
        <f>E55</f>
        <v>21000</v>
      </c>
      <c r="E56" s="18" t="s">
        <v>109</v>
      </c>
      <c r="F56" s="19"/>
      <c r="G56" s="18" t="s">
        <v>93</v>
      </c>
      <c r="H56" s="72"/>
      <c r="I56" s="9"/>
    </row>
    <row r="57" spans="1:9" x14ac:dyDescent="0.25">
      <c r="A57" s="103"/>
      <c r="B57" s="101"/>
      <c r="C57" s="97"/>
      <c r="D57" s="104"/>
      <c r="E57" s="38" t="s">
        <v>24</v>
      </c>
      <c r="F57" s="39"/>
      <c r="G57" s="9" t="s">
        <v>94</v>
      </c>
      <c r="H57" s="9"/>
      <c r="I57" s="9"/>
    </row>
    <row r="58" spans="1:9" x14ac:dyDescent="0.25">
      <c r="A58" s="103"/>
      <c r="B58" s="101"/>
      <c r="C58" s="97"/>
      <c r="D58" s="104">
        <f>SUM(D56:D57)</f>
        <v>21000</v>
      </c>
      <c r="E58" s="38"/>
      <c r="F58" s="39"/>
      <c r="G58" s="9"/>
      <c r="H58" s="9"/>
      <c r="I58" s="9"/>
    </row>
    <row r="59" spans="1:9" x14ac:dyDescent="0.25">
      <c r="A59" s="67" t="s">
        <v>58</v>
      </c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36" t="s">
        <v>22</v>
      </c>
      <c r="B60" s="17"/>
      <c r="C60" s="9"/>
      <c r="D60" s="34">
        <f>SUM(D56*10%)</f>
        <v>2100</v>
      </c>
      <c r="E60" s="38" t="s">
        <v>81</v>
      </c>
      <c r="F60" s="35"/>
      <c r="G60" s="9"/>
      <c r="H60" s="9"/>
      <c r="I60" s="9"/>
    </row>
    <row r="61" spans="1:9" x14ac:dyDescent="0.25">
      <c r="A61" s="9" t="s">
        <v>290</v>
      </c>
      <c r="B61" s="9"/>
      <c r="C61" s="9"/>
      <c r="D61" s="72">
        <v>24750</v>
      </c>
      <c r="E61" s="38"/>
      <c r="F61" s="38"/>
      <c r="G61" s="9"/>
      <c r="H61" s="9"/>
      <c r="I61" s="9"/>
    </row>
    <row r="62" spans="1:9" x14ac:dyDescent="0.25">
      <c r="A62" s="9"/>
      <c r="B62" s="9"/>
      <c r="C62" s="9"/>
      <c r="D62" s="72">
        <f>SUM(D60:D61)</f>
        <v>26850</v>
      </c>
      <c r="E62" s="9"/>
      <c r="F62" s="9"/>
      <c r="G62" s="9"/>
      <c r="H62" s="9"/>
      <c r="I62" s="9"/>
    </row>
    <row r="63" spans="1:9" x14ac:dyDescent="0.25">
      <c r="A63" s="9"/>
      <c r="B63" s="9"/>
      <c r="C63" s="9"/>
      <c r="E63" s="9"/>
      <c r="F63" s="9"/>
      <c r="G63" s="9"/>
      <c r="H63" s="9"/>
      <c r="I63" s="9"/>
    </row>
    <row r="64" spans="1:9" x14ac:dyDescent="0.25">
      <c r="B64" s="9"/>
      <c r="C64" s="86"/>
      <c r="D64" s="72"/>
      <c r="E64" s="38" t="s">
        <v>24</v>
      </c>
      <c r="F64" s="39"/>
      <c r="G64" s="9"/>
      <c r="H64" s="9"/>
      <c r="I64" s="9"/>
    </row>
    <row r="65" spans="1:9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9" x14ac:dyDescent="0.25">
      <c r="A66" s="36" t="s">
        <v>154</v>
      </c>
      <c r="D66" s="72"/>
      <c r="E66" s="91"/>
      <c r="F66" s="9"/>
      <c r="G66" s="9"/>
      <c r="H66" s="9"/>
      <c r="I66" s="9"/>
    </row>
    <row r="67" spans="1:9" x14ac:dyDescent="0.25">
      <c r="A67" s="9" t="s">
        <v>26</v>
      </c>
      <c r="B67" s="9"/>
      <c r="C67" s="9"/>
      <c r="D67" s="72">
        <f>D58-D62</f>
        <v>-5850</v>
      </c>
      <c r="E67" s="91"/>
      <c r="F67" s="9"/>
      <c r="G67" s="9"/>
      <c r="H67" s="9"/>
      <c r="I67" s="9"/>
    </row>
    <row r="68" spans="1:9" ht="16.5" x14ac:dyDescent="0.35">
      <c r="A68" s="92"/>
      <c r="B68" s="85"/>
      <c r="C68" s="9"/>
      <c r="D68" s="72"/>
      <c r="E68" s="9" t="s">
        <v>163</v>
      </c>
      <c r="F68" s="9"/>
      <c r="G68" s="9"/>
      <c r="H68" s="9"/>
      <c r="I68" s="9"/>
    </row>
    <row r="69" spans="1:9" x14ac:dyDescent="0.25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5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  <c r="I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  <c r="I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  <c r="I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  <c r="I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  <c r="I76" s="9"/>
    </row>
    <row r="77" spans="1:9" x14ac:dyDescent="0.25">
      <c r="A77" s="9"/>
      <c r="B77" s="95"/>
      <c r="C77" s="95"/>
      <c r="D77" s="96" t="s">
        <v>277</v>
      </c>
      <c r="E77" s="95"/>
      <c r="F77" s="95"/>
      <c r="G77" s="95"/>
      <c r="H77" s="9"/>
      <c r="I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  <c r="I78" s="9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9" x14ac:dyDescent="0.25">
      <c r="A80" s="43" t="s">
        <v>167</v>
      </c>
      <c r="B80" s="3"/>
      <c r="C80" s="44"/>
      <c r="D80" s="46">
        <v>3500</v>
      </c>
      <c r="E80" s="105">
        <f>C80+D80</f>
        <v>3500</v>
      </c>
      <c r="F80" s="44">
        <v>3500</v>
      </c>
      <c r="G80" s="107">
        <f>E80-F80</f>
        <v>0</v>
      </c>
      <c r="H80" s="44"/>
      <c r="I80" s="9"/>
    </row>
    <row r="81" spans="1:9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>
        <f>E81-F81</f>
        <v>1500</v>
      </c>
      <c r="H81" s="44" t="s">
        <v>169</v>
      </c>
      <c r="I81" s="9"/>
    </row>
    <row r="82" spans="1:9" x14ac:dyDescent="0.25">
      <c r="A82" s="43" t="s">
        <v>208</v>
      </c>
      <c r="B82" s="3"/>
      <c r="C82" s="109"/>
      <c r="D82" s="46">
        <v>3500</v>
      </c>
      <c r="E82" s="105"/>
      <c r="F82" s="44"/>
      <c r="G82" s="107"/>
      <c r="H82" s="44"/>
      <c r="I82" s="9"/>
    </row>
    <row r="83" spans="1:9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  <c r="I83" s="9"/>
    </row>
    <row r="84" spans="1:9" x14ac:dyDescent="0.25">
      <c r="A84" s="110" t="s">
        <v>2</v>
      </c>
      <c r="B84" s="111"/>
      <c r="C84" s="110">
        <f>SUM(C79:C83)</f>
        <v>0</v>
      </c>
      <c r="D84" s="53">
        <f>SUM(D79:D83)</f>
        <v>14000</v>
      </c>
      <c r="E84" s="112">
        <f>SUM(E79:E83)</f>
        <v>10500</v>
      </c>
      <c r="F84" s="113">
        <f>SUM(F79:F83)</f>
        <v>9000</v>
      </c>
      <c r="G84" s="114">
        <f>SUM(G79:G83)</f>
        <v>1500</v>
      </c>
      <c r="H84" s="44"/>
      <c r="I84" s="9"/>
    </row>
    <row r="85" spans="1:9" x14ac:dyDescent="0.25">
      <c r="A85" s="43"/>
      <c r="B85" s="3"/>
      <c r="C85" s="44"/>
      <c r="D85" s="46"/>
      <c r="E85" s="44"/>
      <c r="F85" s="9"/>
      <c r="G85" s="9"/>
      <c r="H85" s="9"/>
      <c r="I85" s="9"/>
    </row>
    <row r="86" spans="1:9" x14ac:dyDescent="0.25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5">
      <c r="A87" s="100" t="s">
        <v>60</v>
      </c>
      <c r="B87" s="101"/>
      <c r="C87" s="97"/>
      <c r="D87" s="102">
        <f>D84</f>
        <v>14000</v>
      </c>
      <c r="E87" s="9"/>
      <c r="F87" s="18" t="s">
        <v>109</v>
      </c>
      <c r="G87" s="19"/>
      <c r="H87" s="18" t="s">
        <v>232</v>
      </c>
      <c r="I87" s="9"/>
    </row>
    <row r="88" spans="1:9" x14ac:dyDescent="0.25">
      <c r="A88" s="103"/>
      <c r="B88" s="101"/>
      <c r="C88" s="97"/>
      <c r="D88" s="104"/>
      <c r="E88" s="51"/>
      <c r="F88" s="38" t="s">
        <v>24</v>
      </c>
      <c r="G88" s="39"/>
      <c r="H88" s="9" t="s">
        <v>94</v>
      </c>
      <c r="I88" s="9"/>
    </row>
    <row r="89" spans="1:9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  <c r="I89" s="9"/>
    </row>
    <row r="90" spans="1:9" x14ac:dyDescent="0.25">
      <c r="A90" s="36" t="s">
        <v>22</v>
      </c>
      <c r="B90" s="17"/>
      <c r="C90" s="9"/>
      <c r="D90" s="34">
        <f>C89*D87</f>
        <v>1400</v>
      </c>
      <c r="E90" s="9"/>
      <c r="F90" s="38" t="s">
        <v>81</v>
      </c>
      <c r="G90" s="38"/>
      <c r="H90" s="9"/>
      <c r="I90" s="9"/>
    </row>
    <row r="91" spans="1:9" x14ac:dyDescent="0.25">
      <c r="A91" s="36" t="s">
        <v>172</v>
      </c>
      <c r="B91" s="9"/>
      <c r="C91" s="9"/>
      <c r="D91" s="9">
        <v>5000</v>
      </c>
      <c r="E91" s="9"/>
      <c r="F91" s="38" t="s">
        <v>24</v>
      </c>
      <c r="G91" s="39"/>
      <c r="H91" s="9"/>
      <c r="I91" s="9"/>
    </row>
    <row r="92" spans="1:9" x14ac:dyDescent="0.25">
      <c r="A92" s="9" t="s">
        <v>295</v>
      </c>
      <c r="B92" s="9"/>
      <c r="C92" s="9"/>
      <c r="D92" s="72">
        <v>7600</v>
      </c>
      <c r="E92" s="72">
        <f>D91+D92</f>
        <v>12600</v>
      </c>
      <c r="F92" s="38"/>
      <c r="G92" s="39"/>
      <c r="H92" s="9"/>
      <c r="I92" s="9"/>
    </row>
    <row r="93" spans="1:9" x14ac:dyDescent="0.25">
      <c r="A93" s="122"/>
      <c r="B93" s="97"/>
      <c r="C93" s="97"/>
      <c r="D93" s="121">
        <f>SUM(D90:D92)</f>
        <v>14000</v>
      </c>
      <c r="E93" s="9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1"/>
      <c r="F95" s="9"/>
      <c r="G95" s="9"/>
      <c r="H95" s="9"/>
      <c r="I95" s="9"/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s="9"/>
    </row>
    <row r="97" spans="1:13" x14ac:dyDescent="0.25">
      <c r="A97" s="97" t="s">
        <v>165</v>
      </c>
      <c r="B97" s="9"/>
      <c r="C97" s="86"/>
      <c r="D97" s="87"/>
      <c r="E97" s="9"/>
      <c r="F97" s="9"/>
      <c r="G97" s="9"/>
      <c r="H97" s="9"/>
      <c r="I97" s="9"/>
    </row>
    <row r="98" spans="1:13" x14ac:dyDescent="0.25">
      <c r="A98" s="36"/>
      <c r="B98" s="85"/>
      <c r="C98" s="9"/>
      <c r="D98" s="72"/>
      <c r="E98" s="9"/>
      <c r="F98" s="9"/>
      <c r="G98" s="9"/>
      <c r="H98" s="9"/>
      <c r="I98" s="9"/>
    </row>
    <row r="99" spans="1:13" x14ac:dyDescent="0.25">
      <c r="A99" s="9"/>
      <c r="B99" s="98"/>
      <c r="C99" s="97"/>
      <c r="D99" s="72"/>
      <c r="E99" s="9"/>
      <c r="F99" s="9"/>
      <c r="G99" s="9"/>
      <c r="H99" s="9"/>
      <c r="I99" s="9"/>
    </row>
    <row r="100" spans="1:13" x14ac:dyDescent="0.25">
      <c r="A100" s="9"/>
      <c r="B100" s="9"/>
      <c r="C100" s="9"/>
      <c r="D100" s="72"/>
      <c r="E100" s="9"/>
      <c r="F100" s="9"/>
      <c r="G100" s="9"/>
      <c r="H100" s="9"/>
      <c r="I100" s="9"/>
    </row>
    <row r="101" spans="1:13" x14ac:dyDescent="0.25">
      <c r="A101" s="9"/>
      <c r="B101" s="9"/>
      <c r="C101" s="9"/>
      <c r="D101" s="9"/>
      <c r="E101" s="9"/>
      <c r="F101" s="9"/>
      <c r="G101" s="9"/>
      <c r="H101" s="9"/>
      <c r="I101" s="9"/>
    </row>
    <row r="102" spans="1:13" x14ac:dyDescent="0.25">
      <c r="A102" s="9"/>
      <c r="B102" s="9"/>
      <c r="C102" s="9"/>
      <c r="D102" s="9"/>
      <c r="E102" s="9"/>
      <c r="F102" s="9"/>
      <c r="G102" s="9"/>
      <c r="H102" s="9"/>
      <c r="I102" s="9"/>
    </row>
    <row r="103" spans="1:13" x14ac:dyDescent="0.25">
      <c r="A103" s="9"/>
      <c r="B103" s="9"/>
      <c r="C103" s="9"/>
      <c r="D103" s="9"/>
      <c r="E103" s="9"/>
      <c r="F103" s="9"/>
      <c r="G103" s="9"/>
      <c r="H103" s="9"/>
      <c r="I103" s="9"/>
    </row>
    <row r="104" spans="1:13" x14ac:dyDescent="0.25">
      <c r="A104" s="5" t="s">
        <v>92</v>
      </c>
      <c r="B104" s="19"/>
      <c r="C104" s="19"/>
      <c r="D104" s="81" t="s">
        <v>4</v>
      </c>
      <c r="E104" s="81"/>
      <c r="F104" s="19"/>
      <c r="G104" s="9"/>
      <c r="H104" s="9"/>
      <c r="I104" s="9"/>
    </row>
    <row r="105" spans="1:13" x14ac:dyDescent="0.25">
      <c r="A105" s="5"/>
      <c r="B105" s="19"/>
      <c r="C105" s="81" t="s">
        <v>87</v>
      </c>
      <c r="D105" s="81"/>
      <c r="E105" s="19"/>
      <c r="F105" s="19"/>
      <c r="G105" s="9"/>
      <c r="H105" s="9"/>
      <c r="I105" s="9"/>
    </row>
    <row r="106" spans="1:13" x14ac:dyDescent="0.25">
      <c r="A106" s="24"/>
      <c r="B106" s="79"/>
      <c r="C106" s="82" t="s">
        <v>88</v>
      </c>
      <c r="D106" s="80"/>
      <c r="E106" s="80"/>
      <c r="F106" s="79"/>
      <c r="G106" s="9"/>
      <c r="H106" s="9"/>
      <c r="I106" s="9"/>
    </row>
    <row r="107" spans="1:13" x14ac:dyDescent="0.25">
      <c r="A107" s="4"/>
      <c r="B107" s="5"/>
      <c r="C107" s="6" t="s">
        <v>5</v>
      </c>
      <c r="D107" s="6"/>
      <c r="E107" s="5"/>
      <c r="F107" s="4"/>
      <c r="G107" s="9"/>
      <c r="H107" s="9"/>
      <c r="I107" s="9"/>
    </row>
    <row r="108" spans="1:13" ht="15.75" x14ac:dyDescent="0.25">
      <c r="A108" s="4"/>
      <c r="B108" s="52" t="s">
        <v>97</v>
      </c>
      <c r="C108" s="4"/>
      <c r="D108" s="4"/>
      <c r="E108" s="4"/>
      <c r="F108" s="5"/>
      <c r="G108" s="9"/>
      <c r="H108" s="9"/>
      <c r="I108" s="9"/>
    </row>
    <row r="109" spans="1:13" x14ac:dyDescent="0.25">
      <c r="A109" s="9" t="s">
        <v>292</v>
      </c>
      <c r="B109" s="9"/>
      <c r="C109" s="95"/>
      <c r="D109" s="95"/>
      <c r="E109" s="96" t="s">
        <v>293</v>
      </c>
      <c r="F109" s="95"/>
      <c r="G109" s="95"/>
      <c r="H109" s="9"/>
      <c r="I109" s="9"/>
    </row>
    <row r="110" spans="1:13" x14ac:dyDescent="0.25">
      <c r="A110" s="12" t="s">
        <v>0</v>
      </c>
      <c r="B110" s="12" t="s">
        <v>32</v>
      </c>
      <c r="C110" s="12" t="s">
        <v>52</v>
      </c>
      <c r="D110" s="22" t="s">
        <v>55</v>
      </c>
      <c r="E110" s="21" t="s">
        <v>1</v>
      </c>
      <c r="F110" s="22" t="s">
        <v>10</v>
      </c>
      <c r="G110" s="21" t="s">
        <v>3</v>
      </c>
      <c r="H110" s="13" t="s">
        <v>13</v>
      </c>
      <c r="I110" s="9"/>
      <c r="K110">
        <v>4500</v>
      </c>
      <c r="L110">
        <v>900</v>
      </c>
      <c r="M110">
        <f>K110+L110</f>
        <v>5400</v>
      </c>
    </row>
    <row r="111" spans="1:13" x14ac:dyDescent="0.25">
      <c r="A111" s="43" t="s">
        <v>214</v>
      </c>
      <c r="B111" s="120">
        <v>1</v>
      </c>
      <c r="C111" s="116"/>
      <c r="D111" s="43">
        <v>5400</v>
      </c>
      <c r="E111" s="47">
        <v>4500</v>
      </c>
      <c r="F111" s="47">
        <f>D111+E111</f>
        <v>9900</v>
      </c>
      <c r="G111" s="47"/>
      <c r="H111" s="129">
        <f>F111-G111</f>
        <v>9900</v>
      </c>
      <c r="I111" s="9"/>
    </row>
    <row r="112" spans="1:13" x14ac:dyDescent="0.25">
      <c r="A112" s="88" t="s">
        <v>240</v>
      </c>
      <c r="B112" s="120">
        <v>2</v>
      </c>
      <c r="C112" s="117"/>
      <c r="D112" s="2"/>
      <c r="E112" s="46">
        <v>4500</v>
      </c>
      <c r="F112" s="47">
        <f t="shared" ref="F112:F130" si="4">D112+E112</f>
        <v>4500</v>
      </c>
      <c r="G112" s="56">
        <v>4500</v>
      </c>
      <c r="H112" s="129">
        <f t="shared" ref="H112:H130" si="5">F112-G112</f>
        <v>0</v>
      </c>
      <c r="I112" s="9"/>
    </row>
    <row r="113" spans="1:9" x14ac:dyDescent="0.25">
      <c r="A113" s="88" t="s">
        <v>241</v>
      </c>
      <c r="B113" s="120">
        <v>3</v>
      </c>
      <c r="C113" s="117"/>
      <c r="D113" s="43"/>
      <c r="E113" s="46">
        <v>4500</v>
      </c>
      <c r="F113" s="47">
        <f t="shared" si="4"/>
        <v>4500</v>
      </c>
      <c r="G113" s="53">
        <v>2500</v>
      </c>
      <c r="H113" s="129">
        <f t="shared" si="5"/>
        <v>2000</v>
      </c>
      <c r="I113" s="9"/>
    </row>
    <row r="114" spans="1:9" x14ac:dyDescent="0.25">
      <c r="A114" s="88" t="s">
        <v>242</v>
      </c>
      <c r="B114" s="120">
        <v>4</v>
      </c>
      <c r="C114" s="117"/>
      <c r="D114" s="43"/>
      <c r="E114" s="46">
        <v>2500</v>
      </c>
      <c r="F114" s="47">
        <f t="shared" si="4"/>
        <v>2500</v>
      </c>
      <c r="G114" s="53"/>
      <c r="H114" s="129">
        <f t="shared" si="5"/>
        <v>2500</v>
      </c>
      <c r="I114" s="9"/>
    </row>
    <row r="115" spans="1:9" x14ac:dyDescent="0.25">
      <c r="A115" s="43" t="s">
        <v>243</v>
      </c>
      <c r="B115" s="120">
        <v>5</v>
      </c>
      <c r="C115" s="117"/>
      <c r="D115" s="44"/>
      <c r="E115" s="46">
        <v>2500</v>
      </c>
      <c r="F115" s="47">
        <f t="shared" si="4"/>
        <v>2500</v>
      </c>
      <c r="G115" s="46">
        <v>1500</v>
      </c>
      <c r="H115" s="129">
        <f t="shared" si="5"/>
        <v>1000</v>
      </c>
      <c r="I115" s="9"/>
    </row>
    <row r="116" spans="1:9" x14ac:dyDescent="0.25">
      <c r="A116" s="43" t="s">
        <v>244</v>
      </c>
      <c r="B116" s="120">
        <v>6</v>
      </c>
      <c r="C116" s="117"/>
      <c r="D116" s="44"/>
      <c r="E116" s="46">
        <v>2500</v>
      </c>
      <c r="F116" s="47">
        <f t="shared" si="4"/>
        <v>2500</v>
      </c>
      <c r="G116" s="46"/>
      <c r="H116" s="129">
        <f t="shared" si="5"/>
        <v>2500</v>
      </c>
      <c r="I116" s="9"/>
    </row>
    <row r="117" spans="1:9" x14ac:dyDescent="0.25">
      <c r="A117" s="43" t="s">
        <v>245</v>
      </c>
      <c r="B117" s="120">
        <v>7</v>
      </c>
      <c r="C117" s="117"/>
      <c r="D117" s="44"/>
      <c r="E117" s="73">
        <v>2500</v>
      </c>
      <c r="F117" s="47">
        <f t="shared" si="4"/>
        <v>2500</v>
      </c>
      <c r="G117" s="68"/>
      <c r="H117" s="129">
        <f t="shared" si="5"/>
        <v>2500</v>
      </c>
      <c r="I117" s="9"/>
    </row>
    <row r="118" spans="1:9" x14ac:dyDescent="0.25">
      <c r="A118" s="47" t="s">
        <v>216</v>
      </c>
      <c r="B118" s="120">
        <v>8</v>
      </c>
      <c r="C118" s="118"/>
      <c r="D118" s="46"/>
      <c r="E118" s="46">
        <v>2500</v>
      </c>
      <c r="F118" s="47">
        <f t="shared" si="4"/>
        <v>2500</v>
      </c>
      <c r="G118" s="46"/>
      <c r="H118" s="129">
        <f t="shared" si="5"/>
        <v>2500</v>
      </c>
      <c r="I118" s="9"/>
    </row>
    <row r="119" spans="1:9" x14ac:dyDescent="0.25">
      <c r="A119" s="44" t="s">
        <v>21</v>
      </c>
      <c r="B119" s="120">
        <v>9</v>
      </c>
      <c r="C119" s="117"/>
      <c r="D119" s="44"/>
      <c r="E119" s="44"/>
      <c r="F119" s="47">
        <f t="shared" si="4"/>
        <v>0</v>
      </c>
      <c r="G119" s="44"/>
      <c r="H119" s="129">
        <f t="shared" si="5"/>
        <v>0</v>
      </c>
      <c r="I119" s="9"/>
    </row>
    <row r="120" spans="1:9" x14ac:dyDescent="0.25">
      <c r="A120" s="45" t="s">
        <v>137</v>
      </c>
      <c r="B120" s="120">
        <v>10</v>
      </c>
      <c r="C120" s="9"/>
      <c r="D120" s="44"/>
      <c r="E120" s="115">
        <v>2500</v>
      </c>
      <c r="F120" s="47">
        <f t="shared" si="4"/>
        <v>2500</v>
      </c>
      <c r="G120" s="44"/>
      <c r="H120" s="129">
        <f t="shared" si="5"/>
        <v>2500</v>
      </c>
      <c r="I120" s="9"/>
    </row>
    <row r="121" spans="1:9" x14ac:dyDescent="0.25">
      <c r="A121" s="44" t="s">
        <v>246</v>
      </c>
      <c r="B121" s="120">
        <v>11</v>
      </c>
      <c r="C121" s="119"/>
      <c r="D121" s="44"/>
      <c r="E121" s="105">
        <v>2500</v>
      </c>
      <c r="F121" s="47">
        <f t="shared" si="4"/>
        <v>2500</v>
      </c>
      <c r="G121" s="44"/>
      <c r="H121" s="129">
        <f t="shared" si="5"/>
        <v>2500</v>
      </c>
      <c r="I121" s="9"/>
    </row>
    <row r="122" spans="1:9" x14ac:dyDescent="0.25">
      <c r="A122" s="44" t="s">
        <v>247</v>
      </c>
      <c r="B122" s="120">
        <v>12</v>
      </c>
      <c r="C122" s="119"/>
      <c r="D122" s="44"/>
      <c r="E122" s="44">
        <v>2700</v>
      </c>
      <c r="F122" s="47">
        <f t="shared" si="4"/>
        <v>2700</v>
      </c>
      <c r="G122" s="44"/>
      <c r="H122" s="129">
        <f t="shared" si="5"/>
        <v>2700</v>
      </c>
      <c r="I122" s="9"/>
    </row>
    <row r="123" spans="1:9" x14ac:dyDescent="0.25">
      <c r="A123" s="44" t="s">
        <v>137</v>
      </c>
      <c r="B123" s="120">
        <v>13</v>
      </c>
      <c r="C123" s="117"/>
      <c r="D123" s="44"/>
      <c r="E123" s="44">
        <v>4500</v>
      </c>
      <c r="F123" s="47">
        <f t="shared" si="4"/>
        <v>4500</v>
      </c>
      <c r="G123" s="44"/>
      <c r="H123" s="129">
        <f t="shared" si="5"/>
        <v>4500</v>
      </c>
      <c r="I123" s="9"/>
    </row>
    <row r="124" spans="1:9" x14ac:dyDescent="0.25">
      <c r="A124" s="44" t="s">
        <v>21</v>
      </c>
      <c r="B124" s="120">
        <v>14</v>
      </c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x14ac:dyDescent="0.25">
      <c r="A125" s="44" t="s">
        <v>220</v>
      </c>
      <c r="B125" s="120">
        <v>15</v>
      </c>
      <c r="C125" s="117"/>
      <c r="D125" s="44"/>
      <c r="E125" s="44">
        <v>2500</v>
      </c>
      <c r="F125" s="47">
        <f t="shared" si="4"/>
        <v>2500</v>
      </c>
      <c r="G125" s="44"/>
      <c r="H125" s="129">
        <f t="shared" si="5"/>
        <v>2500</v>
      </c>
      <c r="I125" s="9"/>
    </row>
    <row r="126" spans="1:9" x14ac:dyDescent="0.25">
      <c r="A126" s="125" t="s">
        <v>251</v>
      </c>
      <c r="B126" s="9"/>
      <c r="C126" s="9"/>
      <c r="D126" s="9"/>
      <c r="E126" s="125">
        <v>2500</v>
      </c>
      <c r="F126" s="47">
        <f t="shared" si="4"/>
        <v>2500</v>
      </c>
      <c r="G126" s="44"/>
      <c r="H126" s="129">
        <f t="shared" si="5"/>
        <v>2500</v>
      </c>
      <c r="I126" s="9"/>
    </row>
    <row r="127" spans="1:9" x14ac:dyDescent="0.25">
      <c r="A127" s="44"/>
      <c r="B127" s="120"/>
      <c r="C127" s="117"/>
      <c r="D127" s="44"/>
      <c r="E127" s="44"/>
      <c r="F127" s="47">
        <f t="shared" si="4"/>
        <v>0</v>
      </c>
      <c r="G127" s="44"/>
      <c r="H127" s="129">
        <f t="shared" si="5"/>
        <v>0</v>
      </c>
      <c r="I127" s="9"/>
    </row>
    <row r="128" spans="1:9" ht="28.5" x14ac:dyDescent="0.45">
      <c r="A128" s="123" t="s">
        <v>249</v>
      </c>
      <c r="B128" s="120"/>
      <c r="C128" s="117"/>
      <c r="D128" s="44"/>
      <c r="E128" s="44"/>
      <c r="F128" s="47">
        <f t="shared" si="4"/>
        <v>0</v>
      </c>
      <c r="G128" s="44"/>
      <c r="H128" s="129">
        <f t="shared" si="5"/>
        <v>0</v>
      </c>
      <c r="I128" s="9"/>
    </row>
    <row r="129" spans="1:9" x14ac:dyDescent="0.25">
      <c r="A129" s="44" t="s">
        <v>137</v>
      </c>
      <c r="B129" s="120">
        <v>16</v>
      </c>
      <c r="C129" s="117" t="s">
        <v>248</v>
      </c>
      <c r="D129" s="44"/>
      <c r="E129" s="44">
        <v>1600</v>
      </c>
      <c r="F129" s="47">
        <f t="shared" si="4"/>
        <v>1600</v>
      </c>
      <c r="G129" s="44"/>
      <c r="H129" s="129">
        <f t="shared" si="5"/>
        <v>1600</v>
      </c>
      <c r="I129" s="9"/>
    </row>
    <row r="130" spans="1:9" x14ac:dyDescent="0.25">
      <c r="A130" s="124" t="s">
        <v>250</v>
      </c>
      <c r="B130" s="120"/>
      <c r="C130" s="117"/>
      <c r="D130" s="44"/>
      <c r="E130" s="44">
        <v>1600</v>
      </c>
      <c r="F130" s="47">
        <f t="shared" si="4"/>
        <v>1600</v>
      </c>
      <c r="G130" s="44"/>
      <c r="H130" s="129">
        <f t="shared" si="5"/>
        <v>1600</v>
      </c>
      <c r="I130" s="9"/>
    </row>
    <row r="131" spans="1:9" x14ac:dyDescent="0.25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5">
      <c r="A132" s="44"/>
      <c r="B132" s="44"/>
      <c r="C132" s="44"/>
      <c r="D132" s="44"/>
      <c r="E132" s="105">
        <f>SUM(E111:E131)</f>
        <v>46400</v>
      </c>
      <c r="F132" s="44"/>
      <c r="G132" s="44"/>
      <c r="H132" s="44"/>
      <c r="I132" s="9"/>
    </row>
    <row r="133" spans="1:9" x14ac:dyDescent="0.25">
      <c r="A133" s="100" t="s">
        <v>60</v>
      </c>
      <c r="B133" s="101"/>
      <c r="C133" s="97"/>
      <c r="D133" s="102">
        <f>E132</f>
        <v>46400</v>
      </c>
      <c r="E133" s="18" t="s">
        <v>109</v>
      </c>
      <c r="F133" s="19"/>
      <c r="G133" s="18" t="s">
        <v>93</v>
      </c>
      <c r="H133" s="9"/>
      <c r="I133" s="9"/>
    </row>
    <row r="134" spans="1:9" x14ac:dyDescent="0.25">
      <c r="A134" s="103"/>
      <c r="B134" s="101"/>
      <c r="C134" s="97"/>
      <c r="D134" s="104"/>
      <c r="E134" s="38" t="s">
        <v>24</v>
      </c>
      <c r="F134" s="39"/>
      <c r="G134" s="9" t="s">
        <v>94</v>
      </c>
      <c r="H134" s="9"/>
      <c r="I134" s="9"/>
    </row>
    <row r="135" spans="1:9" x14ac:dyDescent="0.25">
      <c r="A135" s="67" t="s">
        <v>58</v>
      </c>
      <c r="B135" s="9"/>
      <c r="C135" s="9"/>
      <c r="D135" s="9"/>
      <c r="E135" s="9"/>
      <c r="F135" s="83">
        <v>0.1</v>
      </c>
      <c r="G135" s="9"/>
      <c r="H135" s="9"/>
      <c r="I135" s="9"/>
    </row>
    <row r="136" spans="1:9" x14ac:dyDescent="0.25">
      <c r="A136" s="36" t="s">
        <v>22</v>
      </c>
      <c r="B136" s="17"/>
      <c r="C136" s="9"/>
      <c r="D136" s="34">
        <f>SUM(D133*10%)</f>
        <v>4640</v>
      </c>
      <c r="E136" s="38" t="s">
        <v>81</v>
      </c>
      <c r="F136" s="35"/>
      <c r="G136" s="9"/>
      <c r="H136" s="9"/>
      <c r="I136" s="9"/>
    </row>
    <row r="137" spans="1:9" x14ac:dyDescent="0.25">
      <c r="A137" s="36" t="s">
        <v>180</v>
      </c>
      <c r="B137" s="17"/>
      <c r="C137" s="9"/>
      <c r="D137" s="34">
        <v>10000</v>
      </c>
      <c r="E137" s="38"/>
      <c r="F137" s="38"/>
      <c r="G137" s="9"/>
      <c r="H137" s="9"/>
      <c r="I137" s="9"/>
    </row>
    <row r="138" spans="1:9" x14ac:dyDescent="0.25">
      <c r="A138" s="36" t="s">
        <v>154</v>
      </c>
      <c r="B138" s="9"/>
      <c r="C138" s="86"/>
      <c r="D138" s="87">
        <f>SUM(D136:D137)</f>
        <v>14640</v>
      </c>
      <c r="E138" s="38" t="s">
        <v>24</v>
      </c>
      <c r="F138" s="39"/>
      <c r="G138" s="9"/>
      <c r="H138" s="9"/>
      <c r="I138" s="9"/>
    </row>
    <row r="139" spans="1:9" x14ac:dyDescent="0.25">
      <c r="A139" s="9"/>
      <c r="B139" s="9"/>
      <c r="C139" s="9"/>
      <c r="D139" s="72"/>
      <c r="E139" s="9"/>
      <c r="F139" s="9"/>
      <c r="G139" s="9"/>
      <c r="H139" s="9"/>
      <c r="I139" s="9"/>
    </row>
    <row r="140" spans="1:9" x14ac:dyDescent="0.25">
      <c r="A140" s="36" t="s">
        <v>26</v>
      </c>
      <c r="B140" s="9"/>
      <c r="C140" s="9"/>
      <c r="D140" s="72">
        <f>D133-D138</f>
        <v>31760</v>
      </c>
      <c r="E140" s="91"/>
      <c r="F140" s="9"/>
      <c r="G140" s="9"/>
      <c r="H140" s="9"/>
      <c r="I140" s="9"/>
    </row>
    <row r="141" spans="1:9" x14ac:dyDescent="0.25">
      <c r="A141" s="9"/>
      <c r="B141" s="9"/>
      <c r="C141" s="9"/>
      <c r="D141" s="9"/>
      <c r="E141" s="91"/>
      <c r="F141" s="72">
        <f>D136+D140</f>
        <v>36400</v>
      </c>
      <c r="G141" s="9"/>
      <c r="H141" s="9"/>
      <c r="I141" s="9"/>
    </row>
    <row r="142" spans="1:9" x14ac:dyDescent="0.25">
      <c r="B142" s="19"/>
      <c r="C142" s="19"/>
      <c r="D142" s="81" t="s">
        <v>4</v>
      </c>
      <c r="E142" s="81"/>
      <c r="F142" s="19"/>
      <c r="I142" s="9"/>
    </row>
    <row r="143" spans="1:9" x14ac:dyDescent="0.25">
      <c r="B143" s="19"/>
      <c r="C143" s="81" t="s">
        <v>87</v>
      </c>
      <c r="D143" s="81"/>
      <c r="E143" s="19"/>
      <c r="F143" s="19"/>
      <c r="I143" s="9"/>
    </row>
    <row r="144" spans="1:9" x14ac:dyDescent="0.25">
      <c r="B144" s="79"/>
      <c r="C144" s="82" t="s">
        <v>88</v>
      </c>
      <c r="D144" s="80"/>
      <c r="E144" s="80"/>
      <c r="F144" s="79"/>
      <c r="I144" s="72"/>
    </row>
    <row r="145" spans="1:9" x14ac:dyDescent="0.25">
      <c r="B145" s="5"/>
      <c r="C145" s="6" t="s">
        <v>5</v>
      </c>
      <c r="D145" s="6"/>
      <c r="E145" s="5"/>
      <c r="F145" s="4"/>
      <c r="I145" s="9"/>
    </row>
    <row r="146" spans="1:9" x14ac:dyDescent="0.25">
      <c r="A146" s="36" t="s">
        <v>257</v>
      </c>
      <c r="G146" s="9"/>
      <c r="H146" s="9"/>
      <c r="I146" s="9"/>
    </row>
    <row r="147" spans="1:9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  <c r="I147" s="9"/>
    </row>
    <row r="148" spans="1:9" x14ac:dyDescent="0.25">
      <c r="A148" s="43" t="s">
        <v>258</v>
      </c>
      <c r="B148" s="120">
        <v>1</v>
      </c>
      <c r="C148" s="116"/>
      <c r="D148" s="43"/>
      <c r="E148" s="47">
        <v>2500</v>
      </c>
      <c r="F148" s="47"/>
      <c r="G148" s="47"/>
      <c r="H148" s="43"/>
      <c r="I148" s="9"/>
    </row>
    <row r="149" spans="1:9" x14ac:dyDescent="0.25">
      <c r="A149" s="88" t="s">
        <v>253</v>
      </c>
      <c r="B149" s="120">
        <v>2</v>
      </c>
      <c r="C149" s="117"/>
      <c r="D149" s="2"/>
      <c r="E149" s="46">
        <v>2500</v>
      </c>
      <c r="F149" s="46"/>
      <c r="G149" s="47" t="s">
        <v>274</v>
      </c>
      <c r="H149" s="44"/>
      <c r="I149" s="9"/>
    </row>
    <row r="150" spans="1:9" x14ac:dyDescent="0.25">
      <c r="A150" s="88" t="s">
        <v>259</v>
      </c>
      <c r="B150" s="120">
        <v>3</v>
      </c>
      <c r="C150" s="117"/>
      <c r="D150" s="43"/>
      <c r="E150" s="46">
        <v>2500</v>
      </c>
      <c r="F150" s="46"/>
      <c r="G150" s="53"/>
      <c r="H150" s="44"/>
      <c r="I150" s="9"/>
    </row>
    <row r="151" spans="1:9" x14ac:dyDescent="0.25">
      <c r="A151" s="88" t="s">
        <v>21</v>
      </c>
      <c r="B151" s="120">
        <v>4</v>
      </c>
      <c r="C151" s="117"/>
      <c r="D151" s="43"/>
      <c r="E151" s="46"/>
      <c r="F151" s="46"/>
      <c r="G151" s="53"/>
      <c r="H151" s="44"/>
      <c r="I151" s="9"/>
    </row>
    <row r="152" spans="1:9" x14ac:dyDescent="0.25">
      <c r="A152" s="43" t="s">
        <v>260</v>
      </c>
      <c r="B152" s="120">
        <v>5</v>
      </c>
      <c r="C152" s="117"/>
      <c r="D152" s="44"/>
      <c r="E152" s="46">
        <v>4000</v>
      </c>
      <c r="F152" s="46"/>
      <c r="G152" s="46"/>
      <c r="H152" s="44"/>
      <c r="I152" s="9"/>
    </row>
    <row r="153" spans="1:9" x14ac:dyDescent="0.25">
      <c r="A153" s="43" t="s">
        <v>261</v>
      </c>
      <c r="B153" s="120">
        <v>6</v>
      </c>
      <c r="C153" s="117"/>
      <c r="D153" s="44"/>
      <c r="E153" s="46">
        <v>4000</v>
      </c>
      <c r="F153" s="46"/>
      <c r="G153" s="46"/>
      <c r="H153" s="44"/>
      <c r="I153" s="9"/>
    </row>
    <row r="154" spans="1:9" x14ac:dyDescent="0.25">
      <c r="A154" s="43" t="s">
        <v>262</v>
      </c>
      <c r="B154" s="120">
        <v>7</v>
      </c>
      <c r="C154" s="117"/>
      <c r="D154" s="44"/>
      <c r="E154" s="73">
        <v>4000</v>
      </c>
      <c r="F154" s="46"/>
      <c r="G154" s="68"/>
      <c r="H154" s="44"/>
      <c r="I154" s="9"/>
    </row>
    <row r="155" spans="1:9" x14ac:dyDescent="0.25">
      <c r="A155" s="47" t="s">
        <v>21</v>
      </c>
      <c r="B155" s="120">
        <v>8</v>
      </c>
      <c r="C155" s="118"/>
      <c r="D155" s="46"/>
      <c r="E155" s="46"/>
      <c r="F155" s="46"/>
      <c r="G155" s="46"/>
      <c r="H155" s="46"/>
      <c r="I155" s="9"/>
    </row>
    <row r="156" spans="1:9" x14ac:dyDescent="0.25">
      <c r="A156" s="44" t="s">
        <v>21</v>
      </c>
      <c r="B156" s="120">
        <v>9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45" t="s">
        <v>263</v>
      </c>
      <c r="B157" s="120">
        <v>10</v>
      </c>
      <c r="C157" s="9"/>
      <c r="D157" s="44"/>
      <c r="E157" s="115">
        <v>4000</v>
      </c>
      <c r="F157" s="44"/>
      <c r="G157" s="44"/>
      <c r="H157" s="44"/>
      <c r="I157" s="9"/>
    </row>
    <row r="158" spans="1:9" x14ac:dyDescent="0.25">
      <c r="A158" s="44" t="s">
        <v>21</v>
      </c>
      <c r="B158" s="120">
        <v>11</v>
      </c>
      <c r="C158" s="119"/>
      <c r="D158" s="44"/>
      <c r="E158" s="105"/>
      <c r="F158" s="44"/>
      <c r="G158" s="44"/>
      <c r="H158" s="44"/>
      <c r="I158" s="9"/>
    </row>
    <row r="159" spans="1:9" x14ac:dyDescent="0.25">
      <c r="A159" s="44" t="s">
        <v>264</v>
      </c>
      <c r="B159" s="120">
        <v>12</v>
      </c>
      <c r="C159" s="119"/>
      <c r="D159" s="44"/>
      <c r="E159" s="44">
        <v>4000</v>
      </c>
      <c r="F159" s="44"/>
      <c r="G159" s="44"/>
      <c r="H159" s="44"/>
      <c r="I159" s="9"/>
    </row>
    <row r="160" spans="1:9" x14ac:dyDescent="0.25">
      <c r="A160" s="44" t="s">
        <v>21</v>
      </c>
      <c r="B160" s="120">
        <v>13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44" t="s">
        <v>254</v>
      </c>
      <c r="B161" s="120">
        <v>14</v>
      </c>
      <c r="C161" s="117"/>
      <c r="D161" s="44"/>
      <c r="E161" s="44">
        <v>4000</v>
      </c>
      <c r="F161" s="44"/>
      <c r="G161" s="44" t="s">
        <v>107</v>
      </c>
      <c r="H161" s="44"/>
      <c r="I161" s="9"/>
    </row>
    <row r="162" spans="1:9" x14ac:dyDescent="0.25">
      <c r="A162" s="44" t="s">
        <v>265</v>
      </c>
      <c r="B162" s="120">
        <v>15</v>
      </c>
      <c r="C162" s="117"/>
      <c r="D162" s="44"/>
      <c r="E162" s="44"/>
      <c r="F162" s="44"/>
      <c r="G162" s="44"/>
      <c r="H162" s="44"/>
      <c r="I162" s="9"/>
    </row>
    <row r="163" spans="1:9" x14ac:dyDescent="0.25">
      <c r="A163" s="125" t="s">
        <v>255</v>
      </c>
      <c r="B163" s="120">
        <v>16</v>
      </c>
      <c r="C163" s="9"/>
      <c r="D163" s="9"/>
      <c r="E163" s="125">
        <v>4000</v>
      </c>
      <c r="F163" s="44"/>
      <c r="G163" s="44"/>
      <c r="H163" s="44"/>
      <c r="I163" s="9"/>
    </row>
    <row r="164" spans="1:9" x14ac:dyDescent="0.25">
      <c r="A164" s="44" t="s">
        <v>266</v>
      </c>
      <c r="B164" s="120">
        <v>17</v>
      </c>
      <c r="C164" s="117"/>
      <c r="D164" s="44"/>
      <c r="E164" s="44">
        <v>2000</v>
      </c>
      <c r="F164" s="44"/>
      <c r="G164" s="44"/>
      <c r="H164" s="44"/>
      <c r="I164" s="9"/>
    </row>
    <row r="165" spans="1:9" ht="15.75" x14ac:dyDescent="0.25">
      <c r="A165" s="126" t="s">
        <v>267</v>
      </c>
      <c r="B165" s="120">
        <v>18</v>
      </c>
      <c r="C165" s="117"/>
      <c r="D165" s="44"/>
      <c r="E165" s="44"/>
      <c r="F165" s="44"/>
      <c r="G165" s="44"/>
      <c r="H165" s="44"/>
      <c r="I165" s="9"/>
    </row>
    <row r="166" spans="1:9" x14ac:dyDescent="0.25">
      <c r="A166" s="44" t="s">
        <v>268</v>
      </c>
      <c r="B166" s="120">
        <v>19</v>
      </c>
      <c r="C166" s="117"/>
      <c r="D166" s="44"/>
      <c r="E166" s="44"/>
      <c r="F166" s="44"/>
      <c r="G166" s="44"/>
      <c r="H166" s="44"/>
      <c r="I166" s="9"/>
    </row>
    <row r="167" spans="1:9" x14ac:dyDescent="0.25">
      <c r="A167" s="124" t="s">
        <v>256</v>
      </c>
      <c r="B167" s="120">
        <v>20</v>
      </c>
      <c r="C167" s="117"/>
      <c r="D167" s="44"/>
      <c r="E167" s="44">
        <v>2000</v>
      </c>
      <c r="F167" s="44"/>
      <c r="G167" s="44"/>
      <c r="H167" s="44"/>
      <c r="I167" s="9"/>
    </row>
    <row r="168" spans="1:9" x14ac:dyDescent="0.25">
      <c r="A168" s="127" t="s">
        <v>269</v>
      </c>
      <c r="B168" s="120">
        <v>21</v>
      </c>
      <c r="C168" s="44"/>
      <c r="D168" s="44"/>
      <c r="E168" s="44">
        <v>2000</v>
      </c>
      <c r="F168" s="44"/>
      <c r="G168" s="44"/>
      <c r="H168" s="44"/>
      <c r="I168" s="9"/>
    </row>
    <row r="169" spans="1:9" x14ac:dyDescent="0.25">
      <c r="A169" s="127" t="s">
        <v>270</v>
      </c>
      <c r="B169" s="120">
        <v>22</v>
      </c>
      <c r="C169" s="44"/>
      <c r="D169" s="44"/>
      <c r="E169" s="44">
        <v>2000</v>
      </c>
      <c r="F169" s="44"/>
      <c r="G169" s="44"/>
      <c r="H169" s="44"/>
      <c r="I169" s="9"/>
    </row>
    <row r="170" spans="1:9" x14ac:dyDescent="0.25">
      <c r="A170" s="127" t="s">
        <v>271</v>
      </c>
      <c r="B170" s="120">
        <v>23</v>
      </c>
      <c r="C170" s="44"/>
      <c r="D170" s="44"/>
      <c r="E170" s="44">
        <v>2000</v>
      </c>
      <c r="F170" s="44"/>
      <c r="G170" s="44"/>
      <c r="H170" s="44"/>
      <c r="I170" s="9"/>
    </row>
    <row r="171" spans="1:9" x14ac:dyDescent="0.25">
      <c r="A171" s="127" t="s">
        <v>272</v>
      </c>
      <c r="B171" s="120">
        <v>24</v>
      </c>
      <c r="C171" s="44"/>
      <c r="D171" s="44"/>
      <c r="E171" s="44">
        <v>4500</v>
      </c>
      <c r="F171" s="44"/>
      <c r="G171" s="44"/>
      <c r="H171" s="44"/>
      <c r="I171" s="9"/>
    </row>
    <row r="172" spans="1:9" x14ac:dyDescent="0.25">
      <c r="A172" s="127" t="s">
        <v>273</v>
      </c>
      <c r="B172" s="120">
        <v>25</v>
      </c>
      <c r="C172" s="44"/>
      <c r="D172" s="44"/>
      <c r="E172" s="44">
        <v>2500</v>
      </c>
      <c r="F172" s="44"/>
      <c r="G172" s="44"/>
      <c r="H172" s="44"/>
      <c r="I172" s="9"/>
    </row>
    <row r="173" spans="1:9" x14ac:dyDescent="0.25">
      <c r="A173" s="44"/>
      <c r="B173" s="120"/>
      <c r="C173" s="44"/>
      <c r="D173" s="44"/>
      <c r="E173" s="105">
        <f>SUM(E148:E172)</f>
        <v>52500</v>
      </c>
      <c r="F173" s="105">
        <f>E149+E161</f>
        <v>6500</v>
      </c>
      <c r="G173" s="44"/>
      <c r="H173" s="44"/>
      <c r="I173" s="9"/>
    </row>
    <row r="174" spans="1:9" x14ac:dyDescent="0.25">
      <c r="A174" s="44"/>
      <c r="B174" s="120"/>
      <c r="C174" s="44"/>
      <c r="D174" s="44"/>
      <c r="E174" s="44"/>
      <c r="F174" s="44"/>
      <c r="G174" s="44"/>
      <c r="H174" s="44"/>
      <c r="I174" s="9"/>
    </row>
    <row r="175" spans="1:9" x14ac:dyDescent="0.25">
      <c r="A175" s="44"/>
      <c r="B175" s="120"/>
      <c r="C175" s="44"/>
      <c r="D175" s="44"/>
      <c r="E175" s="44"/>
      <c r="F175" s="44"/>
      <c r="G175" s="44"/>
      <c r="H175" s="44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5">
      <c r="A178" s="100" t="s">
        <v>60</v>
      </c>
      <c r="B178" s="101"/>
      <c r="C178" s="97"/>
      <c r="D178" s="102">
        <f>E173</f>
        <v>52500</v>
      </c>
      <c r="E178" s="9"/>
      <c r="F178" s="9"/>
      <c r="G178" s="9"/>
      <c r="H178" s="9"/>
      <c r="I178" s="9"/>
    </row>
    <row r="179" spans="1:9" x14ac:dyDescent="0.25">
      <c r="A179" s="9"/>
      <c r="B179" s="101"/>
      <c r="C179" s="128">
        <v>0.1</v>
      </c>
      <c r="D179" s="104"/>
      <c r="E179" s="9"/>
      <c r="F179" s="9"/>
      <c r="G179" s="9"/>
      <c r="H179" s="9"/>
      <c r="I179" s="9"/>
    </row>
    <row r="180" spans="1:9" x14ac:dyDescent="0.25">
      <c r="A180" s="103"/>
      <c r="B180" s="101"/>
      <c r="C180" s="97"/>
      <c r="D180" s="9"/>
      <c r="E180" s="9"/>
      <c r="F180" s="9"/>
      <c r="G180" s="9"/>
      <c r="H180" s="9"/>
      <c r="I180" s="9"/>
    </row>
    <row r="181" spans="1:9" x14ac:dyDescent="0.25">
      <c r="A181" s="67" t="s">
        <v>58</v>
      </c>
      <c r="B181" s="9"/>
      <c r="C181" s="9"/>
      <c r="D181" s="9"/>
      <c r="E181" s="9"/>
      <c r="F181" s="9"/>
      <c r="G181" s="9"/>
      <c r="H181" s="9"/>
      <c r="I181" s="9"/>
    </row>
    <row r="182" spans="1:9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5">
      <c r="A183" s="103" t="s">
        <v>196</v>
      </c>
      <c r="B183" s="9"/>
      <c r="C183" s="9"/>
      <c r="D183" s="104">
        <f>D178*C179</f>
        <v>5250</v>
      </c>
      <c r="E183" s="72">
        <f>D178-D183</f>
        <v>47250</v>
      </c>
      <c r="F183" s="9"/>
      <c r="G183" s="9"/>
      <c r="H183" s="9"/>
      <c r="I183" s="9"/>
    </row>
    <row r="184" spans="1:9" x14ac:dyDescent="0.25">
      <c r="A184" s="36" t="s">
        <v>275</v>
      </c>
      <c r="B184" s="17"/>
      <c r="C184" s="9"/>
      <c r="D184" s="34">
        <f>E149+E161</f>
        <v>6500</v>
      </c>
      <c r="E184" s="9"/>
      <c r="F184" s="9"/>
      <c r="G184" s="9"/>
      <c r="H184" s="9"/>
      <c r="I184" s="9"/>
    </row>
    <row r="185" spans="1:9" x14ac:dyDescent="0.25">
      <c r="A185" s="36" t="s">
        <v>180</v>
      </c>
      <c r="B185" s="17"/>
      <c r="C185" s="9"/>
      <c r="D185" s="34">
        <v>20000</v>
      </c>
      <c r="E185" s="9"/>
      <c r="F185" s="9"/>
      <c r="G185" s="9"/>
      <c r="H185" s="9"/>
      <c r="I185" s="9"/>
    </row>
    <row r="186" spans="1:9" x14ac:dyDescent="0.25">
      <c r="A186" s="36" t="s">
        <v>287</v>
      </c>
      <c r="B186" s="9"/>
      <c r="C186" s="9"/>
      <c r="D186" s="72">
        <v>15350</v>
      </c>
      <c r="E186" s="9"/>
      <c r="F186" s="9"/>
      <c r="G186" s="9"/>
      <c r="H186" s="9"/>
      <c r="I186" s="9"/>
    </row>
    <row r="187" spans="1:9" x14ac:dyDescent="0.25">
      <c r="A187" s="36" t="s">
        <v>154</v>
      </c>
      <c r="B187" s="9"/>
      <c r="C187" s="86"/>
      <c r="D187" s="87">
        <f>SUM(D183:D186)</f>
        <v>47100</v>
      </c>
      <c r="E187" s="9"/>
      <c r="F187" s="9"/>
      <c r="G187" s="9"/>
      <c r="H187" s="9" t="s">
        <v>276</v>
      </c>
      <c r="I187" s="9"/>
    </row>
    <row r="188" spans="1:9" x14ac:dyDescent="0.25">
      <c r="A188" s="36" t="s">
        <v>165</v>
      </c>
      <c r="D188" s="72">
        <f>D178-D187</f>
        <v>5400</v>
      </c>
      <c r="E188" s="9"/>
      <c r="F188" s="9"/>
      <c r="G188" s="9"/>
      <c r="H188" s="9"/>
      <c r="I188" s="9"/>
    </row>
    <row r="189" spans="1:9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I189" s="9"/>
    </row>
    <row r="190" spans="1:9" x14ac:dyDescent="0.25">
      <c r="A190" s="4"/>
      <c r="B190" s="5"/>
      <c r="C190" s="6" t="s">
        <v>5</v>
      </c>
      <c r="D190" s="6"/>
      <c r="E190" s="5"/>
      <c r="F190" s="4"/>
      <c r="G190" s="9"/>
      <c r="H190" s="9"/>
      <c r="I190" s="9"/>
    </row>
    <row r="191" spans="1:9" ht="15.75" x14ac:dyDescent="0.25">
      <c r="A191" s="4"/>
      <c r="B191" s="52"/>
      <c r="C191" s="4"/>
      <c r="D191" s="4"/>
      <c r="E191" s="4"/>
      <c r="F191" s="5"/>
      <c r="G191" s="9"/>
      <c r="H191" s="9"/>
      <c r="I191" s="9"/>
    </row>
    <row r="192" spans="1:9" x14ac:dyDescent="0.25">
      <c r="A192" s="9" t="s">
        <v>278</v>
      </c>
      <c r="B192" s="9"/>
      <c r="C192" s="95"/>
      <c r="D192" s="95"/>
      <c r="E192" s="96" t="s">
        <v>277</v>
      </c>
      <c r="F192" s="95"/>
      <c r="G192" s="95"/>
      <c r="H192" s="9"/>
      <c r="I192" s="9"/>
    </row>
    <row r="193" spans="1:9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I193" s="9"/>
    </row>
    <row r="194" spans="1:9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9"/>
      <c r="H194" s="43"/>
      <c r="I194" s="9"/>
    </row>
    <row r="195" spans="1:9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/>
      <c r="H195" s="44"/>
      <c r="I195" s="9"/>
    </row>
    <row r="196" spans="1:9" x14ac:dyDescent="0.25">
      <c r="A196" s="88" t="s">
        <v>281</v>
      </c>
      <c r="B196" s="120">
        <v>3</v>
      </c>
      <c r="C196" s="117"/>
      <c r="D196" s="43"/>
      <c r="E196" s="46"/>
      <c r="F196" s="46">
        <v>2000</v>
      </c>
      <c r="G196" s="53"/>
      <c r="H196" s="44"/>
      <c r="I196" s="9"/>
    </row>
    <row r="197" spans="1:9" x14ac:dyDescent="0.25">
      <c r="A197" s="88" t="s">
        <v>282</v>
      </c>
      <c r="B197" s="120">
        <v>4</v>
      </c>
      <c r="C197" s="117"/>
      <c r="D197" s="43"/>
      <c r="E197" s="46"/>
      <c r="F197" s="46">
        <v>3500</v>
      </c>
      <c r="G197" s="53"/>
      <c r="H197" s="44"/>
      <c r="I197" s="9"/>
    </row>
    <row r="198" spans="1:9" x14ac:dyDescent="0.25">
      <c r="A198" s="43" t="s">
        <v>283</v>
      </c>
      <c r="B198" s="120">
        <v>5</v>
      </c>
      <c r="C198" s="117"/>
      <c r="D198" s="44"/>
      <c r="E198" s="46"/>
      <c r="F198" s="46">
        <v>2000</v>
      </c>
      <c r="G198" s="46"/>
      <c r="H198" s="44"/>
      <c r="I198" s="9"/>
    </row>
    <row r="199" spans="1:9" x14ac:dyDescent="0.25">
      <c r="A199" s="43" t="s">
        <v>284</v>
      </c>
      <c r="B199" s="120">
        <v>6</v>
      </c>
      <c r="C199" s="117"/>
      <c r="D199" s="44"/>
      <c r="E199" s="46"/>
      <c r="F199" s="46">
        <v>3500</v>
      </c>
      <c r="G199" s="46"/>
      <c r="H199" s="44"/>
      <c r="I199" s="9"/>
    </row>
    <row r="200" spans="1:9" x14ac:dyDescent="0.25">
      <c r="A200" s="43" t="s">
        <v>285</v>
      </c>
      <c r="B200" s="120">
        <v>7</v>
      </c>
      <c r="C200" s="117"/>
      <c r="D200" s="44"/>
      <c r="E200" s="73"/>
      <c r="F200" s="46">
        <v>3500</v>
      </c>
      <c r="G200" s="68"/>
      <c r="H200" s="44"/>
      <c r="I200" s="9"/>
    </row>
    <row r="201" spans="1:9" x14ac:dyDescent="0.25">
      <c r="A201" s="47"/>
      <c r="B201" s="120">
        <v>8</v>
      </c>
      <c r="C201" s="118"/>
      <c r="D201" s="46"/>
      <c r="E201" s="46"/>
      <c r="F201" s="46">
        <f>SUM(F194:F200)</f>
        <v>21500</v>
      </c>
      <c r="G201" s="46"/>
      <c r="H201" s="46"/>
      <c r="I201" s="9"/>
    </row>
    <row r="202" spans="1:9" x14ac:dyDescent="0.25">
      <c r="A202" s="44"/>
      <c r="B202" s="120">
        <v>9</v>
      </c>
      <c r="C202" s="117"/>
      <c r="D202" s="44"/>
      <c r="E202" s="44"/>
      <c r="F202" s="44"/>
      <c r="G202" s="44"/>
      <c r="H202" s="44"/>
      <c r="I202" s="9"/>
    </row>
    <row r="203" spans="1:9" x14ac:dyDescent="0.25">
      <c r="A203" s="45" t="s">
        <v>137</v>
      </c>
      <c r="B203" s="120">
        <v>10</v>
      </c>
      <c r="C203" s="9"/>
      <c r="D203" s="44"/>
      <c r="E203" s="115"/>
      <c r="F203" s="44"/>
      <c r="G203" s="44"/>
      <c r="H203" s="44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</row>
    <row r="205" spans="1:9" x14ac:dyDescent="0.25">
      <c r="B205" s="100" t="s">
        <v>60</v>
      </c>
      <c r="C205" s="101"/>
      <c r="D205" s="97"/>
      <c r="E205" s="102">
        <f>F201</f>
        <v>21500</v>
      </c>
      <c r="F205">
        <v>7000</v>
      </c>
      <c r="G205" s="72">
        <f>E205-F205</f>
        <v>14500</v>
      </c>
    </row>
    <row r="206" spans="1:9" x14ac:dyDescent="0.25">
      <c r="B206" s="9"/>
      <c r="C206" s="101"/>
      <c r="D206" s="128">
        <v>0.1</v>
      </c>
      <c r="E206" s="104"/>
    </row>
    <row r="207" spans="1:9" x14ac:dyDescent="0.25">
      <c r="B207" s="103"/>
      <c r="C207" s="101"/>
      <c r="D207" s="97"/>
      <c r="E207" s="9"/>
    </row>
    <row r="208" spans="1:9" x14ac:dyDescent="0.25">
      <c r="B208" s="67" t="s">
        <v>58</v>
      </c>
      <c r="C208" s="9"/>
      <c r="D208" s="9"/>
      <c r="E208" s="9"/>
    </row>
    <row r="209" spans="2:6" x14ac:dyDescent="0.25">
      <c r="B209" s="9"/>
      <c r="C209" s="9"/>
      <c r="D209" s="9"/>
      <c r="E209" s="9"/>
    </row>
    <row r="210" spans="2:6" x14ac:dyDescent="0.25">
      <c r="B210" s="103" t="s">
        <v>196</v>
      </c>
      <c r="C210" s="9"/>
      <c r="D210" s="9"/>
      <c r="E210" s="104">
        <f>E205*D206</f>
        <v>2150</v>
      </c>
    </row>
    <row r="211" spans="2:6" x14ac:dyDescent="0.25">
      <c r="B211" s="36"/>
      <c r="C211" s="17"/>
      <c r="D211" s="9"/>
      <c r="E211" s="34">
        <f>F176+F188</f>
        <v>0</v>
      </c>
    </row>
    <row r="212" spans="2:6" x14ac:dyDescent="0.25">
      <c r="B212" s="36" t="s">
        <v>294</v>
      </c>
      <c r="C212" s="17"/>
      <c r="D212" s="9"/>
      <c r="E212" s="34">
        <v>19350</v>
      </c>
      <c r="F212" s="72">
        <f>E212+E214</f>
        <v>19350</v>
      </c>
    </row>
    <row r="213" spans="2:6" x14ac:dyDescent="0.25">
      <c r="B213" s="36" t="s">
        <v>154</v>
      </c>
      <c r="C213" s="9"/>
      <c r="D213" s="86"/>
      <c r="E213" s="87">
        <f>SUM(E210:E212)</f>
        <v>21500</v>
      </c>
    </row>
    <row r="214" spans="2:6" x14ac:dyDescent="0.25">
      <c r="B214" s="36" t="s">
        <v>165</v>
      </c>
      <c r="C214" s="9"/>
      <c r="D214" s="9"/>
      <c r="E214" s="72">
        <f>E205-E213</f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153" workbookViewId="0">
      <selection activeCell="I187" sqref="I187"/>
    </sheetView>
  </sheetViews>
  <sheetFormatPr defaultRowHeight="15" x14ac:dyDescent="0.25"/>
  <cols>
    <col min="1" max="1" width="16.7109375" customWidth="1"/>
    <col min="4" max="4" width="12.7109375" customWidth="1"/>
    <col min="5" max="5" width="12" customWidth="1"/>
    <col min="6" max="6" width="11.42578125" customWidth="1"/>
    <col min="7" max="7" width="11.5703125" customWidth="1"/>
    <col min="8" max="8" width="12.5703125" customWidth="1"/>
    <col min="12" max="12" width="10.5703125" bestFit="1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23.25" x14ac:dyDescent="0.35">
      <c r="A6" s="4"/>
      <c r="B6" s="616" t="s">
        <v>97</v>
      </c>
      <c r="C6" s="616"/>
      <c r="D6" s="616"/>
      <c r="E6" s="616"/>
      <c r="F6" s="616"/>
      <c r="G6" s="616"/>
      <c r="H6" s="9"/>
    </row>
    <row r="7" spans="1:8" x14ac:dyDescent="0.25">
      <c r="A7" s="9"/>
      <c r="B7" s="9"/>
      <c r="C7" s="95"/>
      <c r="D7" s="95"/>
      <c r="E7" s="96" t="s">
        <v>308</v>
      </c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/>
      <c r="B9" s="10"/>
      <c r="C9" s="43"/>
      <c r="D9" s="43"/>
      <c r="E9" s="47"/>
      <c r="F9" s="47"/>
      <c r="G9" s="47"/>
      <c r="H9" s="43"/>
    </row>
    <row r="10" spans="1:8" x14ac:dyDescent="0.25">
      <c r="A10" s="88" t="s">
        <v>297</v>
      </c>
      <c r="B10" s="3"/>
      <c r="C10" s="44"/>
      <c r="D10" s="2"/>
      <c r="E10" s="46">
        <v>3000</v>
      </c>
      <c r="F10" s="46">
        <f>D10+E10</f>
        <v>3000</v>
      </c>
      <c r="G10" s="56">
        <v>3000</v>
      </c>
      <c r="H10" s="105">
        <f>F10-G10</f>
        <v>0</v>
      </c>
    </row>
    <row r="11" spans="1:8" x14ac:dyDescent="0.25">
      <c r="A11" s="88" t="s">
        <v>103</v>
      </c>
      <c r="B11" s="45" t="s">
        <v>101</v>
      </c>
      <c r="C11" s="44"/>
      <c r="D11" s="43"/>
      <c r="E11" s="46">
        <v>4500</v>
      </c>
      <c r="F11" s="46">
        <f t="shared" ref="F11:F21" si="0">D11+E11</f>
        <v>4500</v>
      </c>
      <c r="G11" s="46">
        <v>4500</v>
      </c>
      <c r="H11" s="105">
        <f t="shared" ref="H11:H21" si="1">F11-G11</f>
        <v>0</v>
      </c>
    </row>
    <row r="12" spans="1:8" x14ac:dyDescent="0.25">
      <c r="A12" s="88" t="s">
        <v>104</v>
      </c>
      <c r="B12" s="43" t="s">
        <v>102</v>
      </c>
      <c r="C12" s="44"/>
      <c r="D12" s="43"/>
      <c r="E12" s="46">
        <v>5000</v>
      </c>
      <c r="F12" s="46">
        <f t="shared" si="0"/>
        <v>5000</v>
      </c>
      <c r="G12" s="56">
        <v>5000</v>
      </c>
      <c r="H12" s="105">
        <f t="shared" si="1"/>
        <v>0</v>
      </c>
    </row>
    <row r="13" spans="1:8" x14ac:dyDescent="0.25">
      <c r="A13" s="43" t="s">
        <v>211</v>
      </c>
      <c r="B13" s="3"/>
      <c r="C13" s="44"/>
      <c r="D13" s="44"/>
      <c r="E13" s="46">
        <v>1500</v>
      </c>
      <c r="F13" s="46">
        <f t="shared" si="0"/>
        <v>1500</v>
      </c>
      <c r="G13" s="46">
        <v>1000</v>
      </c>
      <c r="H13" s="105">
        <f t="shared" si="1"/>
        <v>500</v>
      </c>
    </row>
    <row r="14" spans="1:8" x14ac:dyDescent="0.25">
      <c r="A14" s="43"/>
      <c r="B14" s="3"/>
      <c r="C14" s="44"/>
      <c r="D14" s="44"/>
      <c r="E14" s="46"/>
      <c r="F14" s="46"/>
      <c r="G14" s="46"/>
      <c r="H14" s="105">
        <f t="shared" si="1"/>
        <v>0</v>
      </c>
    </row>
    <row r="15" spans="1:8" x14ac:dyDescent="0.25">
      <c r="A15" s="43" t="s">
        <v>131</v>
      </c>
      <c r="B15" s="3"/>
      <c r="C15" s="44"/>
      <c r="D15" s="44"/>
      <c r="E15" s="73"/>
      <c r="F15" s="46">
        <f t="shared" si="0"/>
        <v>0</v>
      </c>
      <c r="G15" s="68"/>
      <c r="H15" s="105">
        <f t="shared" si="1"/>
        <v>0</v>
      </c>
    </row>
    <row r="16" spans="1:8" x14ac:dyDescent="0.25">
      <c r="A16" s="47" t="s">
        <v>238</v>
      </c>
      <c r="B16" s="16"/>
      <c r="C16" s="48"/>
      <c r="D16" s="46"/>
      <c r="E16" s="46">
        <v>3000</v>
      </c>
      <c r="F16" s="46">
        <f t="shared" si="0"/>
        <v>3000</v>
      </c>
      <c r="G16" s="46">
        <v>0</v>
      </c>
      <c r="H16" s="105">
        <f t="shared" si="1"/>
        <v>3000</v>
      </c>
    </row>
    <row r="17" spans="1:9" x14ac:dyDescent="0.25">
      <c r="A17" s="44"/>
      <c r="B17" s="44"/>
      <c r="C17" s="44"/>
      <c r="D17" s="44"/>
      <c r="E17" s="44"/>
      <c r="F17" s="46"/>
      <c r="G17" s="44"/>
      <c r="H17" s="105">
        <f t="shared" si="1"/>
        <v>0</v>
      </c>
    </row>
    <row r="18" spans="1:9" x14ac:dyDescent="0.25">
      <c r="A18" s="88" t="s">
        <v>296</v>
      </c>
      <c r="B18" s="44"/>
      <c r="C18" s="44"/>
      <c r="D18" s="44"/>
      <c r="E18" s="115">
        <v>2500</v>
      </c>
      <c r="F18" s="46">
        <f t="shared" si="0"/>
        <v>2500</v>
      </c>
      <c r="G18" s="115">
        <v>2500</v>
      </c>
      <c r="H18" s="105">
        <f t="shared" si="1"/>
        <v>0</v>
      </c>
    </row>
    <row r="19" spans="1:9" x14ac:dyDescent="0.25">
      <c r="A19" s="88"/>
      <c r="B19" s="44"/>
      <c r="C19" s="44"/>
      <c r="D19" s="44"/>
      <c r="E19" s="115"/>
      <c r="F19" s="46"/>
      <c r="G19" s="115"/>
      <c r="H19" s="105">
        <f t="shared" si="1"/>
        <v>0</v>
      </c>
    </row>
    <row r="20" spans="1:9" x14ac:dyDescent="0.25">
      <c r="A20" s="88" t="s">
        <v>288</v>
      </c>
      <c r="B20" s="44"/>
      <c r="C20" s="44"/>
      <c r="D20" s="44"/>
      <c r="E20" s="115">
        <v>1500</v>
      </c>
      <c r="F20" s="46">
        <f t="shared" si="0"/>
        <v>1500</v>
      </c>
      <c r="G20" s="134">
        <v>1500</v>
      </c>
      <c r="H20" s="105">
        <f t="shared" si="1"/>
        <v>0</v>
      </c>
      <c r="I20" t="s">
        <v>107</v>
      </c>
    </row>
    <row r="21" spans="1:9" x14ac:dyDescent="0.25">
      <c r="A21" s="88" t="s">
        <v>289</v>
      </c>
      <c r="B21" s="44"/>
      <c r="C21" s="44"/>
      <c r="D21" s="44"/>
      <c r="E21" s="115">
        <v>1500</v>
      </c>
      <c r="F21" s="46">
        <f t="shared" si="0"/>
        <v>1500</v>
      </c>
      <c r="G21" s="134">
        <v>1500</v>
      </c>
      <c r="H21" s="105">
        <f t="shared" si="1"/>
        <v>0</v>
      </c>
    </row>
    <row r="22" spans="1:9" x14ac:dyDescent="0.25">
      <c r="A22" s="44"/>
      <c r="B22" s="44"/>
      <c r="C22" s="44"/>
      <c r="D22" s="44"/>
      <c r="E22" s="105">
        <f>SUM(E9:E21)</f>
        <v>22500</v>
      </c>
      <c r="F22" s="105">
        <f>SUM(F10:F21)</f>
        <v>22500</v>
      </c>
      <c r="G22" s="105">
        <f>SUM(G9:G18)</f>
        <v>16000</v>
      </c>
      <c r="H22" s="105">
        <f>SUM(H10:H21)</f>
        <v>3500</v>
      </c>
    </row>
    <row r="23" spans="1:9" x14ac:dyDescent="0.25">
      <c r="A23" s="100" t="s">
        <v>60</v>
      </c>
      <c r="B23" s="101"/>
      <c r="C23" s="97"/>
      <c r="D23" s="102">
        <f>E22</f>
        <v>22500</v>
      </c>
      <c r="E23" s="18" t="s">
        <v>109</v>
      </c>
      <c r="F23" s="19"/>
      <c r="G23" s="18" t="s">
        <v>93</v>
      </c>
      <c r="H23" s="72"/>
    </row>
    <row r="24" spans="1:9" x14ac:dyDescent="0.25">
      <c r="A24" s="103"/>
      <c r="B24" s="101"/>
      <c r="C24" s="97"/>
      <c r="D24" s="104">
        <f>Sheet12!D67</f>
        <v>-5850</v>
      </c>
      <c r="E24" s="38" t="s">
        <v>24</v>
      </c>
      <c r="F24" s="39"/>
      <c r="G24" s="9" t="s">
        <v>94</v>
      </c>
      <c r="H24" s="9"/>
    </row>
    <row r="25" spans="1:9" x14ac:dyDescent="0.25">
      <c r="A25" s="103"/>
      <c r="B25" s="101"/>
      <c r="C25" s="97"/>
      <c r="D25" s="104">
        <f>SUM(D23:D24)</f>
        <v>16650</v>
      </c>
      <c r="E25" s="38"/>
      <c r="F25" s="39"/>
      <c r="G25" s="9"/>
      <c r="H25" s="9"/>
    </row>
    <row r="26" spans="1:9" x14ac:dyDescent="0.25">
      <c r="A26" s="67" t="s">
        <v>58</v>
      </c>
      <c r="B26" s="9"/>
      <c r="C26" s="9"/>
      <c r="D26" s="9"/>
      <c r="E26" s="9"/>
      <c r="F26" s="9"/>
      <c r="G26" s="9"/>
      <c r="H26" s="9"/>
    </row>
    <row r="27" spans="1:9" x14ac:dyDescent="0.25">
      <c r="A27" s="36" t="s">
        <v>22</v>
      </c>
      <c r="B27" s="17"/>
      <c r="C27" s="9"/>
      <c r="D27" s="34">
        <f>SUM(D23*10%)</f>
        <v>2250</v>
      </c>
      <c r="E27" s="38"/>
      <c r="F27" s="35"/>
      <c r="G27" s="9"/>
      <c r="H27" s="9"/>
    </row>
    <row r="28" spans="1:9" x14ac:dyDescent="0.25">
      <c r="A28" s="9" t="s">
        <v>306</v>
      </c>
      <c r="B28" s="9"/>
      <c r="C28" s="9"/>
      <c r="D28" s="72">
        <v>12000</v>
      </c>
      <c r="E28" s="38"/>
      <c r="F28" s="38"/>
      <c r="G28" s="9"/>
      <c r="H28" s="9"/>
    </row>
    <row r="29" spans="1:9" x14ac:dyDescent="0.25">
      <c r="A29" s="36" t="s">
        <v>107</v>
      </c>
      <c r="B29" s="9"/>
      <c r="C29" s="9"/>
      <c r="D29" s="72">
        <v>1500</v>
      </c>
      <c r="E29" s="9"/>
      <c r="F29" s="9"/>
      <c r="G29" s="9"/>
      <c r="H29" s="9"/>
    </row>
    <row r="30" spans="1:9" s="9" customFormat="1" x14ac:dyDescent="0.25">
      <c r="A30" s="36" t="s">
        <v>332</v>
      </c>
      <c r="D30" s="72">
        <v>900</v>
      </c>
    </row>
    <row r="31" spans="1:9" s="9" customFormat="1" x14ac:dyDescent="0.25">
      <c r="A31" s="36" t="s">
        <v>2</v>
      </c>
      <c r="D31" s="72">
        <f>SUM(D27:D30)</f>
        <v>16650</v>
      </c>
    </row>
    <row r="32" spans="1:9" x14ac:dyDescent="0.25">
      <c r="A32" s="9"/>
      <c r="B32" s="9"/>
      <c r="C32" s="9"/>
      <c r="D32" s="135">
        <f>D25-D31</f>
        <v>0</v>
      </c>
      <c r="E32" s="9"/>
      <c r="F32" s="9"/>
      <c r="G32" s="9"/>
      <c r="H32" s="9"/>
    </row>
    <row r="33" spans="1:8" x14ac:dyDescent="0.25">
      <c r="A33" s="9"/>
      <c r="B33" s="9"/>
      <c r="C33" s="86"/>
      <c r="D33" s="72"/>
      <c r="E33" s="38" t="s">
        <v>24</v>
      </c>
      <c r="F33" s="39"/>
      <c r="G33" s="9"/>
      <c r="H33" s="9"/>
    </row>
    <row r="34" spans="1:8" x14ac:dyDescent="0.25">
      <c r="A34" s="36"/>
      <c r="B34" s="9"/>
      <c r="C34" s="9"/>
      <c r="D34" s="72"/>
      <c r="E34" s="9"/>
      <c r="F34" s="9"/>
      <c r="G34" s="9"/>
      <c r="H34" s="9"/>
    </row>
    <row r="35" spans="1:8" x14ac:dyDescent="0.25">
      <c r="B35" s="9"/>
      <c r="C35" s="9"/>
      <c r="D35" s="72"/>
      <c r="E35" s="91"/>
      <c r="F35" s="9"/>
      <c r="G35" s="9"/>
      <c r="H35" s="9"/>
    </row>
    <row r="36" spans="1:8" x14ac:dyDescent="0.25">
      <c r="B36" s="9"/>
      <c r="C36" s="9"/>
      <c r="D36" s="72"/>
      <c r="E36" s="91"/>
      <c r="F36" s="9"/>
      <c r="G36" s="9"/>
      <c r="H36" s="9"/>
    </row>
    <row r="37" spans="1:8" ht="16.5" x14ac:dyDescent="0.35">
      <c r="A37" s="92"/>
      <c r="B37" s="85"/>
      <c r="C37" s="9"/>
      <c r="D37" s="72"/>
      <c r="E37" s="9" t="s">
        <v>163</v>
      </c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15.75" x14ac:dyDescent="0.25">
      <c r="A45" s="9"/>
      <c r="B45" s="4"/>
      <c r="C45" s="52"/>
      <c r="D45" s="4" t="s">
        <v>171</v>
      </c>
      <c r="E45" s="4"/>
      <c r="F45" s="4"/>
      <c r="G45" s="5"/>
      <c r="H45" s="9"/>
    </row>
    <row r="46" spans="1:8" x14ac:dyDescent="0.25">
      <c r="A46" s="9"/>
      <c r="B46" s="95"/>
      <c r="C46" s="95"/>
      <c r="D46" s="96" t="s">
        <v>311</v>
      </c>
      <c r="E46" s="95"/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22" t="s">
        <v>55</v>
      </c>
      <c r="D47" s="21" t="s">
        <v>1</v>
      </c>
      <c r="E47" s="44" t="s">
        <v>164</v>
      </c>
      <c r="F47" s="21" t="s">
        <v>3</v>
      </c>
      <c r="G47" s="106" t="s">
        <v>165</v>
      </c>
      <c r="H47" s="44"/>
    </row>
    <row r="48" spans="1:8" x14ac:dyDescent="0.25">
      <c r="A48" s="43" t="s">
        <v>166</v>
      </c>
      <c r="B48" s="3"/>
      <c r="C48" s="2"/>
      <c r="D48" s="46">
        <v>3500</v>
      </c>
      <c r="E48" s="105">
        <f>C48+D48</f>
        <v>3500</v>
      </c>
      <c r="F48" s="44">
        <v>3500</v>
      </c>
      <c r="G48" s="107">
        <f>E48-F48</f>
        <v>0</v>
      </c>
      <c r="H48" s="44"/>
    </row>
    <row r="49" spans="1:16" x14ac:dyDescent="0.25">
      <c r="A49" s="43" t="s">
        <v>167</v>
      </c>
      <c r="B49" s="3"/>
      <c r="C49" s="44"/>
      <c r="D49" s="46">
        <v>3500</v>
      </c>
      <c r="E49" s="105">
        <f>C49+D49</f>
        <v>3500</v>
      </c>
      <c r="F49" s="44">
        <v>3500</v>
      </c>
      <c r="G49" s="107">
        <f>E49-F49</f>
        <v>0</v>
      </c>
      <c r="H49" s="44"/>
    </row>
    <row r="50" spans="1:16" x14ac:dyDescent="0.25">
      <c r="A50" s="43" t="s">
        <v>168</v>
      </c>
      <c r="B50" s="69"/>
      <c r="C50" s="108"/>
      <c r="D50" s="47">
        <v>3500</v>
      </c>
      <c r="E50" s="105">
        <f>C50+D50</f>
        <v>3500</v>
      </c>
      <c r="F50" s="44">
        <v>2000</v>
      </c>
      <c r="G50" s="107">
        <f>E50-F50</f>
        <v>1500</v>
      </c>
      <c r="H50" s="44" t="s">
        <v>169</v>
      </c>
    </row>
    <row r="51" spans="1:16" x14ac:dyDescent="0.25">
      <c r="A51" s="43" t="s">
        <v>208</v>
      </c>
      <c r="B51" s="3"/>
      <c r="C51" s="109"/>
      <c r="D51" s="46">
        <v>3500</v>
      </c>
      <c r="E51" s="105"/>
      <c r="F51" s="44"/>
      <c r="G51" s="107"/>
      <c r="H51" s="44"/>
    </row>
    <row r="52" spans="1:16" x14ac:dyDescent="0.25">
      <c r="A52" s="45"/>
      <c r="B52" s="3"/>
      <c r="C52" s="43"/>
      <c r="D52" s="46"/>
      <c r="E52" s="105">
        <f>C52+D52</f>
        <v>0</v>
      </c>
      <c r="F52" s="44"/>
      <c r="G52" s="107">
        <f>E52-F52</f>
        <v>0</v>
      </c>
      <c r="H52" s="44"/>
    </row>
    <row r="53" spans="1:16" x14ac:dyDescent="0.25">
      <c r="A53" s="110" t="s">
        <v>2</v>
      </c>
      <c r="B53" s="111"/>
      <c r="C53" s="110">
        <f>SUM(C48:C52)</f>
        <v>0</v>
      </c>
      <c r="D53" s="53">
        <f>SUM(D48:D52)</f>
        <v>14000</v>
      </c>
      <c r="E53" s="112">
        <f>SUM(E48:E52)</f>
        <v>10500</v>
      </c>
      <c r="F53" s="113">
        <f>SUM(F48:F52)</f>
        <v>9000</v>
      </c>
      <c r="G53" s="114">
        <f>SUM(G48:G52)</f>
        <v>1500</v>
      </c>
      <c r="H53" s="44"/>
    </row>
    <row r="54" spans="1:16" x14ac:dyDescent="0.25">
      <c r="A54" s="43"/>
      <c r="B54" s="3"/>
      <c r="C54" s="44"/>
      <c r="D54" s="46"/>
      <c r="E54" s="44"/>
      <c r="F54" s="9"/>
      <c r="G54" s="9"/>
      <c r="H54" s="9"/>
    </row>
    <row r="55" spans="1:16" x14ac:dyDescent="0.25">
      <c r="A55" s="9"/>
      <c r="B55" s="9"/>
      <c r="C55" s="9"/>
      <c r="D55" s="9"/>
      <c r="E55" s="9"/>
      <c r="F55" s="9"/>
      <c r="G55" s="9"/>
      <c r="H55" s="9"/>
    </row>
    <row r="56" spans="1:16" x14ac:dyDescent="0.25">
      <c r="A56" s="100" t="s">
        <v>60</v>
      </c>
      <c r="B56" s="101"/>
      <c r="C56" s="97"/>
      <c r="D56" s="102">
        <f>D53</f>
        <v>14000</v>
      </c>
      <c r="E56" s="9"/>
      <c r="F56" s="18" t="s">
        <v>109</v>
      </c>
      <c r="G56" s="19"/>
      <c r="H56" s="18" t="s">
        <v>232</v>
      </c>
    </row>
    <row r="57" spans="1:16" x14ac:dyDescent="0.25">
      <c r="A57" s="103"/>
      <c r="B57" s="101"/>
      <c r="C57" s="97"/>
      <c r="D57" s="104"/>
      <c r="E57" s="51"/>
      <c r="F57" s="38" t="s">
        <v>24</v>
      </c>
      <c r="G57" s="39"/>
      <c r="H57" s="9" t="s">
        <v>94</v>
      </c>
      <c r="N57">
        <v>33400</v>
      </c>
    </row>
    <row r="58" spans="1:16" x14ac:dyDescent="0.25">
      <c r="A58" s="9" t="s">
        <v>196</v>
      </c>
      <c r="B58" s="9"/>
      <c r="C58" s="83">
        <v>0.1</v>
      </c>
      <c r="D58" s="9"/>
      <c r="E58" s="9"/>
      <c r="F58" s="9"/>
      <c r="G58" s="9"/>
      <c r="H58" s="9"/>
      <c r="N58">
        <v>52000</v>
      </c>
    </row>
    <row r="59" spans="1:16" x14ac:dyDescent="0.25">
      <c r="A59" s="36" t="s">
        <v>22</v>
      </c>
      <c r="B59" s="17"/>
      <c r="C59" s="9"/>
      <c r="D59" s="34">
        <f>C58*D56</f>
        <v>1400</v>
      </c>
      <c r="E59" s="9"/>
      <c r="F59" s="38" t="s">
        <v>81</v>
      </c>
      <c r="G59" s="38"/>
      <c r="H59" s="9"/>
      <c r="N59">
        <v>18500</v>
      </c>
    </row>
    <row r="60" spans="1:16" x14ac:dyDescent="0.25">
      <c r="A60" s="36" t="s">
        <v>172</v>
      </c>
      <c r="B60" s="9"/>
      <c r="C60" s="9"/>
      <c r="D60" s="9">
        <v>5000</v>
      </c>
      <c r="E60" s="9"/>
      <c r="F60" s="38" t="s">
        <v>24</v>
      </c>
      <c r="G60" s="39"/>
      <c r="H60" s="9"/>
      <c r="N60">
        <f>SUM(N57:N59)</f>
        <v>103900</v>
      </c>
      <c r="O60" s="83">
        <v>0.4</v>
      </c>
      <c r="P60">
        <f>N60*O60</f>
        <v>41560</v>
      </c>
    </row>
    <row r="61" spans="1:16" x14ac:dyDescent="0.25">
      <c r="A61" s="9" t="s">
        <v>295</v>
      </c>
      <c r="B61" s="9"/>
      <c r="C61" s="9"/>
      <c r="D61" s="72">
        <v>7600</v>
      </c>
      <c r="E61" s="72">
        <f>D60+D61</f>
        <v>12600</v>
      </c>
      <c r="F61" s="38"/>
      <c r="G61" s="39"/>
      <c r="H61" s="9"/>
    </row>
    <row r="62" spans="1:16" x14ac:dyDescent="0.25">
      <c r="A62" s="122"/>
      <c r="B62" s="97"/>
      <c r="C62" s="97"/>
      <c r="D62" s="121">
        <f>SUM(D59:D61)</f>
        <v>14000</v>
      </c>
      <c r="E62" s="9"/>
      <c r="F62" s="9"/>
      <c r="G62" s="9"/>
      <c r="H62" s="9"/>
    </row>
    <row r="63" spans="1:16" x14ac:dyDescent="0.25">
      <c r="A63" s="9"/>
      <c r="B63" s="9"/>
      <c r="C63" s="9"/>
      <c r="D63" s="9"/>
      <c r="E63" s="91"/>
      <c r="F63" s="9"/>
      <c r="G63" s="9"/>
      <c r="H63" s="9"/>
    </row>
    <row r="64" spans="1:16" x14ac:dyDescent="0.25">
      <c r="A64" s="9"/>
      <c r="B64" s="9"/>
      <c r="C64" s="9"/>
      <c r="D64" s="9"/>
      <c r="E64" s="91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7" t="s">
        <v>165</v>
      </c>
      <c r="B66" s="9"/>
      <c r="C66" s="86"/>
      <c r="D66" s="87"/>
      <c r="E66" s="9"/>
      <c r="F66" s="9"/>
      <c r="G66" s="9"/>
      <c r="H66" s="9"/>
    </row>
    <row r="67" spans="1:8" x14ac:dyDescent="0.25">
      <c r="A67" s="36"/>
      <c r="B67" s="85"/>
      <c r="C67" s="9"/>
      <c r="D67" s="72"/>
      <c r="E67" s="9"/>
      <c r="F67" s="9"/>
      <c r="G67" s="9"/>
      <c r="H67" s="9"/>
    </row>
    <row r="68" spans="1:8" x14ac:dyDescent="0.25">
      <c r="A68" s="9"/>
      <c r="B68" s="98"/>
      <c r="C68" s="97"/>
      <c r="D68" s="72"/>
      <c r="E68" s="9"/>
      <c r="F68" s="9"/>
      <c r="G68" s="9"/>
      <c r="H68" s="9"/>
    </row>
    <row r="69" spans="1:8" x14ac:dyDescent="0.25">
      <c r="A69" s="9"/>
      <c r="B69" s="9"/>
      <c r="C69" s="9"/>
      <c r="D69" s="72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</row>
    <row r="74" spans="1:8" x14ac:dyDescent="0.25">
      <c r="A74" s="5"/>
      <c r="B74" s="19"/>
      <c r="C74" s="81" t="s">
        <v>87</v>
      </c>
      <c r="D74" s="81"/>
      <c r="E74" s="19"/>
      <c r="F74" s="19"/>
      <c r="G74" s="9"/>
      <c r="H74" s="9"/>
    </row>
    <row r="75" spans="1:8" x14ac:dyDescent="0.25">
      <c r="A75" s="24"/>
      <c r="B75" s="79"/>
      <c r="C75" s="82" t="s">
        <v>88</v>
      </c>
      <c r="D75" s="80"/>
      <c r="E75" s="80"/>
      <c r="F75" s="79"/>
      <c r="G75" s="9"/>
      <c r="H75" s="9"/>
    </row>
    <row r="76" spans="1:8" x14ac:dyDescent="0.25">
      <c r="A76" s="4"/>
      <c r="B76" s="5"/>
      <c r="C76" s="6" t="s">
        <v>5</v>
      </c>
      <c r="D76" s="6"/>
      <c r="E76" s="5"/>
      <c r="F76" s="4"/>
      <c r="G76" s="9"/>
      <c r="H76" s="9"/>
    </row>
    <row r="77" spans="1:8" ht="23.25" x14ac:dyDescent="0.35">
      <c r="A77" s="4"/>
      <c r="B77" s="52" t="s">
        <v>97</v>
      </c>
      <c r="C77" s="4"/>
      <c r="D77" s="616" t="s">
        <v>292</v>
      </c>
      <c r="E77" s="616"/>
      <c r="F77" s="616"/>
      <c r="G77" s="9"/>
      <c r="H77" s="9"/>
    </row>
    <row r="78" spans="1:8" x14ac:dyDescent="0.25">
      <c r="B78" s="9"/>
      <c r="C78" s="95"/>
      <c r="D78" s="95"/>
      <c r="E78" s="96" t="s">
        <v>308</v>
      </c>
      <c r="F78" s="95"/>
      <c r="G78" s="95"/>
      <c r="H78" s="9"/>
    </row>
    <row r="79" spans="1:8" x14ac:dyDescent="0.25">
      <c r="A79" s="12" t="s">
        <v>0</v>
      </c>
      <c r="B79" s="12" t="s">
        <v>32</v>
      </c>
      <c r="C79" s="12" t="s">
        <v>52</v>
      </c>
      <c r="D79" s="22" t="s">
        <v>55</v>
      </c>
      <c r="E79" s="21" t="s">
        <v>1</v>
      </c>
      <c r="F79" s="22" t="s">
        <v>10</v>
      </c>
      <c r="G79" s="21" t="s">
        <v>3</v>
      </c>
      <c r="H79" s="13" t="s">
        <v>13</v>
      </c>
    </row>
    <row r="80" spans="1:8" x14ac:dyDescent="0.25">
      <c r="A80" s="43" t="s">
        <v>214</v>
      </c>
      <c r="B80" s="120">
        <v>1</v>
      </c>
      <c r="C80" s="116"/>
      <c r="D80" s="43">
        <v>5400</v>
      </c>
      <c r="E80" s="47">
        <v>4500</v>
      </c>
      <c r="F80" s="47">
        <f>D80+E80</f>
        <v>9900</v>
      </c>
      <c r="G80" s="47"/>
      <c r="H80" s="129">
        <f>F80-G80</f>
        <v>9900</v>
      </c>
    </row>
    <row r="81" spans="1:8" x14ac:dyDescent="0.25">
      <c r="A81" s="88" t="s">
        <v>240</v>
      </c>
      <c r="B81" s="120">
        <v>2</v>
      </c>
      <c r="C81" s="117"/>
      <c r="D81" s="2"/>
      <c r="E81" s="46">
        <v>4500</v>
      </c>
      <c r="F81" s="47">
        <f t="shared" ref="F81:F99" si="2">D81+E81</f>
        <v>4500</v>
      </c>
      <c r="G81" s="56">
        <v>4500</v>
      </c>
      <c r="H81" s="129">
        <f t="shared" ref="H81:H99" si="3">F81-G81</f>
        <v>0</v>
      </c>
    </row>
    <row r="82" spans="1:8" x14ac:dyDescent="0.25">
      <c r="A82" s="88" t="s">
        <v>241</v>
      </c>
      <c r="B82" s="120">
        <v>3</v>
      </c>
      <c r="C82" s="117"/>
      <c r="D82" s="43"/>
      <c r="E82" s="46">
        <v>4500</v>
      </c>
      <c r="F82" s="47">
        <f t="shared" si="2"/>
        <v>4500</v>
      </c>
      <c r="G82" s="53">
        <v>4500</v>
      </c>
      <c r="H82" s="129">
        <f t="shared" si="3"/>
        <v>0</v>
      </c>
    </row>
    <row r="83" spans="1:8" x14ac:dyDescent="0.25">
      <c r="A83" s="88" t="s">
        <v>242</v>
      </c>
      <c r="B83" s="120">
        <v>4</v>
      </c>
      <c r="C83" s="117"/>
      <c r="D83" s="43"/>
      <c r="E83" s="46">
        <v>2500</v>
      </c>
      <c r="F83" s="47">
        <f t="shared" si="2"/>
        <v>2500</v>
      </c>
      <c r="G83" s="53">
        <v>2500</v>
      </c>
      <c r="H83" s="129">
        <f t="shared" si="3"/>
        <v>0</v>
      </c>
    </row>
    <row r="84" spans="1:8" x14ac:dyDescent="0.25">
      <c r="A84" s="43" t="s">
        <v>243</v>
      </c>
      <c r="B84" s="120">
        <v>5</v>
      </c>
      <c r="C84" s="117"/>
      <c r="D84" s="44"/>
      <c r="E84" s="46">
        <v>2500</v>
      </c>
      <c r="F84" s="47">
        <f t="shared" si="2"/>
        <v>2500</v>
      </c>
      <c r="G84" s="46">
        <v>2000</v>
      </c>
      <c r="H84" s="129">
        <f t="shared" si="3"/>
        <v>500</v>
      </c>
    </row>
    <row r="85" spans="1:8" x14ac:dyDescent="0.25">
      <c r="A85" s="43" t="s">
        <v>244</v>
      </c>
      <c r="B85" s="120">
        <v>6</v>
      </c>
      <c r="C85" s="117"/>
      <c r="D85" s="44"/>
      <c r="E85" s="46">
        <v>2500</v>
      </c>
      <c r="F85" s="47">
        <f t="shared" si="2"/>
        <v>2500</v>
      </c>
      <c r="G85" s="46"/>
      <c r="H85" s="129">
        <f t="shared" si="3"/>
        <v>2500</v>
      </c>
    </row>
    <row r="86" spans="1:8" x14ac:dyDescent="0.25">
      <c r="A86" s="43" t="s">
        <v>245</v>
      </c>
      <c r="B86" s="120">
        <v>7</v>
      </c>
      <c r="C86" s="117"/>
      <c r="D86" s="44"/>
      <c r="E86" s="73">
        <v>2500</v>
      </c>
      <c r="F86" s="47">
        <f t="shared" si="2"/>
        <v>2500</v>
      </c>
      <c r="G86" s="68">
        <v>2000</v>
      </c>
      <c r="H86" s="129">
        <f t="shared" si="3"/>
        <v>500</v>
      </c>
    </row>
    <row r="87" spans="1:8" x14ac:dyDescent="0.25">
      <c r="A87" s="47" t="s">
        <v>216</v>
      </c>
      <c r="B87" s="120">
        <v>8</v>
      </c>
      <c r="C87" s="118"/>
      <c r="D87" s="46"/>
      <c r="E87" s="46">
        <v>2500</v>
      </c>
      <c r="F87" s="47">
        <f t="shared" si="2"/>
        <v>2500</v>
      </c>
      <c r="G87" s="46">
        <v>2500</v>
      </c>
      <c r="H87" s="129">
        <f t="shared" si="3"/>
        <v>0</v>
      </c>
    </row>
    <row r="88" spans="1:8" x14ac:dyDescent="0.25">
      <c r="A88" s="44" t="s">
        <v>309</v>
      </c>
      <c r="B88" s="120">
        <v>9</v>
      </c>
      <c r="C88" s="117"/>
      <c r="D88" s="44"/>
      <c r="E88" s="44">
        <v>3500</v>
      </c>
      <c r="F88" s="47">
        <f t="shared" si="2"/>
        <v>3500</v>
      </c>
      <c r="G88" s="44">
        <v>3500</v>
      </c>
      <c r="H88" s="129">
        <f t="shared" si="3"/>
        <v>0</v>
      </c>
    </row>
    <row r="89" spans="1:8" x14ac:dyDescent="0.25">
      <c r="A89" s="45" t="s">
        <v>137</v>
      </c>
      <c r="B89" s="120">
        <v>10</v>
      </c>
      <c r="C89" s="9"/>
      <c r="D89" s="44"/>
      <c r="E89" s="115">
        <v>2500</v>
      </c>
      <c r="F89" s="47">
        <f t="shared" si="2"/>
        <v>2500</v>
      </c>
      <c r="G89" s="44">
        <v>600</v>
      </c>
      <c r="H89" s="129">
        <f t="shared" si="3"/>
        <v>1900</v>
      </c>
    </row>
    <row r="90" spans="1:8" x14ac:dyDescent="0.25">
      <c r="A90" s="44" t="s">
        <v>246</v>
      </c>
      <c r="B90" s="120">
        <v>11</v>
      </c>
      <c r="C90" s="119"/>
      <c r="D90" s="44"/>
      <c r="E90" s="105">
        <v>2500</v>
      </c>
      <c r="F90" s="47">
        <f t="shared" si="2"/>
        <v>2500</v>
      </c>
      <c r="G90" s="44">
        <v>2500</v>
      </c>
      <c r="H90" s="129">
        <f t="shared" si="3"/>
        <v>0</v>
      </c>
    </row>
    <row r="91" spans="1:8" x14ac:dyDescent="0.25">
      <c r="A91" s="44" t="s">
        <v>247</v>
      </c>
      <c r="B91" s="120">
        <v>12</v>
      </c>
      <c r="C91" s="119"/>
      <c r="D91" s="44"/>
      <c r="E91" s="44">
        <v>2700</v>
      </c>
      <c r="F91" s="47">
        <f t="shared" si="2"/>
        <v>2700</v>
      </c>
      <c r="G91" s="44">
        <v>2700</v>
      </c>
      <c r="H91" s="129">
        <f t="shared" si="3"/>
        <v>0</v>
      </c>
    </row>
    <row r="92" spans="1:8" x14ac:dyDescent="0.25">
      <c r="A92" s="44" t="s">
        <v>137</v>
      </c>
      <c r="B92" s="120">
        <v>13</v>
      </c>
      <c r="C92" s="117"/>
      <c r="D92" s="44"/>
      <c r="E92" s="44">
        <v>4500</v>
      </c>
      <c r="F92" s="47">
        <f t="shared" si="2"/>
        <v>4500</v>
      </c>
      <c r="G92" s="44">
        <v>2000</v>
      </c>
      <c r="H92" s="129">
        <f t="shared" si="3"/>
        <v>2500</v>
      </c>
    </row>
    <row r="93" spans="1:8" x14ac:dyDescent="0.25">
      <c r="A93" s="44" t="s">
        <v>21</v>
      </c>
      <c r="B93" s="120">
        <v>14</v>
      </c>
      <c r="C93" s="117"/>
      <c r="D93" s="44"/>
      <c r="E93" s="44"/>
      <c r="F93" s="47">
        <f t="shared" si="2"/>
        <v>0</v>
      </c>
      <c r="G93" s="44"/>
      <c r="H93" s="129">
        <f t="shared" si="3"/>
        <v>0</v>
      </c>
    </row>
    <row r="94" spans="1:8" x14ac:dyDescent="0.25">
      <c r="A94" s="44" t="s">
        <v>220</v>
      </c>
      <c r="B94" s="120">
        <v>15</v>
      </c>
      <c r="C94" s="117"/>
      <c r="D94" s="44"/>
      <c r="E94" s="44">
        <v>2500</v>
      </c>
      <c r="F94" s="47">
        <f t="shared" si="2"/>
        <v>2500</v>
      </c>
      <c r="G94" s="44"/>
      <c r="H94" s="129">
        <f t="shared" si="3"/>
        <v>2500</v>
      </c>
    </row>
    <row r="95" spans="1:8" x14ac:dyDescent="0.25">
      <c r="A95" s="125" t="s">
        <v>251</v>
      </c>
      <c r="B95" s="9"/>
      <c r="C95" s="9"/>
      <c r="D95" s="9"/>
      <c r="E95" s="125">
        <v>2500</v>
      </c>
      <c r="F95" s="47">
        <f t="shared" si="2"/>
        <v>2500</v>
      </c>
      <c r="G95" s="44">
        <v>2500</v>
      </c>
      <c r="H95" s="129">
        <f t="shared" si="3"/>
        <v>0</v>
      </c>
    </row>
    <row r="96" spans="1:8" x14ac:dyDescent="0.25">
      <c r="A96" s="44"/>
      <c r="B96" s="120"/>
      <c r="C96" s="117"/>
      <c r="D96" s="44"/>
      <c r="E96" s="44"/>
      <c r="F96" s="47">
        <f t="shared" si="2"/>
        <v>0</v>
      </c>
      <c r="G96" s="44"/>
      <c r="H96" s="129">
        <f t="shared" si="3"/>
        <v>0</v>
      </c>
    </row>
    <row r="97" spans="1:11" ht="18.75" x14ac:dyDescent="0.3">
      <c r="A97" s="137" t="s">
        <v>249</v>
      </c>
      <c r="B97" s="120"/>
      <c r="C97" s="117"/>
      <c r="D97" s="44"/>
      <c r="E97" s="44"/>
      <c r="F97" s="47"/>
      <c r="G97" s="44"/>
      <c r="H97" s="129"/>
    </row>
    <row r="98" spans="1:11" x14ac:dyDescent="0.25">
      <c r="A98" s="44" t="s">
        <v>307</v>
      </c>
      <c r="B98" s="120">
        <v>16</v>
      </c>
      <c r="C98" s="117" t="s">
        <v>248</v>
      </c>
      <c r="D98" s="44"/>
      <c r="E98" s="44">
        <v>1600</v>
      </c>
      <c r="F98" s="47">
        <f t="shared" si="2"/>
        <v>1600</v>
      </c>
      <c r="G98" s="44">
        <v>1600</v>
      </c>
      <c r="H98" s="129">
        <f t="shared" si="3"/>
        <v>0</v>
      </c>
    </row>
    <row r="99" spans="1:11" x14ac:dyDescent="0.25">
      <c r="A99" s="140" t="s">
        <v>250</v>
      </c>
      <c r="B99" s="141"/>
      <c r="C99" s="142"/>
      <c r="D99" s="58"/>
      <c r="E99" s="58">
        <v>1600</v>
      </c>
      <c r="F99" s="61">
        <f t="shared" si="2"/>
        <v>1600</v>
      </c>
      <c r="G99" s="58"/>
      <c r="H99" s="143">
        <f t="shared" si="3"/>
        <v>1600</v>
      </c>
    </row>
    <row r="100" spans="1:11" x14ac:dyDescent="0.25">
      <c r="A100" s="44"/>
      <c r="B100" s="44"/>
      <c r="C100" s="44"/>
      <c r="D100" s="44"/>
      <c r="E100" s="44"/>
      <c r="F100" s="44"/>
      <c r="G100" s="44"/>
      <c r="H100" s="44"/>
      <c r="I100" s="90"/>
      <c r="J100" s="90"/>
      <c r="K100" s="90"/>
    </row>
    <row r="101" spans="1:11" x14ac:dyDescent="0.25">
      <c r="A101" s="138"/>
      <c r="B101" s="138"/>
      <c r="C101" s="138"/>
      <c r="D101" s="138"/>
      <c r="E101" s="139">
        <f>SUM(E80:E100)</f>
        <v>49900</v>
      </c>
      <c r="F101" s="138"/>
      <c r="G101" s="139">
        <f>SUM(G80:G100)</f>
        <v>33400</v>
      </c>
      <c r="H101" s="138"/>
    </row>
    <row r="102" spans="1:11" x14ac:dyDescent="0.25">
      <c r="A102" s="100" t="s">
        <v>60</v>
      </c>
      <c r="B102" s="101"/>
      <c r="C102" s="97"/>
      <c r="D102" s="102">
        <f>G101</f>
        <v>33400</v>
      </c>
      <c r="E102" s="18" t="s">
        <v>109</v>
      </c>
      <c r="F102" s="19"/>
      <c r="G102" s="18" t="s">
        <v>93</v>
      </c>
      <c r="H102" s="9"/>
    </row>
    <row r="103" spans="1:11" x14ac:dyDescent="0.25">
      <c r="A103" s="103"/>
      <c r="B103" s="101"/>
      <c r="C103" s="97"/>
      <c r="D103" s="104"/>
      <c r="E103" s="38" t="s">
        <v>24</v>
      </c>
      <c r="F103" s="39"/>
      <c r="G103" s="9" t="s">
        <v>94</v>
      </c>
      <c r="H103" s="9"/>
    </row>
    <row r="104" spans="1:11" x14ac:dyDescent="0.25">
      <c r="A104" s="67" t="s">
        <v>58</v>
      </c>
      <c r="B104" s="9"/>
      <c r="C104" s="9"/>
      <c r="D104" s="9"/>
      <c r="E104" s="9"/>
      <c r="F104" s="83">
        <v>0.1</v>
      </c>
      <c r="G104" s="9"/>
      <c r="H104" s="9"/>
    </row>
    <row r="105" spans="1:11" x14ac:dyDescent="0.25">
      <c r="A105" s="36" t="s">
        <v>22</v>
      </c>
      <c r="B105" s="17"/>
      <c r="C105" s="9"/>
      <c r="D105" s="34">
        <f>SUM(D102*10%)</f>
        <v>3340</v>
      </c>
      <c r="E105" s="38" t="s">
        <v>81</v>
      </c>
      <c r="F105" s="35"/>
      <c r="G105" s="9"/>
      <c r="H105" s="9"/>
    </row>
    <row r="106" spans="1:11" x14ac:dyDescent="0.25">
      <c r="A106" s="36" t="s">
        <v>310</v>
      </c>
      <c r="B106" s="17"/>
      <c r="C106" s="9"/>
      <c r="D106" s="34">
        <v>10000</v>
      </c>
      <c r="E106" s="38"/>
      <c r="F106" s="38"/>
      <c r="G106" s="9"/>
      <c r="H106" s="9"/>
    </row>
    <row r="107" spans="1:11" s="9" customFormat="1" x14ac:dyDescent="0.25">
      <c r="A107" s="136">
        <v>42709</v>
      </c>
      <c r="B107" s="17"/>
      <c r="D107" s="34">
        <v>11500</v>
      </c>
      <c r="E107" s="38"/>
      <c r="F107" s="38"/>
    </row>
    <row r="108" spans="1:11" x14ac:dyDescent="0.25">
      <c r="A108" s="36" t="s">
        <v>154</v>
      </c>
      <c r="B108" s="9"/>
      <c r="C108" s="86"/>
      <c r="D108" s="87">
        <f>SUM(D105:D107)</f>
        <v>24840</v>
      </c>
      <c r="E108" s="38" t="s">
        <v>24</v>
      </c>
      <c r="F108" s="39"/>
      <c r="G108" s="9"/>
      <c r="H108" s="9"/>
    </row>
    <row r="109" spans="1:11" x14ac:dyDescent="0.25">
      <c r="A109" s="9"/>
      <c r="B109" s="9"/>
      <c r="C109" s="9"/>
      <c r="D109" s="72"/>
      <c r="E109" s="9"/>
      <c r="F109" s="9"/>
      <c r="G109" s="9"/>
      <c r="H109" s="9"/>
    </row>
    <row r="110" spans="1:11" x14ac:dyDescent="0.25">
      <c r="A110" s="36" t="s">
        <v>26</v>
      </c>
      <c r="B110" s="9"/>
      <c r="C110" s="9"/>
      <c r="D110" s="72">
        <f>D102-D108</f>
        <v>8560</v>
      </c>
      <c r="E110" s="91"/>
      <c r="F110" s="9"/>
      <c r="G110" s="9"/>
      <c r="H110" s="9"/>
    </row>
    <row r="111" spans="1:11" x14ac:dyDescent="0.25">
      <c r="A111" s="9"/>
      <c r="B111" s="9"/>
      <c r="C111" s="9"/>
      <c r="D111" s="9"/>
      <c r="E111" s="91"/>
      <c r="F111" s="72">
        <f>D105+D110</f>
        <v>11900</v>
      </c>
      <c r="G111" s="9"/>
      <c r="H111" s="9"/>
    </row>
    <row r="112" spans="1:11" x14ac:dyDescent="0.25">
      <c r="A112" s="9"/>
      <c r="B112" s="19"/>
      <c r="C112" s="19"/>
      <c r="D112" s="81" t="s">
        <v>4</v>
      </c>
      <c r="E112" s="81"/>
      <c r="F112" s="19"/>
      <c r="G112" s="9"/>
      <c r="H112" s="9"/>
    </row>
    <row r="113" spans="1:12" x14ac:dyDescent="0.25">
      <c r="A113" s="9"/>
      <c r="B113" s="19"/>
      <c r="C113" s="81" t="s">
        <v>87</v>
      </c>
      <c r="D113" s="81"/>
      <c r="E113" s="19"/>
      <c r="F113" s="19"/>
      <c r="G113" s="9"/>
      <c r="H113" s="9"/>
    </row>
    <row r="114" spans="1:12" x14ac:dyDescent="0.25">
      <c r="A114" s="9"/>
      <c r="B114" s="79"/>
      <c r="C114" s="82" t="s">
        <v>88</v>
      </c>
      <c r="D114" s="80"/>
      <c r="E114" s="80"/>
      <c r="F114" s="79"/>
      <c r="G114" s="9"/>
      <c r="H114" s="9"/>
    </row>
    <row r="115" spans="1:12" x14ac:dyDescent="0.25">
      <c r="A115" s="9"/>
      <c r="B115" s="5"/>
      <c r="C115" s="6" t="s">
        <v>5</v>
      </c>
      <c r="D115" s="6"/>
      <c r="E115" s="5"/>
      <c r="F115" s="4"/>
      <c r="G115" s="9"/>
      <c r="H115" s="9"/>
    </row>
    <row r="116" spans="1:12" ht="28.5" x14ac:dyDescent="0.45">
      <c r="A116" s="615" t="s">
        <v>301</v>
      </c>
      <c r="B116" s="615"/>
      <c r="C116" s="615"/>
      <c r="D116" s="615"/>
      <c r="E116" s="615"/>
      <c r="F116" s="615"/>
      <c r="G116" s="615"/>
      <c r="H116" s="615"/>
    </row>
    <row r="117" spans="1:12" x14ac:dyDescent="0.25">
      <c r="A117" s="12" t="s">
        <v>0</v>
      </c>
      <c r="B117" s="12" t="s">
        <v>32</v>
      </c>
      <c r="C117" s="12" t="s">
        <v>52</v>
      </c>
      <c r="D117" s="22" t="s">
        <v>55</v>
      </c>
      <c r="E117" s="21" t="s">
        <v>1</v>
      </c>
      <c r="F117" s="22" t="s">
        <v>10</v>
      </c>
      <c r="G117" s="21" t="s">
        <v>3</v>
      </c>
      <c r="H117" s="13" t="s">
        <v>13</v>
      </c>
    </row>
    <row r="118" spans="1:12" x14ac:dyDescent="0.25">
      <c r="A118" s="43" t="s">
        <v>258</v>
      </c>
      <c r="B118" s="120">
        <v>1</v>
      </c>
      <c r="C118" s="116"/>
      <c r="D118" s="43"/>
      <c r="E118" s="47">
        <v>2500</v>
      </c>
      <c r="F118" s="47"/>
      <c r="G118" s="131">
        <v>2500</v>
      </c>
      <c r="H118" s="43"/>
    </row>
    <row r="119" spans="1:12" x14ac:dyDescent="0.25">
      <c r="A119" s="88" t="s">
        <v>253</v>
      </c>
      <c r="B119" s="120">
        <v>2</v>
      </c>
      <c r="C119" s="117"/>
      <c r="D119" s="2"/>
      <c r="E119" s="46">
        <v>2500</v>
      </c>
      <c r="F119" s="46"/>
      <c r="G119" s="131">
        <v>2500</v>
      </c>
      <c r="H119" s="44"/>
    </row>
    <row r="120" spans="1:12" x14ac:dyDescent="0.25">
      <c r="A120" s="88" t="s">
        <v>21</v>
      </c>
      <c r="B120" s="120">
        <v>3</v>
      </c>
      <c r="C120" s="117"/>
      <c r="D120" s="43"/>
      <c r="E120" s="46"/>
      <c r="F120" s="46"/>
      <c r="G120" s="53"/>
      <c r="H120" s="44"/>
      <c r="L120" s="72">
        <f>G118+G119+G124+G131+I1</f>
        <v>13000</v>
      </c>
    </row>
    <row r="121" spans="1:12" x14ac:dyDescent="0.25">
      <c r="A121" s="88" t="s">
        <v>21</v>
      </c>
      <c r="B121" s="120">
        <v>4</v>
      </c>
      <c r="C121" s="117"/>
      <c r="D121" s="43"/>
      <c r="E121" s="46"/>
      <c r="F121" s="46"/>
      <c r="G121" s="53"/>
      <c r="H121" s="44"/>
    </row>
    <row r="122" spans="1:12" x14ac:dyDescent="0.25">
      <c r="A122" s="43" t="s">
        <v>260</v>
      </c>
      <c r="B122" s="120">
        <v>5</v>
      </c>
      <c r="C122" s="117"/>
      <c r="D122" s="44"/>
      <c r="E122" s="46">
        <v>4000</v>
      </c>
      <c r="F122" s="46"/>
      <c r="G122" s="46">
        <v>4000</v>
      </c>
      <c r="H122" s="44"/>
    </row>
    <row r="123" spans="1:12" x14ac:dyDescent="0.25">
      <c r="A123" s="43" t="s">
        <v>261</v>
      </c>
      <c r="B123" s="120">
        <v>6</v>
      </c>
      <c r="C123" s="117"/>
      <c r="D123" s="44"/>
      <c r="E123" s="46">
        <v>4000</v>
      </c>
      <c r="F123" s="46"/>
      <c r="G123" s="46">
        <v>4000</v>
      </c>
      <c r="H123" s="44"/>
    </row>
    <row r="124" spans="1:12" x14ac:dyDescent="0.25">
      <c r="A124" s="43" t="s">
        <v>262</v>
      </c>
      <c r="B124" s="120">
        <v>7</v>
      </c>
      <c r="C124" s="117"/>
      <c r="D124" s="44"/>
      <c r="E124" s="73">
        <v>4000</v>
      </c>
      <c r="F124" s="46"/>
      <c r="G124" s="132">
        <v>4000</v>
      </c>
      <c r="H124" s="44"/>
    </row>
    <row r="125" spans="1:12" x14ac:dyDescent="0.25">
      <c r="A125" s="47" t="s">
        <v>21</v>
      </c>
      <c r="B125" s="120">
        <v>8</v>
      </c>
      <c r="C125" s="118"/>
      <c r="D125" s="46"/>
      <c r="E125" s="46"/>
      <c r="F125" s="46"/>
      <c r="G125" s="46"/>
      <c r="H125" s="46"/>
    </row>
    <row r="126" spans="1:12" x14ac:dyDescent="0.25">
      <c r="A126" s="44" t="s">
        <v>21</v>
      </c>
      <c r="B126" s="120">
        <v>9</v>
      </c>
      <c r="C126" s="117"/>
      <c r="D126" s="44"/>
      <c r="E126" s="44"/>
      <c r="F126" s="44"/>
      <c r="G126" s="44"/>
      <c r="H126" s="44"/>
    </row>
    <row r="127" spans="1:12" x14ac:dyDescent="0.25">
      <c r="A127" s="45" t="s">
        <v>263</v>
      </c>
      <c r="B127" s="120">
        <v>10</v>
      </c>
      <c r="C127" s="9"/>
      <c r="D127" s="44"/>
      <c r="E127" s="115">
        <v>4000</v>
      </c>
      <c r="F127" s="44"/>
      <c r="G127" s="44">
        <v>0</v>
      </c>
      <c r="H127" s="44"/>
    </row>
    <row r="128" spans="1:12" x14ac:dyDescent="0.25">
      <c r="A128" s="44" t="s">
        <v>21</v>
      </c>
      <c r="B128" s="120">
        <v>11</v>
      </c>
      <c r="C128" s="119"/>
      <c r="D128" s="44"/>
      <c r="E128" s="105"/>
      <c r="F128" s="44"/>
      <c r="G128" s="44"/>
      <c r="H128" s="44"/>
    </row>
    <row r="129" spans="1:8" x14ac:dyDescent="0.25">
      <c r="A129" s="44" t="s">
        <v>264</v>
      </c>
      <c r="B129" s="120">
        <v>12</v>
      </c>
      <c r="C129" s="119"/>
      <c r="D129" s="44"/>
      <c r="E129" s="44">
        <v>4000</v>
      </c>
      <c r="F129" s="44"/>
      <c r="G129" s="44">
        <v>4000</v>
      </c>
      <c r="H129" s="44"/>
    </row>
    <row r="130" spans="1:8" x14ac:dyDescent="0.25">
      <c r="A130" s="44" t="s">
        <v>302</v>
      </c>
      <c r="B130" s="120">
        <v>13</v>
      </c>
      <c r="C130" s="117"/>
      <c r="D130" s="44"/>
      <c r="E130" s="44">
        <v>4000</v>
      </c>
      <c r="F130" s="44"/>
      <c r="G130" s="44">
        <v>4000</v>
      </c>
      <c r="H130" s="44"/>
    </row>
    <row r="131" spans="1:8" x14ac:dyDescent="0.25">
      <c r="A131" s="44" t="s">
        <v>254</v>
      </c>
      <c r="B131" s="120">
        <v>14</v>
      </c>
      <c r="C131" s="117"/>
      <c r="D131" s="44"/>
      <c r="E131" s="44">
        <v>4000</v>
      </c>
      <c r="F131" s="44"/>
      <c r="G131" s="113">
        <v>4000</v>
      </c>
      <c r="H131" s="44"/>
    </row>
    <row r="132" spans="1:8" x14ac:dyDescent="0.25">
      <c r="A132" s="44" t="s">
        <v>265</v>
      </c>
      <c r="B132" s="120">
        <v>15</v>
      </c>
      <c r="C132" s="117"/>
      <c r="D132" s="44"/>
      <c r="E132" s="44"/>
      <c r="F132" s="44"/>
      <c r="G132" s="44"/>
      <c r="H132" s="44"/>
    </row>
    <row r="133" spans="1:8" x14ac:dyDescent="0.25">
      <c r="A133" s="125" t="s">
        <v>255</v>
      </c>
      <c r="B133" s="120">
        <v>16</v>
      </c>
      <c r="C133" s="9"/>
      <c r="D133" s="9"/>
      <c r="E133" s="125">
        <v>4000</v>
      </c>
      <c r="F133" s="44"/>
      <c r="G133" s="44">
        <v>4000</v>
      </c>
      <c r="H133" s="44"/>
    </row>
    <row r="134" spans="1:8" x14ac:dyDescent="0.25">
      <c r="A134" s="44" t="s">
        <v>266</v>
      </c>
      <c r="B134" s="120">
        <v>17</v>
      </c>
      <c r="C134" s="117"/>
      <c r="D134" s="44"/>
      <c r="E134" s="44">
        <v>2000</v>
      </c>
      <c r="F134" s="44"/>
      <c r="G134" s="44">
        <v>2000</v>
      </c>
      <c r="H134" s="44"/>
    </row>
    <row r="135" spans="1:8" x14ac:dyDescent="0.25">
      <c r="A135" s="44" t="s">
        <v>268</v>
      </c>
      <c r="B135" s="120">
        <v>18</v>
      </c>
      <c r="C135" s="117"/>
      <c r="D135" s="44"/>
      <c r="E135" s="44"/>
      <c r="F135" s="44"/>
      <c r="G135" s="44"/>
      <c r="H135" s="44"/>
    </row>
    <row r="136" spans="1:8" x14ac:dyDescent="0.25">
      <c r="A136" s="44" t="s">
        <v>137</v>
      </c>
      <c r="B136" s="120">
        <v>19</v>
      </c>
      <c r="C136" s="117"/>
      <c r="D136" s="44"/>
      <c r="E136" s="44">
        <v>2000</v>
      </c>
      <c r="F136" s="44"/>
      <c r="G136" s="44">
        <v>2000</v>
      </c>
      <c r="H136" s="44"/>
    </row>
    <row r="137" spans="1:8" x14ac:dyDescent="0.25">
      <c r="A137" s="124" t="s">
        <v>256</v>
      </c>
      <c r="B137" s="120">
        <v>20</v>
      </c>
      <c r="C137" s="117"/>
      <c r="D137" s="44"/>
      <c r="E137" s="44">
        <v>2000</v>
      </c>
      <c r="F137" s="44"/>
      <c r="G137" s="44">
        <v>2000</v>
      </c>
      <c r="H137" s="44"/>
    </row>
    <row r="138" spans="1:8" x14ac:dyDescent="0.25">
      <c r="A138" s="127" t="s">
        <v>269</v>
      </c>
      <c r="B138" s="120">
        <v>21</v>
      </c>
      <c r="C138" s="44"/>
      <c r="D138" s="44"/>
      <c r="E138" s="44">
        <v>2000</v>
      </c>
      <c r="F138" s="44"/>
      <c r="G138" s="44">
        <v>2000</v>
      </c>
      <c r="H138" s="44"/>
    </row>
    <row r="139" spans="1:8" x14ac:dyDescent="0.25">
      <c r="A139" s="127" t="s">
        <v>270</v>
      </c>
      <c r="B139" s="120">
        <v>22</v>
      </c>
      <c r="C139" s="44"/>
      <c r="D139" s="44"/>
      <c r="E139" s="44">
        <v>2000</v>
      </c>
      <c r="F139" s="44"/>
      <c r="G139" s="44">
        <v>2000</v>
      </c>
      <c r="H139" s="44"/>
    </row>
    <row r="140" spans="1:8" x14ac:dyDescent="0.25">
      <c r="A140" s="127" t="s">
        <v>271</v>
      </c>
      <c r="B140" s="120">
        <v>23</v>
      </c>
      <c r="C140" s="44"/>
      <c r="D140" s="44"/>
      <c r="E140" s="44">
        <v>2000</v>
      </c>
      <c r="F140" s="44"/>
      <c r="G140" s="44">
        <v>2000</v>
      </c>
      <c r="H140" s="44"/>
    </row>
    <row r="141" spans="1:8" x14ac:dyDescent="0.25">
      <c r="A141" s="127" t="s">
        <v>272</v>
      </c>
      <c r="B141" s="120">
        <v>24</v>
      </c>
      <c r="C141" s="44"/>
      <c r="D141" s="44"/>
      <c r="E141" s="44">
        <v>4500</v>
      </c>
      <c r="F141" s="44"/>
      <c r="G141" s="44">
        <v>4500</v>
      </c>
      <c r="H141" s="44"/>
    </row>
    <row r="142" spans="1:8" x14ac:dyDescent="0.25">
      <c r="A142" s="127" t="s">
        <v>273</v>
      </c>
      <c r="B142" s="120">
        <v>25</v>
      </c>
      <c r="C142" s="44"/>
      <c r="D142" s="44"/>
      <c r="E142" s="44">
        <v>2500</v>
      </c>
      <c r="F142" s="44"/>
      <c r="G142" s="44">
        <v>2500</v>
      </c>
      <c r="H142" s="44"/>
    </row>
    <row r="143" spans="1:8" x14ac:dyDescent="0.25">
      <c r="A143" s="44"/>
      <c r="B143" s="120"/>
      <c r="C143" s="44"/>
      <c r="D143" s="44"/>
      <c r="E143" s="105">
        <f>SUM(E118:E142)</f>
        <v>56000</v>
      </c>
      <c r="F143" s="105"/>
      <c r="G143" s="105">
        <f>SUM(G118:G142)</f>
        <v>52000</v>
      </c>
      <c r="H143" s="44"/>
    </row>
    <row r="144" spans="1:8" x14ac:dyDescent="0.25">
      <c r="A144" s="44"/>
      <c r="B144" s="120"/>
      <c r="C144" s="44"/>
      <c r="D144" s="44"/>
      <c r="E144" s="44"/>
      <c r="F144" s="44"/>
      <c r="G144" s="44"/>
      <c r="H144" s="44"/>
    </row>
    <row r="145" spans="1:10" x14ac:dyDescent="0.25">
      <c r="A145" s="44"/>
      <c r="B145" s="120"/>
      <c r="C145" s="44"/>
      <c r="D145" s="44"/>
      <c r="E145" s="44"/>
      <c r="F145" s="44"/>
      <c r="G145" s="44"/>
      <c r="H145" s="44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J146">
        <v>8560</v>
      </c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J147">
        <v>900</v>
      </c>
    </row>
    <row r="148" spans="1:10" x14ac:dyDescent="0.25">
      <c r="A148" s="100" t="s">
        <v>60</v>
      </c>
      <c r="B148" s="101"/>
      <c r="C148" s="97"/>
      <c r="D148" s="102">
        <f>G143</f>
        <v>52000</v>
      </c>
      <c r="E148" s="9"/>
      <c r="F148" s="9"/>
      <c r="G148" s="9"/>
      <c r="H148" s="9"/>
      <c r="J148">
        <v>4150</v>
      </c>
    </row>
    <row r="149" spans="1:10" x14ac:dyDescent="0.25">
      <c r="A149" s="9"/>
      <c r="B149" s="101"/>
      <c r="C149" s="128">
        <v>0.1</v>
      </c>
      <c r="D149" s="104"/>
      <c r="E149" s="9"/>
      <c r="F149" s="9"/>
      <c r="G149" s="9"/>
      <c r="H149" s="9"/>
      <c r="J149">
        <v>13800</v>
      </c>
    </row>
    <row r="150" spans="1:10" x14ac:dyDescent="0.25">
      <c r="A150" s="103"/>
      <c r="B150" s="101"/>
      <c r="C150" s="97"/>
      <c r="D150" s="9"/>
      <c r="E150" s="9"/>
      <c r="F150" s="9"/>
      <c r="G150" s="9"/>
      <c r="H150" s="9"/>
      <c r="J150">
        <f>SUM(J146:J149)</f>
        <v>27410</v>
      </c>
    </row>
    <row r="151" spans="1:10" x14ac:dyDescent="0.25">
      <c r="A151" s="67" t="s">
        <v>58</v>
      </c>
      <c r="B151" s="9"/>
      <c r="C151" s="9"/>
      <c r="D151" s="9"/>
      <c r="E151" s="9"/>
      <c r="F151" s="9"/>
      <c r="G151" s="9"/>
      <c r="H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</row>
    <row r="153" spans="1:10" x14ac:dyDescent="0.25">
      <c r="A153" s="103" t="s">
        <v>196</v>
      </c>
      <c r="B153" s="9"/>
      <c r="C153" s="9"/>
      <c r="D153" s="104">
        <f>D148*C149</f>
        <v>5200</v>
      </c>
      <c r="E153" s="72">
        <f>D148-D153</f>
        <v>46800</v>
      </c>
      <c r="F153" s="9"/>
      <c r="G153" s="9"/>
      <c r="H153" s="9"/>
    </row>
    <row r="154" spans="1:10" x14ac:dyDescent="0.25">
      <c r="A154" s="36" t="s">
        <v>275</v>
      </c>
      <c r="B154" s="17"/>
      <c r="C154" s="9"/>
      <c r="D154" s="34">
        <f>G118+G119+G124+G131</f>
        <v>13000</v>
      </c>
      <c r="E154" s="9"/>
      <c r="F154" s="9"/>
      <c r="G154" s="9"/>
      <c r="H154" s="9"/>
    </row>
    <row r="155" spans="1:10" x14ac:dyDescent="0.25">
      <c r="A155" s="36" t="s">
        <v>303</v>
      </c>
      <c r="B155" s="17"/>
      <c r="C155" s="9"/>
      <c r="D155" s="34">
        <v>20000</v>
      </c>
      <c r="E155" s="9"/>
      <c r="F155" s="9"/>
      <c r="G155" s="9"/>
      <c r="H155" s="9"/>
    </row>
    <row r="156" spans="1:10" x14ac:dyDescent="0.25">
      <c r="A156" s="36"/>
      <c r="B156" s="9"/>
      <c r="C156" s="9"/>
      <c r="D156" s="72"/>
      <c r="E156" s="9"/>
      <c r="F156" s="9"/>
      <c r="G156" s="9"/>
      <c r="H156" s="9"/>
    </row>
    <row r="157" spans="1:10" x14ac:dyDescent="0.25">
      <c r="A157" s="36" t="s">
        <v>154</v>
      </c>
      <c r="B157" s="9"/>
      <c r="C157" s="86"/>
      <c r="D157" s="87">
        <f>SUM(D153:D156)</f>
        <v>38200</v>
      </c>
      <c r="E157" s="9"/>
      <c r="F157" s="9"/>
      <c r="G157" s="9"/>
      <c r="H157" s="9" t="s">
        <v>276</v>
      </c>
    </row>
    <row r="158" spans="1:10" x14ac:dyDescent="0.25">
      <c r="A158" s="36" t="s">
        <v>165</v>
      </c>
      <c r="B158" s="9"/>
      <c r="C158" s="9"/>
      <c r="D158" s="72">
        <f>D148-D157</f>
        <v>13800</v>
      </c>
      <c r="E158" s="9"/>
      <c r="F158" s="9"/>
      <c r="G158" s="9"/>
      <c r="H158" s="9"/>
    </row>
    <row r="159" spans="1:10" x14ac:dyDescent="0.25">
      <c r="A159" s="24"/>
      <c r="B159" s="79"/>
      <c r="C159" s="82" t="s">
        <v>88</v>
      </c>
      <c r="D159" s="80"/>
      <c r="E159" s="80"/>
      <c r="F159" s="79"/>
      <c r="G159" s="9"/>
      <c r="H159" s="9"/>
    </row>
    <row r="160" spans="1:10" x14ac:dyDescent="0.25">
      <c r="A160" s="4"/>
      <c r="B160" s="5"/>
      <c r="C160" s="6" t="s">
        <v>5</v>
      </c>
      <c r="D160" s="6"/>
      <c r="E160" s="5"/>
      <c r="F160" s="4"/>
      <c r="G160" s="9"/>
      <c r="H160" s="9"/>
    </row>
    <row r="161" spans="1:8" ht="23.25" x14ac:dyDescent="0.35">
      <c r="A161" s="4"/>
      <c r="B161" s="52"/>
      <c r="D161" s="616" t="s">
        <v>278</v>
      </c>
      <c r="E161" s="616"/>
      <c r="F161" s="616"/>
      <c r="G161" s="616"/>
      <c r="H161" s="9"/>
    </row>
    <row r="162" spans="1:8" x14ac:dyDescent="0.25">
      <c r="B162" s="9"/>
      <c r="C162" s="95"/>
      <c r="D162" s="95"/>
      <c r="E162" s="96" t="s">
        <v>277</v>
      </c>
      <c r="F162" s="95"/>
      <c r="G162" s="95"/>
      <c r="H162" s="9"/>
    </row>
    <row r="163" spans="1:8" x14ac:dyDescent="0.25">
      <c r="A163" s="12" t="s">
        <v>0</v>
      </c>
      <c r="B163" s="12" t="s">
        <v>32</v>
      </c>
      <c r="C163" s="12" t="s">
        <v>52</v>
      </c>
      <c r="D163" s="22" t="s">
        <v>55</v>
      </c>
      <c r="E163" s="21"/>
      <c r="F163" s="22" t="s">
        <v>10</v>
      </c>
      <c r="G163" s="21" t="s">
        <v>3</v>
      </c>
      <c r="H163" s="13" t="s">
        <v>13</v>
      </c>
    </row>
    <row r="164" spans="1:8" x14ac:dyDescent="0.25">
      <c r="A164" s="43" t="s">
        <v>279</v>
      </c>
      <c r="B164" s="120">
        <v>1</v>
      </c>
      <c r="C164" s="116"/>
      <c r="D164" s="43"/>
      <c r="E164" s="47"/>
      <c r="F164" s="47">
        <v>3500</v>
      </c>
      <c r="G164" s="133">
        <v>3500</v>
      </c>
      <c r="H164" s="43"/>
    </row>
    <row r="165" spans="1:8" x14ac:dyDescent="0.25">
      <c r="A165" s="88" t="s">
        <v>280</v>
      </c>
      <c r="B165" s="120">
        <v>2</v>
      </c>
      <c r="C165" s="117"/>
      <c r="D165" s="2"/>
      <c r="E165" s="46"/>
      <c r="F165" s="46">
        <v>3500</v>
      </c>
      <c r="G165" s="56">
        <v>3500</v>
      </c>
      <c r="H165" s="44"/>
    </row>
    <row r="166" spans="1:8" x14ac:dyDescent="0.25">
      <c r="A166" s="88" t="s">
        <v>281</v>
      </c>
      <c r="B166" s="120">
        <v>3</v>
      </c>
      <c r="C166" s="44"/>
      <c r="D166" s="43"/>
      <c r="E166" s="46"/>
      <c r="F166" s="46">
        <v>2000</v>
      </c>
      <c r="G166" s="53"/>
      <c r="H166" s="44"/>
    </row>
    <row r="167" spans="1:8" x14ac:dyDescent="0.25">
      <c r="A167" s="88" t="s">
        <v>282</v>
      </c>
      <c r="B167" s="120">
        <v>4</v>
      </c>
      <c r="C167" s="44"/>
      <c r="D167" s="43"/>
      <c r="E167" s="46"/>
      <c r="F167" s="46">
        <v>3500</v>
      </c>
      <c r="G167" s="56">
        <v>6000</v>
      </c>
      <c r="H167" s="44"/>
    </row>
    <row r="168" spans="1:8" x14ac:dyDescent="0.25">
      <c r="A168" s="43" t="s">
        <v>21</v>
      </c>
      <c r="B168" s="120">
        <v>5</v>
      </c>
      <c r="C168" s="44"/>
      <c r="D168" s="44"/>
      <c r="E168" s="46"/>
      <c r="F168" s="46">
        <v>2000</v>
      </c>
      <c r="G168" s="46"/>
      <c r="H168" s="44"/>
    </row>
    <row r="169" spans="1:8" x14ac:dyDescent="0.25">
      <c r="A169" s="43" t="s">
        <v>284</v>
      </c>
      <c r="B169" s="120">
        <v>6</v>
      </c>
      <c r="C169" s="44"/>
      <c r="D169" s="44"/>
      <c r="E169" s="46"/>
      <c r="F169" s="46">
        <v>3500</v>
      </c>
      <c r="G169" s="46"/>
      <c r="H169" s="44"/>
    </row>
    <row r="170" spans="1:8" x14ac:dyDescent="0.25">
      <c r="A170" s="43" t="s">
        <v>285</v>
      </c>
      <c r="B170" s="120">
        <v>7</v>
      </c>
      <c r="C170" s="44"/>
      <c r="D170" s="44"/>
      <c r="E170" s="73"/>
      <c r="F170" s="46">
        <v>3500</v>
      </c>
      <c r="G170" s="68">
        <v>3500</v>
      </c>
      <c r="H170" s="44"/>
    </row>
    <row r="171" spans="1:8" x14ac:dyDescent="0.25">
      <c r="A171" s="47" t="s">
        <v>304</v>
      </c>
      <c r="B171" s="120">
        <v>8</v>
      </c>
      <c r="C171" s="48"/>
      <c r="D171" s="46"/>
      <c r="E171" s="46"/>
      <c r="F171" s="46">
        <v>2000</v>
      </c>
      <c r="G171" s="46">
        <v>2000</v>
      </c>
      <c r="H171" s="46"/>
    </row>
    <row r="172" spans="1:8" x14ac:dyDescent="0.25">
      <c r="A172" s="44"/>
      <c r="B172" s="120">
        <v>9</v>
      </c>
      <c r="C172" s="44"/>
      <c r="D172" s="44"/>
      <c r="E172" s="44"/>
      <c r="F172" s="44"/>
      <c r="G172" s="44"/>
      <c r="H172" s="44"/>
    </row>
    <row r="173" spans="1:8" x14ac:dyDescent="0.25">
      <c r="A173" s="45" t="s">
        <v>137</v>
      </c>
      <c r="B173" s="120">
        <v>10</v>
      </c>
      <c r="C173" s="44"/>
      <c r="D173" s="44"/>
      <c r="E173" s="115"/>
      <c r="F173" s="105">
        <f>SUM(F164:F172)</f>
        <v>23500</v>
      </c>
      <c r="G173" s="44">
        <f>SUM(G164:G172)</f>
        <v>18500</v>
      </c>
      <c r="H173" s="44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100" t="s">
        <v>60</v>
      </c>
      <c r="C175" s="101"/>
      <c r="D175" s="97"/>
      <c r="E175" s="102">
        <f>G173</f>
        <v>18500</v>
      </c>
      <c r="F175" s="9">
        <v>7000</v>
      </c>
      <c r="G175" s="72">
        <f>E175-F175</f>
        <v>11500</v>
      </c>
      <c r="H175" s="9"/>
    </row>
    <row r="176" spans="1:8" x14ac:dyDescent="0.25">
      <c r="A176" s="9"/>
      <c r="B176" s="9"/>
      <c r="C176" s="101"/>
      <c r="D176" s="128">
        <v>0.1</v>
      </c>
      <c r="E176" s="104"/>
      <c r="F176" s="9"/>
      <c r="G176" s="9"/>
      <c r="H176" s="9"/>
    </row>
    <row r="177" spans="1:8" x14ac:dyDescent="0.25">
      <c r="A177" s="9"/>
      <c r="B177" s="103"/>
      <c r="C177" s="101"/>
      <c r="D177" s="97"/>
      <c r="E177" s="9"/>
      <c r="F177" s="9"/>
      <c r="G177" s="9"/>
      <c r="H177" s="9"/>
    </row>
    <row r="178" spans="1:8" x14ac:dyDescent="0.25">
      <c r="A178" s="9"/>
      <c r="B178" s="67" t="s">
        <v>58</v>
      </c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103" t="s">
        <v>196</v>
      </c>
      <c r="C180" s="9"/>
      <c r="D180" s="9"/>
      <c r="E180" s="104">
        <f>E175*D176</f>
        <v>1850</v>
      </c>
      <c r="F180" s="9"/>
      <c r="G180" s="9"/>
      <c r="H180" s="9"/>
    </row>
    <row r="181" spans="1:8" x14ac:dyDescent="0.25">
      <c r="A181" s="9"/>
      <c r="B181" s="36"/>
      <c r="C181" s="17"/>
      <c r="D181" s="9"/>
      <c r="E181" s="34">
        <f>F146+F158</f>
        <v>0</v>
      </c>
      <c r="F181" s="9"/>
      <c r="G181" s="9"/>
      <c r="H181" s="9"/>
    </row>
    <row r="182" spans="1:8" x14ac:dyDescent="0.25">
      <c r="A182" s="9"/>
      <c r="B182" s="36" t="s">
        <v>305</v>
      </c>
      <c r="C182" s="17"/>
      <c r="D182" s="9"/>
      <c r="E182" s="34">
        <v>12500</v>
      </c>
      <c r="F182" s="72"/>
      <c r="G182" s="9"/>
      <c r="H182" s="9"/>
    </row>
    <row r="183" spans="1:8" x14ac:dyDescent="0.25">
      <c r="A183" s="9"/>
      <c r="B183" s="36" t="s">
        <v>154</v>
      </c>
      <c r="C183" s="9"/>
      <c r="D183" s="86"/>
      <c r="E183" s="87">
        <f>SUM(E180:E182)</f>
        <v>14350</v>
      </c>
      <c r="F183" s="9"/>
      <c r="G183" s="9"/>
      <c r="H183" s="9"/>
    </row>
    <row r="184" spans="1:8" x14ac:dyDescent="0.25">
      <c r="A184" s="9"/>
      <c r="B184" s="36" t="s">
        <v>165</v>
      </c>
      <c r="C184" s="9"/>
      <c r="D184" s="9"/>
      <c r="E184" s="72">
        <f>E175-E183</f>
        <v>4150</v>
      </c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</sheetData>
  <mergeCells count="4">
    <mergeCell ref="A116:H116"/>
    <mergeCell ref="D161:G161"/>
    <mergeCell ref="B6:G6"/>
    <mergeCell ref="D77:F77"/>
  </mergeCells>
  <pageMargins left="0.7" right="0.7" top="0.75" bottom="0.75" header="0.3" footer="0.3"/>
  <pageSetup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opLeftCell="A94" workbookViewId="0">
      <selection activeCell="G129" sqref="G129"/>
    </sheetView>
  </sheetViews>
  <sheetFormatPr defaultRowHeight="15" x14ac:dyDescent="0.25"/>
  <cols>
    <col min="1" max="1" width="14.42578125" customWidth="1"/>
    <col min="3" max="3" width="7.42578125" customWidth="1"/>
    <col min="4" max="4" width="11.85546875" customWidth="1"/>
    <col min="5" max="5" width="12" customWidth="1"/>
    <col min="6" max="6" width="12.28515625" customWidth="1"/>
    <col min="7" max="7" width="11.42578125" customWidth="1"/>
    <col min="8" max="8" width="11.140625" customWidth="1"/>
    <col min="13" max="14" width="10.5703125" bestFit="1" customWidth="1"/>
  </cols>
  <sheetData>
    <row r="1" spans="1:2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2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</row>
    <row r="3" spans="1:2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</row>
    <row r="4" spans="1:29" ht="21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K4" s="153"/>
      <c r="L4" s="153"/>
      <c r="M4" s="153"/>
      <c r="N4" s="153"/>
      <c r="O4" s="153"/>
      <c r="P4" s="153"/>
      <c r="Q4" s="153"/>
      <c r="R4" s="617"/>
      <c r="S4" s="617"/>
      <c r="T4" s="153"/>
      <c r="U4" s="153"/>
      <c r="V4" s="153"/>
      <c r="W4" s="153"/>
      <c r="X4" s="153"/>
      <c r="Y4" s="153"/>
      <c r="Z4" s="153"/>
      <c r="AA4" s="153"/>
      <c r="AB4" s="153"/>
      <c r="AC4" s="153"/>
    </row>
    <row r="5" spans="1:2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</row>
    <row r="6" spans="1:29" ht="18" x14ac:dyDescent="0.25">
      <c r="A6" s="94"/>
      <c r="B6" s="95"/>
      <c r="C6" s="95"/>
      <c r="D6" s="96" t="s">
        <v>318</v>
      </c>
      <c r="E6" s="95"/>
      <c r="F6" s="95"/>
      <c r="G6" s="95"/>
      <c r="H6" s="9"/>
      <c r="I6" s="9"/>
      <c r="K6" s="153"/>
      <c r="L6" s="153"/>
      <c r="M6" s="153"/>
      <c r="N6" s="153"/>
      <c r="O6" s="153"/>
      <c r="P6" s="153"/>
      <c r="Q6" s="153"/>
      <c r="R6" s="618"/>
      <c r="S6" s="618"/>
      <c r="T6" s="618"/>
      <c r="U6" s="618"/>
      <c r="V6" s="618"/>
      <c r="W6" s="618"/>
      <c r="X6" s="153"/>
      <c r="Y6" s="153"/>
      <c r="Z6" s="153"/>
      <c r="AA6" s="153"/>
      <c r="AB6" s="153"/>
      <c r="AC6" s="153"/>
    </row>
    <row r="7" spans="1:2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</row>
    <row r="8" spans="1:29" ht="1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  <c r="I8" s="9"/>
      <c r="K8" s="153"/>
      <c r="L8" s="153"/>
      <c r="M8" s="153"/>
      <c r="N8" s="153"/>
      <c r="O8" s="153"/>
      <c r="P8" s="153"/>
      <c r="Q8" s="153"/>
      <c r="R8" s="618"/>
      <c r="S8" s="618"/>
      <c r="T8" s="618"/>
      <c r="U8" s="618"/>
      <c r="V8" s="618"/>
      <c r="W8" s="618"/>
      <c r="X8" s="153"/>
      <c r="Y8" s="153"/>
      <c r="Z8" s="153"/>
      <c r="AA8" s="153"/>
      <c r="AB8" s="153"/>
      <c r="AC8" s="153"/>
    </row>
    <row r="9" spans="1:2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</row>
    <row r="10" spans="1:29" ht="1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  <c r="I10" s="9"/>
      <c r="K10" s="153"/>
      <c r="L10" s="153"/>
      <c r="M10" s="153"/>
      <c r="N10" s="153"/>
      <c r="O10" s="153"/>
      <c r="P10" s="153"/>
      <c r="Q10" s="153"/>
      <c r="R10" s="618"/>
      <c r="S10" s="618"/>
      <c r="T10" s="618"/>
      <c r="U10" s="618"/>
      <c r="V10" s="618"/>
      <c r="W10" s="153"/>
      <c r="X10" s="153"/>
      <c r="Y10" s="153"/>
      <c r="Z10" s="153"/>
      <c r="AA10" s="153"/>
      <c r="AB10" s="153"/>
      <c r="AC10" s="153"/>
    </row>
    <row r="11" spans="1:2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  <c r="I11" s="9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</row>
    <row r="12" spans="1:2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  <c r="K12" s="153"/>
      <c r="L12" s="153"/>
      <c r="M12" s="153"/>
      <c r="N12" s="153"/>
      <c r="O12" s="153"/>
      <c r="P12" s="153"/>
      <c r="Q12" s="153"/>
      <c r="R12" s="619"/>
      <c r="S12" s="619"/>
      <c r="T12" s="619"/>
      <c r="U12" s="619"/>
      <c r="V12" s="619"/>
      <c r="W12" s="153"/>
      <c r="X12" s="153"/>
      <c r="Y12" s="153"/>
      <c r="Z12" s="153"/>
      <c r="AA12" s="153"/>
      <c r="AB12" s="153"/>
      <c r="AC12" s="153"/>
    </row>
    <row r="13" spans="1:2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</row>
    <row r="14" spans="1:29" ht="17.25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  <c r="K14" s="626"/>
      <c r="L14" s="626"/>
      <c r="M14" s="626"/>
      <c r="N14" s="626"/>
      <c r="O14" s="626"/>
      <c r="P14" s="626"/>
      <c r="Q14" s="627"/>
      <c r="R14" s="163"/>
      <c r="S14" s="627"/>
      <c r="T14" s="627"/>
      <c r="U14" s="627"/>
      <c r="V14" s="627"/>
      <c r="W14" s="627"/>
      <c r="X14" s="623"/>
      <c r="Y14" s="623"/>
      <c r="Z14" s="623"/>
      <c r="AA14" s="623"/>
      <c r="AB14" s="623"/>
      <c r="AC14" s="623"/>
    </row>
    <row r="15" spans="1:2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  <c r="K15" s="164"/>
      <c r="L15" s="164"/>
      <c r="M15" s="164"/>
      <c r="N15" s="164"/>
      <c r="O15" s="164"/>
      <c r="P15" s="164"/>
      <c r="Q15" s="627"/>
      <c r="R15" s="164"/>
      <c r="S15" s="627"/>
      <c r="T15" s="627"/>
      <c r="U15" s="627"/>
      <c r="V15" s="627"/>
      <c r="W15" s="627"/>
      <c r="X15" s="153"/>
      <c r="Y15" s="153"/>
      <c r="Z15" s="153"/>
      <c r="AA15" s="153"/>
      <c r="AB15" s="153"/>
      <c r="AC15" s="153"/>
    </row>
    <row r="16" spans="1:29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7" t="s">
        <v>314</v>
      </c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53"/>
      <c r="Y16" s="153"/>
      <c r="Z16" s="153"/>
      <c r="AA16" s="153"/>
      <c r="AB16" s="153"/>
      <c r="AC16" s="153"/>
    </row>
    <row r="17" spans="1:2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54"/>
      <c r="Y17" s="154"/>
      <c r="Z17" s="154"/>
      <c r="AA17" s="154"/>
      <c r="AB17" s="154"/>
      <c r="AC17" s="154"/>
    </row>
    <row r="18" spans="1:2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  <c r="K18" s="165"/>
      <c r="L18" s="165"/>
      <c r="M18" s="624"/>
      <c r="N18" s="624"/>
      <c r="O18" s="624"/>
      <c r="P18" s="624"/>
      <c r="Q18" s="624"/>
      <c r="R18" s="165"/>
      <c r="S18" s="165"/>
      <c r="T18" s="165"/>
      <c r="U18" s="165"/>
      <c r="V18" s="624"/>
      <c r="W18" s="624"/>
      <c r="X18" s="154"/>
      <c r="Y18" s="154"/>
      <c r="Z18" s="154"/>
      <c r="AA18" s="154"/>
      <c r="AB18" s="154"/>
      <c r="AC18" s="154"/>
    </row>
    <row r="19" spans="1:2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  <c r="I19" s="9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54"/>
      <c r="Y19" s="154"/>
      <c r="Z19" s="154"/>
      <c r="AA19" s="154"/>
      <c r="AB19" s="154"/>
      <c r="AC19" s="154"/>
    </row>
    <row r="20" spans="1:2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f>SUM(G8:G19)</f>
        <v>9500</v>
      </c>
      <c r="H20" s="68">
        <f>SUM(H8:H19)</f>
        <v>12500</v>
      </c>
      <c r="I20" s="9"/>
      <c r="K20" s="165"/>
      <c r="L20" s="165"/>
      <c r="M20" s="625"/>
      <c r="N20" s="625"/>
      <c r="O20" s="625"/>
      <c r="P20" s="625"/>
      <c r="Q20" s="625"/>
      <c r="R20" s="165"/>
      <c r="S20" s="165"/>
      <c r="T20" s="165"/>
      <c r="U20" s="625"/>
      <c r="V20" s="625"/>
      <c r="W20" s="166"/>
      <c r="X20" s="620"/>
      <c r="Y20" s="620"/>
      <c r="Z20" s="620"/>
      <c r="AA20" s="154"/>
      <c r="AB20" s="154"/>
      <c r="AC20" s="154"/>
    </row>
    <row r="21" spans="1:29" x14ac:dyDescent="0.25">
      <c r="A21" s="36" t="s">
        <v>60</v>
      </c>
      <c r="B21" s="17"/>
      <c r="C21" s="9"/>
      <c r="D21" s="32">
        <f>SUM(E20)</f>
        <v>22000</v>
      </c>
      <c r="E21" s="9" t="s">
        <v>342</v>
      </c>
      <c r="F21" s="9"/>
      <c r="G21" s="9">
        <v>9500</v>
      </c>
      <c r="H21" s="9"/>
      <c r="I21" s="9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54"/>
      <c r="Y21" s="154"/>
      <c r="Z21" s="154"/>
      <c r="AA21" s="154"/>
      <c r="AB21" s="154"/>
      <c r="AC21" s="154"/>
    </row>
    <row r="22" spans="1:29" ht="15.75" x14ac:dyDescent="0.25">
      <c r="A22" s="70"/>
      <c r="B22" s="17"/>
      <c r="C22" s="90"/>
      <c r="D22" s="66"/>
      <c r="E22" s="51" t="s">
        <v>63</v>
      </c>
      <c r="F22" s="40"/>
      <c r="H22" s="9"/>
      <c r="I22" s="9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54"/>
      <c r="Y22" s="154"/>
      <c r="Z22" s="154"/>
      <c r="AA22" s="154"/>
      <c r="AB22" s="154"/>
      <c r="AC22" s="154"/>
    </row>
    <row r="23" spans="1:2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K23" s="164"/>
      <c r="L23" s="164"/>
      <c r="M23" s="621"/>
      <c r="N23" s="621"/>
      <c r="O23" s="621"/>
      <c r="P23" s="622"/>
      <c r="Q23" s="622"/>
      <c r="R23" s="167"/>
      <c r="S23" s="164"/>
      <c r="T23" s="168"/>
      <c r="U23" s="164"/>
      <c r="V23" s="164"/>
      <c r="W23" s="164"/>
      <c r="X23" s="628"/>
      <c r="Y23" s="628"/>
      <c r="Z23" s="153"/>
      <c r="AA23" s="153"/>
      <c r="AB23" s="153"/>
      <c r="AC23" s="153"/>
    </row>
    <row r="24" spans="1:29" x14ac:dyDescent="0.25">
      <c r="A24" s="36" t="s">
        <v>22</v>
      </c>
      <c r="B24" s="17"/>
      <c r="C24" s="9"/>
      <c r="D24" s="34">
        <f>SUM(D21*10%)</f>
        <v>2200</v>
      </c>
      <c r="F24" s="67" t="s">
        <v>58</v>
      </c>
      <c r="H24" s="9"/>
      <c r="I24" s="9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</row>
    <row r="25" spans="1:29" s="9" customFormat="1" x14ac:dyDescent="0.25">
      <c r="A25" s="36" t="s">
        <v>204</v>
      </c>
      <c r="B25" s="17"/>
      <c r="D25" s="34">
        <v>4000</v>
      </c>
      <c r="F25" s="36" t="s">
        <v>22</v>
      </c>
      <c r="H25" s="162">
        <v>950</v>
      </c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</row>
    <row r="26" spans="1:29" x14ac:dyDescent="0.25">
      <c r="D26" s="72">
        <f>SUM(D24:D25)</f>
        <v>6200</v>
      </c>
      <c r="F26" s="36"/>
      <c r="H26" s="9"/>
      <c r="I26" s="9"/>
      <c r="K26" s="153"/>
      <c r="L26" s="153"/>
      <c r="M26" s="629"/>
      <c r="N26" s="629"/>
      <c r="O26" s="629"/>
      <c r="P26" s="630"/>
      <c r="Q26" s="630"/>
      <c r="R26" s="157"/>
      <c r="S26" s="153"/>
      <c r="T26" s="158"/>
      <c r="U26" s="159"/>
      <c r="V26" s="160"/>
      <c r="W26" s="161"/>
      <c r="X26" s="628"/>
      <c r="Y26" s="628"/>
      <c r="Z26" s="153"/>
      <c r="AA26" s="153"/>
      <c r="AB26" s="153"/>
      <c r="AC26" s="153"/>
    </row>
    <row r="27" spans="1:29" x14ac:dyDescent="0.25">
      <c r="F27" s="9"/>
      <c r="H27" s="9"/>
      <c r="I27" s="9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</row>
    <row r="28" spans="1:29" x14ac:dyDescent="0.25">
      <c r="A28" s="100"/>
      <c r="B28" s="97"/>
      <c r="C28" s="121"/>
      <c r="D28" s="72">
        <f>D21-D26</f>
        <v>15800</v>
      </c>
      <c r="G28">
        <v>9500</v>
      </c>
      <c r="H28" s="9">
        <f>G28-H25</f>
        <v>8550</v>
      </c>
      <c r="I28" s="9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</row>
    <row r="29" spans="1:29" x14ac:dyDescent="0.25">
      <c r="A29" s="122"/>
      <c r="B29" s="9"/>
      <c r="C29" s="9"/>
      <c r="D29" s="9"/>
      <c r="H29" s="9"/>
      <c r="I29" s="9"/>
      <c r="K29" s="153"/>
      <c r="L29" s="153"/>
      <c r="M29" s="629"/>
      <c r="N29" s="629"/>
      <c r="O29" s="629"/>
      <c r="P29" s="630"/>
      <c r="Q29" s="630"/>
      <c r="R29" s="157"/>
      <c r="S29" s="153"/>
      <c r="T29" s="158"/>
      <c r="U29" s="159"/>
      <c r="V29" s="160"/>
      <c r="W29" s="161"/>
      <c r="X29" s="628"/>
      <c r="Y29" s="628"/>
      <c r="Z29" s="153"/>
      <c r="AA29" s="153"/>
      <c r="AB29" s="153"/>
      <c r="AC29" s="153"/>
    </row>
    <row r="30" spans="1:29" x14ac:dyDescent="0.25">
      <c r="A30" s="18" t="s">
        <v>109</v>
      </c>
      <c r="B30" s="19"/>
      <c r="C30" s="18" t="s">
        <v>93</v>
      </c>
      <c r="D30" s="9"/>
      <c r="H30" s="9"/>
      <c r="I30" s="9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</row>
    <row r="31" spans="1:29" x14ac:dyDescent="0.25">
      <c r="A31" s="18"/>
      <c r="B31" s="19"/>
      <c r="C31" s="18"/>
      <c r="D31" s="72"/>
      <c r="E31" s="38"/>
      <c r="F31" s="38"/>
      <c r="G31" s="9"/>
      <c r="H31" s="9"/>
      <c r="I31" s="9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</row>
    <row r="32" spans="1:29" x14ac:dyDescent="0.25">
      <c r="D32" s="72"/>
      <c r="E32" s="9"/>
      <c r="F32" s="9"/>
      <c r="G32" s="9"/>
      <c r="H32" s="9"/>
      <c r="I32" s="9"/>
      <c r="K32" s="153"/>
      <c r="L32" s="153"/>
      <c r="M32" s="629"/>
      <c r="N32" s="629"/>
      <c r="O32" s="629"/>
      <c r="P32" s="630"/>
      <c r="Q32" s="630"/>
      <c r="R32" s="157"/>
      <c r="S32" s="153"/>
      <c r="T32" s="158"/>
      <c r="U32" s="153"/>
      <c r="V32" s="153"/>
      <c r="W32" s="153"/>
      <c r="X32" s="628"/>
      <c r="Y32" s="628"/>
      <c r="Z32" s="153"/>
      <c r="AA32" s="153"/>
      <c r="AB32" s="153"/>
      <c r="AC32" s="153"/>
    </row>
    <row r="33" spans="1:29" x14ac:dyDescent="0.25">
      <c r="D33" s="72"/>
      <c r="E33" s="38"/>
      <c r="F33" s="39"/>
      <c r="G33" s="9"/>
      <c r="H33" s="9"/>
      <c r="I33" s="9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</row>
    <row r="34" spans="1:29" x14ac:dyDescent="0.25">
      <c r="A34" s="38" t="s">
        <v>24</v>
      </c>
      <c r="B34" s="39"/>
      <c r="C34" s="9" t="s">
        <v>94</v>
      </c>
      <c r="D34" s="72"/>
      <c r="E34" s="9"/>
      <c r="F34" s="9"/>
      <c r="G34" s="9"/>
      <c r="H34" s="9"/>
      <c r="I34" s="9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</row>
    <row r="35" spans="1:29" x14ac:dyDescent="0.25">
      <c r="A35" s="9"/>
      <c r="B35" s="9"/>
      <c r="C35" s="9"/>
      <c r="D35" s="72"/>
      <c r="E35" s="91"/>
      <c r="F35" s="9"/>
      <c r="G35" s="9"/>
      <c r="H35" s="9"/>
      <c r="I35" s="9"/>
      <c r="K35" s="153"/>
      <c r="L35" s="153"/>
      <c r="M35" s="629"/>
      <c r="N35" s="629"/>
      <c r="O35" s="629"/>
      <c r="P35" s="630"/>
      <c r="Q35" s="630"/>
      <c r="R35" s="157"/>
      <c r="S35" s="153"/>
      <c r="T35" s="158"/>
      <c r="U35" s="153"/>
      <c r="V35" s="153"/>
      <c r="W35" s="153"/>
      <c r="X35" s="628"/>
      <c r="Y35" s="628"/>
      <c r="Z35" s="153"/>
      <c r="AA35" s="153"/>
      <c r="AB35" s="153"/>
      <c r="AC35" s="153"/>
    </row>
    <row r="36" spans="1:29" x14ac:dyDescent="0.25">
      <c r="A36" s="38" t="s">
        <v>173</v>
      </c>
      <c r="B36" s="9"/>
      <c r="C36" s="18"/>
      <c r="D36" s="9"/>
      <c r="E36" s="9"/>
      <c r="F36" s="9"/>
      <c r="G36" s="9"/>
      <c r="H36" s="9"/>
      <c r="I36" s="9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</row>
    <row r="37" spans="1:29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</row>
    <row r="38" spans="1:29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  <c r="K38" s="153"/>
      <c r="L38" s="153"/>
      <c r="M38" s="629"/>
      <c r="N38" s="629"/>
      <c r="O38" s="629"/>
      <c r="P38" s="630"/>
      <c r="Q38" s="630"/>
      <c r="R38" s="157"/>
      <c r="S38" s="153"/>
      <c r="T38" s="158"/>
      <c r="U38" s="153"/>
      <c r="V38" s="153"/>
      <c r="W38" s="153"/>
      <c r="X38" s="628"/>
      <c r="Y38" s="628"/>
      <c r="Z38" s="153"/>
      <c r="AA38" s="153"/>
      <c r="AB38" s="153"/>
      <c r="AC38" s="153"/>
    </row>
    <row r="39" spans="1:29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</row>
    <row r="40" spans="1:29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</row>
    <row r="41" spans="1:29" ht="23.25" x14ac:dyDescent="0.35">
      <c r="A41" s="4"/>
      <c r="B41" s="145" t="s">
        <v>97</v>
      </c>
      <c r="C41" s="145"/>
      <c r="D41" s="145"/>
      <c r="E41" s="145"/>
      <c r="F41" s="145"/>
      <c r="G41" s="145"/>
      <c r="H41" s="9"/>
      <c r="I41" s="9"/>
      <c r="K41" s="153"/>
      <c r="L41" s="153"/>
      <c r="M41" s="629"/>
      <c r="N41" s="629"/>
      <c r="O41" s="629"/>
      <c r="P41" s="630"/>
      <c r="Q41" s="630"/>
      <c r="R41" s="157"/>
      <c r="S41" s="153"/>
      <c r="T41" s="158"/>
      <c r="U41" s="153"/>
      <c r="V41" s="153"/>
      <c r="W41" s="153"/>
      <c r="X41" s="628"/>
      <c r="Y41" s="628"/>
      <c r="Z41" s="153"/>
      <c r="AA41" s="153"/>
      <c r="AB41" s="153"/>
      <c r="AC41" s="153"/>
    </row>
    <row r="42" spans="1:29" x14ac:dyDescent="0.25">
      <c r="A42" s="9"/>
      <c r="B42" s="9"/>
      <c r="C42" s="95"/>
      <c r="D42" s="95"/>
      <c r="E42" s="96" t="s">
        <v>308</v>
      </c>
      <c r="F42" s="95"/>
      <c r="G42" s="95"/>
      <c r="H42" s="9"/>
      <c r="I42" s="9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</row>
    <row r="43" spans="1:29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</row>
    <row r="44" spans="1:29" x14ac:dyDescent="0.25">
      <c r="A44" s="43"/>
      <c r="B44" s="10"/>
      <c r="C44" s="43"/>
      <c r="D44" s="43"/>
      <c r="E44" s="47"/>
      <c r="F44" s="47"/>
      <c r="G44" s="47"/>
      <c r="H44" s="43"/>
      <c r="I44" s="9"/>
      <c r="K44" s="153"/>
      <c r="L44" s="153"/>
      <c r="M44" s="629"/>
      <c r="N44" s="629"/>
      <c r="O44" s="629"/>
      <c r="P44" s="630"/>
      <c r="Q44" s="630"/>
      <c r="R44" s="157"/>
      <c r="S44" s="153"/>
      <c r="T44" s="158"/>
      <c r="U44" s="159"/>
      <c r="V44" s="160"/>
      <c r="W44" s="161"/>
      <c r="X44" s="628"/>
      <c r="Y44" s="628"/>
      <c r="Z44" s="153"/>
      <c r="AA44" s="153"/>
      <c r="AB44" s="153"/>
      <c r="AC44" s="153"/>
    </row>
    <row r="45" spans="1:29" x14ac:dyDescent="0.25">
      <c r="A45" s="88" t="s">
        <v>297</v>
      </c>
      <c r="B45" s="3"/>
      <c r="C45" s="44"/>
      <c r="D45" s="2"/>
      <c r="E45" s="46">
        <v>3000</v>
      </c>
      <c r="F45" s="46">
        <f>D45+E45</f>
        <v>3000</v>
      </c>
      <c r="G45" s="53"/>
      <c r="H45" s="105">
        <f>F45-G45</f>
        <v>3000</v>
      </c>
      <c r="I45" s="9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</row>
    <row r="46" spans="1:29" x14ac:dyDescent="0.25">
      <c r="A46" s="88" t="s">
        <v>103</v>
      </c>
      <c r="B46" s="45" t="s">
        <v>101</v>
      </c>
      <c r="C46" s="44"/>
      <c r="D46" s="43"/>
      <c r="E46" s="46">
        <v>4500</v>
      </c>
      <c r="F46" s="46">
        <f t="shared" ref="F46:F56" si="2">D46+E46</f>
        <v>4500</v>
      </c>
      <c r="G46" s="53"/>
      <c r="H46" s="105">
        <f t="shared" ref="H46:H56" si="3">F46-G46</f>
        <v>4500</v>
      </c>
      <c r="I46" s="9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</row>
    <row r="47" spans="1:29" x14ac:dyDescent="0.25">
      <c r="A47" s="88" t="s">
        <v>104</v>
      </c>
      <c r="B47" s="43" t="s">
        <v>102</v>
      </c>
      <c r="C47" s="44"/>
      <c r="D47" s="43"/>
      <c r="E47" s="46">
        <v>5000</v>
      </c>
      <c r="F47" s="46">
        <f t="shared" si="2"/>
        <v>5000</v>
      </c>
      <c r="G47" s="53"/>
      <c r="H47" s="105">
        <f t="shared" si="3"/>
        <v>5000</v>
      </c>
      <c r="I47" s="9"/>
      <c r="K47" s="153"/>
      <c r="L47" s="153"/>
      <c r="M47" s="629"/>
      <c r="N47" s="629"/>
      <c r="O47" s="629"/>
      <c r="P47" s="630"/>
      <c r="Q47" s="630"/>
      <c r="R47" s="157"/>
      <c r="S47" s="153"/>
      <c r="T47" s="158"/>
      <c r="U47" s="153"/>
      <c r="V47" s="153"/>
      <c r="W47" s="153"/>
      <c r="X47" s="628"/>
      <c r="Y47" s="628"/>
      <c r="Z47" s="153"/>
      <c r="AA47" s="153"/>
      <c r="AB47" s="153"/>
      <c r="AC47" s="153"/>
    </row>
    <row r="48" spans="1:29" x14ac:dyDescent="0.25">
      <c r="A48" s="43" t="s">
        <v>211</v>
      </c>
      <c r="B48" s="3"/>
      <c r="C48" s="44"/>
      <c r="D48" s="44"/>
      <c r="E48" s="46">
        <v>1500</v>
      </c>
      <c r="F48" s="46">
        <f t="shared" si="2"/>
        <v>1500</v>
      </c>
      <c r="G48" s="53">
        <v>2000</v>
      </c>
      <c r="H48" s="105">
        <f t="shared" si="3"/>
        <v>-500</v>
      </c>
      <c r="I48" s="9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</row>
    <row r="49" spans="1:29" x14ac:dyDescent="0.25">
      <c r="A49" s="43"/>
      <c r="B49" s="3"/>
      <c r="C49" s="44"/>
      <c r="D49" s="44"/>
      <c r="E49" s="46"/>
      <c r="F49" s="46"/>
      <c r="G49" s="53"/>
      <c r="H49" s="105">
        <f t="shared" si="3"/>
        <v>0</v>
      </c>
      <c r="I49" s="9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</row>
    <row r="50" spans="1:29" x14ac:dyDescent="0.25">
      <c r="A50" s="43" t="s">
        <v>131</v>
      </c>
      <c r="B50" s="3"/>
      <c r="C50" s="44"/>
      <c r="D50" s="44"/>
      <c r="E50" s="73"/>
      <c r="F50" s="46">
        <f t="shared" si="2"/>
        <v>0</v>
      </c>
      <c r="G50" s="132"/>
      <c r="H50" s="105">
        <f t="shared" si="3"/>
        <v>0</v>
      </c>
      <c r="I50" s="9"/>
      <c r="K50" s="153"/>
      <c r="L50" s="153"/>
      <c r="M50" s="629"/>
      <c r="N50" s="629"/>
      <c r="O50" s="629"/>
      <c r="P50" s="630"/>
      <c r="Q50" s="630"/>
      <c r="R50" s="157"/>
      <c r="S50" s="153"/>
      <c r="T50" s="158"/>
      <c r="U50" s="159"/>
      <c r="V50" s="160"/>
      <c r="W50" s="161"/>
      <c r="X50" s="628"/>
      <c r="Y50" s="628"/>
      <c r="Z50" s="153"/>
      <c r="AA50" s="153"/>
      <c r="AB50" s="153"/>
      <c r="AC50" s="153"/>
    </row>
    <row r="51" spans="1:29" x14ac:dyDescent="0.25">
      <c r="A51" s="47" t="s">
        <v>238</v>
      </c>
      <c r="B51" s="16"/>
      <c r="C51" s="48"/>
      <c r="D51" s="46"/>
      <c r="E51" s="46">
        <v>3000</v>
      </c>
      <c r="F51" s="46">
        <f t="shared" si="2"/>
        <v>3000</v>
      </c>
      <c r="G51" s="53">
        <v>0</v>
      </c>
      <c r="H51" s="105">
        <f t="shared" si="3"/>
        <v>3000</v>
      </c>
      <c r="I51" s="9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</row>
    <row r="52" spans="1:29" x14ac:dyDescent="0.25">
      <c r="A52" s="44"/>
      <c r="B52" s="44"/>
      <c r="C52" s="44"/>
      <c r="D52" s="44"/>
      <c r="E52" s="44"/>
      <c r="F52" s="46"/>
      <c r="G52" s="113"/>
      <c r="H52" s="105">
        <f t="shared" si="3"/>
        <v>0</v>
      </c>
      <c r="I52" s="9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</row>
    <row r="53" spans="1:29" x14ac:dyDescent="0.25">
      <c r="A53" s="88" t="s">
        <v>296</v>
      </c>
      <c r="B53" s="44"/>
      <c r="C53" s="44"/>
      <c r="D53" s="44"/>
      <c r="E53" s="115">
        <v>2500</v>
      </c>
      <c r="F53" s="46">
        <f t="shared" si="2"/>
        <v>2500</v>
      </c>
      <c r="G53" s="134"/>
      <c r="H53" s="105">
        <f t="shared" si="3"/>
        <v>2500</v>
      </c>
      <c r="I53" s="9"/>
      <c r="K53" s="153"/>
      <c r="L53" s="153"/>
      <c r="M53" s="629"/>
      <c r="N53" s="629"/>
      <c r="O53" s="629"/>
      <c r="P53" s="630"/>
      <c r="Q53" s="630"/>
      <c r="R53" s="157"/>
      <c r="S53" s="153"/>
      <c r="T53" s="158"/>
      <c r="U53" s="159"/>
      <c r="V53" s="160"/>
      <c r="W53" s="161"/>
      <c r="X53" s="628"/>
      <c r="Y53" s="628"/>
      <c r="Z53" s="153"/>
      <c r="AA53" s="153"/>
      <c r="AB53" s="153"/>
      <c r="AC53" s="153"/>
    </row>
    <row r="54" spans="1:29" x14ac:dyDescent="0.25">
      <c r="A54" s="88"/>
      <c r="B54" s="44"/>
      <c r="C54" s="44"/>
      <c r="D54" s="44"/>
      <c r="E54" s="115"/>
      <c r="F54" s="46"/>
      <c r="G54" s="134"/>
      <c r="H54" s="105">
        <f t="shared" si="3"/>
        <v>0</v>
      </c>
      <c r="I54" s="9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</row>
    <row r="55" spans="1:29" x14ac:dyDescent="0.25">
      <c r="A55" s="88" t="s">
        <v>288</v>
      </c>
      <c r="B55" s="44"/>
      <c r="C55" s="44"/>
      <c r="D55" s="44"/>
      <c r="E55" s="115">
        <v>1500</v>
      </c>
      <c r="F55" s="46">
        <f t="shared" si="2"/>
        <v>1500</v>
      </c>
      <c r="G55" s="134"/>
      <c r="H55" s="105">
        <f t="shared" si="3"/>
        <v>1500</v>
      </c>
      <c r="I55" s="9" t="s">
        <v>107</v>
      </c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</row>
    <row r="56" spans="1:29" x14ac:dyDescent="0.25">
      <c r="A56" s="88" t="s">
        <v>289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  <c r="I56" s="9"/>
      <c r="K56" s="153"/>
      <c r="L56" s="153"/>
      <c r="M56" s="629"/>
      <c r="N56" s="629"/>
      <c r="O56" s="629"/>
      <c r="P56" s="630"/>
      <c r="Q56" s="630"/>
      <c r="R56" s="157"/>
      <c r="S56" s="153"/>
      <c r="T56" s="158"/>
      <c r="U56" s="153"/>
      <c r="V56" s="153"/>
      <c r="W56" s="153"/>
      <c r="X56" s="628"/>
      <c r="Y56" s="628"/>
      <c r="Z56" s="153"/>
      <c r="AA56" s="153"/>
      <c r="AB56" s="153"/>
      <c r="AC56" s="153"/>
    </row>
    <row r="57" spans="1:29" x14ac:dyDescent="0.25">
      <c r="A57" s="44"/>
      <c r="B57" s="44"/>
      <c r="C57" s="44"/>
      <c r="D57" s="44"/>
      <c r="E57" s="105">
        <f>SUM(E44:E56)</f>
        <v>22500</v>
      </c>
      <c r="F57" s="105">
        <f>SUM(F45:F56)</f>
        <v>22500</v>
      </c>
      <c r="G57" s="105">
        <f>SUM(G44:G53)</f>
        <v>2000</v>
      </c>
      <c r="H57" s="105">
        <f>SUM(H45:H56)</f>
        <v>20500</v>
      </c>
      <c r="I57" s="9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</row>
    <row r="58" spans="1:29" x14ac:dyDescent="0.25">
      <c r="A58" s="100" t="s">
        <v>60</v>
      </c>
      <c r="B58" s="101"/>
      <c r="C58" s="97"/>
      <c r="D58" s="102">
        <f>E57</f>
        <v>22500</v>
      </c>
      <c r="E58" s="18" t="s">
        <v>109</v>
      </c>
      <c r="F58" s="19"/>
      <c r="G58" s="18" t="s">
        <v>93</v>
      </c>
      <c r="H58" s="72"/>
      <c r="I58" s="9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</row>
    <row r="59" spans="1:29" x14ac:dyDescent="0.25">
      <c r="A59" s="103"/>
      <c r="B59" s="101"/>
      <c r="C59" s="97"/>
      <c r="D59" s="104"/>
      <c r="E59" s="38" t="s">
        <v>24</v>
      </c>
      <c r="F59" s="39"/>
      <c r="G59" s="9" t="s">
        <v>94</v>
      </c>
      <c r="H59" s="9"/>
      <c r="I59" s="9"/>
      <c r="K59" s="153"/>
      <c r="L59" s="153"/>
      <c r="M59" s="629"/>
      <c r="N59" s="629"/>
      <c r="O59" s="629"/>
      <c r="P59" s="630"/>
      <c r="Q59" s="630"/>
      <c r="R59" s="157"/>
      <c r="S59" s="153"/>
      <c r="T59" s="158"/>
      <c r="U59" s="153"/>
      <c r="V59" s="153"/>
      <c r="W59" s="153"/>
      <c r="X59" s="628"/>
      <c r="Y59" s="628"/>
      <c r="Z59" s="153"/>
      <c r="AA59" s="153"/>
      <c r="AB59" s="153"/>
      <c r="AC59" s="153"/>
    </row>
    <row r="60" spans="1:29" x14ac:dyDescent="0.25">
      <c r="A60" s="103"/>
      <c r="B60" s="101"/>
      <c r="C60" s="97"/>
      <c r="D60" s="104">
        <f>SUM(D58:D59)</f>
        <v>22500</v>
      </c>
      <c r="E60" s="38"/>
      <c r="F60" s="39"/>
      <c r="G60" s="9"/>
      <c r="H60" s="9"/>
      <c r="I60" s="9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</row>
    <row r="61" spans="1:29" x14ac:dyDescent="0.25">
      <c r="A61" s="67" t="s">
        <v>58</v>
      </c>
      <c r="B61" s="9"/>
      <c r="C61" s="9"/>
      <c r="D61" s="9"/>
      <c r="E61" s="9"/>
      <c r="F61" s="9"/>
      <c r="G61" s="9"/>
      <c r="H61" s="9"/>
      <c r="I61" s="9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</row>
    <row r="62" spans="1:29" x14ac:dyDescent="0.25">
      <c r="A62" s="36" t="s">
        <v>22</v>
      </c>
      <c r="B62" s="146">
        <v>0.1</v>
      </c>
      <c r="C62" s="9"/>
      <c r="D62" s="34">
        <f>D60*B62</f>
        <v>2250</v>
      </c>
      <c r="E62" s="38"/>
      <c r="F62" s="35"/>
      <c r="G62" s="9"/>
      <c r="H62" s="9"/>
      <c r="I62" s="9"/>
      <c r="K62" s="153"/>
      <c r="L62" s="153"/>
      <c r="M62" s="629"/>
      <c r="N62" s="629"/>
      <c r="O62" s="629"/>
      <c r="P62" s="630"/>
      <c r="Q62" s="630"/>
      <c r="R62" s="157"/>
      <c r="S62" s="153"/>
      <c r="T62" s="158"/>
      <c r="U62" s="153"/>
      <c r="V62" s="153"/>
      <c r="W62" s="153"/>
      <c r="X62" s="628"/>
      <c r="Y62" s="628"/>
      <c r="Z62" s="153"/>
      <c r="AA62" s="153"/>
      <c r="AB62" s="153"/>
      <c r="AC62" s="153"/>
    </row>
    <row r="63" spans="1:29" x14ac:dyDescent="0.25">
      <c r="A63" s="9" t="s">
        <v>288</v>
      </c>
      <c r="B63" s="9"/>
      <c r="C63" s="9"/>
      <c r="D63" s="72">
        <v>1500</v>
      </c>
      <c r="E63" s="38"/>
      <c r="F63" s="38"/>
      <c r="G63" s="9"/>
      <c r="H63" s="9"/>
      <c r="I63" s="9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36" t="s">
        <v>319</v>
      </c>
      <c r="B64" s="9"/>
      <c r="C64" s="9"/>
      <c r="D64" s="72">
        <v>3000</v>
      </c>
      <c r="E64" s="9"/>
      <c r="F64" s="9"/>
      <c r="G64" s="9"/>
      <c r="H64" s="9"/>
      <c r="I64" s="9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</row>
    <row r="65" spans="1:29" s="9" customFormat="1" x14ac:dyDescent="0.25">
      <c r="A65" s="36" t="s">
        <v>340</v>
      </c>
      <c r="D65" s="72">
        <v>15250</v>
      </c>
      <c r="K65" s="153"/>
      <c r="L65" s="153"/>
      <c r="M65" s="629"/>
      <c r="N65" s="629"/>
      <c r="O65" s="629"/>
      <c r="P65" s="630"/>
      <c r="Q65" s="630"/>
      <c r="R65" s="157"/>
      <c r="S65" s="153"/>
      <c r="T65" s="158"/>
      <c r="U65" s="153"/>
      <c r="V65" s="153"/>
      <c r="W65" s="153"/>
      <c r="X65" s="628"/>
      <c r="Y65" s="628"/>
      <c r="Z65" s="153"/>
      <c r="AA65" s="153"/>
      <c r="AB65" s="153"/>
      <c r="AC65" s="153"/>
    </row>
    <row r="66" spans="1:29" x14ac:dyDescent="0.25">
      <c r="A66" s="36"/>
      <c r="B66" s="9"/>
      <c r="C66" s="9"/>
      <c r="D66" s="72">
        <f>SUM(D62:D65)</f>
        <v>22000</v>
      </c>
      <c r="E66" s="9"/>
      <c r="F66" s="9"/>
      <c r="G66" s="9"/>
      <c r="H66" s="9"/>
      <c r="I66" s="9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9"/>
      <c r="B67" s="9"/>
      <c r="C67" s="9"/>
      <c r="D67" s="135">
        <f>D60-D66</f>
        <v>500</v>
      </c>
      <c r="E67" s="9"/>
      <c r="F67" s="9"/>
      <c r="G67" s="9"/>
      <c r="H67" s="9"/>
      <c r="I67" s="9"/>
      <c r="J67">
        <v>41450</v>
      </c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9"/>
      <c r="B68" s="9"/>
      <c r="C68" s="86"/>
      <c r="D68" s="72"/>
      <c r="E68" s="38" t="s">
        <v>24</v>
      </c>
      <c r="F68" s="39"/>
      <c r="G68" s="9"/>
      <c r="H68" s="9"/>
      <c r="I68" s="9"/>
      <c r="J68">
        <v>15750</v>
      </c>
      <c r="K68" s="632"/>
      <c r="L68" s="632"/>
      <c r="M68" s="632"/>
      <c r="N68" s="632"/>
      <c r="O68" s="632"/>
      <c r="P68" s="153"/>
      <c r="Q68" s="153"/>
      <c r="R68" s="153"/>
      <c r="S68" s="153"/>
      <c r="T68" s="158"/>
      <c r="U68" s="153"/>
      <c r="V68" s="153"/>
      <c r="W68" s="156"/>
      <c r="X68" s="634"/>
      <c r="Y68" s="634"/>
      <c r="Z68" s="634"/>
      <c r="AA68" s="153"/>
      <c r="AB68" s="153"/>
      <c r="AC68" s="153"/>
    </row>
    <row r="69" spans="1:29" x14ac:dyDescent="0.25">
      <c r="A69" s="36"/>
      <c r="B69" s="9"/>
      <c r="C69" s="9"/>
      <c r="D69" s="72"/>
      <c r="E69" s="9"/>
      <c r="F69" s="9"/>
      <c r="G69" s="9"/>
      <c r="H69" s="9"/>
      <c r="I69" s="9"/>
      <c r="J69">
        <v>17660</v>
      </c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</row>
    <row r="70" spans="1:29" x14ac:dyDescent="0.25">
      <c r="A70" s="9"/>
      <c r="B70" s="9"/>
      <c r="C70" s="9"/>
      <c r="D70" s="9"/>
      <c r="E70" s="9"/>
      <c r="F70" s="9"/>
      <c r="G70" s="9"/>
      <c r="H70" s="9"/>
      <c r="I70" s="9"/>
      <c r="J70">
        <v>15800</v>
      </c>
      <c r="K70" s="632"/>
      <c r="L70" s="632"/>
      <c r="M70" s="632"/>
      <c r="N70" s="632"/>
      <c r="O70" s="632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</row>
    <row r="71" spans="1:29" x14ac:dyDescent="0.25">
      <c r="A71" s="5" t="s">
        <v>92</v>
      </c>
      <c r="B71" s="19"/>
      <c r="C71" s="19"/>
      <c r="D71" s="81" t="s">
        <v>4</v>
      </c>
      <c r="E71" s="81"/>
      <c r="F71" s="19"/>
      <c r="G71" s="9"/>
      <c r="H71" s="9"/>
      <c r="I71" s="9"/>
      <c r="J71">
        <v>19000</v>
      </c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</row>
    <row r="72" spans="1:29" x14ac:dyDescent="0.25">
      <c r="A72" s="5"/>
      <c r="B72" s="19"/>
      <c r="C72" s="81" t="s">
        <v>87</v>
      </c>
      <c r="D72" s="81"/>
      <c r="E72" s="19"/>
      <c r="F72" s="19"/>
      <c r="G72" s="9"/>
      <c r="H72" s="9"/>
      <c r="I72" s="9"/>
      <c r="J72">
        <f>SUM(J67:J71)</f>
        <v>109660</v>
      </c>
      <c r="K72" s="631"/>
      <c r="L72" s="631"/>
      <c r="M72" s="631"/>
      <c r="N72" s="631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</row>
    <row r="73" spans="1:29" x14ac:dyDescent="0.25">
      <c r="A73" s="24"/>
      <c r="B73" s="79"/>
      <c r="C73" s="82" t="s">
        <v>88</v>
      </c>
      <c r="D73" s="80"/>
      <c r="E73" s="80"/>
      <c r="F73" s="79"/>
      <c r="G73" s="9"/>
      <c r="H73" s="9"/>
      <c r="I73" s="9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</row>
    <row r="74" spans="1:29" x14ac:dyDescent="0.25">
      <c r="A74" s="4"/>
      <c r="B74" s="5"/>
      <c r="C74" s="6" t="s">
        <v>5</v>
      </c>
      <c r="D74" s="6"/>
      <c r="E74" s="5"/>
      <c r="F74" s="4"/>
      <c r="G74" s="9"/>
      <c r="H74" s="9"/>
      <c r="I74" s="9"/>
      <c r="K74" s="632"/>
      <c r="L74" s="632"/>
      <c r="M74" s="632"/>
      <c r="N74" s="632"/>
      <c r="O74" s="632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</row>
    <row r="75" spans="1:29" ht="15.75" x14ac:dyDescent="0.25">
      <c r="A75" s="9"/>
      <c r="B75" s="4"/>
      <c r="C75" s="52"/>
      <c r="D75" s="4" t="s">
        <v>171</v>
      </c>
      <c r="E75" s="4"/>
      <c r="F75" s="4"/>
      <c r="G75" s="5"/>
      <c r="H75" s="9"/>
      <c r="I75" s="9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</row>
    <row r="76" spans="1:29" x14ac:dyDescent="0.25">
      <c r="A76" s="9"/>
      <c r="B76" s="95"/>
      <c r="C76" s="95"/>
      <c r="D76" s="96" t="s">
        <v>311</v>
      </c>
      <c r="E76" s="95"/>
      <c r="F76" s="95"/>
      <c r="G76" s="95"/>
      <c r="H76" s="9"/>
      <c r="I76" s="9"/>
      <c r="K76" s="633"/>
      <c r="L76" s="633"/>
      <c r="M76" s="155"/>
      <c r="N76" s="633"/>
      <c r="O76" s="63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</row>
    <row r="77" spans="1:29" x14ac:dyDescent="0.25">
      <c r="A77" s="12" t="s">
        <v>0</v>
      </c>
      <c r="B77" s="12" t="s">
        <v>32</v>
      </c>
      <c r="C77" s="22" t="s">
        <v>55</v>
      </c>
      <c r="D77" s="21" t="s">
        <v>1</v>
      </c>
      <c r="E77" s="44" t="s">
        <v>164</v>
      </c>
      <c r="F77" s="21" t="s">
        <v>3</v>
      </c>
      <c r="G77" s="106" t="s">
        <v>165</v>
      </c>
      <c r="H77" s="44"/>
      <c r="I77" s="9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</row>
    <row r="78" spans="1:29" x14ac:dyDescent="0.25">
      <c r="A78" s="43" t="s">
        <v>166</v>
      </c>
      <c r="B78" s="3"/>
      <c r="C78" s="2"/>
      <c r="D78" s="46">
        <v>3500</v>
      </c>
      <c r="E78" s="105">
        <f>C78+D78</f>
        <v>3500</v>
      </c>
      <c r="F78" s="44">
        <v>3500</v>
      </c>
      <c r="G78" s="107">
        <f>E78-F78</f>
        <v>0</v>
      </c>
      <c r="H78" s="44"/>
      <c r="I78" s="9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</row>
    <row r="79" spans="1:29" x14ac:dyDescent="0.25">
      <c r="A79" s="43" t="s">
        <v>167</v>
      </c>
      <c r="B79" s="3"/>
      <c r="C79" s="44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29" x14ac:dyDescent="0.25">
      <c r="A80" s="43" t="s">
        <v>168</v>
      </c>
      <c r="B80" s="69"/>
      <c r="C80" s="108"/>
      <c r="D80" s="47">
        <v>3500</v>
      </c>
      <c r="E80" s="105">
        <f>C80+D80</f>
        <v>3500</v>
      </c>
      <c r="F80" s="44">
        <v>2000</v>
      </c>
      <c r="G80" s="107">
        <f>E80-F80</f>
        <v>1500</v>
      </c>
      <c r="H80" s="44" t="s">
        <v>169</v>
      </c>
      <c r="I80" s="9"/>
    </row>
    <row r="81" spans="1:9" x14ac:dyDescent="0.25">
      <c r="A81" s="43" t="s">
        <v>208</v>
      </c>
      <c r="B81" s="3"/>
      <c r="C81" s="109"/>
      <c r="D81" s="46">
        <v>3500</v>
      </c>
      <c r="E81" s="105"/>
      <c r="F81" s="44"/>
      <c r="G81" s="107"/>
      <c r="H81" s="44"/>
      <c r="I81" s="9"/>
    </row>
    <row r="82" spans="1:9" x14ac:dyDescent="0.25">
      <c r="A82" s="45"/>
      <c r="B82" s="3"/>
      <c r="C82" s="43"/>
      <c r="D82" s="46"/>
      <c r="E82" s="105">
        <f>C82+D82</f>
        <v>0</v>
      </c>
      <c r="F82" s="44"/>
      <c r="G82" s="107">
        <f>E82-F82</f>
        <v>0</v>
      </c>
      <c r="H82" s="44"/>
      <c r="I82" s="9"/>
    </row>
    <row r="83" spans="1:9" x14ac:dyDescent="0.25">
      <c r="A83" s="110" t="s">
        <v>2</v>
      </c>
      <c r="B83" s="111"/>
      <c r="C83" s="110">
        <f>SUM(C78:C82)</f>
        <v>0</v>
      </c>
      <c r="D83" s="53">
        <f>SUM(D78:D82)</f>
        <v>14000</v>
      </c>
      <c r="E83" s="112">
        <f>SUM(E78:E82)</f>
        <v>10500</v>
      </c>
      <c r="F83" s="113">
        <f>SUM(F78:F82)</f>
        <v>9000</v>
      </c>
      <c r="G83" s="114">
        <f>SUM(G78:G82)</f>
        <v>1500</v>
      </c>
      <c r="H83" s="44"/>
      <c r="I83" s="9"/>
    </row>
    <row r="84" spans="1:9" x14ac:dyDescent="0.25">
      <c r="A84" s="43"/>
      <c r="B84" s="3"/>
      <c r="C84" s="44"/>
      <c r="D84" s="46"/>
      <c r="E84" s="44"/>
      <c r="F84" s="9"/>
      <c r="G84" s="9"/>
      <c r="H84" s="9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5">
      <c r="A86" s="100" t="s">
        <v>60</v>
      </c>
      <c r="B86" s="101"/>
      <c r="C86" s="97"/>
      <c r="D86" s="102">
        <f>D83</f>
        <v>14000</v>
      </c>
      <c r="E86" s="9"/>
      <c r="F86" s="18" t="s">
        <v>109</v>
      </c>
      <c r="G86" s="19"/>
      <c r="H86" s="18" t="s">
        <v>232</v>
      </c>
      <c r="I86" s="9"/>
    </row>
    <row r="87" spans="1:9" x14ac:dyDescent="0.25">
      <c r="A87" s="103"/>
      <c r="B87" s="101"/>
      <c r="C87" s="97"/>
      <c r="D87" s="104"/>
      <c r="E87" s="51"/>
      <c r="F87" s="38" t="s">
        <v>24</v>
      </c>
      <c r="G87" s="39"/>
      <c r="H87" s="9" t="s">
        <v>94</v>
      </c>
      <c r="I87" s="9"/>
    </row>
    <row r="88" spans="1:9" x14ac:dyDescent="0.25">
      <c r="A88" s="9" t="s">
        <v>196</v>
      </c>
      <c r="B88" s="9"/>
      <c r="C88" s="83">
        <v>0.1</v>
      </c>
      <c r="D88" s="9"/>
      <c r="E88" s="9"/>
      <c r="F88" s="9"/>
      <c r="G88" s="9"/>
      <c r="H88" s="9"/>
      <c r="I88" s="9"/>
    </row>
    <row r="89" spans="1:9" x14ac:dyDescent="0.25">
      <c r="A89" s="36" t="s">
        <v>22</v>
      </c>
      <c r="B89" s="17"/>
      <c r="C89" s="9"/>
      <c r="D89" s="34">
        <f>C88*D86</f>
        <v>1400</v>
      </c>
      <c r="E89" s="9"/>
      <c r="F89" s="38" t="s">
        <v>81</v>
      </c>
      <c r="G89" s="38"/>
      <c r="H89" s="9"/>
      <c r="I89" s="9"/>
    </row>
    <row r="90" spans="1:9" x14ac:dyDescent="0.25">
      <c r="A90" s="36" t="s">
        <v>172</v>
      </c>
      <c r="B90" s="9"/>
      <c r="C90" s="9"/>
      <c r="D90" s="9">
        <v>5000</v>
      </c>
      <c r="E90" s="9"/>
      <c r="F90" s="38" t="s">
        <v>24</v>
      </c>
      <c r="G90" s="39"/>
      <c r="H90" s="9"/>
      <c r="I90" s="9"/>
    </row>
    <row r="91" spans="1:9" x14ac:dyDescent="0.25">
      <c r="A91" s="9" t="s">
        <v>295</v>
      </c>
      <c r="B91" s="9"/>
      <c r="C91" s="9"/>
      <c r="D91" s="72">
        <v>7600</v>
      </c>
      <c r="E91" s="72">
        <f>D90+D91</f>
        <v>12600</v>
      </c>
      <c r="F91" s="38"/>
      <c r="G91" s="39"/>
      <c r="H91" s="9"/>
      <c r="I91" s="9"/>
    </row>
    <row r="92" spans="1:9" x14ac:dyDescent="0.25">
      <c r="A92" s="122"/>
      <c r="B92" s="97"/>
      <c r="C92" s="97"/>
      <c r="D92" s="121">
        <f>SUM(D89:D91)</f>
        <v>14000</v>
      </c>
      <c r="E92" s="9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1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5">
      <c r="A96" s="5" t="s">
        <v>92</v>
      </c>
      <c r="B96" s="19"/>
      <c r="C96" s="19"/>
      <c r="D96" s="81" t="s">
        <v>4</v>
      </c>
      <c r="E96" s="81"/>
      <c r="F96" s="19"/>
      <c r="G96" s="9"/>
      <c r="H96" s="9"/>
      <c r="I96" s="90"/>
    </row>
    <row r="97" spans="1:9" x14ac:dyDescent="0.25">
      <c r="A97" s="5"/>
      <c r="B97" s="19"/>
      <c r="C97" s="81" t="s">
        <v>87</v>
      </c>
      <c r="D97" s="81"/>
      <c r="E97" s="19"/>
      <c r="F97" s="19"/>
      <c r="G97" s="9"/>
      <c r="H97" s="9"/>
      <c r="I97" s="9"/>
    </row>
    <row r="98" spans="1:9" x14ac:dyDescent="0.25">
      <c r="A98" s="24"/>
      <c r="B98" s="79"/>
      <c r="C98" s="82" t="s">
        <v>88</v>
      </c>
      <c r="D98" s="80"/>
      <c r="E98" s="80"/>
      <c r="F98" s="79"/>
      <c r="G98" s="9"/>
      <c r="H98" s="9"/>
      <c r="I98" s="9"/>
    </row>
    <row r="99" spans="1:9" x14ac:dyDescent="0.25">
      <c r="A99" s="4"/>
      <c r="B99" s="5"/>
      <c r="C99" s="6" t="s">
        <v>5</v>
      </c>
      <c r="D99" s="6"/>
      <c r="E99" s="5"/>
      <c r="F99" s="4"/>
      <c r="G99" s="9"/>
      <c r="H99" s="9"/>
      <c r="I99" s="9"/>
    </row>
    <row r="100" spans="1:9" ht="23.25" x14ac:dyDescent="0.35">
      <c r="A100" s="4"/>
      <c r="B100" s="52" t="s">
        <v>97</v>
      </c>
      <c r="C100" s="4"/>
      <c r="D100" s="145" t="s">
        <v>292</v>
      </c>
      <c r="E100" s="145"/>
      <c r="F100" s="145"/>
      <c r="G100" s="9"/>
      <c r="H100" s="9"/>
      <c r="I100" s="9"/>
    </row>
    <row r="101" spans="1:9" x14ac:dyDescent="0.25">
      <c r="A101" s="9"/>
      <c r="B101" s="9"/>
      <c r="C101" s="95"/>
      <c r="D101" s="95"/>
      <c r="E101" s="96" t="s">
        <v>308</v>
      </c>
      <c r="F101" s="95"/>
      <c r="G101" s="95"/>
      <c r="H101" s="9"/>
      <c r="I101" s="9"/>
    </row>
    <row r="102" spans="1:9" x14ac:dyDescent="0.25">
      <c r="A102" s="12" t="s">
        <v>0</v>
      </c>
      <c r="B102" s="12" t="s">
        <v>32</v>
      </c>
      <c r="C102" s="12" t="s">
        <v>52</v>
      </c>
      <c r="D102" s="22" t="s">
        <v>55</v>
      </c>
      <c r="E102" s="21" t="s">
        <v>1</v>
      </c>
      <c r="F102" s="22" t="s">
        <v>10</v>
      </c>
      <c r="G102" s="21" t="s">
        <v>3</v>
      </c>
      <c r="H102" s="13" t="s">
        <v>13</v>
      </c>
      <c r="I102" s="9"/>
    </row>
    <row r="103" spans="1:9" x14ac:dyDescent="0.25">
      <c r="A103" s="43" t="s">
        <v>317</v>
      </c>
      <c r="B103" s="120">
        <v>1</v>
      </c>
      <c r="C103" s="116"/>
      <c r="D103" s="43"/>
      <c r="E103" s="47">
        <v>4500</v>
      </c>
      <c r="F103" s="47">
        <f>D103+E103</f>
        <v>4500</v>
      </c>
      <c r="G103" s="149">
        <v>4500</v>
      </c>
      <c r="H103" s="129">
        <f>F103-G103</f>
        <v>0</v>
      </c>
      <c r="I103" s="9"/>
    </row>
    <row r="104" spans="1:9" x14ac:dyDescent="0.25">
      <c r="A104" s="88" t="s">
        <v>240</v>
      </c>
      <c r="B104" s="120">
        <v>2</v>
      </c>
      <c r="C104" s="117"/>
      <c r="D104" s="2"/>
      <c r="E104" s="46">
        <v>4500</v>
      </c>
      <c r="F104" s="47">
        <f t="shared" ref="F104:F120" si="4">D104+E104</f>
        <v>4500</v>
      </c>
      <c r="G104" s="56">
        <v>4500</v>
      </c>
      <c r="H104" s="129">
        <f t="shared" ref="H104:H120" si="5">F104-G104</f>
        <v>0</v>
      </c>
      <c r="I104" s="9"/>
    </row>
    <row r="105" spans="1:9" x14ac:dyDescent="0.25">
      <c r="A105" s="88" t="s">
        <v>241</v>
      </c>
      <c r="B105" s="120">
        <v>3</v>
      </c>
      <c r="C105" s="117"/>
      <c r="D105" s="43"/>
      <c r="E105" s="46">
        <v>4500</v>
      </c>
      <c r="F105" s="47">
        <f t="shared" si="4"/>
        <v>4500</v>
      </c>
      <c r="G105" s="56">
        <v>4500</v>
      </c>
      <c r="H105" s="129">
        <f t="shared" si="5"/>
        <v>0</v>
      </c>
      <c r="I105" s="9"/>
    </row>
    <row r="106" spans="1:9" x14ac:dyDescent="0.25">
      <c r="A106" s="88" t="s">
        <v>242</v>
      </c>
      <c r="B106" s="120">
        <v>4</v>
      </c>
      <c r="C106" s="117"/>
      <c r="D106" s="43"/>
      <c r="E106" s="46">
        <v>2500</v>
      </c>
      <c r="F106" s="47">
        <f t="shared" si="4"/>
        <v>2500</v>
      </c>
      <c r="G106" s="56">
        <v>2500</v>
      </c>
      <c r="H106" s="129">
        <f t="shared" si="5"/>
        <v>0</v>
      </c>
      <c r="I106" s="9"/>
    </row>
    <row r="107" spans="1:9" x14ac:dyDescent="0.25">
      <c r="A107" s="43" t="s">
        <v>243</v>
      </c>
      <c r="B107" s="120">
        <v>5</v>
      </c>
      <c r="C107" s="117"/>
      <c r="D107" s="44"/>
      <c r="E107" s="46"/>
      <c r="F107" s="47">
        <f t="shared" si="4"/>
        <v>0</v>
      </c>
      <c r="G107" s="46"/>
      <c r="H107" s="129">
        <f t="shared" si="5"/>
        <v>0</v>
      </c>
      <c r="I107" s="9"/>
    </row>
    <row r="108" spans="1:9" x14ac:dyDescent="0.25">
      <c r="A108" s="43" t="s">
        <v>325</v>
      </c>
      <c r="B108" s="120">
        <v>6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  <c r="I108" s="9"/>
    </row>
    <row r="109" spans="1:9" x14ac:dyDescent="0.25">
      <c r="A109" s="43" t="s">
        <v>245</v>
      </c>
      <c r="B109" s="120">
        <v>7</v>
      </c>
      <c r="C109" s="117"/>
      <c r="D109" s="44"/>
      <c r="E109" s="73">
        <v>2500</v>
      </c>
      <c r="F109" s="47">
        <f t="shared" si="4"/>
        <v>2500</v>
      </c>
      <c r="G109" s="68">
        <v>2500</v>
      </c>
      <c r="H109" s="129">
        <f t="shared" si="5"/>
        <v>0</v>
      </c>
      <c r="I109" s="9"/>
    </row>
    <row r="110" spans="1:9" x14ac:dyDescent="0.25">
      <c r="A110" s="47" t="s">
        <v>326</v>
      </c>
      <c r="B110" s="120">
        <v>8</v>
      </c>
      <c r="C110" s="118"/>
      <c r="D110" s="46"/>
      <c r="E110" s="46">
        <v>2500</v>
      </c>
      <c r="F110" s="47">
        <f t="shared" si="4"/>
        <v>2500</v>
      </c>
      <c r="G110" s="46">
        <v>2500</v>
      </c>
      <c r="H110" s="129">
        <f t="shared" si="5"/>
        <v>0</v>
      </c>
      <c r="I110" s="9"/>
    </row>
    <row r="111" spans="1:9" x14ac:dyDescent="0.25">
      <c r="A111" s="44" t="s">
        <v>78</v>
      </c>
      <c r="B111" s="120">
        <v>9</v>
      </c>
      <c r="C111" s="117"/>
      <c r="D111" s="44"/>
      <c r="E111" s="44">
        <v>2700</v>
      </c>
      <c r="F111" s="47">
        <f t="shared" si="4"/>
        <v>2700</v>
      </c>
      <c r="G111" s="150">
        <v>2500</v>
      </c>
      <c r="H111" s="129">
        <f t="shared" si="5"/>
        <v>200</v>
      </c>
      <c r="I111" s="9"/>
    </row>
    <row r="112" spans="1:9" x14ac:dyDescent="0.25">
      <c r="A112" s="45" t="s">
        <v>309</v>
      </c>
      <c r="B112" s="120">
        <v>10</v>
      </c>
      <c r="C112" s="9"/>
      <c r="D112" s="44"/>
      <c r="E112" s="115">
        <v>4500</v>
      </c>
      <c r="F112" s="47">
        <f t="shared" si="4"/>
        <v>4500</v>
      </c>
      <c r="G112" s="150">
        <v>3000</v>
      </c>
      <c r="H112" s="129">
        <f t="shared" si="5"/>
        <v>1500</v>
      </c>
      <c r="I112" s="9"/>
    </row>
    <row r="113" spans="1:9" x14ac:dyDescent="0.25">
      <c r="A113" s="45" t="s">
        <v>327</v>
      </c>
      <c r="B113" s="120">
        <v>11</v>
      </c>
      <c r="C113" s="119"/>
      <c r="D113" s="44"/>
      <c r="E113" s="105">
        <v>2500</v>
      </c>
      <c r="F113" s="47">
        <f t="shared" si="4"/>
        <v>2500</v>
      </c>
      <c r="G113" s="150">
        <v>2700</v>
      </c>
      <c r="H113" s="129">
        <f t="shared" si="5"/>
        <v>-200</v>
      </c>
      <c r="I113" s="9"/>
    </row>
    <row r="114" spans="1:9" x14ac:dyDescent="0.25">
      <c r="A114" s="44" t="s">
        <v>328</v>
      </c>
      <c r="B114" s="120">
        <v>12</v>
      </c>
      <c r="C114" s="119"/>
      <c r="D114" s="44"/>
      <c r="E114" s="44">
        <v>2500</v>
      </c>
      <c r="F114" s="47">
        <f t="shared" si="4"/>
        <v>2500</v>
      </c>
      <c r="G114" s="150"/>
      <c r="H114" s="129">
        <f t="shared" si="5"/>
        <v>2500</v>
      </c>
      <c r="I114" s="9"/>
    </row>
    <row r="115" spans="1:9" x14ac:dyDescent="0.25">
      <c r="A115" s="44" t="s">
        <v>329</v>
      </c>
      <c r="B115" s="120">
        <v>13</v>
      </c>
      <c r="C115" s="117"/>
      <c r="E115" s="44">
        <v>2500</v>
      </c>
      <c r="F115" s="47">
        <f>D116+E115</f>
        <v>5000</v>
      </c>
      <c r="G115" s="150">
        <v>2400</v>
      </c>
      <c r="H115" s="129">
        <f t="shared" si="5"/>
        <v>2600</v>
      </c>
      <c r="I115" s="9"/>
    </row>
    <row r="116" spans="1:9" x14ac:dyDescent="0.25">
      <c r="A116" s="44" t="s">
        <v>137</v>
      </c>
      <c r="B116" s="120">
        <v>14</v>
      </c>
      <c r="C116" s="117"/>
      <c r="D116" s="44">
        <v>2500</v>
      </c>
      <c r="E116" s="44">
        <v>2500</v>
      </c>
      <c r="F116" s="47">
        <f>D116+E116</f>
        <v>5000</v>
      </c>
      <c r="G116" s="150"/>
      <c r="H116" s="129">
        <f t="shared" si="5"/>
        <v>5000</v>
      </c>
      <c r="I116" s="9"/>
    </row>
    <row r="117" spans="1:9" x14ac:dyDescent="0.25">
      <c r="A117" s="44" t="s">
        <v>251</v>
      </c>
      <c r="B117" s="120">
        <v>15</v>
      </c>
      <c r="C117" s="117"/>
      <c r="D117" s="44"/>
      <c r="E117" s="44">
        <v>2500</v>
      </c>
      <c r="F117" s="47">
        <f t="shared" si="4"/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330</v>
      </c>
      <c r="B118" s="148">
        <v>16</v>
      </c>
      <c r="C118" s="9"/>
      <c r="D118" s="9"/>
      <c r="E118" s="125"/>
      <c r="F118" s="47">
        <f t="shared" si="4"/>
        <v>0</v>
      </c>
      <c r="G118" s="150">
        <f>2500+1000</f>
        <v>3500</v>
      </c>
      <c r="H118" s="129">
        <f t="shared" si="5"/>
        <v>-3500</v>
      </c>
      <c r="I118" s="9"/>
    </row>
    <row r="119" spans="1:9" x14ac:dyDescent="0.25">
      <c r="A119" s="125" t="s">
        <v>331</v>
      </c>
      <c r="B119" s="120">
        <v>17</v>
      </c>
      <c r="C119" s="117"/>
      <c r="D119" s="44"/>
      <c r="E119" s="44">
        <v>1600</v>
      </c>
      <c r="F119" s="47">
        <f t="shared" si="4"/>
        <v>1600</v>
      </c>
      <c r="G119" s="150"/>
      <c r="H119" s="129">
        <f t="shared" si="5"/>
        <v>1600</v>
      </c>
      <c r="I119" s="9"/>
    </row>
    <row r="120" spans="1:9" x14ac:dyDescent="0.25">
      <c r="A120" s="44" t="s">
        <v>307</v>
      </c>
      <c r="B120" s="120">
        <v>18</v>
      </c>
      <c r="C120" s="117" t="s">
        <v>248</v>
      </c>
      <c r="D120" s="44"/>
      <c r="E120" s="44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140"/>
      <c r="B121" s="141"/>
      <c r="C121" s="142"/>
      <c r="D121" s="58"/>
      <c r="E121" s="58"/>
      <c r="F121" s="61"/>
      <c r="G121" s="58">
        <v>2500</v>
      </c>
      <c r="H121" s="143"/>
      <c r="I121" s="9"/>
    </row>
    <row r="122" spans="1:9" x14ac:dyDescent="0.25">
      <c r="A122" s="44"/>
      <c r="B122" s="44"/>
      <c r="C122" s="44"/>
      <c r="D122" s="44"/>
      <c r="E122" s="44"/>
      <c r="F122" s="44"/>
      <c r="G122" s="44"/>
      <c r="H122" s="44"/>
      <c r="I122" s="9"/>
    </row>
    <row r="123" spans="1:9" x14ac:dyDescent="0.25">
      <c r="A123" s="138"/>
      <c r="B123" s="138"/>
      <c r="C123" s="138"/>
      <c r="D123" s="138">
        <f>SUM(D116:D122)</f>
        <v>2500</v>
      </c>
      <c r="E123" s="139">
        <f>SUM(E103:E122)</f>
        <v>46400</v>
      </c>
      <c r="F123" s="138"/>
      <c r="G123" s="139">
        <f>SUM(G103:G122)</f>
        <v>39600</v>
      </c>
      <c r="H123" s="138"/>
      <c r="I123" s="9"/>
    </row>
    <row r="124" spans="1:9" x14ac:dyDescent="0.25">
      <c r="A124" s="100" t="s">
        <v>60</v>
      </c>
      <c r="B124" s="101"/>
      <c r="C124" s="97"/>
      <c r="D124" s="102">
        <f>E123</f>
        <v>46400</v>
      </c>
      <c r="E124" s="18" t="s">
        <v>109</v>
      </c>
      <c r="F124" s="19"/>
      <c r="G124" s="18" t="s">
        <v>93</v>
      </c>
      <c r="H124" s="9"/>
      <c r="I124" s="9"/>
    </row>
    <row r="125" spans="1:9" x14ac:dyDescent="0.25">
      <c r="A125" s="103"/>
      <c r="B125" s="101"/>
      <c r="C125" s="97"/>
      <c r="D125" s="104"/>
      <c r="E125" s="38" t="s">
        <v>24</v>
      </c>
      <c r="F125" s="39"/>
      <c r="G125" s="9" t="s">
        <v>94</v>
      </c>
      <c r="H125" s="9"/>
      <c r="I125" s="9"/>
    </row>
    <row r="126" spans="1:9" s="9" customFormat="1" x14ac:dyDescent="0.25">
      <c r="A126" s="103" t="s">
        <v>333</v>
      </c>
      <c r="B126" s="101"/>
      <c r="C126" s="97"/>
      <c r="D126" s="104">
        <v>2500</v>
      </c>
      <c r="E126" s="38"/>
      <c r="F126" s="39"/>
    </row>
    <row r="127" spans="1:9" x14ac:dyDescent="0.25">
      <c r="A127" s="67" t="s">
        <v>58</v>
      </c>
      <c r="B127" s="9"/>
      <c r="C127" s="9"/>
      <c r="D127" s="72">
        <f>SUM(D124:D126)</f>
        <v>48900</v>
      </c>
      <c r="E127" s="9"/>
      <c r="F127" s="83">
        <v>0.1</v>
      </c>
      <c r="G127" s="9"/>
      <c r="H127" s="9"/>
      <c r="I127" s="9"/>
    </row>
    <row r="128" spans="1:9" x14ac:dyDescent="0.25">
      <c r="A128" s="36" t="s">
        <v>22</v>
      </c>
      <c r="B128" s="17"/>
      <c r="C128" s="9"/>
      <c r="D128" s="34">
        <f>SUM(D124*10%)</f>
        <v>4640</v>
      </c>
      <c r="E128" s="38" t="s">
        <v>81</v>
      </c>
      <c r="F128" s="35"/>
      <c r="G128" s="9"/>
      <c r="H128" s="9"/>
      <c r="I128" s="9"/>
    </row>
    <row r="129" spans="1:9" x14ac:dyDescent="0.25">
      <c r="A129" s="34"/>
      <c r="E129" s="38"/>
      <c r="F129" s="38"/>
      <c r="G129" s="9"/>
      <c r="H129" s="9"/>
      <c r="I129" s="9"/>
    </row>
    <row r="130" spans="1:9" x14ac:dyDescent="0.25">
      <c r="A130" s="36" t="s">
        <v>334</v>
      </c>
      <c r="B130" s="17"/>
      <c r="C130" s="9"/>
      <c r="D130" s="34">
        <v>3000</v>
      </c>
      <c r="E130" s="38"/>
      <c r="F130" s="38"/>
      <c r="G130" s="9"/>
      <c r="H130" s="9"/>
      <c r="I130" s="9"/>
    </row>
    <row r="131" spans="1:9" x14ac:dyDescent="0.25">
      <c r="A131" s="36" t="s">
        <v>335</v>
      </c>
      <c r="B131" s="17"/>
      <c r="C131" s="9"/>
      <c r="D131" s="34">
        <v>17660</v>
      </c>
      <c r="E131" s="38" t="s">
        <v>24</v>
      </c>
      <c r="F131" s="39"/>
      <c r="G131" s="9"/>
      <c r="H131" s="9"/>
      <c r="I131" s="9"/>
    </row>
    <row r="132" spans="1:9" x14ac:dyDescent="0.25">
      <c r="A132" s="36" t="s">
        <v>320</v>
      </c>
      <c r="B132" s="17"/>
      <c r="C132" s="9"/>
      <c r="D132" s="34">
        <v>5000</v>
      </c>
      <c r="E132" s="9"/>
      <c r="F132" s="9"/>
      <c r="G132" s="9"/>
      <c r="H132" s="9"/>
      <c r="I132" s="9">
        <v>1600</v>
      </c>
    </row>
    <row r="133" spans="1:9" s="9" customFormat="1" x14ac:dyDescent="0.25">
      <c r="A133" s="136" t="s">
        <v>321</v>
      </c>
      <c r="B133" s="17"/>
      <c r="D133" s="34">
        <v>5000</v>
      </c>
      <c r="I133" s="9">
        <v>2500</v>
      </c>
    </row>
    <row r="134" spans="1:9" x14ac:dyDescent="0.25">
      <c r="A134" s="36" t="s">
        <v>322</v>
      </c>
      <c r="B134" s="9"/>
      <c r="C134" s="86"/>
      <c r="D134" s="87">
        <v>3200</v>
      </c>
      <c r="E134" s="91"/>
      <c r="F134" s="9"/>
      <c r="G134" s="9"/>
      <c r="H134" s="9"/>
      <c r="I134" s="9">
        <v>14000</v>
      </c>
    </row>
    <row r="135" spans="1:9" x14ac:dyDescent="0.25">
      <c r="A135" s="36" t="s">
        <v>323</v>
      </c>
      <c r="B135" s="9"/>
      <c r="C135" s="9"/>
      <c r="D135" s="72">
        <v>4600</v>
      </c>
      <c r="E135" s="91"/>
      <c r="F135" s="72">
        <f>D132+D133+D134</f>
        <v>13200</v>
      </c>
      <c r="G135" s="72"/>
      <c r="H135" s="72"/>
      <c r="I135" s="9">
        <f>SUM(I132:I134)</f>
        <v>18100</v>
      </c>
    </row>
    <row r="136" spans="1:9" x14ac:dyDescent="0.25">
      <c r="A136" s="36" t="s">
        <v>336</v>
      </c>
      <c r="B136" s="9"/>
      <c r="C136" s="9"/>
      <c r="D136" s="72">
        <v>8800</v>
      </c>
      <c r="I136" s="9"/>
    </row>
    <row r="137" spans="1:9" s="9" customFormat="1" x14ac:dyDescent="0.25">
      <c r="A137" s="36" t="s">
        <v>338</v>
      </c>
      <c r="D137" s="72">
        <v>4100</v>
      </c>
    </row>
    <row r="138" spans="1:9" x14ac:dyDescent="0.25">
      <c r="A138" s="36" t="s">
        <v>154</v>
      </c>
      <c r="B138" s="9"/>
      <c r="C138" s="9"/>
      <c r="D138" s="72">
        <f>SUM(D128:D137)</f>
        <v>56000</v>
      </c>
      <c r="E138">
        <v>13200</v>
      </c>
      <c r="F138" s="72">
        <f>D138-E138</f>
        <v>42800</v>
      </c>
      <c r="G138">
        <v>4640</v>
      </c>
      <c r="H138" s="72">
        <f>F138-G138</f>
        <v>38160</v>
      </c>
      <c r="I138" s="9"/>
    </row>
    <row r="139" spans="1:9" x14ac:dyDescent="0.25">
      <c r="A139" s="36" t="s">
        <v>26</v>
      </c>
      <c r="B139" s="9"/>
      <c r="C139" s="9"/>
      <c r="D139" s="72">
        <f>D127-D138</f>
        <v>-7100</v>
      </c>
      <c r="I139" s="9"/>
    </row>
    <row r="140" spans="1:9" x14ac:dyDescent="0.25">
      <c r="I140" s="9"/>
    </row>
    <row r="141" spans="1:9" x14ac:dyDescent="0.25">
      <c r="I141" s="9"/>
    </row>
    <row r="142" spans="1:9" x14ac:dyDescent="0.25">
      <c r="I142" s="9"/>
    </row>
    <row r="143" spans="1:9" x14ac:dyDescent="0.25">
      <c r="A143" s="9"/>
      <c r="B143" s="19"/>
      <c r="C143" s="19"/>
      <c r="D143" s="81" t="s">
        <v>4</v>
      </c>
      <c r="E143" s="81"/>
      <c r="F143" s="19"/>
      <c r="G143" s="9"/>
      <c r="H143" s="9"/>
      <c r="I143" s="9"/>
    </row>
    <row r="144" spans="1:9" s="9" customFormat="1" x14ac:dyDescent="0.25">
      <c r="B144" s="19"/>
      <c r="C144" s="81" t="s">
        <v>87</v>
      </c>
      <c r="D144" s="81"/>
      <c r="E144" s="19"/>
      <c r="F144" s="19"/>
    </row>
    <row r="145" spans="1:9" x14ac:dyDescent="0.25">
      <c r="A145" s="9"/>
      <c r="B145" s="79"/>
      <c r="C145" s="82" t="s">
        <v>88</v>
      </c>
      <c r="D145" s="80"/>
      <c r="E145" s="80"/>
      <c r="F145" s="79"/>
      <c r="G145" s="9"/>
      <c r="H145" s="9"/>
      <c r="I145" s="9"/>
    </row>
    <row r="146" spans="1:9" x14ac:dyDescent="0.25">
      <c r="A146" s="9"/>
      <c r="B146" s="5"/>
      <c r="C146" s="6" t="s">
        <v>5</v>
      </c>
      <c r="D146" s="6"/>
      <c r="E146" s="5"/>
      <c r="F146" s="4"/>
      <c r="G146" s="9"/>
      <c r="H146" s="9"/>
      <c r="I146" s="9"/>
    </row>
    <row r="147" spans="1:9" ht="28.5" x14ac:dyDescent="0.45">
      <c r="A147" s="144" t="s">
        <v>301</v>
      </c>
      <c r="B147" s="144"/>
      <c r="C147" s="144"/>
      <c r="D147" s="144"/>
      <c r="E147" s="144"/>
      <c r="F147" s="144"/>
      <c r="G147" s="144"/>
      <c r="H147" s="144"/>
      <c r="I147" s="9"/>
    </row>
    <row r="148" spans="1:9" x14ac:dyDescent="0.25">
      <c r="A148" s="12" t="s">
        <v>0</v>
      </c>
      <c r="B148" s="12" t="s">
        <v>32</v>
      </c>
      <c r="C148" s="12" t="s">
        <v>52</v>
      </c>
      <c r="D148" s="22" t="s">
        <v>55</v>
      </c>
      <c r="E148" s="21" t="s">
        <v>1</v>
      </c>
      <c r="F148" s="22" t="s">
        <v>10</v>
      </c>
      <c r="G148" s="21" t="s">
        <v>3</v>
      </c>
      <c r="H148" s="13" t="s">
        <v>13</v>
      </c>
      <c r="I148" s="9"/>
    </row>
    <row r="149" spans="1:9" x14ac:dyDescent="0.25">
      <c r="A149" s="43" t="s">
        <v>258</v>
      </c>
      <c r="B149" s="120">
        <v>1</v>
      </c>
      <c r="C149" s="116"/>
      <c r="D149" s="43"/>
      <c r="E149" s="47">
        <v>2500</v>
      </c>
      <c r="F149" s="47"/>
      <c r="G149" s="131">
        <v>2500</v>
      </c>
      <c r="H149" s="43"/>
      <c r="I149" s="9"/>
    </row>
    <row r="150" spans="1:9" x14ac:dyDescent="0.25">
      <c r="A150" s="88" t="s">
        <v>253</v>
      </c>
      <c r="B150" s="120">
        <v>2</v>
      </c>
      <c r="C150" s="117"/>
      <c r="D150" s="2"/>
      <c r="E150" s="46">
        <v>2500</v>
      </c>
      <c r="F150" s="46"/>
      <c r="G150" s="131">
        <v>2500</v>
      </c>
      <c r="H150" s="44"/>
      <c r="I150" s="9"/>
    </row>
    <row r="151" spans="1:9" x14ac:dyDescent="0.25">
      <c r="A151" s="88" t="s">
        <v>312</v>
      </c>
      <c r="B151" s="120">
        <v>3</v>
      </c>
      <c r="C151" s="117">
        <v>2500</v>
      </c>
      <c r="D151" s="43"/>
      <c r="E151" s="46">
        <v>2500</v>
      </c>
      <c r="F151" s="46"/>
      <c r="G151" s="56">
        <v>2500</v>
      </c>
      <c r="H151" s="44"/>
      <c r="I151" s="9"/>
    </row>
    <row r="152" spans="1:9" x14ac:dyDescent="0.25">
      <c r="A152" s="88" t="s">
        <v>21</v>
      </c>
      <c r="B152" s="120">
        <v>4</v>
      </c>
      <c r="C152" s="117"/>
      <c r="D152" s="43"/>
      <c r="E152" s="46"/>
      <c r="F152" s="46"/>
      <c r="G152" s="53"/>
      <c r="H152" s="44"/>
      <c r="I152" s="9"/>
    </row>
    <row r="153" spans="1:9" x14ac:dyDescent="0.25">
      <c r="A153" s="43" t="s">
        <v>260</v>
      </c>
      <c r="B153" s="120">
        <v>5</v>
      </c>
      <c r="C153" s="117"/>
      <c r="D153" s="44"/>
      <c r="E153" s="46">
        <v>4000</v>
      </c>
      <c r="F153" s="46"/>
      <c r="G153" s="46">
        <v>4000</v>
      </c>
      <c r="H153" s="44"/>
      <c r="I153" s="9"/>
    </row>
    <row r="154" spans="1:9" x14ac:dyDescent="0.25">
      <c r="A154" s="43" t="s">
        <v>261</v>
      </c>
      <c r="B154" s="120">
        <v>6</v>
      </c>
      <c r="C154" s="117"/>
      <c r="D154" s="44"/>
      <c r="E154" s="46">
        <v>4000</v>
      </c>
      <c r="F154" s="46"/>
      <c r="G154" s="46">
        <v>4000</v>
      </c>
      <c r="H154" s="44"/>
      <c r="I154" s="9"/>
    </row>
    <row r="155" spans="1:9" x14ac:dyDescent="0.25">
      <c r="A155" s="43" t="s">
        <v>262</v>
      </c>
      <c r="B155" s="120">
        <v>7</v>
      </c>
      <c r="C155" s="117"/>
      <c r="D155" s="44"/>
      <c r="E155" s="73">
        <v>4000</v>
      </c>
      <c r="F155" s="46"/>
      <c r="G155" s="132">
        <v>4000</v>
      </c>
      <c r="H155" s="44" t="s">
        <v>314</v>
      </c>
      <c r="I155" s="9"/>
    </row>
    <row r="156" spans="1:9" x14ac:dyDescent="0.25">
      <c r="A156" s="47" t="s">
        <v>21</v>
      </c>
      <c r="B156" s="120">
        <v>8</v>
      </c>
      <c r="C156" s="118"/>
      <c r="D156" s="46"/>
      <c r="E156" s="46"/>
      <c r="F156" s="46"/>
      <c r="G156" s="46"/>
      <c r="H156" s="46"/>
      <c r="I156" s="9"/>
    </row>
    <row r="157" spans="1:9" x14ac:dyDescent="0.25">
      <c r="A157" s="44" t="s">
        <v>21</v>
      </c>
      <c r="B157" s="120">
        <v>9</v>
      </c>
      <c r="C157" s="117"/>
      <c r="D157" s="44"/>
      <c r="E157" s="44"/>
      <c r="F157" s="44"/>
      <c r="G157" s="44"/>
      <c r="H157" s="44"/>
      <c r="I157" s="9"/>
    </row>
    <row r="158" spans="1:9" x14ac:dyDescent="0.25">
      <c r="A158" s="45" t="s">
        <v>263</v>
      </c>
      <c r="B158" s="120">
        <v>10</v>
      </c>
      <c r="C158" s="9"/>
      <c r="D158" s="44"/>
      <c r="E158" s="115">
        <v>4000</v>
      </c>
      <c r="F158" s="44"/>
      <c r="G158" s="44">
        <v>0</v>
      </c>
      <c r="H158" s="44"/>
      <c r="I158" s="9"/>
    </row>
    <row r="159" spans="1:9" x14ac:dyDescent="0.25">
      <c r="A159" s="44" t="s">
        <v>21</v>
      </c>
      <c r="B159" s="120">
        <v>11</v>
      </c>
      <c r="C159" s="119"/>
      <c r="D159" s="44"/>
      <c r="E159" s="105"/>
      <c r="F159" s="44"/>
      <c r="G159" s="44"/>
      <c r="H159" s="44"/>
      <c r="I159" s="9"/>
    </row>
    <row r="160" spans="1:9" x14ac:dyDescent="0.25">
      <c r="A160" s="44" t="s">
        <v>264</v>
      </c>
      <c r="B160" s="120">
        <v>12</v>
      </c>
      <c r="C160" s="119"/>
      <c r="D160" s="44"/>
      <c r="E160" s="44">
        <v>4000</v>
      </c>
      <c r="F160" s="44"/>
      <c r="G160" s="44">
        <v>4000</v>
      </c>
      <c r="H160" s="44"/>
      <c r="I160" s="9"/>
    </row>
    <row r="161" spans="1:14" x14ac:dyDescent="0.25">
      <c r="A161" s="44" t="s">
        <v>302</v>
      </c>
      <c r="B161" s="120">
        <v>13</v>
      </c>
      <c r="C161" s="117"/>
      <c r="D161" s="44"/>
      <c r="E161" s="44">
        <v>4000</v>
      </c>
      <c r="F161" s="44"/>
      <c r="G161" s="44">
        <v>4000</v>
      </c>
      <c r="H161" s="44"/>
      <c r="I161" s="9"/>
    </row>
    <row r="162" spans="1:14" x14ac:dyDescent="0.25">
      <c r="A162" s="44" t="s">
        <v>254</v>
      </c>
      <c r="B162" s="120">
        <v>14</v>
      </c>
      <c r="C162" s="117"/>
      <c r="D162" s="44"/>
      <c r="E162" s="44">
        <v>4000</v>
      </c>
      <c r="F162" s="44"/>
      <c r="G162" s="113">
        <v>4000</v>
      </c>
      <c r="H162" s="44"/>
      <c r="I162" s="9"/>
    </row>
    <row r="163" spans="1:14" x14ac:dyDescent="0.25">
      <c r="A163" s="44" t="s">
        <v>265</v>
      </c>
      <c r="B163" s="120">
        <v>15</v>
      </c>
      <c r="C163" s="117"/>
      <c r="D163" s="44"/>
      <c r="E163" s="44"/>
      <c r="F163" s="44"/>
      <c r="G163" s="44"/>
      <c r="H163" s="44"/>
      <c r="I163" s="9"/>
    </row>
    <row r="164" spans="1:14" x14ac:dyDescent="0.25">
      <c r="A164" s="125" t="s">
        <v>255</v>
      </c>
      <c r="B164" s="120">
        <v>16</v>
      </c>
      <c r="C164" s="9"/>
      <c r="D164" s="9"/>
      <c r="E164" s="125">
        <v>4000</v>
      </c>
      <c r="F164" s="44"/>
      <c r="G164" s="44">
        <v>4000</v>
      </c>
      <c r="H164" s="44"/>
      <c r="I164" s="9"/>
    </row>
    <row r="165" spans="1:14" x14ac:dyDescent="0.25">
      <c r="A165" s="44" t="s">
        <v>266</v>
      </c>
      <c r="B165" s="120">
        <v>17</v>
      </c>
      <c r="C165" s="117"/>
      <c r="D165" s="44"/>
      <c r="E165" s="44">
        <v>2000</v>
      </c>
      <c r="F165" s="44"/>
      <c r="G165" s="44">
        <v>2000</v>
      </c>
      <c r="H165" s="44"/>
      <c r="I165" s="9"/>
    </row>
    <row r="166" spans="1:14" x14ac:dyDescent="0.25">
      <c r="A166" s="44" t="s">
        <v>313</v>
      </c>
      <c r="B166" s="120">
        <v>18</v>
      </c>
      <c r="C166" s="117"/>
      <c r="D166" s="44"/>
      <c r="E166" s="44">
        <v>2000</v>
      </c>
      <c r="F166" s="44"/>
      <c r="G166" s="44">
        <v>2000</v>
      </c>
      <c r="H166" s="44"/>
      <c r="I166" s="9"/>
    </row>
    <row r="167" spans="1:14" x14ac:dyDescent="0.25">
      <c r="A167" s="44" t="s">
        <v>137</v>
      </c>
      <c r="B167" s="120">
        <v>19</v>
      </c>
      <c r="C167" s="117"/>
      <c r="D167" s="44"/>
      <c r="E167" s="44">
        <v>2000</v>
      </c>
      <c r="F167" s="44"/>
      <c r="G167" s="44">
        <v>2000</v>
      </c>
      <c r="H167" s="44"/>
      <c r="I167" s="9"/>
    </row>
    <row r="168" spans="1:14" x14ac:dyDescent="0.25">
      <c r="A168" s="124" t="s">
        <v>256</v>
      </c>
      <c r="B168" s="120">
        <v>20</v>
      </c>
      <c r="C168" s="117"/>
      <c r="D168" s="44"/>
      <c r="E168" s="44">
        <v>2000</v>
      </c>
      <c r="F168" s="44"/>
      <c r="G168" s="44">
        <v>2000</v>
      </c>
      <c r="H168" s="44"/>
      <c r="I168" s="9"/>
    </row>
    <row r="169" spans="1:14" x14ac:dyDescent="0.25">
      <c r="A169" s="127" t="s">
        <v>269</v>
      </c>
      <c r="B169" s="120">
        <v>21</v>
      </c>
      <c r="C169" s="44"/>
      <c r="D169" s="44"/>
      <c r="E169" s="44">
        <v>2000</v>
      </c>
      <c r="F169" s="44"/>
      <c r="G169" s="44">
        <v>2000</v>
      </c>
      <c r="H169" s="44"/>
      <c r="I169" s="9"/>
    </row>
    <row r="170" spans="1:14" x14ac:dyDescent="0.25">
      <c r="A170" s="127" t="s">
        <v>270</v>
      </c>
      <c r="B170" s="120">
        <v>22</v>
      </c>
      <c r="C170" s="44"/>
      <c r="D170" s="44"/>
      <c r="E170" s="44">
        <v>2000</v>
      </c>
      <c r="F170" s="44"/>
      <c r="G170" s="44">
        <v>2000</v>
      </c>
      <c r="H170" s="44"/>
      <c r="I170" s="9"/>
    </row>
    <row r="171" spans="1:14" x14ac:dyDescent="0.25">
      <c r="A171" s="127" t="s">
        <v>271</v>
      </c>
      <c r="B171" s="120">
        <v>23</v>
      </c>
      <c r="C171" s="44"/>
      <c r="D171" s="44"/>
      <c r="E171" s="44">
        <v>2000</v>
      </c>
      <c r="F171" s="44"/>
      <c r="G171" s="44">
        <v>2000</v>
      </c>
      <c r="H171" s="44"/>
      <c r="I171" s="9"/>
      <c r="M171">
        <v>17660</v>
      </c>
    </row>
    <row r="172" spans="1:14" x14ac:dyDescent="0.25">
      <c r="A172" s="127" t="s">
        <v>272</v>
      </c>
      <c r="B172" s="120">
        <v>24</v>
      </c>
      <c r="C172" s="44"/>
      <c r="D172" s="44"/>
      <c r="E172" s="44">
        <v>4500</v>
      </c>
      <c r="F172" s="44"/>
      <c r="G172" s="44">
        <v>4500</v>
      </c>
      <c r="H172" s="44"/>
      <c r="I172" s="9"/>
      <c r="M172">
        <v>19000</v>
      </c>
    </row>
    <row r="173" spans="1:14" x14ac:dyDescent="0.25">
      <c r="A173" s="127" t="s">
        <v>273</v>
      </c>
      <c r="B173" s="120">
        <v>25</v>
      </c>
      <c r="C173" s="44"/>
      <c r="D173" s="44"/>
      <c r="E173" s="44">
        <v>2500</v>
      </c>
      <c r="F173" s="44"/>
      <c r="G173" s="44">
        <v>2500</v>
      </c>
      <c r="H173" s="44"/>
      <c r="I173" s="9"/>
      <c r="M173">
        <v>41450</v>
      </c>
    </row>
    <row r="174" spans="1:14" x14ac:dyDescent="0.25">
      <c r="A174" s="44"/>
      <c r="B174" s="120"/>
      <c r="C174" s="44"/>
      <c r="D174" s="44"/>
      <c r="E174" s="105">
        <f>SUM(E149:E173)</f>
        <v>60500</v>
      </c>
      <c r="F174" s="105"/>
      <c r="G174" s="105">
        <f>SUM(G149:G173)</f>
        <v>56500</v>
      </c>
      <c r="H174" s="44"/>
      <c r="I174" s="9"/>
      <c r="M174">
        <f>SUM(M171:M173)</f>
        <v>78110</v>
      </c>
    </row>
    <row r="175" spans="1:14" x14ac:dyDescent="0.25">
      <c r="A175" s="44"/>
      <c r="B175" s="120"/>
      <c r="C175" s="44"/>
      <c r="D175" s="44"/>
      <c r="E175" s="44"/>
      <c r="F175" s="44"/>
      <c r="G175" s="44"/>
      <c r="H175" s="44"/>
      <c r="I175" s="9"/>
      <c r="M175" s="147">
        <v>50000</v>
      </c>
    </row>
    <row r="176" spans="1:14" x14ac:dyDescent="0.25">
      <c r="A176" s="44"/>
      <c r="B176" s="120"/>
      <c r="C176" s="44"/>
      <c r="D176" s="44"/>
      <c r="E176" s="44"/>
      <c r="F176" s="44"/>
      <c r="G176" s="44"/>
      <c r="H176" s="44"/>
      <c r="I176" s="9"/>
      <c r="N176">
        <v>14000</v>
      </c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N177" s="147">
        <f>SUM(M175:M176)</f>
        <v>50000</v>
      </c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N178">
        <v>500</v>
      </c>
    </row>
    <row r="179" spans="1:14" x14ac:dyDescent="0.25">
      <c r="A179" s="100" t="s">
        <v>60</v>
      </c>
      <c r="B179" s="101"/>
      <c r="C179" s="97"/>
      <c r="D179" s="102">
        <f>E174</f>
        <v>60500</v>
      </c>
      <c r="E179" s="9"/>
      <c r="F179" s="9"/>
      <c r="G179" s="9"/>
      <c r="H179" s="9"/>
      <c r="I179" s="9"/>
      <c r="M179" s="147">
        <f>N179-M175</f>
        <v>14500</v>
      </c>
      <c r="N179" s="147">
        <f>N176+N177+N178</f>
        <v>64500</v>
      </c>
    </row>
    <row r="180" spans="1:14" x14ac:dyDescent="0.25">
      <c r="A180" s="9" t="s">
        <v>347</v>
      </c>
      <c r="B180" s="101"/>
      <c r="C180" s="128">
        <v>0.1</v>
      </c>
      <c r="D180" s="104">
        <v>13500</v>
      </c>
      <c r="E180" s="9"/>
      <c r="F180" s="9"/>
      <c r="G180" s="9"/>
      <c r="H180" s="9"/>
      <c r="I180" s="9"/>
      <c r="M180">
        <v>8000</v>
      </c>
    </row>
    <row r="181" spans="1:14" x14ac:dyDescent="0.25">
      <c r="A181" s="103"/>
      <c r="B181" s="101"/>
      <c r="C181" s="97"/>
      <c r="D181" s="72">
        <f>D179+D180</f>
        <v>74000</v>
      </c>
      <c r="E181" s="9"/>
      <c r="F181" s="9"/>
      <c r="G181" s="9"/>
      <c r="H181" s="9"/>
      <c r="I181" s="9"/>
      <c r="M181">
        <v>7000</v>
      </c>
    </row>
    <row r="182" spans="1:14" x14ac:dyDescent="0.25">
      <c r="A182" s="67" t="s">
        <v>58</v>
      </c>
      <c r="B182" s="9"/>
      <c r="C182" s="9"/>
      <c r="D182" s="9"/>
      <c r="E182" s="9"/>
      <c r="F182" s="9"/>
      <c r="G182" s="9"/>
      <c r="H182" s="9"/>
      <c r="I182" s="9"/>
      <c r="M182">
        <f>SUM(M180:M181)</f>
        <v>15000</v>
      </c>
    </row>
    <row r="183" spans="1:14" x14ac:dyDescent="0.25">
      <c r="A183" s="103" t="s">
        <v>196</v>
      </c>
      <c r="B183" s="9"/>
      <c r="C183" s="9"/>
      <c r="D183" s="104">
        <f>D179*C180</f>
        <v>6050</v>
      </c>
      <c r="F183" s="9"/>
      <c r="G183" s="9"/>
      <c r="H183" s="9"/>
      <c r="I183" s="9"/>
    </row>
    <row r="184" spans="1:14" s="9" customFormat="1" x14ac:dyDescent="0.25">
      <c r="A184" s="103" t="s">
        <v>3</v>
      </c>
      <c r="D184" s="104">
        <v>13500</v>
      </c>
    </row>
    <row r="185" spans="1:14" x14ac:dyDescent="0.25">
      <c r="A185" s="93">
        <v>42861</v>
      </c>
      <c r="B185" s="9"/>
      <c r="C185" s="9"/>
      <c r="D185" s="9">
        <v>7600</v>
      </c>
      <c r="E185" s="9"/>
      <c r="F185" s="9"/>
      <c r="G185" s="9"/>
      <c r="H185" s="9"/>
      <c r="I185" s="9"/>
    </row>
    <row r="186" spans="1:14" x14ac:dyDescent="0.25">
      <c r="A186" s="36" t="s">
        <v>275</v>
      </c>
      <c r="B186" s="17"/>
      <c r="C186" s="9"/>
      <c r="D186" s="34">
        <f>G149+G150+G155+G162</f>
        <v>13000</v>
      </c>
      <c r="E186" s="72">
        <f>D179-D183</f>
        <v>54450</v>
      </c>
      <c r="F186" s="9"/>
      <c r="G186" s="9"/>
      <c r="H186" s="9"/>
      <c r="I186" s="9"/>
    </row>
    <row r="187" spans="1:14" x14ac:dyDescent="0.25">
      <c r="A187" s="136">
        <v>43075</v>
      </c>
      <c r="B187" s="9"/>
      <c r="C187" s="86"/>
      <c r="D187" s="87">
        <v>13340</v>
      </c>
      <c r="E187" s="9"/>
      <c r="F187" s="9"/>
      <c r="G187" s="9"/>
      <c r="H187" s="9"/>
      <c r="I187" s="9"/>
    </row>
    <row r="188" spans="1:14" x14ac:dyDescent="0.25">
      <c r="D188">
        <v>500</v>
      </c>
      <c r="E188" s="9"/>
      <c r="F188" s="9"/>
      <c r="G188" s="9"/>
      <c r="H188" s="9"/>
      <c r="I188" s="9"/>
    </row>
    <row r="189" spans="1:14" x14ac:dyDescent="0.25">
      <c r="A189" t="s">
        <v>163</v>
      </c>
      <c r="D189">
        <v>14000</v>
      </c>
      <c r="E189" s="9"/>
      <c r="F189" s="9"/>
      <c r="G189" s="9"/>
      <c r="H189" s="9" t="s">
        <v>276</v>
      </c>
      <c r="I189" s="9"/>
    </row>
    <row r="190" spans="1:14" x14ac:dyDescent="0.25">
      <c r="B190" s="9"/>
      <c r="C190" s="9"/>
      <c r="D190" s="72">
        <f>SUM(D183:D189)</f>
        <v>67990</v>
      </c>
      <c r="E190" s="72">
        <f>D184+D185+D186+D187+D188+D189</f>
        <v>61940</v>
      </c>
      <c r="F190" s="9"/>
      <c r="G190" s="9"/>
      <c r="H190" s="9"/>
    </row>
    <row r="191" spans="1:14" x14ac:dyDescent="0.25">
      <c r="A191" s="36" t="s">
        <v>165</v>
      </c>
      <c r="D191" s="72">
        <f>D181-D190</f>
        <v>6010</v>
      </c>
      <c r="E191" s="9"/>
    </row>
    <row r="193" spans="1:14" x14ac:dyDescent="0.25">
      <c r="A193" s="24"/>
      <c r="B193" s="79"/>
      <c r="C193" s="82" t="s">
        <v>88</v>
      </c>
      <c r="D193" s="80"/>
      <c r="E193" s="80"/>
      <c r="F193" s="79"/>
      <c r="G193" s="9"/>
      <c r="H193" s="9"/>
      <c r="M193" s="72">
        <f>D190+E218</f>
        <v>97990</v>
      </c>
      <c r="N193" s="72">
        <f>M193+3500+500+17660</f>
        <v>119650</v>
      </c>
    </row>
    <row r="194" spans="1:14" x14ac:dyDescent="0.25">
      <c r="A194" s="4"/>
      <c r="B194" s="5"/>
      <c r="C194" s="6" t="s">
        <v>5</v>
      </c>
      <c r="D194" s="6"/>
      <c r="E194" s="5"/>
      <c r="F194" s="4"/>
      <c r="G194" s="9"/>
      <c r="H194" s="9"/>
    </row>
    <row r="195" spans="1:14" ht="23.25" x14ac:dyDescent="0.35">
      <c r="A195" s="4"/>
      <c r="B195" s="52"/>
      <c r="C195" s="9"/>
      <c r="D195" s="145" t="s">
        <v>278</v>
      </c>
      <c r="E195" s="145"/>
      <c r="F195" s="145"/>
      <c r="G195" s="145"/>
      <c r="H195" s="9"/>
    </row>
    <row r="196" spans="1:14" x14ac:dyDescent="0.25">
      <c r="A196" s="9"/>
      <c r="B196" s="9"/>
      <c r="C196" s="95"/>
      <c r="D196" s="95"/>
      <c r="E196" s="96" t="s">
        <v>316</v>
      </c>
      <c r="F196" s="95"/>
      <c r="G196" s="95"/>
      <c r="H196" s="9"/>
    </row>
    <row r="197" spans="1:14" x14ac:dyDescent="0.25">
      <c r="A197" s="12" t="s">
        <v>0</v>
      </c>
      <c r="B197" s="12" t="s">
        <v>32</v>
      </c>
      <c r="C197" s="12" t="s">
        <v>52</v>
      </c>
      <c r="D197" s="22" t="s">
        <v>55</v>
      </c>
      <c r="E197" s="21"/>
      <c r="F197" s="22" t="s">
        <v>10</v>
      </c>
      <c r="G197" s="21" t="s">
        <v>3</v>
      </c>
      <c r="H197" s="13" t="s">
        <v>13</v>
      </c>
    </row>
    <row r="198" spans="1:14" x14ac:dyDescent="0.25">
      <c r="A198" s="43" t="s">
        <v>279</v>
      </c>
      <c r="B198" s="120">
        <v>1</v>
      </c>
      <c r="C198" s="116"/>
      <c r="D198" s="43"/>
      <c r="E198" s="47"/>
      <c r="F198" s="47">
        <v>3500</v>
      </c>
      <c r="G198" s="133">
        <v>3500</v>
      </c>
      <c r="H198" s="43"/>
    </row>
    <row r="199" spans="1:14" x14ac:dyDescent="0.25">
      <c r="A199" s="88" t="s">
        <v>280</v>
      </c>
      <c r="B199" s="120">
        <v>2</v>
      </c>
      <c r="C199" s="117"/>
      <c r="D199" s="2"/>
      <c r="E199" s="46"/>
      <c r="F199" s="46">
        <v>3500</v>
      </c>
      <c r="G199" s="56">
        <v>3500</v>
      </c>
      <c r="H199" s="44"/>
    </row>
    <row r="200" spans="1:14" x14ac:dyDescent="0.25">
      <c r="A200" s="88" t="s">
        <v>315</v>
      </c>
      <c r="B200" s="120">
        <v>3</v>
      </c>
      <c r="C200" s="44"/>
      <c r="D200" s="43"/>
      <c r="E200" s="46"/>
      <c r="F200" s="46">
        <v>3500</v>
      </c>
      <c r="G200" s="53">
        <v>3500</v>
      </c>
      <c r="H200" s="44"/>
    </row>
    <row r="201" spans="1:14" x14ac:dyDescent="0.25">
      <c r="A201" s="88" t="s">
        <v>282</v>
      </c>
      <c r="B201" s="120">
        <v>4</v>
      </c>
      <c r="C201" s="44"/>
      <c r="D201" s="43"/>
      <c r="E201" s="46"/>
      <c r="F201" s="46">
        <v>3500</v>
      </c>
      <c r="G201" s="56"/>
      <c r="H201" s="44"/>
    </row>
    <row r="202" spans="1:14" x14ac:dyDescent="0.25">
      <c r="A202" s="43" t="s">
        <v>21</v>
      </c>
      <c r="B202" s="120">
        <v>5</v>
      </c>
      <c r="C202" s="44"/>
      <c r="D202" s="44"/>
      <c r="E202" s="46"/>
      <c r="F202" s="46">
        <v>2000</v>
      </c>
      <c r="G202" s="46"/>
      <c r="H202" s="44"/>
    </row>
    <row r="203" spans="1:14" x14ac:dyDescent="0.25">
      <c r="A203" s="43" t="s">
        <v>284</v>
      </c>
      <c r="B203" s="120">
        <v>6</v>
      </c>
      <c r="C203" s="44"/>
      <c r="D203" s="44"/>
      <c r="E203" s="46"/>
      <c r="F203" s="46">
        <v>3500</v>
      </c>
      <c r="G203" s="46"/>
      <c r="H203" s="44" t="s">
        <v>314</v>
      </c>
    </row>
    <row r="204" spans="1:14" x14ac:dyDescent="0.25">
      <c r="A204" s="43" t="s">
        <v>285</v>
      </c>
      <c r="B204" s="120">
        <v>7</v>
      </c>
      <c r="C204" s="44"/>
      <c r="D204" s="44"/>
      <c r="E204" s="73"/>
      <c r="F204" s="46">
        <v>3500</v>
      </c>
      <c r="G204" s="68">
        <v>3500</v>
      </c>
      <c r="H204" s="44"/>
    </row>
    <row r="205" spans="1:14" x14ac:dyDescent="0.25">
      <c r="A205" s="47" t="s">
        <v>304</v>
      </c>
      <c r="B205" s="120">
        <v>8</v>
      </c>
      <c r="C205" s="48"/>
      <c r="D205" s="46"/>
      <c r="E205" s="46"/>
      <c r="F205" s="46">
        <v>2000</v>
      </c>
      <c r="G205" s="46">
        <v>2000</v>
      </c>
      <c r="H205" s="46"/>
      <c r="K205">
        <v>15800</v>
      </c>
    </row>
    <row r="206" spans="1:14" x14ac:dyDescent="0.25">
      <c r="A206" s="44"/>
      <c r="B206" s="120">
        <v>9</v>
      </c>
      <c r="C206" s="44"/>
      <c r="D206" s="44"/>
      <c r="E206" s="44"/>
      <c r="F206" s="44"/>
      <c r="G206" s="44"/>
      <c r="H206" s="44"/>
      <c r="K206">
        <v>17660</v>
      </c>
    </row>
    <row r="207" spans="1:14" x14ac:dyDescent="0.25">
      <c r="A207" s="45" t="s">
        <v>137</v>
      </c>
      <c r="B207" s="120">
        <v>10</v>
      </c>
      <c r="C207" s="44"/>
      <c r="D207" s="44"/>
      <c r="E207" s="115"/>
      <c r="F207" s="105">
        <f>SUM(F198:F206)</f>
        <v>25000</v>
      </c>
      <c r="G207" s="44">
        <f>SUM(G198:G206)</f>
        <v>16000</v>
      </c>
      <c r="H207" s="44"/>
      <c r="K207">
        <v>19000</v>
      </c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K208">
        <v>41450</v>
      </c>
    </row>
    <row r="209" spans="1:11" x14ac:dyDescent="0.25">
      <c r="A209" s="9"/>
      <c r="B209" s="100" t="s">
        <v>60</v>
      </c>
      <c r="C209" s="101"/>
      <c r="D209" s="97"/>
      <c r="E209" s="102">
        <f>F207</f>
        <v>25000</v>
      </c>
      <c r="F209" s="9">
        <v>7000</v>
      </c>
      <c r="G209" s="72">
        <f>E209-F209</f>
        <v>18000</v>
      </c>
      <c r="H209" s="9"/>
      <c r="K209">
        <f>SUM(K205:K208)</f>
        <v>93910</v>
      </c>
    </row>
    <row r="210" spans="1:11" x14ac:dyDescent="0.25">
      <c r="A210" s="9"/>
      <c r="B210" s="9"/>
      <c r="C210" s="101"/>
      <c r="D210" s="128">
        <v>0.1</v>
      </c>
      <c r="E210" s="104"/>
      <c r="F210" s="9"/>
      <c r="G210" s="9"/>
      <c r="H210" s="9"/>
    </row>
    <row r="211" spans="1:11" x14ac:dyDescent="0.25">
      <c r="A211" s="9"/>
      <c r="B211" s="103"/>
      <c r="C211" s="101"/>
      <c r="D211" s="97"/>
      <c r="E211" s="9"/>
      <c r="F211" s="9"/>
      <c r="G211" s="9"/>
      <c r="H211" s="9"/>
    </row>
    <row r="212" spans="1:11" x14ac:dyDescent="0.25">
      <c r="A212" s="9"/>
      <c r="B212" s="67" t="s">
        <v>58</v>
      </c>
      <c r="C212" s="9"/>
      <c r="D212" s="9"/>
      <c r="E212" s="9"/>
      <c r="F212" s="9"/>
      <c r="G212" s="9"/>
      <c r="H212" s="9"/>
    </row>
    <row r="213" spans="1:11" x14ac:dyDescent="0.25">
      <c r="A213" s="9"/>
      <c r="B213" s="9"/>
      <c r="C213" s="9"/>
      <c r="D213" s="9"/>
      <c r="E213" s="9"/>
      <c r="F213" s="9"/>
      <c r="G213" s="9"/>
      <c r="H213" s="9"/>
    </row>
    <row r="214" spans="1:11" x14ac:dyDescent="0.25">
      <c r="A214" s="9"/>
      <c r="B214" s="103" t="s">
        <v>196</v>
      </c>
      <c r="C214" s="9"/>
      <c r="D214" s="9"/>
      <c r="E214" s="104">
        <f>E209*D210</f>
        <v>2500</v>
      </c>
      <c r="F214" s="9"/>
      <c r="G214" s="9"/>
      <c r="H214" s="9"/>
    </row>
    <row r="215" spans="1:11" x14ac:dyDescent="0.25">
      <c r="A215" s="9"/>
      <c r="B215" s="36" t="s">
        <v>324</v>
      </c>
      <c r="C215" s="17"/>
      <c r="D215" s="9"/>
      <c r="E215" s="34">
        <v>3500</v>
      </c>
      <c r="F215" s="9"/>
      <c r="G215" s="9"/>
      <c r="H215" s="9"/>
    </row>
    <row r="216" spans="1:11" x14ac:dyDescent="0.25">
      <c r="A216" s="9"/>
      <c r="B216" s="36" t="s">
        <v>339</v>
      </c>
      <c r="C216" s="9"/>
      <c r="D216" s="86"/>
      <c r="E216" s="87">
        <v>19000</v>
      </c>
      <c r="F216" s="9"/>
      <c r="G216" s="9"/>
      <c r="H216" s="9"/>
    </row>
    <row r="217" spans="1:11" x14ac:dyDescent="0.25">
      <c r="A217" s="9"/>
      <c r="B217" t="s">
        <v>337</v>
      </c>
      <c r="E217">
        <v>5000</v>
      </c>
      <c r="F217" s="9"/>
      <c r="G217" s="72">
        <f>E215+E216+E217</f>
        <v>27500</v>
      </c>
      <c r="H217" s="9"/>
    </row>
    <row r="218" spans="1:11" x14ac:dyDescent="0.25">
      <c r="B218" s="36" t="s">
        <v>2</v>
      </c>
      <c r="C218" s="9"/>
      <c r="D218" s="9"/>
      <c r="E218" s="72">
        <f>SUM(E214:E217)</f>
        <v>30000</v>
      </c>
    </row>
    <row r="219" spans="1:11" x14ac:dyDescent="0.25">
      <c r="E219" s="72">
        <f>E209-E218</f>
        <v>-5000</v>
      </c>
    </row>
  </sheetData>
  <mergeCells count="67">
    <mergeCell ref="K72:N72"/>
    <mergeCell ref="K74:O74"/>
    <mergeCell ref="K76:L76"/>
    <mergeCell ref="N76:O76"/>
    <mergeCell ref="X68:Z68"/>
    <mergeCell ref="K70:O70"/>
    <mergeCell ref="K68:O68"/>
    <mergeCell ref="X62:Y62"/>
    <mergeCell ref="M65:O65"/>
    <mergeCell ref="P65:Q65"/>
    <mergeCell ref="X65:Y65"/>
    <mergeCell ref="M62:O62"/>
    <mergeCell ref="P62:Q62"/>
    <mergeCell ref="X56:Y56"/>
    <mergeCell ref="M59:O59"/>
    <mergeCell ref="P59:Q59"/>
    <mergeCell ref="X59:Y59"/>
    <mergeCell ref="X53:Y53"/>
    <mergeCell ref="M56:O56"/>
    <mergeCell ref="P56:Q56"/>
    <mergeCell ref="X50:Y50"/>
    <mergeCell ref="M53:O53"/>
    <mergeCell ref="P53:Q53"/>
    <mergeCell ref="X47:Y47"/>
    <mergeCell ref="M50:O50"/>
    <mergeCell ref="P50:Q50"/>
    <mergeCell ref="M47:O47"/>
    <mergeCell ref="P47:Q47"/>
    <mergeCell ref="X44:Y44"/>
    <mergeCell ref="M44:O44"/>
    <mergeCell ref="P44:Q44"/>
    <mergeCell ref="X38:Y38"/>
    <mergeCell ref="M41:O41"/>
    <mergeCell ref="P41:Q41"/>
    <mergeCell ref="X41:Y41"/>
    <mergeCell ref="M38:O38"/>
    <mergeCell ref="P38:Q38"/>
    <mergeCell ref="X32:Y32"/>
    <mergeCell ref="M35:O35"/>
    <mergeCell ref="P35:Q35"/>
    <mergeCell ref="X35:Y35"/>
    <mergeCell ref="M32:O32"/>
    <mergeCell ref="P32:Q32"/>
    <mergeCell ref="X29:Y29"/>
    <mergeCell ref="X26:Y26"/>
    <mergeCell ref="M29:O29"/>
    <mergeCell ref="P29:Q29"/>
    <mergeCell ref="X23:Y23"/>
    <mergeCell ref="M26:O26"/>
    <mergeCell ref="P26:Q26"/>
    <mergeCell ref="X20:Z20"/>
    <mergeCell ref="M23:O23"/>
    <mergeCell ref="P23:Q23"/>
    <mergeCell ref="X14:AC14"/>
    <mergeCell ref="M18:Q18"/>
    <mergeCell ref="V18:W18"/>
    <mergeCell ref="M20:O20"/>
    <mergeCell ref="P20:Q20"/>
    <mergeCell ref="U20:V20"/>
    <mergeCell ref="K14:P14"/>
    <mergeCell ref="Q14:Q15"/>
    <mergeCell ref="S14:W15"/>
    <mergeCell ref="R4:S4"/>
    <mergeCell ref="R6:W6"/>
    <mergeCell ref="R8:W8"/>
    <mergeCell ref="R10:V10"/>
    <mergeCell ref="R12:V12"/>
  </mergeCells>
  <pageMargins left="0.7" right="0.7" top="0.75" bottom="0.75" header="0.3" footer="0.3"/>
  <pageSetup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91" workbookViewId="0">
      <selection activeCell="B169" sqref="B169"/>
    </sheetView>
  </sheetViews>
  <sheetFormatPr defaultRowHeight="15" x14ac:dyDescent="0.25"/>
  <cols>
    <col min="1" max="1" width="17.85546875" customWidth="1"/>
    <col min="3" max="3" width="11" customWidth="1"/>
    <col min="4" max="4" width="10.42578125" customWidth="1"/>
    <col min="5" max="5" width="12" customWidth="1"/>
    <col min="6" max="6" width="11.140625" customWidth="1"/>
    <col min="7" max="7" width="11.5703125" customWidth="1"/>
    <col min="8" max="8" width="11.28515625" customWidth="1"/>
    <col min="9" max="9" width="11.42578125" customWidth="1"/>
    <col min="10" max="10" width="10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</row>
    <row r="13" spans="1:8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</row>
    <row r="14" spans="1:8" x14ac:dyDescent="0.25">
      <c r="A14" s="43" t="s">
        <v>137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</row>
    <row r="15" spans="1:8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</row>
    <row r="16" spans="1:8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</row>
    <row r="20" spans="1:8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f>SUM(G8:G19)</f>
        <v>9500</v>
      </c>
      <c r="H20" s="68">
        <f>SUM(H8:H19)</f>
        <v>10500</v>
      </c>
    </row>
    <row r="21" spans="1:8" x14ac:dyDescent="0.25">
      <c r="A21" s="36" t="s">
        <v>60</v>
      </c>
      <c r="B21" s="17"/>
      <c r="C21" s="9"/>
      <c r="D21" s="32">
        <f>SUM(E20)</f>
        <v>20000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 t="s">
        <v>204</v>
      </c>
      <c r="B22" s="17"/>
      <c r="C22" s="90"/>
      <c r="D22" s="66">
        <v>4000</v>
      </c>
      <c r="E22" s="51" t="s">
        <v>63</v>
      </c>
      <c r="F22" s="40"/>
      <c r="G22" s="9"/>
      <c r="H22" s="9"/>
    </row>
    <row r="23" spans="1:8" s="9" customFormat="1" ht="15.75" x14ac:dyDescent="0.25">
      <c r="A23" s="70"/>
      <c r="B23" s="17"/>
      <c r="C23" s="90"/>
      <c r="D23" s="66">
        <f>D21+D22</f>
        <v>24000</v>
      </c>
      <c r="E23" s="51"/>
      <c r="F23" s="40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2000</v>
      </c>
      <c r="E25" s="9"/>
      <c r="F25" s="67" t="s">
        <v>58</v>
      </c>
      <c r="G25" s="9"/>
      <c r="H25" s="9"/>
    </row>
    <row r="26" spans="1:8" x14ac:dyDescent="0.25">
      <c r="A26" s="36" t="s">
        <v>345</v>
      </c>
      <c r="B26" s="17"/>
      <c r="C26" s="9"/>
      <c r="D26" s="34">
        <v>1000</v>
      </c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18000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21000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3000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52" t="s">
        <v>97</v>
      </c>
      <c r="C42" s="152"/>
      <c r="D42" s="152"/>
      <c r="E42" s="152"/>
      <c r="F42" s="152"/>
      <c r="G42" s="152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/>
      <c r="E46" s="46">
        <v>3000</v>
      </c>
      <c r="F46" s="46">
        <f>D46+E46</f>
        <v>3000</v>
      </c>
      <c r="G46" s="53">
        <v>3000</v>
      </c>
      <c r="H46" s="105">
        <f>F46-G46</f>
        <v>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 t="shared" si="2"/>
        <v>5000</v>
      </c>
      <c r="G48" s="53">
        <v>5000</v>
      </c>
      <c r="H48" s="105">
        <f t="shared" si="3"/>
        <v>0</v>
      </c>
    </row>
    <row r="49" spans="1:12" x14ac:dyDescent="0.25">
      <c r="A49" s="43" t="s">
        <v>211</v>
      </c>
      <c r="B49" s="3"/>
      <c r="C49" s="44"/>
      <c r="D49" s="44"/>
      <c r="E49" s="46">
        <v>1500</v>
      </c>
      <c r="F49" s="46">
        <f t="shared" si="2"/>
        <v>1500</v>
      </c>
      <c r="G49" s="53"/>
      <c r="H49" s="105">
        <f t="shared" si="3"/>
        <v>1500</v>
      </c>
    </row>
    <row r="50" spans="1:12" x14ac:dyDescent="0.25">
      <c r="A50" s="43"/>
      <c r="B50" s="3"/>
      <c r="C50" s="44"/>
      <c r="D50" s="44"/>
      <c r="E50" s="46"/>
      <c r="F50" s="46"/>
      <c r="G50" s="53"/>
      <c r="H50" s="105">
        <f t="shared" si="3"/>
        <v>0</v>
      </c>
    </row>
    <row r="51" spans="1:12" x14ac:dyDescent="0.25">
      <c r="A51" s="43" t="s">
        <v>131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12" x14ac:dyDescent="0.25">
      <c r="A52" s="47" t="s">
        <v>238</v>
      </c>
      <c r="B52" s="16"/>
      <c r="C52" s="48"/>
      <c r="D52" s="46"/>
      <c r="E52" s="46">
        <v>3000</v>
      </c>
      <c r="F52" s="46">
        <f t="shared" si="2"/>
        <v>3000</v>
      </c>
      <c r="G52" s="53">
        <v>3000</v>
      </c>
      <c r="H52" s="105">
        <f t="shared" si="3"/>
        <v>0</v>
      </c>
    </row>
    <row r="53" spans="1:12" x14ac:dyDescent="0.25">
      <c r="A53" s="44" t="s">
        <v>344</v>
      </c>
      <c r="B53" s="44"/>
      <c r="C53" s="44"/>
      <c r="D53" s="44"/>
      <c r="E53" s="44"/>
      <c r="F53" s="46"/>
      <c r="G53" s="113">
        <v>3000</v>
      </c>
      <c r="H53" s="105">
        <f t="shared" si="3"/>
        <v>-3000</v>
      </c>
    </row>
    <row r="54" spans="1:12" x14ac:dyDescent="0.25">
      <c r="A54" s="88" t="s">
        <v>296</v>
      </c>
      <c r="B54" s="44"/>
      <c r="C54" s="44"/>
      <c r="D54" s="44"/>
      <c r="E54" s="115">
        <v>2500</v>
      </c>
      <c r="F54" s="46">
        <f t="shared" si="2"/>
        <v>2500</v>
      </c>
      <c r="G54" s="134"/>
      <c r="H54" s="105">
        <f t="shared" si="3"/>
        <v>2500</v>
      </c>
    </row>
    <row r="55" spans="1:12" x14ac:dyDescent="0.25">
      <c r="A55" s="88"/>
      <c r="B55" s="44"/>
      <c r="C55" s="44"/>
      <c r="D55" s="44"/>
      <c r="E55" s="115"/>
      <c r="F55" s="46"/>
      <c r="G55" s="134"/>
      <c r="H55" s="105">
        <f t="shared" si="3"/>
        <v>0</v>
      </c>
    </row>
    <row r="56" spans="1:12" x14ac:dyDescent="0.25">
      <c r="A56" s="88" t="s">
        <v>288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</row>
    <row r="57" spans="1:12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12" x14ac:dyDescent="0.25">
      <c r="A58" s="44"/>
      <c r="B58" s="44"/>
      <c r="C58" s="44"/>
      <c r="D58" s="44"/>
      <c r="E58" s="105">
        <f>SUM(E45:E57)</f>
        <v>22500</v>
      </c>
      <c r="F58" s="105">
        <f>SUM(F46:F57)</f>
        <v>22500</v>
      </c>
      <c r="G58" s="105">
        <f>SUM(G46:G57)</f>
        <v>20000</v>
      </c>
      <c r="H58" s="105">
        <f>SUM(H46:H57)</f>
        <v>2500</v>
      </c>
    </row>
    <row r="59" spans="1:12" x14ac:dyDescent="0.25">
      <c r="A59" s="100" t="s">
        <v>60</v>
      </c>
      <c r="B59" s="101"/>
      <c r="C59" s="97"/>
      <c r="D59" s="102">
        <f>E58</f>
        <v>22500</v>
      </c>
      <c r="E59" s="100" t="s">
        <v>60</v>
      </c>
      <c r="F59" s="101"/>
      <c r="G59" s="97"/>
      <c r="H59" s="102">
        <f>G58</f>
        <v>20000</v>
      </c>
      <c r="J59" s="18" t="s">
        <v>109</v>
      </c>
      <c r="K59" s="19"/>
      <c r="L59" s="18" t="s">
        <v>93</v>
      </c>
    </row>
    <row r="60" spans="1:12" x14ac:dyDescent="0.25">
      <c r="A60" s="103" t="s">
        <v>347</v>
      </c>
      <c r="B60" s="101"/>
      <c r="C60" s="97"/>
      <c r="D60" s="104">
        <v>500</v>
      </c>
      <c r="E60" s="103"/>
      <c r="F60" s="101"/>
      <c r="G60" s="97"/>
      <c r="H60" s="104">
        <v>500</v>
      </c>
      <c r="J60" s="38" t="s">
        <v>24</v>
      </c>
      <c r="K60" s="39"/>
      <c r="L60" s="9" t="s">
        <v>94</v>
      </c>
    </row>
    <row r="61" spans="1:12" x14ac:dyDescent="0.25">
      <c r="A61" s="103"/>
      <c r="B61" s="101"/>
      <c r="C61" s="97"/>
      <c r="D61" s="104">
        <f>SUM(D59:D60)</f>
        <v>23000</v>
      </c>
      <c r="E61" s="103"/>
      <c r="F61" s="101"/>
      <c r="G61" s="97"/>
      <c r="H61" s="104">
        <f>SUM(H59:H60)</f>
        <v>20500</v>
      </c>
      <c r="J61" s="38"/>
      <c r="K61" s="39"/>
      <c r="L61" s="9"/>
    </row>
    <row r="62" spans="1:12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12" x14ac:dyDescent="0.25">
      <c r="A63" s="36" t="s">
        <v>22</v>
      </c>
      <c r="B63" s="146">
        <v>0.1</v>
      </c>
      <c r="C63" s="9"/>
      <c r="D63" s="34">
        <f>D61*B63</f>
        <v>2300</v>
      </c>
      <c r="E63" s="36" t="s">
        <v>22</v>
      </c>
      <c r="F63" s="146">
        <v>0.1</v>
      </c>
      <c r="G63" s="9"/>
      <c r="H63" s="34">
        <f>H61*F63</f>
        <v>2050</v>
      </c>
    </row>
    <row r="64" spans="1:12" x14ac:dyDescent="0.25">
      <c r="A64" s="36" t="s">
        <v>358</v>
      </c>
      <c r="B64" s="9"/>
      <c r="C64" s="9"/>
      <c r="D64" s="72">
        <v>8100</v>
      </c>
      <c r="E64" s="36"/>
      <c r="F64" s="9"/>
      <c r="G64" s="9"/>
      <c r="H64" s="72">
        <v>8100</v>
      </c>
    </row>
    <row r="65" spans="1:8" x14ac:dyDescent="0.25">
      <c r="A65" s="36" t="s">
        <v>360</v>
      </c>
      <c r="B65" s="9"/>
      <c r="C65" s="9"/>
      <c r="D65" s="72">
        <v>1000</v>
      </c>
      <c r="E65" s="36"/>
      <c r="F65" s="9"/>
      <c r="G65" s="9"/>
      <c r="H65" s="72">
        <v>1000</v>
      </c>
    </row>
    <row r="66" spans="1:8" s="9" customFormat="1" x14ac:dyDescent="0.25">
      <c r="A66" s="36" t="s">
        <v>361</v>
      </c>
      <c r="D66" s="72">
        <v>5000</v>
      </c>
      <c r="E66" s="36"/>
      <c r="H66" s="72">
        <v>5000</v>
      </c>
    </row>
    <row r="67" spans="1:8" s="9" customFormat="1" x14ac:dyDescent="0.25">
      <c r="A67" s="36"/>
      <c r="D67" s="72">
        <f>SUM(D63:D66)</f>
        <v>16400</v>
      </c>
      <c r="E67" s="36"/>
      <c r="H67" s="72">
        <f>SUM(H63:H66)</f>
        <v>16150</v>
      </c>
    </row>
    <row r="68" spans="1:8" x14ac:dyDescent="0.25">
      <c r="A68" s="36" t="s">
        <v>355</v>
      </c>
      <c r="B68" s="9"/>
      <c r="C68" s="9"/>
      <c r="D68" s="135">
        <f>D61-D67</f>
        <v>6600</v>
      </c>
      <c r="E68" s="9"/>
      <c r="F68" s="9"/>
      <c r="G68" s="9"/>
      <c r="H68" s="135">
        <f>H61-H67</f>
        <v>4350</v>
      </c>
    </row>
    <row r="69" spans="1:8" x14ac:dyDescent="0.25">
      <c r="A69" s="9"/>
      <c r="B69" s="9"/>
      <c r="C69" s="86"/>
      <c r="D69" s="72"/>
      <c r="E69" s="38" t="s">
        <v>24</v>
      </c>
      <c r="F69" s="39"/>
      <c r="G69" s="9"/>
      <c r="H69" s="9"/>
    </row>
    <row r="70" spans="1:8" x14ac:dyDescent="0.25">
      <c r="A70" s="36"/>
      <c r="B70" s="9"/>
      <c r="C70" s="9"/>
      <c r="D70" s="72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8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8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8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8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8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8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8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8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12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12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12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12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12" x14ac:dyDescent="0.25">
      <c r="A85" s="43"/>
      <c r="B85" s="3"/>
      <c r="C85" s="44"/>
      <c r="D85" s="46"/>
      <c r="E85" s="44"/>
      <c r="F85" s="9"/>
      <c r="G85" s="9"/>
      <c r="H85" s="9"/>
    </row>
    <row r="86" spans="1:12" x14ac:dyDescent="0.25">
      <c r="A86" s="9"/>
      <c r="B86" s="9"/>
      <c r="C86" s="9"/>
      <c r="D86" s="9"/>
      <c r="E86" s="9"/>
      <c r="F86" s="9"/>
      <c r="G86" s="9"/>
      <c r="H86" s="9"/>
    </row>
    <row r="87" spans="1:12" x14ac:dyDescent="0.25">
      <c r="A87" s="100" t="s">
        <v>60</v>
      </c>
      <c r="B87" s="101"/>
      <c r="C87" s="97"/>
      <c r="D87" s="102">
        <f>D84</f>
        <v>14000</v>
      </c>
      <c r="E87" s="9"/>
      <c r="G87">
        <f>F84</f>
        <v>9000</v>
      </c>
    </row>
    <row r="88" spans="1:12" x14ac:dyDescent="0.25">
      <c r="A88" s="103"/>
      <c r="B88" s="101"/>
      <c r="C88" s="97"/>
      <c r="D88" s="104"/>
      <c r="E88" s="51"/>
      <c r="J88" s="18" t="s">
        <v>109</v>
      </c>
      <c r="K88" s="19"/>
      <c r="L88" s="18" t="s">
        <v>232</v>
      </c>
    </row>
    <row r="89" spans="1:12" x14ac:dyDescent="0.25">
      <c r="A89" s="9" t="s">
        <v>196</v>
      </c>
      <c r="B89" s="9"/>
      <c r="C89" s="83">
        <v>0.1</v>
      </c>
      <c r="D89" s="9"/>
      <c r="E89" s="9"/>
      <c r="J89" s="38" t="s">
        <v>24</v>
      </c>
      <c r="K89" s="39"/>
      <c r="L89" s="9" t="s">
        <v>94</v>
      </c>
    </row>
    <row r="90" spans="1:12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>
        <f>F90*G87</f>
        <v>900</v>
      </c>
      <c r="J90" s="9"/>
      <c r="K90" s="9"/>
      <c r="L90" s="9"/>
    </row>
    <row r="91" spans="1:12" x14ac:dyDescent="0.25">
      <c r="A91" s="36" t="s">
        <v>172</v>
      </c>
      <c r="B91" s="9"/>
      <c r="C91" s="9"/>
      <c r="D91" s="133">
        <v>3150</v>
      </c>
      <c r="E91" s="9"/>
      <c r="F91" t="s">
        <v>227</v>
      </c>
      <c r="G91" s="133">
        <v>3150</v>
      </c>
      <c r="J91" s="38" t="s">
        <v>81</v>
      </c>
      <c r="K91" s="38"/>
      <c r="L91" s="9"/>
    </row>
    <row r="92" spans="1:12" x14ac:dyDescent="0.25">
      <c r="A92" s="9" t="s">
        <v>362</v>
      </c>
      <c r="B92" s="9"/>
      <c r="C92" s="9"/>
      <c r="D92" s="72">
        <v>3150</v>
      </c>
      <c r="E92" s="72"/>
      <c r="G92" s="72">
        <v>3150</v>
      </c>
      <c r="J92" s="38" t="s">
        <v>24</v>
      </c>
      <c r="K92" s="39"/>
      <c r="L92" s="9"/>
    </row>
    <row r="93" spans="1:12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  <c r="J93" s="38"/>
      <c r="K93" s="39"/>
      <c r="L93" s="9"/>
    </row>
    <row r="94" spans="1:12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12" x14ac:dyDescent="0.25">
      <c r="A95" s="9"/>
      <c r="B95" s="9"/>
      <c r="C95" s="9"/>
      <c r="D95" s="9"/>
      <c r="E95" s="91"/>
      <c r="F95" s="9"/>
      <c r="G95" s="9"/>
      <c r="H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52" t="s">
        <v>292</v>
      </c>
      <c r="E101" s="152"/>
      <c r="F101" s="152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1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</row>
    <row r="109" spans="1:8" x14ac:dyDescent="0.25">
      <c r="A109" s="43" t="s">
        <v>325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2500</v>
      </c>
      <c r="H109" s="129">
        <f t="shared" si="5"/>
        <v>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2700</v>
      </c>
      <c r="F112" s="47">
        <f t="shared" si="4"/>
        <v>2700</v>
      </c>
      <c r="G112" s="150">
        <v>2500</v>
      </c>
      <c r="H112" s="129">
        <f t="shared" si="5"/>
        <v>200</v>
      </c>
    </row>
    <row r="113" spans="1:11" x14ac:dyDescent="0.25">
      <c r="A113" s="45" t="s">
        <v>309</v>
      </c>
      <c r="B113" s="120">
        <v>10</v>
      </c>
      <c r="C113" s="9"/>
      <c r="D113" s="44"/>
      <c r="E113" s="115">
        <v>4500</v>
      </c>
      <c r="F113" s="47">
        <f t="shared" si="4"/>
        <v>4500</v>
      </c>
      <c r="G113" s="150">
        <v>3000</v>
      </c>
      <c r="H113" s="129">
        <f t="shared" si="5"/>
        <v>1500</v>
      </c>
    </row>
    <row r="114" spans="1:11" x14ac:dyDescent="0.25">
      <c r="A114" s="45" t="s">
        <v>327</v>
      </c>
      <c r="B114" s="120">
        <v>11</v>
      </c>
      <c r="C114" s="119"/>
      <c r="D114" s="44"/>
      <c r="E114" s="105">
        <v>2500</v>
      </c>
      <c r="F114" s="47">
        <f t="shared" si="4"/>
        <v>2500</v>
      </c>
      <c r="G114" s="150">
        <v>2200</v>
      </c>
      <c r="H114" s="129">
        <f t="shared" si="5"/>
        <v>300</v>
      </c>
    </row>
    <row r="115" spans="1:11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/>
      <c r="H115" s="129">
        <f t="shared" si="5"/>
        <v>2500</v>
      </c>
    </row>
    <row r="116" spans="1:11" x14ac:dyDescent="0.25">
      <c r="A116" s="44" t="s">
        <v>329</v>
      </c>
      <c r="B116" s="120">
        <v>13</v>
      </c>
      <c r="C116" s="117"/>
      <c r="D116" s="9"/>
      <c r="E116" s="44">
        <v>2500</v>
      </c>
      <c r="F116" s="47">
        <f>D117+E116</f>
        <v>2500</v>
      </c>
      <c r="G116" s="150"/>
      <c r="H116" s="129">
        <f t="shared" si="5"/>
        <v>2500</v>
      </c>
    </row>
    <row r="117" spans="1:11" x14ac:dyDescent="0.25">
      <c r="A117" s="44" t="s">
        <v>137</v>
      </c>
      <c r="B117" s="120">
        <v>14</v>
      </c>
      <c r="C117" s="117"/>
      <c r="D117" s="44"/>
      <c r="E117" s="44"/>
      <c r="F117" s="47"/>
      <c r="G117" s="150"/>
      <c r="H117" s="129"/>
    </row>
    <row r="118" spans="1:11" x14ac:dyDescent="0.25">
      <c r="A118" s="44" t="s">
        <v>251</v>
      </c>
      <c r="B118" s="120">
        <v>15</v>
      </c>
      <c r="C118" s="117"/>
      <c r="D118" s="44"/>
      <c r="E118" s="44">
        <v>2500</v>
      </c>
      <c r="F118" s="47">
        <f t="shared" si="4"/>
        <v>2500</v>
      </c>
      <c r="G118" s="150">
        <v>2500</v>
      </c>
      <c r="H118" s="129">
        <f t="shared" si="5"/>
        <v>0</v>
      </c>
    </row>
    <row r="119" spans="1:11" x14ac:dyDescent="0.25">
      <c r="A119" s="44" t="s">
        <v>330</v>
      </c>
      <c r="B119" s="148">
        <v>16</v>
      </c>
      <c r="C119" s="9"/>
      <c r="D119" s="9"/>
      <c r="E119" s="125">
        <v>1600</v>
      </c>
      <c r="F119" s="47">
        <f t="shared" si="4"/>
        <v>1600</v>
      </c>
      <c r="G119" s="150">
        <v>2500</v>
      </c>
      <c r="H119" s="129">
        <f t="shared" si="5"/>
        <v>-900</v>
      </c>
    </row>
    <row r="120" spans="1:11" x14ac:dyDescent="0.25">
      <c r="A120" s="125" t="s">
        <v>331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3000</v>
      </c>
      <c r="H120" s="129">
        <f t="shared" si="5"/>
        <v>200</v>
      </c>
    </row>
    <row r="121" spans="1:11" x14ac:dyDescent="0.25">
      <c r="A121" s="44" t="s">
        <v>307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1600</v>
      </c>
      <c r="H121" s="129">
        <f t="shared" si="5"/>
        <v>0</v>
      </c>
    </row>
    <row r="122" spans="1:11" x14ac:dyDescent="0.25">
      <c r="A122" s="140"/>
      <c r="B122" s="141"/>
      <c r="C122" s="142"/>
      <c r="D122" s="58"/>
      <c r="E122" s="58"/>
      <c r="F122" s="61"/>
      <c r="G122" s="58"/>
      <c r="H122" s="143"/>
    </row>
    <row r="123" spans="1:11" x14ac:dyDescent="0.25">
      <c r="A123" s="44"/>
      <c r="B123" s="44"/>
      <c r="C123" s="44"/>
      <c r="D123" s="44"/>
      <c r="E123" s="44"/>
      <c r="F123" s="44"/>
      <c r="G123" s="44"/>
      <c r="H123" s="44"/>
    </row>
    <row r="124" spans="1:11" x14ac:dyDescent="0.25">
      <c r="A124" s="138"/>
      <c r="B124" s="138"/>
      <c r="C124" s="138"/>
      <c r="D124" s="138">
        <f>SUM(D117:D123)</f>
        <v>1600</v>
      </c>
      <c r="E124" s="139">
        <f>SUM(E104:E123)</f>
        <v>48000</v>
      </c>
      <c r="F124" s="138"/>
      <c r="G124" s="139">
        <f>SUM(G104:G123)</f>
        <v>42800</v>
      </c>
      <c r="H124" s="139">
        <f>SUM(H104:H123)</f>
        <v>6800</v>
      </c>
    </row>
    <row r="125" spans="1:11" x14ac:dyDescent="0.25">
      <c r="A125" s="100" t="s">
        <v>60</v>
      </c>
      <c r="B125" s="101"/>
      <c r="C125" s="97"/>
      <c r="D125" s="102">
        <f>E124</f>
        <v>48000</v>
      </c>
      <c r="E125" s="100" t="s">
        <v>60</v>
      </c>
      <c r="F125" s="101"/>
      <c r="G125" s="97"/>
      <c r="H125" s="102">
        <f>G124</f>
        <v>42800</v>
      </c>
      <c r="I125" s="18" t="s">
        <v>109</v>
      </c>
      <c r="J125" s="19"/>
      <c r="K125" s="18" t="s">
        <v>93</v>
      </c>
    </row>
    <row r="126" spans="1:11" x14ac:dyDescent="0.25">
      <c r="A126" s="103" t="s">
        <v>347</v>
      </c>
      <c r="B126" s="101"/>
      <c r="C126" s="97"/>
      <c r="D126" s="104">
        <v>-7100</v>
      </c>
      <c r="E126" s="103" t="s">
        <v>343</v>
      </c>
      <c r="F126" s="101"/>
      <c r="G126" s="97"/>
      <c r="H126" s="104">
        <v>-7100</v>
      </c>
      <c r="I126" s="38" t="s">
        <v>24</v>
      </c>
      <c r="J126" s="39"/>
      <c r="K126" s="9" t="s">
        <v>94</v>
      </c>
    </row>
    <row r="127" spans="1:11" x14ac:dyDescent="0.25">
      <c r="A127" s="103" t="s">
        <v>333</v>
      </c>
      <c r="B127" s="101"/>
      <c r="C127" s="97"/>
      <c r="D127" s="104">
        <v>1600</v>
      </c>
      <c r="E127" s="103"/>
      <c r="F127" s="101"/>
      <c r="G127" s="97"/>
      <c r="H127" s="104"/>
      <c r="I127" s="38"/>
      <c r="J127" s="39"/>
      <c r="K127" s="9"/>
    </row>
    <row r="128" spans="1:11" x14ac:dyDescent="0.25">
      <c r="A128" s="67" t="s">
        <v>58</v>
      </c>
      <c r="B128" s="9"/>
      <c r="C128" s="9"/>
      <c r="D128" s="72">
        <f>SUM(D125:D127)</f>
        <v>42500</v>
      </c>
      <c r="E128" s="67" t="s">
        <v>58</v>
      </c>
      <c r="F128" s="9"/>
      <c r="G128" s="9"/>
      <c r="H128" s="72">
        <f>SUM(H125:H127)</f>
        <v>35700</v>
      </c>
      <c r="I128" s="38" t="s">
        <v>81</v>
      </c>
      <c r="J128" s="83">
        <v>0.1</v>
      </c>
      <c r="K128" s="9"/>
    </row>
    <row r="129" spans="1:9" x14ac:dyDescent="0.25">
      <c r="A129" s="36" t="s">
        <v>22</v>
      </c>
      <c r="B129" s="17"/>
      <c r="C129" s="9"/>
      <c r="D129" s="34">
        <f>SUM(D125*10%)</f>
        <v>4800</v>
      </c>
      <c r="E129" s="36" t="s">
        <v>22</v>
      </c>
      <c r="F129" s="17"/>
      <c r="G129" s="9"/>
      <c r="H129" s="34">
        <f>SUM(H125*10%)</f>
        <v>4280</v>
      </c>
    </row>
    <row r="130" spans="1:9" x14ac:dyDescent="0.25">
      <c r="A130" s="36" t="s">
        <v>356</v>
      </c>
      <c r="B130" s="17"/>
      <c r="C130" s="9"/>
      <c r="D130" s="34">
        <v>15000</v>
      </c>
      <c r="E130" s="36" t="s">
        <v>334</v>
      </c>
      <c r="F130" s="17"/>
      <c r="G130" s="9"/>
      <c r="H130" s="34">
        <v>15000</v>
      </c>
      <c r="I130" s="72">
        <f>H125-H130-H129</f>
        <v>23520</v>
      </c>
    </row>
    <row r="131" spans="1:9" x14ac:dyDescent="0.25">
      <c r="A131" s="36" t="s">
        <v>357</v>
      </c>
      <c r="B131" s="9"/>
      <c r="C131" s="9"/>
      <c r="D131" s="72">
        <v>5520</v>
      </c>
      <c r="E131" s="36"/>
      <c r="F131" s="9"/>
      <c r="G131" s="9"/>
      <c r="H131" s="72">
        <v>5520</v>
      </c>
    </row>
    <row r="132" spans="1:9" s="9" customFormat="1" x14ac:dyDescent="0.25">
      <c r="A132" s="36" t="s">
        <v>360</v>
      </c>
      <c r="D132" s="72">
        <v>7000</v>
      </c>
      <c r="E132" s="36"/>
      <c r="H132" s="72">
        <f>D132</f>
        <v>7000</v>
      </c>
    </row>
    <row r="133" spans="1:9" x14ac:dyDescent="0.25">
      <c r="A133" s="36" t="s">
        <v>154</v>
      </c>
      <c r="B133" s="9"/>
      <c r="C133" s="9"/>
      <c r="D133" s="72">
        <f>SUM(D129:D132)</f>
        <v>32320</v>
      </c>
      <c r="E133" s="36"/>
      <c r="F133" s="9"/>
      <c r="G133" s="9"/>
      <c r="H133" s="72">
        <f>SUM(H129:H132)</f>
        <v>31800</v>
      </c>
    </row>
    <row r="134" spans="1:9" x14ac:dyDescent="0.25">
      <c r="A134" s="36" t="s">
        <v>26</v>
      </c>
      <c r="B134" s="9"/>
      <c r="C134" s="9"/>
      <c r="D134" s="72">
        <f>D128-D133</f>
        <v>10180</v>
      </c>
      <c r="E134" s="36" t="s">
        <v>26</v>
      </c>
      <c r="F134" s="9"/>
      <c r="G134" s="9"/>
      <c r="H134" s="72">
        <f>H128-H133</f>
        <v>3900</v>
      </c>
    </row>
    <row r="135" spans="1:9" x14ac:dyDescent="0.25">
      <c r="A135" s="9"/>
      <c r="B135" s="9"/>
      <c r="C135" s="9"/>
      <c r="D135" s="9"/>
      <c r="E135" s="9"/>
      <c r="F135" s="9"/>
      <c r="G135" s="9"/>
      <c r="H135" s="9">
        <v>1400</v>
      </c>
    </row>
    <row r="136" spans="1:9" x14ac:dyDescent="0.25">
      <c r="E136" s="9"/>
      <c r="F136" s="9"/>
      <c r="G136" s="9"/>
      <c r="H136" s="72">
        <f>SUM(H134:H135)</f>
        <v>5300</v>
      </c>
    </row>
    <row r="137" spans="1:9" x14ac:dyDescent="0.25">
      <c r="A137" s="9"/>
      <c r="B137" s="9"/>
      <c r="C137" s="9"/>
      <c r="D137" s="9"/>
      <c r="E137" s="9"/>
      <c r="F137" s="9"/>
      <c r="G137" s="9"/>
      <c r="H137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51" t="s">
        <v>301</v>
      </c>
      <c r="B142" s="151"/>
      <c r="C142" s="151"/>
      <c r="D142" s="151"/>
      <c r="E142" s="151"/>
      <c r="F142" s="151"/>
      <c r="G142" s="151"/>
      <c r="H142" s="151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258</v>
      </c>
      <c r="B144" s="120">
        <v>1</v>
      </c>
      <c r="C144" s="116"/>
      <c r="D144" s="43"/>
      <c r="E144" s="47">
        <v>2500</v>
      </c>
      <c r="F144" s="47"/>
      <c r="G144" s="131">
        <v>2500</v>
      </c>
      <c r="H144" s="129">
        <f>E144-G144</f>
        <v>0</v>
      </c>
      <c r="I144" t="s">
        <v>107</v>
      </c>
    </row>
    <row r="145" spans="1:9" x14ac:dyDescent="0.25">
      <c r="A145" s="88" t="s">
        <v>21</v>
      </c>
      <c r="B145" s="120">
        <v>2</v>
      </c>
      <c r="C145" s="117"/>
      <c r="D145" s="2"/>
      <c r="E145" s="46"/>
      <c r="F145" s="46"/>
      <c r="G145" s="131"/>
      <c r="H145" s="129">
        <f t="shared" ref="H145:H169" si="6">E145-G145</f>
        <v>0</v>
      </c>
    </row>
    <row r="146" spans="1:9" x14ac:dyDescent="0.25">
      <c r="A146" s="88" t="s">
        <v>312</v>
      </c>
      <c r="B146" s="120">
        <v>3</v>
      </c>
      <c r="C146" s="117"/>
      <c r="D146" s="43"/>
      <c r="E146" s="46">
        <v>2500</v>
      </c>
      <c r="F146" s="46"/>
      <c r="G146" s="56">
        <v>2500</v>
      </c>
      <c r="H146" s="129">
        <f t="shared" si="6"/>
        <v>0</v>
      </c>
    </row>
    <row r="147" spans="1:9" x14ac:dyDescent="0.25">
      <c r="A147" s="88" t="s">
        <v>21</v>
      </c>
      <c r="B147" s="120">
        <v>4</v>
      </c>
      <c r="C147" s="117"/>
      <c r="D147" s="43"/>
      <c r="E147" s="46"/>
      <c r="F147" s="46"/>
      <c r="G147" s="53"/>
      <c r="H147" s="129">
        <f t="shared" si="6"/>
        <v>0</v>
      </c>
    </row>
    <row r="148" spans="1:9" x14ac:dyDescent="0.25">
      <c r="A148" s="43" t="s">
        <v>260</v>
      </c>
      <c r="B148" s="120">
        <v>5</v>
      </c>
      <c r="C148" s="117"/>
      <c r="D148" s="44"/>
      <c r="E148" s="46">
        <v>4000</v>
      </c>
      <c r="F148" s="46"/>
      <c r="G148" s="46"/>
      <c r="H148" s="129">
        <f t="shared" si="6"/>
        <v>4000</v>
      </c>
    </row>
    <row r="149" spans="1:9" x14ac:dyDescent="0.25">
      <c r="A149" s="43" t="s">
        <v>261</v>
      </c>
      <c r="B149" s="120">
        <v>6</v>
      </c>
      <c r="C149" s="117"/>
      <c r="D149" s="44"/>
      <c r="E149" s="46">
        <v>4000</v>
      </c>
      <c r="F149" s="46"/>
      <c r="G149" s="46">
        <v>4000</v>
      </c>
      <c r="H149" s="129">
        <f t="shared" si="6"/>
        <v>0</v>
      </c>
    </row>
    <row r="150" spans="1:9" x14ac:dyDescent="0.25">
      <c r="A150" s="43" t="s">
        <v>21</v>
      </c>
      <c r="B150" s="120">
        <v>7</v>
      </c>
      <c r="C150" s="117"/>
      <c r="D150" s="44"/>
      <c r="E150" s="73"/>
      <c r="F150" s="46"/>
      <c r="G150" s="132"/>
      <c r="H150" s="129">
        <f t="shared" si="6"/>
        <v>0</v>
      </c>
    </row>
    <row r="151" spans="1:9" x14ac:dyDescent="0.25">
      <c r="A151" s="47" t="s">
        <v>351</v>
      </c>
      <c r="B151" s="120">
        <v>8</v>
      </c>
      <c r="C151" s="118"/>
      <c r="D151" s="46"/>
      <c r="E151" s="46">
        <v>4000</v>
      </c>
      <c r="F151" s="46"/>
      <c r="G151" s="53">
        <v>4000</v>
      </c>
      <c r="H151" s="129">
        <f>E151-G151</f>
        <v>0</v>
      </c>
      <c r="I151" t="s">
        <v>107</v>
      </c>
    </row>
    <row r="152" spans="1:9" x14ac:dyDescent="0.25">
      <c r="A152" s="44" t="s">
        <v>21</v>
      </c>
      <c r="B152" s="120">
        <v>9</v>
      </c>
      <c r="C152" s="117"/>
      <c r="D152" s="44"/>
      <c r="E152" s="44"/>
      <c r="F152" s="44"/>
      <c r="G152" s="44"/>
      <c r="H152" s="129">
        <f t="shared" si="6"/>
        <v>0</v>
      </c>
    </row>
    <row r="153" spans="1:9" x14ac:dyDescent="0.25">
      <c r="A153" s="169" t="s">
        <v>21</v>
      </c>
      <c r="B153" s="120">
        <v>10</v>
      </c>
      <c r="C153" s="9"/>
      <c r="D153" s="44"/>
      <c r="E153" s="115"/>
      <c r="F153" s="44"/>
      <c r="G153" s="44"/>
      <c r="H153" s="129">
        <f t="shared" si="6"/>
        <v>0</v>
      </c>
    </row>
    <row r="154" spans="1:9" x14ac:dyDescent="0.25">
      <c r="A154" s="169" t="s">
        <v>263</v>
      </c>
      <c r="B154" s="120">
        <v>11</v>
      </c>
      <c r="C154" s="119"/>
      <c r="D154" s="44"/>
      <c r="E154" s="105">
        <v>4000</v>
      </c>
      <c r="F154" s="44"/>
      <c r="G154" s="44"/>
      <c r="H154" s="129">
        <f t="shared" si="6"/>
        <v>4000</v>
      </c>
      <c r="I154" t="s">
        <v>314</v>
      </c>
    </row>
    <row r="155" spans="1:9" x14ac:dyDescent="0.25">
      <c r="A155" s="44" t="s">
        <v>264</v>
      </c>
      <c r="B155" s="120">
        <v>12</v>
      </c>
      <c r="C155" s="119"/>
      <c r="D155" s="44"/>
      <c r="E155" s="44">
        <v>4000</v>
      </c>
      <c r="F155" s="44"/>
      <c r="G155" s="44"/>
      <c r="H155" s="129">
        <f t="shared" si="6"/>
        <v>4000</v>
      </c>
    </row>
    <row r="156" spans="1:9" x14ac:dyDescent="0.25">
      <c r="A156" s="44" t="s">
        <v>302</v>
      </c>
      <c r="B156" s="120">
        <v>13</v>
      </c>
      <c r="C156" s="117"/>
      <c r="D156" s="44"/>
      <c r="E156" s="44">
        <v>4000</v>
      </c>
      <c r="F156" s="44"/>
      <c r="G156" s="44">
        <v>4000</v>
      </c>
      <c r="H156" s="129">
        <f t="shared" si="6"/>
        <v>0</v>
      </c>
    </row>
    <row r="157" spans="1:9" x14ac:dyDescent="0.25">
      <c r="A157" s="44" t="s">
        <v>254</v>
      </c>
      <c r="B157" s="120">
        <v>14</v>
      </c>
      <c r="C157" s="44"/>
      <c r="D157" s="44"/>
      <c r="E157" s="44">
        <v>4000</v>
      </c>
      <c r="F157" s="44"/>
      <c r="G157" s="113">
        <v>4000</v>
      </c>
      <c r="H157" s="129">
        <f t="shared" si="6"/>
        <v>0</v>
      </c>
      <c r="I157" t="s">
        <v>107</v>
      </c>
    </row>
    <row r="158" spans="1:9" x14ac:dyDescent="0.25">
      <c r="A158" s="44" t="s">
        <v>352</v>
      </c>
      <c r="B158" s="120">
        <v>15</v>
      </c>
      <c r="C158" s="44"/>
      <c r="D158" s="44"/>
      <c r="E158" s="44"/>
      <c r="F158" s="44"/>
      <c r="G158" s="44"/>
      <c r="H158" s="129">
        <f t="shared" si="6"/>
        <v>0</v>
      </c>
    </row>
    <row r="159" spans="1:9" x14ac:dyDescent="0.25">
      <c r="A159" s="125" t="s">
        <v>255</v>
      </c>
      <c r="B159" s="120">
        <v>16</v>
      </c>
      <c r="C159" s="44"/>
      <c r="D159" s="44"/>
      <c r="E159" s="125">
        <v>4000</v>
      </c>
      <c r="F159" s="44"/>
      <c r="G159" s="44">
        <v>4000</v>
      </c>
      <c r="H159" s="129">
        <f t="shared" si="6"/>
        <v>0</v>
      </c>
    </row>
    <row r="160" spans="1:9" x14ac:dyDescent="0.25">
      <c r="A160" s="44" t="s">
        <v>266</v>
      </c>
      <c r="B160" s="120">
        <v>17</v>
      </c>
      <c r="C160" s="44"/>
      <c r="D160" s="44"/>
      <c r="E160" s="44">
        <v>2000</v>
      </c>
      <c r="F160" s="44"/>
      <c r="G160" s="44">
        <v>2000</v>
      </c>
      <c r="H160" s="129">
        <f t="shared" si="6"/>
        <v>0</v>
      </c>
    </row>
    <row r="161" spans="1:10" x14ac:dyDescent="0.25">
      <c r="A161" s="44" t="s">
        <v>313</v>
      </c>
      <c r="B161" s="120">
        <v>18</v>
      </c>
      <c r="C161" s="117"/>
      <c r="D161" s="44"/>
      <c r="E161" s="44">
        <v>2000</v>
      </c>
      <c r="F161" s="44"/>
      <c r="G161" s="44"/>
      <c r="H161" s="129">
        <f t="shared" si="6"/>
        <v>2000</v>
      </c>
    </row>
    <row r="162" spans="1:10" x14ac:dyDescent="0.25">
      <c r="A162" s="44" t="s">
        <v>137</v>
      </c>
      <c r="B162" s="120">
        <v>19</v>
      </c>
      <c r="C162" s="117"/>
      <c r="D162" s="44"/>
      <c r="E162" s="44">
        <v>2000</v>
      </c>
      <c r="F162" s="44"/>
      <c r="G162" s="44">
        <v>2000</v>
      </c>
      <c r="H162" s="129">
        <f t="shared" si="6"/>
        <v>0</v>
      </c>
    </row>
    <row r="163" spans="1:10" x14ac:dyDescent="0.25">
      <c r="A163" s="124" t="s">
        <v>256</v>
      </c>
      <c r="B163" s="120">
        <v>20</v>
      </c>
      <c r="C163" s="117"/>
      <c r="D163" s="44"/>
      <c r="E163" s="44">
        <v>2000</v>
      </c>
      <c r="F163" s="44"/>
      <c r="G163" s="44">
        <v>4000</v>
      </c>
      <c r="H163" s="129">
        <f t="shared" si="6"/>
        <v>-2000</v>
      </c>
    </row>
    <row r="164" spans="1:10" x14ac:dyDescent="0.25">
      <c r="A164" s="127" t="s">
        <v>269</v>
      </c>
      <c r="B164" s="120">
        <v>21</v>
      </c>
      <c r="C164" s="44"/>
      <c r="D164" s="44"/>
      <c r="E164" s="44">
        <v>2000</v>
      </c>
      <c r="F164" s="44"/>
      <c r="G164" s="44">
        <v>2000</v>
      </c>
      <c r="H164" s="129">
        <f t="shared" si="6"/>
        <v>0</v>
      </c>
    </row>
    <row r="165" spans="1:10" x14ac:dyDescent="0.25">
      <c r="A165" s="127" t="s">
        <v>270</v>
      </c>
      <c r="B165" s="120">
        <v>22</v>
      </c>
      <c r="C165" s="44"/>
      <c r="D165" s="44"/>
      <c r="E165" s="44">
        <v>2000</v>
      </c>
      <c r="F165" s="44"/>
      <c r="G165" s="44"/>
      <c r="H165" s="129">
        <f t="shared" si="6"/>
        <v>2000</v>
      </c>
    </row>
    <row r="166" spans="1:10" x14ac:dyDescent="0.25">
      <c r="A166" s="127" t="s">
        <v>271</v>
      </c>
      <c r="B166" s="120">
        <v>23</v>
      </c>
      <c r="C166" s="44"/>
      <c r="D166" s="44"/>
      <c r="E166" s="44">
        <v>2000</v>
      </c>
      <c r="F166" s="44"/>
      <c r="G166" s="44">
        <v>2000</v>
      </c>
      <c r="H166" s="129">
        <f t="shared" si="6"/>
        <v>0</v>
      </c>
    </row>
    <row r="167" spans="1:10" x14ac:dyDescent="0.25">
      <c r="A167" s="127" t="s">
        <v>272</v>
      </c>
      <c r="B167" s="120">
        <v>24</v>
      </c>
      <c r="C167" s="44"/>
      <c r="D167" s="44"/>
      <c r="E167" s="44">
        <v>4500</v>
      </c>
      <c r="F167" s="44"/>
      <c r="G167" s="44">
        <v>4500</v>
      </c>
      <c r="H167" s="129">
        <f t="shared" si="6"/>
        <v>0</v>
      </c>
    </row>
    <row r="168" spans="1:10" x14ac:dyDescent="0.25">
      <c r="A168" s="127" t="s">
        <v>273</v>
      </c>
      <c r="B168" s="120">
        <v>25</v>
      </c>
      <c r="C168" s="44"/>
      <c r="D168" s="44"/>
      <c r="E168" s="44">
        <v>2500</v>
      </c>
      <c r="F168" s="44"/>
      <c r="G168" s="44"/>
      <c r="H168" s="129">
        <f t="shared" si="6"/>
        <v>2500</v>
      </c>
    </row>
    <row r="169" spans="1:10" x14ac:dyDescent="0.25">
      <c r="A169" s="44"/>
      <c r="B169" s="120"/>
      <c r="C169" s="44"/>
      <c r="D169" s="44"/>
      <c r="E169" s="105">
        <f>SUM(E144:E168)</f>
        <v>58000</v>
      </c>
      <c r="F169" s="105"/>
      <c r="G169" s="105">
        <f>SUM(G144:G168)</f>
        <v>41500</v>
      </c>
      <c r="H169" s="129">
        <f t="shared" si="6"/>
        <v>16500</v>
      </c>
    </row>
    <row r="170" spans="1:10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10" x14ac:dyDescent="0.25">
      <c r="A171" s="44"/>
      <c r="B171" s="120"/>
      <c r="C171" s="44"/>
      <c r="D171" s="44"/>
      <c r="E171" s="44"/>
      <c r="F171" s="44"/>
      <c r="G171" s="44"/>
      <c r="H171" s="44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</row>
    <row r="174" spans="1:10" x14ac:dyDescent="0.25">
      <c r="A174" s="100" t="s">
        <v>60</v>
      </c>
      <c r="B174" s="97"/>
      <c r="C174" s="102">
        <f>E169</f>
        <v>58000</v>
      </c>
      <c r="D174" s="9"/>
      <c r="F174" s="100" t="s">
        <v>60</v>
      </c>
      <c r="G174" s="101"/>
      <c r="H174" s="121">
        <f>G169</f>
        <v>41500</v>
      </c>
      <c r="I174" s="102">
        <f>J169</f>
        <v>0</v>
      </c>
      <c r="J174" s="9"/>
    </row>
    <row r="175" spans="1:10" x14ac:dyDescent="0.25">
      <c r="A175" s="9"/>
      <c r="B175" s="128">
        <v>0.1</v>
      </c>
      <c r="C175" s="104"/>
      <c r="D175" s="9"/>
      <c r="F175" s="9"/>
      <c r="G175" s="128">
        <v>0.1</v>
      </c>
      <c r="H175" s="104"/>
      <c r="J175" s="9"/>
    </row>
    <row r="176" spans="1:10" x14ac:dyDescent="0.25">
      <c r="A176" s="103" t="s">
        <v>347</v>
      </c>
      <c r="B176" s="97"/>
      <c r="C176" s="9">
        <v>6010</v>
      </c>
      <c r="D176" s="9"/>
      <c r="F176" s="103" t="s">
        <v>347</v>
      </c>
      <c r="G176" s="97"/>
      <c r="H176" s="9">
        <v>6010</v>
      </c>
      <c r="J176" s="9"/>
    </row>
    <row r="177" spans="1:10" s="9" customFormat="1" x14ac:dyDescent="0.25">
      <c r="A177" s="103"/>
      <c r="B177" s="97"/>
      <c r="C177" s="72">
        <f>SUM(C174:C176)</f>
        <v>64010</v>
      </c>
      <c r="F177" s="103"/>
      <c r="G177" s="97"/>
      <c r="H177" s="72">
        <f>SUM(H174:H176)</f>
        <v>47510</v>
      </c>
    </row>
    <row r="178" spans="1:10" x14ac:dyDescent="0.25">
      <c r="A178" s="67" t="s">
        <v>58</v>
      </c>
      <c r="B178" s="9"/>
      <c r="C178" s="9"/>
      <c r="D178" s="9"/>
      <c r="F178" s="67" t="s">
        <v>58</v>
      </c>
      <c r="G178" s="9"/>
      <c r="H178" s="9"/>
      <c r="J178" s="9"/>
    </row>
    <row r="179" spans="1:10" x14ac:dyDescent="0.25">
      <c r="A179" s="103" t="s">
        <v>196</v>
      </c>
      <c r="B179" s="9"/>
      <c r="C179" s="104">
        <f>C174*B175</f>
        <v>5800</v>
      </c>
      <c r="D179" s="9"/>
      <c r="F179" s="103" t="s">
        <v>196</v>
      </c>
      <c r="G179" s="9"/>
      <c r="H179" s="104">
        <f>H174*G175</f>
        <v>4150</v>
      </c>
      <c r="J179" s="9"/>
    </row>
    <row r="180" spans="1:10" x14ac:dyDescent="0.25">
      <c r="A180" s="93" t="s">
        <v>359</v>
      </c>
      <c r="B180" s="9"/>
      <c r="C180" s="9">
        <v>25000</v>
      </c>
      <c r="D180" s="9"/>
      <c r="F180" s="93">
        <v>42862</v>
      </c>
      <c r="G180" s="9"/>
      <c r="H180" s="9">
        <v>25000</v>
      </c>
      <c r="J180" s="9"/>
    </row>
    <row r="181" spans="1:10" x14ac:dyDescent="0.25">
      <c r="A181" s="36" t="s">
        <v>275</v>
      </c>
      <c r="B181" s="9"/>
      <c r="C181" s="34">
        <v>13000</v>
      </c>
      <c r="D181" s="72">
        <f>C174-C179</f>
        <v>52200</v>
      </c>
      <c r="F181" s="36" t="s">
        <v>275</v>
      </c>
      <c r="G181" s="9"/>
      <c r="H181" s="34">
        <v>13000</v>
      </c>
      <c r="J181" s="72">
        <f>I174-H179</f>
        <v>-4150</v>
      </c>
    </row>
    <row r="182" spans="1:10" x14ac:dyDescent="0.25">
      <c r="D182" s="9"/>
      <c r="F182" s="136"/>
      <c r="G182" s="86"/>
      <c r="H182" s="87"/>
      <c r="J182" s="9"/>
    </row>
    <row r="183" spans="1:10" x14ac:dyDescent="0.25">
      <c r="A183" s="9" t="s">
        <v>2</v>
      </c>
      <c r="B183" s="9"/>
      <c r="C183" s="72">
        <f>SUM(C179:C181)</f>
        <v>43800</v>
      </c>
      <c r="D183" s="9"/>
      <c r="F183" s="9" t="s">
        <v>2</v>
      </c>
      <c r="G183" s="9"/>
      <c r="H183" s="72">
        <f>SUM(H179:H182)</f>
        <v>42150</v>
      </c>
      <c r="J183" s="9"/>
    </row>
    <row r="184" spans="1:10" x14ac:dyDescent="0.25">
      <c r="A184" s="9" t="s">
        <v>355</v>
      </c>
      <c r="B184" s="9"/>
      <c r="C184" s="72">
        <f>C174-C183</f>
        <v>14200</v>
      </c>
      <c r="D184" s="9"/>
      <c r="F184" s="9" t="s">
        <v>355</v>
      </c>
      <c r="G184" s="9"/>
      <c r="H184" s="72">
        <f>H174-H183</f>
        <v>-650</v>
      </c>
      <c r="J184" s="9"/>
    </row>
    <row r="185" spans="1:10" x14ac:dyDescent="0.25">
      <c r="A185" s="9"/>
      <c r="B185" s="9"/>
      <c r="C185" s="72"/>
      <c r="D185" s="9"/>
      <c r="F185" s="9"/>
      <c r="G185" s="9"/>
      <c r="H185" s="72"/>
      <c r="J185" s="9"/>
    </row>
    <row r="186" spans="1:10" x14ac:dyDescent="0.25">
      <c r="A186" s="36"/>
      <c r="B186" s="9"/>
      <c r="C186" s="72"/>
      <c r="D186" s="9"/>
      <c r="F186" s="36"/>
      <c r="G186" s="9"/>
      <c r="H186" s="72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</row>
    <row r="188" spans="1:10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10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10" ht="23.25" x14ac:dyDescent="0.35">
      <c r="A190" s="4"/>
      <c r="B190" s="52"/>
      <c r="C190" s="9"/>
      <c r="D190" s="152" t="s">
        <v>278</v>
      </c>
      <c r="E190" s="152"/>
      <c r="F190" s="152"/>
      <c r="G190" s="152"/>
      <c r="H190" s="9"/>
    </row>
    <row r="191" spans="1:10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10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/>
      <c r="F192" s="22" t="s">
        <v>10</v>
      </c>
      <c r="G192" s="21" t="s">
        <v>3</v>
      </c>
      <c r="H192" s="13" t="s">
        <v>13</v>
      </c>
    </row>
    <row r="193" spans="1:9" x14ac:dyDescent="0.25">
      <c r="A193" s="43" t="s">
        <v>279</v>
      </c>
      <c r="B193" s="120">
        <v>1</v>
      </c>
      <c r="C193" s="116"/>
      <c r="D193" s="43"/>
      <c r="E193" s="47"/>
      <c r="F193" s="47">
        <v>3500</v>
      </c>
      <c r="G193" s="133">
        <v>3500</v>
      </c>
      <c r="H193" s="129">
        <f>F193-G193</f>
        <v>0</v>
      </c>
    </row>
    <row r="194" spans="1:9" x14ac:dyDescent="0.25">
      <c r="A194" s="88" t="s">
        <v>280</v>
      </c>
      <c r="B194" s="120">
        <v>2</v>
      </c>
      <c r="C194" s="117"/>
      <c r="D194" s="2"/>
      <c r="E194" s="46"/>
      <c r="F194" s="46">
        <v>3500</v>
      </c>
      <c r="G194" s="56"/>
      <c r="H194" s="129">
        <f t="shared" ref="H194:H202" si="7">F194-G194</f>
        <v>3500</v>
      </c>
    </row>
    <row r="195" spans="1:9" x14ac:dyDescent="0.25">
      <c r="A195" s="88" t="s">
        <v>315</v>
      </c>
      <c r="B195" s="120">
        <v>3</v>
      </c>
      <c r="C195" s="44"/>
      <c r="D195" s="43"/>
      <c r="E195" s="46"/>
      <c r="F195" s="46">
        <v>3500</v>
      </c>
      <c r="G195" s="56">
        <v>3500</v>
      </c>
      <c r="H195" s="129">
        <f t="shared" si="7"/>
        <v>0</v>
      </c>
    </row>
    <row r="196" spans="1:9" x14ac:dyDescent="0.25">
      <c r="A196" s="88" t="s">
        <v>282</v>
      </c>
      <c r="B196" s="120">
        <v>4</v>
      </c>
      <c r="C196" s="44"/>
      <c r="D196" s="43"/>
      <c r="E196" s="46"/>
      <c r="F196" s="46">
        <v>3500</v>
      </c>
      <c r="G196" s="56"/>
      <c r="H196" s="129">
        <f t="shared" si="7"/>
        <v>3500</v>
      </c>
    </row>
    <row r="197" spans="1:9" x14ac:dyDescent="0.25">
      <c r="A197" s="43" t="s">
        <v>21</v>
      </c>
      <c r="B197" s="120">
        <v>5</v>
      </c>
      <c r="C197" s="44"/>
      <c r="D197" s="44"/>
      <c r="E197" s="46"/>
      <c r="F197" s="46"/>
      <c r="G197" s="46"/>
      <c r="H197" s="129">
        <f t="shared" si="7"/>
        <v>0</v>
      </c>
    </row>
    <row r="198" spans="1:9" x14ac:dyDescent="0.25">
      <c r="A198" s="43" t="s">
        <v>284</v>
      </c>
      <c r="B198" s="120">
        <v>6</v>
      </c>
      <c r="C198" s="44"/>
      <c r="D198" s="44"/>
      <c r="E198" s="46"/>
      <c r="F198" s="46">
        <v>3500</v>
      </c>
      <c r="G198" s="46"/>
      <c r="H198" s="129">
        <f t="shared" si="7"/>
        <v>3500</v>
      </c>
    </row>
    <row r="199" spans="1:9" x14ac:dyDescent="0.25">
      <c r="A199" s="43" t="s">
        <v>285</v>
      </c>
      <c r="B199" s="120">
        <v>7</v>
      </c>
      <c r="C199" s="44"/>
      <c r="D199" s="44"/>
      <c r="E199" s="73"/>
      <c r="F199" s="46">
        <v>3500</v>
      </c>
      <c r="G199" s="68">
        <v>3500</v>
      </c>
      <c r="H199" s="129">
        <f t="shared" si="7"/>
        <v>0</v>
      </c>
    </row>
    <row r="200" spans="1:9" x14ac:dyDescent="0.25">
      <c r="A200" s="47" t="s">
        <v>304</v>
      </c>
      <c r="B200" s="120">
        <v>8</v>
      </c>
      <c r="C200" s="48"/>
      <c r="D200" s="46"/>
      <c r="E200" s="46"/>
      <c r="F200" s="46">
        <v>2000</v>
      </c>
      <c r="G200" s="46"/>
      <c r="H200" s="129">
        <f t="shared" si="7"/>
        <v>2000</v>
      </c>
    </row>
    <row r="201" spans="1:9" x14ac:dyDescent="0.25">
      <c r="A201" s="44"/>
      <c r="B201" s="120">
        <v>9</v>
      </c>
      <c r="C201" s="44"/>
      <c r="D201" s="44"/>
      <c r="E201" s="44"/>
      <c r="F201" s="44"/>
      <c r="G201" s="44"/>
      <c r="H201" s="129">
        <f t="shared" si="7"/>
        <v>0</v>
      </c>
    </row>
    <row r="202" spans="1:9" x14ac:dyDescent="0.25">
      <c r="A202" s="45" t="s">
        <v>137</v>
      </c>
      <c r="B202" s="120">
        <v>10</v>
      </c>
      <c r="C202" s="44"/>
      <c r="D202" s="44"/>
      <c r="E202" s="115"/>
      <c r="F202" s="105">
        <f>SUM(F193:F201)</f>
        <v>23000</v>
      </c>
      <c r="G202" s="44">
        <f>SUM(G193:G201)</f>
        <v>10500</v>
      </c>
      <c r="H202" s="129">
        <f t="shared" si="7"/>
        <v>12500</v>
      </c>
    </row>
    <row r="203" spans="1:9" x14ac:dyDescent="0.25">
      <c r="A203" s="9"/>
      <c r="B203" s="9"/>
      <c r="C203" s="9"/>
      <c r="D203" s="9"/>
      <c r="E203" s="9"/>
      <c r="F203" s="9"/>
      <c r="G203" s="9"/>
      <c r="H203" s="9"/>
    </row>
    <row r="204" spans="1:9" x14ac:dyDescent="0.25">
      <c r="A204" s="9"/>
      <c r="B204" s="100" t="s">
        <v>60</v>
      </c>
      <c r="C204" s="101"/>
      <c r="D204" s="97"/>
      <c r="E204" s="102">
        <f>F202</f>
        <v>23000</v>
      </c>
      <c r="F204" s="100" t="s">
        <v>60</v>
      </c>
      <c r="G204" s="101"/>
      <c r="H204" s="97">
        <f>G202</f>
        <v>10500</v>
      </c>
      <c r="I204" s="102">
        <f>J202</f>
        <v>0</v>
      </c>
    </row>
    <row r="205" spans="1:9" x14ac:dyDescent="0.25">
      <c r="A205" s="9"/>
      <c r="B205" s="9"/>
      <c r="C205" s="101"/>
      <c r="D205" s="128">
        <v>0.1</v>
      </c>
      <c r="E205" s="104"/>
      <c r="F205" s="9"/>
      <c r="G205" s="101"/>
      <c r="H205" s="128"/>
      <c r="I205" s="170">
        <v>0.1</v>
      </c>
    </row>
    <row r="206" spans="1:9" x14ac:dyDescent="0.25">
      <c r="A206" s="9"/>
      <c r="B206" s="103" t="s">
        <v>347</v>
      </c>
      <c r="C206" s="101"/>
      <c r="D206" s="97"/>
      <c r="E206" s="9">
        <v>-5000</v>
      </c>
      <c r="F206" s="103" t="s">
        <v>343</v>
      </c>
      <c r="G206" s="101"/>
      <c r="H206">
        <v>-5000</v>
      </c>
      <c r="I206" s="9"/>
    </row>
    <row r="207" spans="1:9" s="9" customFormat="1" x14ac:dyDescent="0.25">
      <c r="B207" s="103" t="s">
        <v>229</v>
      </c>
      <c r="C207" s="101"/>
      <c r="D207" s="97"/>
      <c r="E207" s="72">
        <f>SUM(E204:E206)</f>
        <v>18000</v>
      </c>
      <c r="F207" s="103"/>
      <c r="G207" s="101"/>
      <c r="H207" s="9">
        <f>SUM(H204:H206)</f>
        <v>5500</v>
      </c>
    </row>
    <row r="208" spans="1:9" x14ac:dyDescent="0.25">
      <c r="A208" s="9"/>
      <c r="B208" s="67" t="s">
        <v>58</v>
      </c>
      <c r="C208" s="9"/>
      <c r="D208" s="9"/>
      <c r="E208" s="9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9"/>
      <c r="I209" s="9"/>
    </row>
    <row r="210" spans="1:9" x14ac:dyDescent="0.25">
      <c r="A210" s="9"/>
      <c r="B210" s="103" t="s">
        <v>196</v>
      </c>
      <c r="C210" s="9"/>
      <c r="D210" s="9"/>
      <c r="E210" s="104">
        <f>E204*D205</f>
        <v>2300</v>
      </c>
      <c r="F210" s="9" t="s">
        <v>68</v>
      </c>
      <c r="G210" s="9"/>
      <c r="H210" s="9"/>
      <c r="I210" s="104">
        <f>I205*H204</f>
        <v>1050</v>
      </c>
    </row>
    <row r="211" spans="1:9" x14ac:dyDescent="0.25">
      <c r="A211" s="9"/>
      <c r="B211" s="36" t="s">
        <v>353</v>
      </c>
      <c r="C211" s="17"/>
      <c r="D211" s="9"/>
      <c r="E211" s="34">
        <v>100</v>
      </c>
      <c r="F211" s="36" t="s">
        <v>353</v>
      </c>
      <c r="G211" s="17"/>
      <c r="H211" s="9"/>
      <c r="I211" s="34">
        <v>100</v>
      </c>
    </row>
    <row r="212" spans="1:9" x14ac:dyDescent="0.25">
      <c r="A212" s="9"/>
      <c r="B212" s="9" t="s">
        <v>354</v>
      </c>
      <c r="C212" s="9"/>
      <c r="D212" s="9"/>
      <c r="E212" s="9">
        <v>6300</v>
      </c>
      <c r="F212" s="9" t="s">
        <v>354</v>
      </c>
      <c r="G212" s="9"/>
      <c r="H212" s="9"/>
      <c r="I212" s="9">
        <v>6300</v>
      </c>
    </row>
    <row r="213" spans="1:9" s="9" customFormat="1" x14ac:dyDescent="0.25">
      <c r="B213" s="9" t="s">
        <v>363</v>
      </c>
      <c r="E213" s="9">
        <v>3500</v>
      </c>
    </row>
    <row r="214" spans="1:9" x14ac:dyDescent="0.25">
      <c r="A214" s="9"/>
      <c r="B214" s="36" t="s">
        <v>2</v>
      </c>
      <c r="C214" s="9"/>
      <c r="D214" s="9"/>
      <c r="E214" s="72">
        <f>SUM(E210:E213)</f>
        <v>12200</v>
      </c>
      <c r="F214" s="36" t="s">
        <v>2</v>
      </c>
      <c r="G214" s="9"/>
      <c r="H214" s="9"/>
      <c r="I214" s="72">
        <f>SUM(I210:I212)</f>
        <v>7450</v>
      </c>
    </row>
    <row r="215" spans="1:9" x14ac:dyDescent="0.25">
      <c r="A215" s="9"/>
      <c r="B215" s="36" t="s">
        <v>355</v>
      </c>
      <c r="C215" s="9"/>
      <c r="D215" s="9"/>
      <c r="E215" s="72">
        <f>E207-E214</f>
        <v>5800</v>
      </c>
      <c r="F215" s="36" t="s">
        <v>355</v>
      </c>
      <c r="G215" s="9"/>
      <c r="H215" s="9"/>
      <c r="I215" s="72">
        <f>H207-I214</f>
        <v>-1950</v>
      </c>
    </row>
    <row r="216" spans="1:9" x14ac:dyDescent="0.25">
      <c r="A216" s="9"/>
      <c r="B216" s="9"/>
      <c r="C216" s="9"/>
      <c r="D216" s="9"/>
      <c r="E216" s="9"/>
      <c r="F216" s="9"/>
      <c r="G216" s="9"/>
      <c r="H21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opLeftCell="A133" workbookViewId="0">
      <selection activeCell="E224" sqref="E224"/>
    </sheetView>
  </sheetViews>
  <sheetFormatPr defaultRowHeight="15" x14ac:dyDescent="0.25"/>
  <cols>
    <col min="1" max="1" width="12.5703125" customWidth="1"/>
    <col min="3" max="3" width="10.85546875" customWidth="1"/>
    <col min="4" max="4" width="10.5703125" customWidth="1"/>
    <col min="5" max="5" width="10.85546875" customWidth="1"/>
    <col min="6" max="6" width="10.5703125" customWidth="1"/>
    <col min="7" max="7" width="11" customWidth="1"/>
    <col min="8" max="8" width="11.28515625" customWidth="1"/>
    <col min="9" max="9" width="11" customWidth="1"/>
    <col min="11" max="11" width="22.7109375" customWidth="1"/>
  </cols>
  <sheetData>
    <row r="1" spans="1:12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12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12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12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12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12" x14ac:dyDescent="0.25">
      <c r="A6" s="94"/>
      <c r="B6" s="95"/>
      <c r="C6" s="95"/>
      <c r="D6" s="96" t="s">
        <v>348</v>
      </c>
      <c r="E6" s="95"/>
      <c r="F6" s="95"/>
      <c r="G6" s="95"/>
      <c r="H6" s="9"/>
      <c r="I6" s="9"/>
    </row>
    <row r="7" spans="1:12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J7" s="44"/>
      <c r="K7" s="173" t="s">
        <v>93</v>
      </c>
      <c r="L7" s="44"/>
    </row>
    <row r="8" spans="1:12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  <c r="I8" s="9"/>
      <c r="J8" s="44">
        <v>1</v>
      </c>
      <c r="K8" s="44" t="s">
        <v>110</v>
      </c>
      <c r="L8" s="44">
        <v>2500</v>
      </c>
    </row>
    <row r="9" spans="1:12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J9" s="44">
        <v>4</v>
      </c>
      <c r="K9" s="44" t="s">
        <v>365</v>
      </c>
      <c r="L9" s="44">
        <v>4500</v>
      </c>
    </row>
    <row r="10" spans="1:12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  <c r="I10" s="9"/>
      <c r="J10" s="44">
        <v>5</v>
      </c>
      <c r="K10" s="44" t="s">
        <v>366</v>
      </c>
      <c r="L10" s="44">
        <v>3000</v>
      </c>
    </row>
    <row r="11" spans="1:12" x14ac:dyDescent="0.25">
      <c r="A11" s="43" t="s">
        <v>149</v>
      </c>
      <c r="B11" s="3">
        <v>4</v>
      </c>
      <c r="C11" s="44"/>
      <c r="D11" s="2">
        <v>4500</v>
      </c>
      <c r="E11" s="46"/>
      <c r="F11" s="46">
        <f t="shared" si="0"/>
        <v>4500</v>
      </c>
      <c r="G11" s="46"/>
      <c r="H11" s="68">
        <f t="shared" si="1"/>
        <v>4500</v>
      </c>
      <c r="I11" s="9"/>
      <c r="J11" s="44">
        <v>9</v>
      </c>
      <c r="K11" s="44" t="s">
        <v>367</v>
      </c>
      <c r="L11" s="44">
        <v>6000</v>
      </c>
    </row>
    <row r="12" spans="1:12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  <c r="I12" s="9"/>
      <c r="J12" s="44">
        <v>12</v>
      </c>
      <c r="K12" s="44" t="s">
        <v>368</v>
      </c>
      <c r="L12" s="44">
        <v>2000</v>
      </c>
    </row>
    <row r="13" spans="1:12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  <c r="I13" s="9"/>
      <c r="J13" s="44">
        <v>13</v>
      </c>
      <c r="K13" s="44" t="s">
        <v>369</v>
      </c>
      <c r="L13" s="44">
        <v>4000</v>
      </c>
    </row>
    <row r="14" spans="1:12" x14ac:dyDescent="0.25">
      <c r="A14" s="43" t="s">
        <v>385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  <c r="I14" s="9"/>
      <c r="J14" s="44"/>
      <c r="K14" s="44"/>
      <c r="L14" s="173">
        <f>SUM(L8:L13)</f>
        <v>22000</v>
      </c>
    </row>
    <row r="15" spans="1:12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  <c r="I15" s="9"/>
    </row>
    <row r="16" spans="1:12" x14ac:dyDescent="0.25">
      <c r="A16" s="44" t="s">
        <v>21</v>
      </c>
      <c r="B16" s="44"/>
      <c r="C16" s="44"/>
      <c r="D16" s="44"/>
      <c r="E16" s="44"/>
      <c r="F16" s="44"/>
      <c r="G16" s="44"/>
      <c r="H16" s="44"/>
      <c r="I16" s="9"/>
    </row>
    <row r="17" spans="1:9" x14ac:dyDescent="0.25">
      <c r="A17" s="88" t="s">
        <v>341</v>
      </c>
      <c r="B17" s="3">
        <v>9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>
        <v>2000</v>
      </c>
      <c r="E19" s="73">
        <v>2000</v>
      </c>
      <c r="F19" s="46">
        <f t="shared" si="0"/>
        <v>4000</v>
      </c>
      <c r="G19" s="46"/>
      <c r="H19" s="68">
        <f t="shared" si="1"/>
        <v>4000</v>
      </c>
      <c r="I19" s="9"/>
    </row>
    <row r="20" spans="1:9" x14ac:dyDescent="0.25">
      <c r="A20" s="47"/>
      <c r="B20" s="16"/>
      <c r="C20" s="48"/>
      <c r="D20" s="46"/>
      <c r="E20" s="46">
        <f>SUM(E8:E19)</f>
        <v>16000</v>
      </c>
      <c r="F20" s="46">
        <f t="shared" si="0"/>
        <v>16000</v>
      </c>
      <c r="G20" s="46">
        <f>SUM(G8:G19)</f>
        <v>9000</v>
      </c>
      <c r="H20" s="68">
        <f>SUM(H8:H19)</f>
        <v>17000</v>
      </c>
      <c r="I20" s="9"/>
    </row>
    <row r="21" spans="1:9" x14ac:dyDescent="0.25">
      <c r="A21" s="36" t="s">
        <v>60</v>
      </c>
      <c r="B21" s="17"/>
      <c r="C21" s="9"/>
      <c r="D21" s="32">
        <f>SUM(E20)</f>
        <v>16000</v>
      </c>
      <c r="E21" s="9" t="s">
        <v>342</v>
      </c>
      <c r="F21" s="9"/>
      <c r="G21" s="9">
        <v>9500</v>
      </c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ht="15.75" x14ac:dyDescent="0.25">
      <c r="A23" s="70"/>
      <c r="B23" s="17"/>
      <c r="C23" s="90"/>
      <c r="D23" s="66">
        <f>D21+D22</f>
        <v>16000</v>
      </c>
      <c r="E23" s="51"/>
      <c r="F23" s="40"/>
      <c r="G23" s="9"/>
      <c r="H23" s="9"/>
      <c r="I23" s="9"/>
    </row>
    <row r="24" spans="1:9" x14ac:dyDescent="0.25">
      <c r="A24" s="67" t="s">
        <v>58</v>
      </c>
      <c r="B24" s="9"/>
      <c r="C24" s="90"/>
      <c r="D24" s="90"/>
      <c r="E24" s="37"/>
      <c r="F24" s="64"/>
      <c r="G24" s="9"/>
      <c r="H24" s="9"/>
      <c r="I24" s="9"/>
    </row>
    <row r="25" spans="1:9" x14ac:dyDescent="0.25">
      <c r="A25" s="36" t="s">
        <v>22</v>
      </c>
      <c r="B25" s="17"/>
      <c r="C25" s="9"/>
      <c r="D25" s="34">
        <f>SUM(D21*10%)</f>
        <v>1600</v>
      </c>
      <c r="E25" s="9"/>
      <c r="F25" s="67" t="s">
        <v>58</v>
      </c>
      <c r="G25" s="9"/>
      <c r="H25" s="9"/>
      <c r="I25" s="9"/>
    </row>
    <row r="26" spans="1:9" x14ac:dyDescent="0.25">
      <c r="A26" s="36" t="s">
        <v>345</v>
      </c>
      <c r="B26" s="17"/>
      <c r="C26" s="9"/>
      <c r="D26" s="34">
        <v>10000</v>
      </c>
      <c r="E26" s="9"/>
      <c r="F26" s="36" t="s">
        <v>22</v>
      </c>
      <c r="G26" s="9"/>
      <c r="H26" s="162"/>
      <c r="I26" s="9"/>
    </row>
    <row r="27" spans="1:9" x14ac:dyDescent="0.25">
      <c r="A27" s="36" t="s">
        <v>3</v>
      </c>
      <c r="B27" s="9"/>
      <c r="C27" s="9"/>
      <c r="D27" s="72">
        <v>1000</v>
      </c>
      <c r="E27" s="9"/>
      <c r="F27" s="36"/>
      <c r="G27" s="9"/>
      <c r="H27" s="9"/>
      <c r="I27" s="9"/>
    </row>
    <row r="28" spans="1:9" s="9" customFormat="1" x14ac:dyDescent="0.25">
      <c r="A28" s="36"/>
      <c r="D28" s="72"/>
      <c r="F28" s="36"/>
    </row>
    <row r="29" spans="1:9" x14ac:dyDescent="0.25">
      <c r="A29" s="9"/>
      <c r="B29" s="9"/>
      <c r="C29" s="9"/>
      <c r="D29" s="72">
        <f>SUM(D25:D27)</f>
        <v>12600</v>
      </c>
      <c r="E29" s="9"/>
      <c r="F29" s="9"/>
      <c r="G29" s="9"/>
      <c r="H29" s="9"/>
      <c r="I29" s="9"/>
    </row>
    <row r="30" spans="1:9" x14ac:dyDescent="0.25">
      <c r="A30" s="100"/>
      <c r="B30" s="97"/>
      <c r="C30" s="121"/>
      <c r="D30" s="72">
        <f>D23-D29</f>
        <v>3400</v>
      </c>
      <c r="E30" s="9"/>
      <c r="F30" s="9"/>
      <c r="G30" s="9"/>
      <c r="H30" s="9"/>
      <c r="I30" s="9"/>
    </row>
    <row r="31" spans="1:9" x14ac:dyDescent="0.25">
      <c r="A31" s="122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18" t="s">
        <v>109</v>
      </c>
      <c r="B32" s="19"/>
      <c r="C32" s="18" t="s">
        <v>93</v>
      </c>
      <c r="D32" s="9"/>
      <c r="E32" s="9"/>
      <c r="F32" s="9"/>
      <c r="G32" s="9"/>
      <c r="H32" s="9"/>
      <c r="I32" s="9"/>
    </row>
    <row r="33" spans="1:12" x14ac:dyDescent="0.25">
      <c r="A33" s="18"/>
      <c r="B33" s="19"/>
      <c r="C33" s="18"/>
      <c r="D33" s="72"/>
      <c r="E33" s="38"/>
      <c r="F33" s="38"/>
      <c r="G33" s="9"/>
      <c r="H33" s="9"/>
      <c r="I33" s="9"/>
    </row>
    <row r="34" spans="1:12" x14ac:dyDescent="0.25">
      <c r="A34" s="9"/>
      <c r="B34" s="9"/>
      <c r="C34" s="9"/>
      <c r="D34" s="72"/>
      <c r="E34" s="9"/>
      <c r="F34" s="9"/>
      <c r="G34" s="9"/>
      <c r="H34" s="9"/>
      <c r="I34" s="9"/>
    </row>
    <row r="35" spans="1:12" x14ac:dyDescent="0.25">
      <c r="A35" s="9"/>
      <c r="B35" s="9"/>
      <c r="C35" s="9"/>
      <c r="D35" s="72"/>
      <c r="E35" s="38"/>
      <c r="F35" s="39"/>
      <c r="G35" s="9"/>
      <c r="H35" s="9"/>
      <c r="I35" s="9"/>
    </row>
    <row r="36" spans="1:12" x14ac:dyDescent="0.25">
      <c r="A36" s="38" t="s">
        <v>24</v>
      </c>
      <c r="B36" s="39"/>
      <c r="C36" s="9" t="s">
        <v>94</v>
      </c>
      <c r="D36" s="72"/>
      <c r="E36" s="9"/>
      <c r="F36" s="9"/>
      <c r="G36" s="9"/>
      <c r="H36" s="9"/>
      <c r="I36" s="9"/>
    </row>
    <row r="37" spans="1:12" x14ac:dyDescent="0.25">
      <c r="A37" s="9"/>
      <c r="B37" s="9"/>
      <c r="C37" s="9"/>
      <c r="D37" s="72"/>
      <c r="E37" s="91"/>
      <c r="F37" s="9"/>
      <c r="G37" s="9"/>
      <c r="H37" s="9"/>
      <c r="I37" s="9"/>
    </row>
    <row r="38" spans="1:12" x14ac:dyDescent="0.25">
      <c r="A38" s="38" t="s">
        <v>173</v>
      </c>
      <c r="B38" s="9"/>
      <c r="C38" s="18"/>
      <c r="D38" s="9"/>
      <c r="E38" s="9"/>
      <c r="F38" s="9"/>
      <c r="G38" s="9"/>
      <c r="H38" s="9"/>
      <c r="I38" s="9"/>
    </row>
    <row r="39" spans="1:12" x14ac:dyDescent="0.25">
      <c r="A39" s="5" t="s">
        <v>92</v>
      </c>
      <c r="B39" s="19"/>
      <c r="C39" s="19"/>
      <c r="D39" s="81" t="s">
        <v>4</v>
      </c>
      <c r="E39" s="81"/>
      <c r="F39" s="19"/>
      <c r="G39" s="9"/>
      <c r="H39" s="9"/>
      <c r="I39" s="9"/>
    </row>
    <row r="40" spans="1:12" x14ac:dyDescent="0.25">
      <c r="A40" s="5"/>
      <c r="B40" s="19"/>
      <c r="C40" s="81" t="s">
        <v>87</v>
      </c>
      <c r="D40" s="81"/>
      <c r="E40" s="19"/>
      <c r="F40" s="19"/>
      <c r="G40" s="9"/>
      <c r="H40" s="9"/>
      <c r="I40" s="9"/>
    </row>
    <row r="41" spans="1:12" x14ac:dyDescent="0.25">
      <c r="A41" s="24"/>
      <c r="B41" s="79"/>
      <c r="C41" s="82" t="s">
        <v>88</v>
      </c>
      <c r="D41" s="80"/>
      <c r="E41" s="80"/>
      <c r="F41" s="79"/>
      <c r="G41" s="9"/>
      <c r="H41" s="9"/>
      <c r="I41" s="9"/>
    </row>
    <row r="42" spans="1:12" x14ac:dyDescent="0.25">
      <c r="A42" s="4"/>
      <c r="B42" s="5"/>
      <c r="C42" s="6" t="s">
        <v>5</v>
      </c>
      <c r="D42" s="6"/>
      <c r="E42" s="5"/>
      <c r="F42" s="4"/>
      <c r="G42" s="9"/>
      <c r="H42" s="9"/>
      <c r="I42" s="9"/>
    </row>
    <row r="43" spans="1:12" ht="23.25" x14ac:dyDescent="0.35">
      <c r="A43" s="4"/>
      <c r="B43" s="172" t="s">
        <v>97</v>
      </c>
      <c r="C43" s="172"/>
      <c r="D43" s="172"/>
      <c r="E43" s="172"/>
      <c r="F43" s="172"/>
      <c r="G43" s="172"/>
      <c r="H43" s="9"/>
      <c r="I43" s="9"/>
    </row>
    <row r="44" spans="1:12" x14ac:dyDescent="0.25">
      <c r="A44" s="9"/>
      <c r="B44" s="9"/>
      <c r="C44" s="95"/>
      <c r="D44" s="95"/>
      <c r="E44" s="96" t="s">
        <v>349</v>
      </c>
      <c r="F44" s="95"/>
      <c r="G44" s="95"/>
      <c r="H44" s="9"/>
      <c r="I44" s="9"/>
    </row>
    <row r="45" spans="1:12" x14ac:dyDescent="0.25">
      <c r="A45" s="12" t="s">
        <v>0</v>
      </c>
      <c r="B45" s="12" t="s">
        <v>32</v>
      </c>
      <c r="C45" s="12" t="s">
        <v>52</v>
      </c>
      <c r="D45" s="22" t="s">
        <v>55</v>
      </c>
      <c r="E45" s="21" t="s">
        <v>1</v>
      </c>
      <c r="F45" s="22" t="s">
        <v>10</v>
      </c>
      <c r="G45" s="21" t="s">
        <v>3</v>
      </c>
      <c r="H45" s="13" t="s">
        <v>13</v>
      </c>
      <c r="I45" s="9"/>
      <c r="J45" s="44"/>
      <c r="K45" s="173" t="s">
        <v>375</v>
      </c>
      <c r="L45" s="44"/>
    </row>
    <row r="46" spans="1:12" x14ac:dyDescent="0.25">
      <c r="A46" s="43"/>
      <c r="B46" s="10"/>
      <c r="C46" s="43"/>
      <c r="D46" s="43"/>
      <c r="E46" s="47"/>
      <c r="F46" s="47"/>
      <c r="G46" s="47"/>
      <c r="H46" s="43"/>
      <c r="I46" s="9"/>
      <c r="J46" s="44">
        <v>2</v>
      </c>
      <c r="K46" s="44"/>
      <c r="L46" s="44"/>
    </row>
    <row r="47" spans="1:12" x14ac:dyDescent="0.25">
      <c r="A47" s="88" t="s">
        <v>297</v>
      </c>
      <c r="B47" s="3"/>
      <c r="C47" s="44"/>
      <c r="D47" s="2">
        <v>2500</v>
      </c>
      <c r="E47" s="46">
        <v>3000</v>
      </c>
      <c r="F47" s="46">
        <f>D47+E47</f>
        <v>5500</v>
      </c>
      <c r="G47" s="53">
        <v>3000</v>
      </c>
      <c r="H47" s="105">
        <f>F47-G47</f>
        <v>2500</v>
      </c>
      <c r="I47" s="9"/>
      <c r="J47" s="44">
        <v>5</v>
      </c>
      <c r="K47" s="44" t="s">
        <v>297</v>
      </c>
      <c r="L47" s="44">
        <v>2500</v>
      </c>
    </row>
    <row r="48" spans="1:12" x14ac:dyDescent="0.25">
      <c r="A48" s="88" t="s">
        <v>103</v>
      </c>
      <c r="B48" s="45" t="s">
        <v>101</v>
      </c>
      <c r="C48" s="44"/>
      <c r="D48" s="43"/>
      <c r="E48" s="46">
        <v>4500</v>
      </c>
      <c r="F48" s="46">
        <f t="shared" ref="F48:F58" si="2">D48+E48</f>
        <v>4500</v>
      </c>
      <c r="G48" s="53">
        <v>4500</v>
      </c>
      <c r="H48" s="105">
        <f t="shared" ref="H48:H58" si="3">F48-G48</f>
        <v>0</v>
      </c>
      <c r="I48" s="9"/>
      <c r="J48" s="44">
        <v>6</v>
      </c>
      <c r="K48" s="44" t="s">
        <v>319</v>
      </c>
      <c r="L48" s="44"/>
    </row>
    <row r="49" spans="1:12" x14ac:dyDescent="0.25">
      <c r="A49" s="88" t="s">
        <v>104</v>
      </c>
      <c r="B49" s="43" t="s">
        <v>102</v>
      </c>
      <c r="C49" s="44"/>
      <c r="D49" s="43"/>
      <c r="E49" s="46">
        <v>5000</v>
      </c>
      <c r="F49" s="46">
        <f>D49+E49</f>
        <v>5000</v>
      </c>
      <c r="G49" s="53">
        <v>5000</v>
      </c>
      <c r="H49" s="105">
        <f t="shared" si="3"/>
        <v>0</v>
      </c>
      <c r="I49" s="9"/>
      <c r="L49">
        <f>SUM(L47:L48)</f>
        <v>2500</v>
      </c>
    </row>
    <row r="50" spans="1:12" x14ac:dyDescent="0.25">
      <c r="A50" s="43" t="s">
        <v>211</v>
      </c>
      <c r="B50" s="3"/>
      <c r="C50" s="44"/>
      <c r="D50" s="44">
        <v>9500</v>
      </c>
      <c r="E50" s="46">
        <v>1500</v>
      </c>
      <c r="F50" s="46">
        <f t="shared" si="2"/>
        <v>11000</v>
      </c>
      <c r="G50" s="53"/>
      <c r="H50" s="105">
        <f t="shared" si="3"/>
        <v>11000</v>
      </c>
      <c r="I50" s="9"/>
    </row>
    <row r="51" spans="1:12" x14ac:dyDescent="0.25">
      <c r="A51" s="43" t="s">
        <v>377</v>
      </c>
      <c r="B51" s="3"/>
      <c r="C51" s="44"/>
      <c r="D51" s="44"/>
      <c r="E51" s="46">
        <v>1500</v>
      </c>
      <c r="F51" s="46">
        <f t="shared" si="2"/>
        <v>1500</v>
      </c>
      <c r="G51" s="53">
        <v>1500</v>
      </c>
      <c r="H51" s="105">
        <f t="shared" si="3"/>
        <v>0</v>
      </c>
      <c r="I51" s="9"/>
    </row>
    <row r="52" spans="1:12" x14ac:dyDescent="0.25">
      <c r="A52" s="43" t="s">
        <v>131</v>
      </c>
      <c r="B52" s="3"/>
      <c r="C52" s="44"/>
      <c r="D52" s="44"/>
      <c r="E52" s="73"/>
      <c r="F52" s="46">
        <f t="shared" si="2"/>
        <v>0</v>
      </c>
      <c r="G52" s="132"/>
      <c r="H52" s="105">
        <f t="shared" si="3"/>
        <v>0</v>
      </c>
      <c r="I52" s="9"/>
    </row>
    <row r="53" spans="1:12" x14ac:dyDescent="0.25">
      <c r="A53" s="47" t="s">
        <v>238</v>
      </c>
      <c r="B53" s="16"/>
      <c r="C53" s="48"/>
      <c r="D53" s="46">
        <v>3000</v>
      </c>
      <c r="E53" s="46">
        <v>3000</v>
      </c>
      <c r="F53" s="46">
        <f t="shared" si="2"/>
        <v>6000</v>
      </c>
      <c r="G53" s="53"/>
      <c r="H53" s="105">
        <f t="shared" si="3"/>
        <v>6000</v>
      </c>
      <c r="I53" s="9"/>
    </row>
    <row r="54" spans="1:12" x14ac:dyDescent="0.25">
      <c r="A54" s="44" t="s">
        <v>344</v>
      </c>
      <c r="B54" s="44"/>
      <c r="C54" s="44"/>
      <c r="D54" s="44"/>
      <c r="E54" s="44">
        <v>3000</v>
      </c>
      <c r="F54" s="46">
        <f t="shared" si="2"/>
        <v>3000</v>
      </c>
      <c r="G54" s="113">
        <v>3000</v>
      </c>
      <c r="H54" s="105">
        <f t="shared" si="3"/>
        <v>0</v>
      </c>
      <c r="I54" s="9" t="s">
        <v>107</v>
      </c>
    </row>
    <row r="55" spans="1:12" x14ac:dyDescent="0.25">
      <c r="A55" s="88" t="s">
        <v>296</v>
      </c>
      <c r="B55" s="44"/>
      <c r="C55" s="44"/>
      <c r="D55" s="44"/>
      <c r="E55" s="115"/>
      <c r="F55" s="46"/>
      <c r="G55" s="134"/>
      <c r="H55" s="105">
        <f t="shared" si="3"/>
        <v>0</v>
      </c>
      <c r="I55" s="9"/>
    </row>
    <row r="56" spans="1:12" x14ac:dyDescent="0.25">
      <c r="A56" s="88"/>
      <c r="B56" s="44"/>
      <c r="C56" s="44"/>
      <c r="D56" s="44"/>
      <c r="E56" s="115"/>
      <c r="F56" s="46"/>
      <c r="G56" s="134"/>
      <c r="H56" s="105">
        <f t="shared" si="3"/>
        <v>0</v>
      </c>
      <c r="I56" s="9"/>
    </row>
    <row r="57" spans="1:12" x14ac:dyDescent="0.25">
      <c r="A57" s="88" t="s">
        <v>288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  <c r="I57" s="9" t="s">
        <v>376</v>
      </c>
    </row>
    <row r="58" spans="1:12" x14ac:dyDescent="0.25">
      <c r="A58" s="88" t="s">
        <v>289</v>
      </c>
      <c r="B58" s="44"/>
      <c r="C58" s="44"/>
      <c r="D58" s="44"/>
      <c r="E58" s="115">
        <v>1500</v>
      </c>
      <c r="F58" s="46">
        <f t="shared" si="2"/>
        <v>1500</v>
      </c>
      <c r="G58" s="134">
        <v>1500</v>
      </c>
      <c r="H58" s="105">
        <f t="shared" si="3"/>
        <v>0</v>
      </c>
      <c r="I58" s="9"/>
    </row>
    <row r="59" spans="1:12" x14ac:dyDescent="0.25">
      <c r="A59" s="44"/>
      <c r="B59" s="44"/>
      <c r="C59" s="44"/>
      <c r="D59" s="44">
        <f>SUM(D46:D58)</f>
        <v>15000</v>
      </c>
      <c r="E59" s="105">
        <f>SUM(E46:E58)</f>
        <v>24500</v>
      </c>
      <c r="F59" s="105">
        <f>SUM(F47:F58)</f>
        <v>39500</v>
      </c>
      <c r="G59" s="105">
        <f>SUM(G47:G58)</f>
        <v>20000</v>
      </c>
      <c r="H59" s="105">
        <f>SUM(H47:H58)</f>
        <v>19500</v>
      </c>
      <c r="I59" s="9"/>
    </row>
    <row r="60" spans="1:12" x14ac:dyDescent="0.25">
      <c r="A60" s="100" t="s">
        <v>60</v>
      </c>
      <c r="B60" s="101"/>
      <c r="C60" s="97"/>
      <c r="D60" s="102">
        <f>E59</f>
        <v>24500</v>
      </c>
      <c r="E60" s="100" t="s">
        <v>60</v>
      </c>
      <c r="F60" s="101"/>
      <c r="G60" s="97"/>
      <c r="H60" s="102">
        <f>G59</f>
        <v>20000</v>
      </c>
      <c r="I60" s="9"/>
    </row>
    <row r="61" spans="1:12" x14ac:dyDescent="0.25">
      <c r="A61" s="103" t="s">
        <v>347</v>
      </c>
      <c r="B61" s="101"/>
      <c r="C61" s="97"/>
      <c r="D61" s="104">
        <v>500</v>
      </c>
      <c r="E61" s="103" t="s">
        <v>347</v>
      </c>
      <c r="F61" s="101"/>
      <c r="G61" s="97"/>
      <c r="H61" s="104">
        <v>3000</v>
      </c>
      <c r="I61" s="9"/>
    </row>
    <row r="62" spans="1:12" x14ac:dyDescent="0.25">
      <c r="A62" s="103"/>
      <c r="B62" s="101"/>
      <c r="C62" s="97"/>
      <c r="D62" s="104">
        <f>SUM(D60:D61)</f>
        <v>25000</v>
      </c>
      <c r="E62" s="103"/>
      <c r="F62" s="101"/>
      <c r="G62" s="97"/>
      <c r="H62" s="104">
        <f>SUM(H60:H61)</f>
        <v>23000</v>
      </c>
      <c r="I62" s="9"/>
    </row>
    <row r="63" spans="1:12" x14ac:dyDescent="0.25">
      <c r="A63" s="67" t="s">
        <v>58</v>
      </c>
      <c r="B63" s="9"/>
      <c r="C63" s="9"/>
      <c r="D63" s="9"/>
      <c r="E63" s="67" t="s">
        <v>58</v>
      </c>
      <c r="F63" s="9"/>
      <c r="G63" s="9"/>
      <c r="H63" s="9"/>
      <c r="I63" s="9"/>
    </row>
    <row r="64" spans="1:12" x14ac:dyDescent="0.25">
      <c r="A64" s="36" t="s">
        <v>22</v>
      </c>
      <c r="B64" s="146">
        <v>0.1</v>
      </c>
      <c r="C64" s="9"/>
      <c r="D64" s="34">
        <f>D62*B64</f>
        <v>2500</v>
      </c>
      <c r="E64" s="36" t="s">
        <v>22</v>
      </c>
      <c r="F64" s="146">
        <v>0.1</v>
      </c>
      <c r="G64" s="9"/>
      <c r="H64" s="34">
        <f>H62*F64</f>
        <v>2300</v>
      </c>
      <c r="I64" s="9"/>
    </row>
    <row r="65" spans="1:9" x14ac:dyDescent="0.25">
      <c r="A65" s="36" t="s">
        <v>358</v>
      </c>
      <c r="B65" s="9"/>
      <c r="C65" s="9"/>
      <c r="D65" s="72">
        <v>8100</v>
      </c>
      <c r="E65" s="36" t="s">
        <v>180</v>
      </c>
      <c r="F65" s="9"/>
      <c r="G65" s="9"/>
      <c r="H65" s="72">
        <v>10000</v>
      </c>
      <c r="I65" s="9"/>
    </row>
    <row r="66" spans="1:9" x14ac:dyDescent="0.25">
      <c r="A66" s="36" t="s">
        <v>360</v>
      </c>
      <c r="B66" s="9"/>
      <c r="C66" s="9"/>
      <c r="D66" s="72">
        <v>1000</v>
      </c>
      <c r="E66" s="36" t="s">
        <v>378</v>
      </c>
      <c r="F66" s="9"/>
      <c r="G66" s="9"/>
      <c r="H66">
        <v>4500</v>
      </c>
      <c r="I66" s="9"/>
    </row>
    <row r="67" spans="1:9" x14ac:dyDescent="0.25">
      <c r="A67" s="36" t="s">
        <v>361</v>
      </c>
      <c r="B67" s="9"/>
      <c r="C67" s="9"/>
      <c r="D67" s="72">
        <v>5000</v>
      </c>
      <c r="E67" s="36"/>
      <c r="F67" s="9"/>
      <c r="G67" s="9"/>
      <c r="H67" s="72">
        <f>SUM(H64:H66)</f>
        <v>16800</v>
      </c>
      <c r="I67" s="72">
        <f>H65+H66</f>
        <v>14500</v>
      </c>
    </row>
    <row r="68" spans="1:9" x14ac:dyDescent="0.25">
      <c r="A68" s="36"/>
      <c r="B68" s="9"/>
      <c r="C68" s="9"/>
      <c r="D68" s="72">
        <f>SUM(D64:D67)</f>
        <v>16600</v>
      </c>
      <c r="E68" s="36"/>
      <c r="F68" s="9"/>
      <c r="G68" s="9"/>
      <c r="H68" s="72"/>
      <c r="I68" s="9"/>
    </row>
    <row r="69" spans="1:9" x14ac:dyDescent="0.25">
      <c r="A69" s="36" t="s">
        <v>355</v>
      </c>
      <c r="B69" s="9"/>
      <c r="C69" s="9"/>
      <c r="D69" s="135">
        <f>D62-D68</f>
        <v>8400</v>
      </c>
      <c r="E69" s="9"/>
      <c r="F69" s="9"/>
      <c r="G69" s="9"/>
      <c r="H69" s="135">
        <f>H62-H67</f>
        <v>6200</v>
      </c>
      <c r="I69" s="9"/>
    </row>
    <row r="70" spans="1:9" x14ac:dyDescent="0.25">
      <c r="A70" s="9"/>
      <c r="B70" s="9"/>
      <c r="C70" s="86"/>
      <c r="D70" s="72"/>
      <c r="E70" s="38" t="s">
        <v>24</v>
      </c>
      <c r="F70" s="39"/>
      <c r="G70" s="9"/>
      <c r="H70" s="9"/>
      <c r="I70" s="9"/>
    </row>
    <row r="71" spans="1:9" x14ac:dyDescent="0.25">
      <c r="A71" s="36"/>
      <c r="B71" s="9"/>
      <c r="C71" s="9"/>
      <c r="D71" s="72"/>
      <c r="E71" s="9"/>
      <c r="F71" s="9"/>
      <c r="G71" s="9"/>
      <c r="H71" s="9"/>
      <c r="I71" s="9"/>
    </row>
    <row r="72" spans="1:9" x14ac:dyDescent="0.25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  <c r="I73" s="9"/>
    </row>
    <row r="74" spans="1:9" x14ac:dyDescent="0.25">
      <c r="A74" s="5"/>
      <c r="B74" s="19"/>
      <c r="C74" s="81" t="s">
        <v>87</v>
      </c>
      <c r="D74" s="81"/>
      <c r="E74" s="19"/>
      <c r="F74" s="19"/>
      <c r="G74" s="9"/>
      <c r="H74" s="9"/>
      <c r="I74" s="9"/>
    </row>
    <row r="75" spans="1:9" x14ac:dyDescent="0.25">
      <c r="A75" s="24"/>
      <c r="B75" s="79"/>
      <c r="C75" s="82" t="s">
        <v>88</v>
      </c>
      <c r="D75" s="80"/>
      <c r="E75" s="80"/>
      <c r="F75" s="79"/>
      <c r="G75" s="9"/>
      <c r="H75" s="9"/>
      <c r="I75" s="9"/>
    </row>
    <row r="76" spans="1:9" x14ac:dyDescent="0.25">
      <c r="A76" s="4"/>
      <c r="B76" s="5"/>
      <c r="C76" s="6" t="s">
        <v>5</v>
      </c>
      <c r="D76" s="6"/>
      <c r="E76" s="5"/>
      <c r="F76" s="4"/>
      <c r="G76" s="9"/>
      <c r="H76" s="9"/>
      <c r="I76" s="9"/>
    </row>
    <row r="77" spans="1:9" ht="15.75" x14ac:dyDescent="0.25">
      <c r="A77" s="9"/>
      <c r="B77" s="4"/>
      <c r="C77" s="52"/>
      <c r="D77" s="4" t="s">
        <v>171</v>
      </c>
      <c r="E77" s="4"/>
      <c r="F77" s="4"/>
      <c r="G77" s="5"/>
      <c r="H77" s="9"/>
      <c r="I77" s="9"/>
    </row>
    <row r="78" spans="1:9" x14ac:dyDescent="0.25">
      <c r="A78" s="9"/>
      <c r="B78" s="95"/>
      <c r="C78" s="95"/>
      <c r="D78" s="96" t="s">
        <v>350</v>
      </c>
      <c r="E78" s="95"/>
      <c r="F78" s="95"/>
      <c r="G78" s="95"/>
      <c r="H78" s="9"/>
      <c r="I78" s="9"/>
    </row>
    <row r="79" spans="1:9" x14ac:dyDescent="0.25">
      <c r="A79" s="12" t="s">
        <v>0</v>
      </c>
      <c r="B79" s="12" t="s">
        <v>32</v>
      </c>
      <c r="C79" s="22" t="s">
        <v>55</v>
      </c>
      <c r="D79" s="21" t="s">
        <v>1</v>
      </c>
      <c r="E79" s="44" t="s">
        <v>164</v>
      </c>
      <c r="F79" s="21" t="s">
        <v>3</v>
      </c>
      <c r="G79" s="106" t="s">
        <v>165</v>
      </c>
      <c r="H79" s="44"/>
      <c r="I79" s="9"/>
    </row>
    <row r="80" spans="1:9" x14ac:dyDescent="0.25">
      <c r="A80" s="43" t="s">
        <v>166</v>
      </c>
      <c r="B80" s="3"/>
      <c r="C80" s="2"/>
      <c r="D80" s="46">
        <v>3500</v>
      </c>
      <c r="E80" s="105">
        <f>C80+D80</f>
        <v>3500</v>
      </c>
      <c r="F80" s="44"/>
      <c r="G80" s="107">
        <f>E80-F80</f>
        <v>3500</v>
      </c>
      <c r="H80" s="44"/>
      <c r="I80" s="9"/>
    </row>
    <row r="81" spans="1:9" x14ac:dyDescent="0.25">
      <c r="A81" s="43" t="s">
        <v>208</v>
      </c>
      <c r="B81" s="3"/>
      <c r="C81" s="44">
        <v>1500</v>
      </c>
      <c r="D81" s="46">
        <v>3500</v>
      </c>
      <c r="E81" s="105">
        <f>C81+D81</f>
        <v>5000</v>
      </c>
      <c r="F81" s="44">
        <v>3500</v>
      </c>
      <c r="G81" s="107">
        <f>E81-F81</f>
        <v>1500</v>
      </c>
      <c r="H81" s="44"/>
      <c r="I81" s="9"/>
    </row>
    <row r="82" spans="1:9" x14ac:dyDescent="0.25">
      <c r="A82" s="43" t="s">
        <v>168</v>
      </c>
      <c r="B82" s="69"/>
      <c r="C82" s="108"/>
      <c r="D82" s="47">
        <v>3500</v>
      </c>
      <c r="E82" s="105">
        <f>C82+D82</f>
        <v>3500</v>
      </c>
      <c r="F82" s="44">
        <v>2000</v>
      </c>
      <c r="G82" s="107"/>
      <c r="H82" s="44"/>
      <c r="I82" s="9"/>
    </row>
    <row r="83" spans="1:9" x14ac:dyDescent="0.25">
      <c r="A83" s="43" t="s">
        <v>346</v>
      </c>
      <c r="B83" s="3"/>
      <c r="C83" s="109"/>
      <c r="D83" s="46">
        <v>3500</v>
      </c>
      <c r="E83" s="105"/>
      <c r="F83" s="44">
        <v>3500</v>
      </c>
      <c r="G83" s="107"/>
      <c r="H83" s="44"/>
      <c r="I83" s="9"/>
    </row>
    <row r="84" spans="1:9" x14ac:dyDescent="0.25">
      <c r="A84" s="45"/>
      <c r="B84" s="3"/>
      <c r="C84" s="43"/>
      <c r="D84" s="46"/>
      <c r="E84" s="105">
        <f>C84+D84</f>
        <v>0</v>
      </c>
      <c r="F84" s="44"/>
      <c r="G84" s="107">
        <f>E84-F84</f>
        <v>0</v>
      </c>
      <c r="H84" s="44"/>
      <c r="I84" s="9"/>
    </row>
    <row r="85" spans="1:9" x14ac:dyDescent="0.25">
      <c r="A85" s="110" t="s">
        <v>2</v>
      </c>
      <c r="B85" s="111"/>
      <c r="C85" s="110">
        <f>SUM(C80:C84)</f>
        <v>1500</v>
      </c>
      <c r="D85" s="53">
        <f>SUM(D80:D84)</f>
        <v>14000</v>
      </c>
      <c r="E85" s="112">
        <f>SUM(E80:E84)</f>
        <v>12000</v>
      </c>
      <c r="F85" s="113">
        <f>SUM(F80:F84)</f>
        <v>9000</v>
      </c>
      <c r="G85" s="114">
        <f>SUM(G80:G84)</f>
        <v>5000</v>
      </c>
      <c r="H85" s="44"/>
      <c r="I85" s="9"/>
    </row>
    <row r="86" spans="1:9" x14ac:dyDescent="0.25">
      <c r="A86" s="43"/>
      <c r="B86" s="3"/>
      <c r="C86" s="44"/>
      <c r="D86" s="46"/>
      <c r="E86" s="44"/>
      <c r="F86" s="9"/>
      <c r="G86" s="9"/>
      <c r="H86" s="9"/>
      <c r="I86" s="9"/>
    </row>
    <row r="87" spans="1:9" x14ac:dyDescent="0.25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5">
      <c r="A88" s="100" t="s">
        <v>60</v>
      </c>
      <c r="B88" s="101"/>
      <c r="C88" s="97"/>
      <c r="D88" s="102">
        <f>D85</f>
        <v>14000</v>
      </c>
      <c r="E88" s="9"/>
      <c r="F88" s="9"/>
      <c r="G88" s="9">
        <f>F85</f>
        <v>9000</v>
      </c>
      <c r="H88" s="9"/>
      <c r="I88" s="9"/>
    </row>
    <row r="89" spans="1:9" x14ac:dyDescent="0.25">
      <c r="A89" s="103"/>
      <c r="B89" s="101"/>
      <c r="C89" s="97"/>
      <c r="D89" s="104"/>
      <c r="E89" s="51"/>
      <c r="F89" s="9"/>
      <c r="G89" s="9"/>
      <c r="H89" s="9"/>
      <c r="I89" s="9"/>
    </row>
    <row r="90" spans="1:9" x14ac:dyDescent="0.25">
      <c r="A90" s="9" t="s">
        <v>196</v>
      </c>
      <c r="B90" s="9"/>
      <c r="C90" s="83">
        <v>0.1</v>
      </c>
      <c r="D90" s="9"/>
      <c r="E90" s="9"/>
      <c r="F90" s="9"/>
      <c r="G90" s="9"/>
      <c r="H90" s="9"/>
      <c r="I90" s="9"/>
    </row>
    <row r="91" spans="1:9" x14ac:dyDescent="0.25">
      <c r="A91" s="36" t="s">
        <v>22</v>
      </c>
      <c r="B91" s="17"/>
      <c r="C91" s="9"/>
      <c r="D91" s="34">
        <f>C90*D88</f>
        <v>1400</v>
      </c>
      <c r="E91" s="9"/>
      <c r="F91" s="83">
        <v>0.1</v>
      </c>
      <c r="G91" s="9">
        <f>F91*G88</f>
        <v>900</v>
      </c>
      <c r="H91" s="9"/>
      <c r="I91" s="9"/>
    </row>
    <row r="92" spans="1:9" x14ac:dyDescent="0.25">
      <c r="A92" s="36" t="s">
        <v>172</v>
      </c>
      <c r="B92" s="9"/>
      <c r="C92" s="9"/>
      <c r="D92" s="133">
        <v>3150</v>
      </c>
      <c r="E92" s="9"/>
      <c r="F92" s="9" t="s">
        <v>227</v>
      </c>
      <c r="G92" s="133">
        <v>3150</v>
      </c>
      <c r="H92" s="9"/>
      <c r="I92" s="9"/>
    </row>
    <row r="93" spans="1:9" x14ac:dyDescent="0.25">
      <c r="A93" s="9" t="s">
        <v>362</v>
      </c>
      <c r="B93" s="9"/>
      <c r="C93" s="9"/>
      <c r="D93" s="72">
        <v>3150</v>
      </c>
      <c r="E93" s="72"/>
      <c r="F93" s="9"/>
      <c r="G93" s="72">
        <v>3150</v>
      </c>
      <c r="H93" s="9"/>
      <c r="I93" s="9"/>
    </row>
    <row r="94" spans="1:9" x14ac:dyDescent="0.25">
      <c r="A94" s="122"/>
      <c r="B94" s="97"/>
      <c r="C94" s="97"/>
      <c r="D94" s="121">
        <f>SUM(D91:D93)</f>
        <v>7700</v>
      </c>
      <c r="E94" s="9"/>
      <c r="F94" s="9"/>
      <c r="G94" s="133">
        <f>SUM(G91:G93)</f>
        <v>7200</v>
      </c>
      <c r="H94" s="9"/>
      <c r="I94" s="9"/>
    </row>
    <row r="95" spans="1:9" x14ac:dyDescent="0.25">
      <c r="A95" s="9"/>
      <c r="B95" s="9"/>
      <c r="C95" s="9"/>
      <c r="D95" s="72">
        <f>D88-D94</f>
        <v>6300</v>
      </c>
      <c r="E95" s="91"/>
      <c r="F95" s="9"/>
      <c r="G95" s="133">
        <f>G88-G94</f>
        <v>1800</v>
      </c>
      <c r="H95" s="9"/>
      <c r="I95" s="9"/>
    </row>
    <row r="96" spans="1:9" x14ac:dyDescent="0.25">
      <c r="A96" s="9"/>
      <c r="B96" s="9"/>
      <c r="C96" s="9"/>
      <c r="D96" s="9"/>
      <c r="E96" s="91"/>
      <c r="F96" s="9"/>
      <c r="G96" s="9"/>
      <c r="H96" s="9"/>
      <c r="I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</row>
    <row r="98" spans="1:11" x14ac:dyDescent="0.25">
      <c r="A98" s="5" t="s">
        <v>92</v>
      </c>
      <c r="B98" s="19"/>
      <c r="C98" s="19"/>
      <c r="D98" s="81" t="s">
        <v>4</v>
      </c>
      <c r="E98" s="81"/>
      <c r="F98" s="19"/>
      <c r="G98" s="9"/>
      <c r="H98" s="9"/>
      <c r="I98" s="9"/>
    </row>
    <row r="99" spans="1:11" x14ac:dyDescent="0.25">
      <c r="A99" s="5"/>
      <c r="B99" s="19"/>
      <c r="C99" s="81" t="s">
        <v>87</v>
      </c>
      <c r="D99" s="81"/>
      <c r="E99" s="19"/>
      <c r="F99" s="19"/>
      <c r="G99" s="9"/>
      <c r="H99" s="9"/>
      <c r="I99" s="9"/>
    </row>
    <row r="100" spans="1:11" x14ac:dyDescent="0.25">
      <c r="A100" s="24"/>
      <c r="B100" s="79"/>
      <c r="C100" s="82" t="s">
        <v>88</v>
      </c>
      <c r="D100" s="80"/>
      <c r="E100" s="80"/>
      <c r="F100" s="79"/>
      <c r="G100" s="9"/>
      <c r="H100" s="9"/>
      <c r="I100" s="9"/>
    </row>
    <row r="101" spans="1:11" x14ac:dyDescent="0.25">
      <c r="A101" s="4"/>
      <c r="B101" s="5"/>
      <c r="C101" s="6" t="s">
        <v>5</v>
      </c>
      <c r="D101" s="6"/>
      <c r="E101" s="5"/>
      <c r="F101" s="4"/>
      <c r="G101" s="9"/>
      <c r="H101" s="9"/>
      <c r="I101" s="9"/>
    </row>
    <row r="102" spans="1:11" ht="23.25" x14ac:dyDescent="0.35">
      <c r="A102" s="4"/>
      <c r="B102" s="52" t="s">
        <v>97</v>
      </c>
      <c r="C102" s="4"/>
      <c r="D102" s="172" t="s">
        <v>292</v>
      </c>
      <c r="E102" s="172"/>
      <c r="F102" s="172"/>
      <c r="G102" s="9"/>
      <c r="H102" s="9"/>
      <c r="I102" s="9"/>
    </row>
    <row r="103" spans="1:11" x14ac:dyDescent="0.25">
      <c r="A103" s="9"/>
      <c r="B103" s="9"/>
      <c r="C103" s="95"/>
      <c r="D103" s="95"/>
      <c r="E103" s="96" t="s">
        <v>349</v>
      </c>
      <c r="F103" s="95"/>
      <c r="G103" s="95"/>
      <c r="H103" s="9"/>
      <c r="I103" s="9"/>
    </row>
    <row r="104" spans="1:11" x14ac:dyDescent="0.25">
      <c r="A104" s="12" t="s">
        <v>0</v>
      </c>
      <c r="B104" s="12" t="s">
        <v>32</v>
      </c>
      <c r="C104" s="12" t="s">
        <v>52</v>
      </c>
      <c r="D104" s="22" t="s">
        <v>55</v>
      </c>
      <c r="E104" s="21" t="s">
        <v>1</v>
      </c>
      <c r="F104" s="22" t="s">
        <v>10</v>
      </c>
      <c r="G104" s="21" t="s">
        <v>3</v>
      </c>
      <c r="H104" s="13" t="s">
        <v>13</v>
      </c>
      <c r="I104" s="9"/>
      <c r="J104" s="173" t="s">
        <v>373</v>
      </c>
      <c r="K104" s="44"/>
    </row>
    <row r="105" spans="1:11" x14ac:dyDescent="0.25">
      <c r="A105" s="43" t="s">
        <v>317</v>
      </c>
      <c r="B105" s="120">
        <v>1</v>
      </c>
      <c r="C105" s="116"/>
      <c r="D105" s="43"/>
      <c r="E105" s="47">
        <v>4500</v>
      </c>
      <c r="F105" s="47">
        <f>D105+E105</f>
        <v>4500</v>
      </c>
      <c r="G105" s="149">
        <v>4500</v>
      </c>
      <c r="H105" s="129">
        <f>F105-G105</f>
        <v>0</v>
      </c>
      <c r="I105" s="9"/>
      <c r="J105" s="44" t="s">
        <v>247</v>
      </c>
      <c r="K105" s="44">
        <v>4500</v>
      </c>
    </row>
    <row r="106" spans="1:11" x14ac:dyDescent="0.25">
      <c r="A106" s="88" t="s">
        <v>240</v>
      </c>
      <c r="B106" s="120">
        <v>2</v>
      </c>
      <c r="C106" s="117"/>
      <c r="D106" s="2"/>
      <c r="E106" s="46">
        <v>4500</v>
      </c>
      <c r="F106" s="47">
        <f t="shared" ref="F106:F123" si="4">D106+E106</f>
        <v>4500</v>
      </c>
      <c r="G106" s="56">
        <v>4500</v>
      </c>
      <c r="H106" s="129">
        <f t="shared" ref="H106:H122" si="5">F106-G106</f>
        <v>0</v>
      </c>
      <c r="I106" s="9"/>
      <c r="J106" s="44" t="s">
        <v>374</v>
      </c>
      <c r="K106" s="44">
        <v>1500</v>
      </c>
    </row>
    <row r="107" spans="1:11" x14ac:dyDescent="0.25">
      <c r="A107" s="88" t="s">
        <v>241</v>
      </c>
      <c r="B107" s="120">
        <v>3</v>
      </c>
      <c r="C107" s="117"/>
      <c r="D107" s="43"/>
      <c r="E107" s="46">
        <v>4500</v>
      </c>
      <c r="F107" s="47">
        <f t="shared" si="4"/>
        <v>4500</v>
      </c>
      <c r="G107" s="56">
        <v>4500</v>
      </c>
      <c r="H107" s="129">
        <f t="shared" si="5"/>
        <v>0</v>
      </c>
      <c r="I107" s="9"/>
      <c r="K107">
        <f>SUM(K105:K106)</f>
        <v>6000</v>
      </c>
    </row>
    <row r="108" spans="1:11" x14ac:dyDescent="0.25">
      <c r="A108" s="88" t="s">
        <v>242</v>
      </c>
      <c r="B108" s="120">
        <v>4</v>
      </c>
      <c r="C108" s="117"/>
      <c r="D108" s="43"/>
      <c r="E108" s="46">
        <v>2500</v>
      </c>
      <c r="F108" s="47">
        <f t="shared" si="4"/>
        <v>2500</v>
      </c>
      <c r="G108" s="56">
        <v>2500</v>
      </c>
      <c r="H108" s="129">
        <f t="shared" si="5"/>
        <v>0</v>
      </c>
      <c r="I108" s="9"/>
    </row>
    <row r="109" spans="1:11" x14ac:dyDescent="0.25">
      <c r="A109" s="43" t="s">
        <v>243</v>
      </c>
      <c r="B109" s="120">
        <v>5</v>
      </c>
      <c r="C109" s="117"/>
      <c r="D109" s="44">
        <v>500</v>
      </c>
      <c r="E109" s="46">
        <v>2500</v>
      </c>
      <c r="F109" s="47">
        <f t="shared" si="4"/>
        <v>3000</v>
      </c>
      <c r="G109" s="46">
        <v>3000</v>
      </c>
      <c r="H109" s="129">
        <f t="shared" si="5"/>
        <v>0</v>
      </c>
      <c r="I109" s="9"/>
    </row>
    <row r="110" spans="1:11" x14ac:dyDescent="0.25">
      <c r="A110" s="43" t="s">
        <v>386</v>
      </c>
      <c r="B110" s="120">
        <v>6</v>
      </c>
      <c r="C110" s="117"/>
      <c r="D110" s="44"/>
      <c r="E110" s="46">
        <v>2500</v>
      </c>
      <c r="F110" s="47">
        <f t="shared" si="4"/>
        <v>2500</v>
      </c>
      <c r="G110" s="46">
        <v>1500</v>
      </c>
      <c r="H110" s="129">
        <f t="shared" si="5"/>
        <v>1000</v>
      </c>
      <c r="I110" s="9"/>
    </row>
    <row r="111" spans="1:11" x14ac:dyDescent="0.25">
      <c r="A111" s="43" t="s">
        <v>245</v>
      </c>
      <c r="B111" s="120">
        <v>7</v>
      </c>
      <c r="C111" s="117"/>
      <c r="D111" s="44"/>
      <c r="E111" s="73">
        <v>2500</v>
      </c>
      <c r="F111" s="47">
        <f t="shared" si="4"/>
        <v>2500</v>
      </c>
      <c r="G111" s="68">
        <v>2500</v>
      </c>
      <c r="H111" s="129">
        <f t="shared" si="5"/>
        <v>0</v>
      </c>
      <c r="I111" s="9"/>
    </row>
    <row r="112" spans="1:11" x14ac:dyDescent="0.25">
      <c r="A112" s="47" t="s">
        <v>326</v>
      </c>
      <c r="B112" s="120">
        <v>8</v>
      </c>
      <c r="C112" s="118"/>
      <c r="D112" s="46"/>
      <c r="E112" s="46">
        <v>2500</v>
      </c>
      <c r="F112" s="47">
        <f t="shared" si="4"/>
        <v>2500</v>
      </c>
      <c r="G112" s="46">
        <v>2500</v>
      </c>
      <c r="H112" s="129">
        <f t="shared" si="5"/>
        <v>0</v>
      </c>
      <c r="I112" s="9"/>
    </row>
    <row r="113" spans="1:9" x14ac:dyDescent="0.25">
      <c r="A113" s="44" t="s">
        <v>78</v>
      </c>
      <c r="B113" s="120">
        <v>9</v>
      </c>
      <c r="C113" s="117"/>
      <c r="D113" s="44"/>
      <c r="E113" s="44">
        <v>2500</v>
      </c>
      <c r="F113" s="47">
        <f t="shared" si="4"/>
        <v>2500</v>
      </c>
      <c r="G113" s="150">
        <v>2500</v>
      </c>
      <c r="H113" s="129">
        <f t="shared" si="5"/>
        <v>0</v>
      </c>
      <c r="I113" s="9"/>
    </row>
    <row r="114" spans="1:9" x14ac:dyDescent="0.25">
      <c r="A114" s="45" t="s">
        <v>309</v>
      </c>
      <c r="B114" s="120">
        <v>10</v>
      </c>
      <c r="C114" s="9"/>
      <c r="D114" s="44"/>
      <c r="E114" s="115">
        <v>4500</v>
      </c>
      <c r="F114" s="47">
        <f t="shared" si="4"/>
        <v>4500</v>
      </c>
      <c r="G114" s="150">
        <v>3000</v>
      </c>
      <c r="H114" s="129">
        <f t="shared" si="5"/>
        <v>1500</v>
      </c>
      <c r="I114" s="9"/>
    </row>
    <row r="115" spans="1:9" x14ac:dyDescent="0.25">
      <c r="A115" s="45" t="s">
        <v>327</v>
      </c>
      <c r="B115" s="120">
        <v>11</v>
      </c>
      <c r="C115" s="119"/>
      <c r="D115" s="44"/>
      <c r="E115" s="105">
        <v>2500</v>
      </c>
      <c r="F115" s="47">
        <f t="shared" si="4"/>
        <v>2500</v>
      </c>
      <c r="G115" s="150">
        <v>2500</v>
      </c>
      <c r="H115" s="129">
        <f t="shared" si="5"/>
        <v>0</v>
      </c>
      <c r="I115" s="9"/>
    </row>
    <row r="116" spans="1:9" x14ac:dyDescent="0.25">
      <c r="A116" s="44" t="s">
        <v>328</v>
      </c>
      <c r="B116" s="120">
        <v>12</v>
      </c>
      <c r="C116" s="119"/>
      <c r="D116" s="44"/>
      <c r="E116" s="44">
        <v>2500</v>
      </c>
      <c r="F116" s="47">
        <f t="shared" si="4"/>
        <v>2500</v>
      </c>
      <c r="G116" s="150">
        <v>2500</v>
      </c>
      <c r="H116" s="129">
        <f t="shared" si="5"/>
        <v>0</v>
      </c>
      <c r="I116" s="9"/>
    </row>
    <row r="117" spans="1:9" x14ac:dyDescent="0.25">
      <c r="A117" s="44" t="s">
        <v>329</v>
      </c>
      <c r="B117" s="120">
        <v>13</v>
      </c>
      <c r="C117" s="117"/>
      <c r="D117" s="9"/>
      <c r="E117" s="44">
        <v>2500</v>
      </c>
      <c r="F117" s="47">
        <f>D118+E117</f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123</v>
      </c>
      <c r="B118" s="120">
        <v>14</v>
      </c>
      <c r="C118" s="117"/>
      <c r="D118" s="44"/>
      <c r="E118" s="44"/>
      <c r="F118" s="47"/>
      <c r="G118" s="150"/>
      <c r="H118" s="129"/>
      <c r="I118" s="9"/>
    </row>
    <row r="119" spans="1:9" x14ac:dyDescent="0.25">
      <c r="A119" s="125" t="s">
        <v>123</v>
      </c>
      <c r="B119" s="120">
        <v>15</v>
      </c>
      <c r="C119" s="117"/>
      <c r="D119" s="44"/>
      <c r="E119" s="44"/>
      <c r="F119" s="47">
        <f t="shared" si="4"/>
        <v>0</v>
      </c>
      <c r="G119" s="150"/>
      <c r="H119" s="129">
        <f t="shared" si="5"/>
        <v>0</v>
      </c>
      <c r="I119" s="9"/>
    </row>
    <row r="120" spans="1:9" x14ac:dyDescent="0.25">
      <c r="A120" s="44" t="s">
        <v>251</v>
      </c>
      <c r="B120" s="148">
        <v>16</v>
      </c>
      <c r="C120" s="9"/>
      <c r="D120" s="9"/>
      <c r="E120" s="125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44" t="s">
        <v>330</v>
      </c>
      <c r="B121" s="120">
        <v>17</v>
      </c>
      <c r="C121" s="117"/>
      <c r="D121" s="44">
        <v>1600</v>
      </c>
      <c r="E121" s="44">
        <v>1600</v>
      </c>
      <c r="F121" s="47">
        <f t="shared" si="4"/>
        <v>3200</v>
      </c>
      <c r="G121" s="150">
        <v>1500</v>
      </c>
      <c r="H121" s="129">
        <f t="shared" si="5"/>
        <v>1700</v>
      </c>
      <c r="I121" s="9"/>
    </row>
    <row r="122" spans="1:9" x14ac:dyDescent="0.25">
      <c r="A122" s="125" t="s">
        <v>331</v>
      </c>
      <c r="B122" s="120">
        <v>18</v>
      </c>
      <c r="C122" s="117" t="s">
        <v>248</v>
      </c>
      <c r="D122" s="44"/>
      <c r="E122" s="44">
        <v>1600</v>
      </c>
      <c r="F122" s="47">
        <f t="shared" si="4"/>
        <v>1600</v>
      </c>
      <c r="G122" s="150">
        <v>1600</v>
      </c>
      <c r="H122" s="129">
        <f t="shared" si="5"/>
        <v>0</v>
      </c>
      <c r="I122" s="9"/>
    </row>
    <row r="123" spans="1:9" x14ac:dyDescent="0.25">
      <c r="A123" s="44" t="s">
        <v>307</v>
      </c>
      <c r="B123" s="141"/>
      <c r="C123" s="142"/>
      <c r="D123" s="58"/>
      <c r="E123" s="58">
        <v>1600</v>
      </c>
      <c r="F123" s="61">
        <f t="shared" si="4"/>
        <v>1600</v>
      </c>
      <c r="G123" s="58"/>
      <c r="H123" s="143"/>
      <c r="I123" s="9"/>
    </row>
    <row r="124" spans="1:9" x14ac:dyDescent="0.25">
      <c r="A124" s="44"/>
      <c r="B124" s="44"/>
      <c r="C124" s="44"/>
      <c r="D124" s="44"/>
      <c r="E124" s="44"/>
      <c r="F124" s="44"/>
      <c r="G124" s="44"/>
      <c r="H124" s="44"/>
      <c r="I124" s="9"/>
    </row>
    <row r="125" spans="1:9" x14ac:dyDescent="0.25">
      <c r="A125" s="138"/>
      <c r="B125" s="138"/>
      <c r="C125" s="138"/>
      <c r="D125" s="138">
        <f>SUM(D118:D124)</f>
        <v>1600</v>
      </c>
      <c r="E125" s="139">
        <f>SUM(E105:E124)</f>
        <v>46900</v>
      </c>
      <c r="F125" s="138"/>
      <c r="G125" s="139">
        <f>SUM(G105:G124)</f>
        <v>39100</v>
      </c>
      <c r="H125" s="139">
        <f>SUM(H105:H124)</f>
        <v>8300</v>
      </c>
      <c r="I125" s="9"/>
    </row>
    <row r="126" spans="1:9" x14ac:dyDescent="0.25">
      <c r="A126" s="100" t="s">
        <v>60</v>
      </c>
      <c r="B126" s="101"/>
      <c r="C126" s="97"/>
      <c r="D126" s="102">
        <f>E125</f>
        <v>46900</v>
      </c>
      <c r="E126" s="100" t="s">
        <v>60</v>
      </c>
      <c r="F126" s="101"/>
      <c r="G126" s="97"/>
      <c r="H126" s="102">
        <f>G125</f>
        <v>39100</v>
      </c>
      <c r="I126" s="18" t="s">
        <v>109</v>
      </c>
    </row>
    <row r="127" spans="1:9" x14ac:dyDescent="0.25">
      <c r="A127" s="103" t="s">
        <v>347</v>
      </c>
      <c r="B127" s="101"/>
      <c r="C127" s="97"/>
      <c r="D127" s="104"/>
      <c r="E127" s="103" t="s">
        <v>343</v>
      </c>
      <c r="F127" s="101"/>
      <c r="G127" s="97"/>
      <c r="H127" s="104">
        <v>5300</v>
      </c>
      <c r="I127" s="38" t="s">
        <v>24</v>
      </c>
    </row>
    <row r="128" spans="1:9" x14ac:dyDescent="0.25">
      <c r="A128" s="103" t="s">
        <v>333</v>
      </c>
      <c r="B128" s="101"/>
      <c r="C128" s="97"/>
      <c r="D128" s="104"/>
      <c r="E128" s="103"/>
      <c r="F128" s="101"/>
      <c r="G128" s="97"/>
      <c r="H128" s="104"/>
      <c r="I128" s="38"/>
    </row>
    <row r="129" spans="1:9" x14ac:dyDescent="0.25">
      <c r="A129" s="67" t="s">
        <v>58</v>
      </c>
      <c r="B129" s="9"/>
      <c r="C129" s="9"/>
      <c r="D129" s="72">
        <f>SUM(D126:D128)</f>
        <v>46900</v>
      </c>
      <c r="E129" s="67" t="s">
        <v>58</v>
      </c>
      <c r="F129" s="9"/>
      <c r="G129" s="9"/>
      <c r="H129" s="72">
        <f>SUM(H126:H128)</f>
        <v>44400</v>
      </c>
      <c r="I129" s="38" t="s">
        <v>81</v>
      </c>
    </row>
    <row r="130" spans="1:9" x14ac:dyDescent="0.25">
      <c r="A130" s="36" t="s">
        <v>22</v>
      </c>
      <c r="B130" s="17"/>
      <c r="C130" s="9"/>
      <c r="D130" s="34">
        <f>SUM(D126*10%)</f>
        <v>4690</v>
      </c>
      <c r="E130" s="36" t="s">
        <v>22</v>
      </c>
      <c r="F130" s="17"/>
      <c r="G130" s="9"/>
      <c r="H130" s="34">
        <f>SUM(H126*10%)</f>
        <v>3910</v>
      </c>
      <c r="I130" s="9"/>
    </row>
    <row r="131" spans="1:9" x14ac:dyDescent="0.25">
      <c r="A131" s="36" t="s">
        <v>356</v>
      </c>
      <c r="B131" s="17"/>
      <c r="C131" s="9"/>
      <c r="D131" s="34">
        <v>15000</v>
      </c>
      <c r="E131" s="36" t="s">
        <v>379</v>
      </c>
      <c r="F131" s="17"/>
      <c r="G131" s="9"/>
      <c r="H131" s="34">
        <v>15000</v>
      </c>
      <c r="I131" s="72">
        <f>H126-H131-H130</f>
        <v>20190</v>
      </c>
    </row>
    <row r="132" spans="1:9" x14ac:dyDescent="0.25">
      <c r="A132" s="36"/>
      <c r="B132" s="9"/>
      <c r="C132" s="9"/>
      <c r="D132" s="72">
        <v>14790</v>
      </c>
      <c r="E132" s="36" t="s">
        <v>380</v>
      </c>
      <c r="F132" s="9"/>
      <c r="G132" s="9"/>
      <c r="H132" s="72">
        <v>14790</v>
      </c>
      <c r="I132" s="9"/>
    </row>
    <row r="133" spans="1:9" x14ac:dyDescent="0.25">
      <c r="A133" s="36"/>
      <c r="B133" s="9"/>
      <c r="C133" s="9"/>
      <c r="D133" s="72"/>
      <c r="E133" s="36" t="s">
        <v>2</v>
      </c>
      <c r="F133" s="9"/>
      <c r="G133" s="9"/>
      <c r="H133" s="72">
        <f>SUM(H130:H132)</f>
        <v>33700</v>
      </c>
      <c r="I133" s="9"/>
    </row>
    <row r="134" spans="1:9" x14ac:dyDescent="0.25">
      <c r="A134" s="36"/>
      <c r="B134" s="9"/>
      <c r="C134" s="9"/>
      <c r="D134" s="72">
        <f>SUM(D130:D133)</f>
        <v>34480</v>
      </c>
      <c r="E134" s="36"/>
      <c r="F134" s="9"/>
      <c r="G134" s="9"/>
      <c r="I134" s="72">
        <f>H130+H131+H132</f>
        <v>33700</v>
      </c>
    </row>
    <row r="135" spans="1:9" x14ac:dyDescent="0.25">
      <c r="A135" s="36"/>
      <c r="B135" s="9"/>
      <c r="C135" s="9"/>
      <c r="D135" s="72">
        <f>D129-D134</f>
        <v>12420</v>
      </c>
      <c r="E135" s="36" t="s">
        <v>26</v>
      </c>
      <c r="F135" s="9"/>
      <c r="G135" s="9"/>
      <c r="H135" s="72">
        <f>H129-H133</f>
        <v>10700</v>
      </c>
      <c r="I135" s="9"/>
    </row>
    <row r="136" spans="1:9" x14ac:dyDescent="0.25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5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5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5">
      <c r="A139" s="9"/>
      <c r="B139" s="19"/>
      <c r="C139" s="19"/>
      <c r="D139" s="81" t="s">
        <v>4</v>
      </c>
      <c r="E139" s="81"/>
      <c r="F139" s="19"/>
      <c r="G139" s="9"/>
      <c r="H139" s="9"/>
      <c r="I139" s="9"/>
    </row>
    <row r="140" spans="1:9" x14ac:dyDescent="0.25">
      <c r="A140" s="9"/>
      <c r="B140" s="19"/>
      <c r="C140" s="81" t="s">
        <v>87</v>
      </c>
      <c r="D140" s="81"/>
      <c r="E140" s="19"/>
      <c r="F140" s="19"/>
      <c r="G140" s="9"/>
      <c r="H140" s="9"/>
      <c r="I140" s="9"/>
    </row>
    <row r="141" spans="1:9" x14ac:dyDescent="0.25">
      <c r="A141" s="9"/>
      <c r="B141" s="79"/>
      <c r="C141" s="82" t="s">
        <v>88</v>
      </c>
      <c r="D141" s="80"/>
      <c r="E141" s="80"/>
      <c r="F141" s="79"/>
      <c r="G141" s="9"/>
      <c r="H141" s="9"/>
      <c r="I141" s="9"/>
    </row>
    <row r="142" spans="1:9" x14ac:dyDescent="0.25">
      <c r="A142" s="9"/>
      <c r="B142" s="5"/>
      <c r="C142" s="6" t="s">
        <v>5</v>
      </c>
      <c r="D142" s="6"/>
      <c r="E142" s="5"/>
      <c r="F142" s="4"/>
      <c r="G142" s="9"/>
      <c r="H142" s="9"/>
      <c r="I142" s="9"/>
    </row>
    <row r="143" spans="1:9" ht="28.5" x14ac:dyDescent="0.45">
      <c r="A143" s="171" t="s">
        <v>301</v>
      </c>
      <c r="B143" s="171"/>
      <c r="C143" s="171"/>
      <c r="D143" s="171"/>
      <c r="E143" s="171"/>
      <c r="F143" s="171"/>
      <c r="G143" s="171"/>
      <c r="H143" s="171"/>
      <c r="I143" s="9"/>
    </row>
    <row r="144" spans="1:9" x14ac:dyDescent="0.25">
      <c r="A144" s="12" t="s">
        <v>0</v>
      </c>
      <c r="B144" s="12" t="s">
        <v>32</v>
      </c>
      <c r="C144" s="12" t="s">
        <v>52</v>
      </c>
      <c r="D144" s="22" t="s">
        <v>55</v>
      </c>
      <c r="E144" s="21" t="s">
        <v>1</v>
      </c>
      <c r="F144" s="22" t="s">
        <v>10</v>
      </c>
      <c r="G144" s="21" t="s">
        <v>3</v>
      </c>
      <c r="H144" s="13" t="s">
        <v>13</v>
      </c>
      <c r="I144" s="9"/>
    </row>
    <row r="145" spans="1:12" x14ac:dyDescent="0.25">
      <c r="A145" s="43" t="s">
        <v>258</v>
      </c>
      <c r="B145" s="120">
        <v>1</v>
      </c>
      <c r="C145" s="116"/>
      <c r="D145" s="43"/>
      <c r="E145" s="47">
        <v>2500</v>
      </c>
      <c r="F145" s="47">
        <f>SUM(D145:E145)</f>
        <v>2500</v>
      </c>
      <c r="G145" s="131">
        <v>2500</v>
      </c>
      <c r="H145" s="129">
        <f>F145-G145</f>
        <v>0</v>
      </c>
      <c r="I145" s="9" t="s">
        <v>107</v>
      </c>
    </row>
    <row r="146" spans="1:12" x14ac:dyDescent="0.25">
      <c r="A146" s="88" t="s">
        <v>21</v>
      </c>
      <c r="B146" s="120">
        <v>2</v>
      </c>
      <c r="C146" s="117"/>
      <c r="D146" s="2"/>
      <c r="E146" s="46"/>
      <c r="F146" s="47">
        <f t="shared" ref="F146:F169" si="6">SUM(D146:E146)</f>
        <v>0</v>
      </c>
      <c r="G146" s="131"/>
      <c r="H146" s="129">
        <f t="shared" ref="H146:H169" si="7">F146-G146</f>
        <v>0</v>
      </c>
      <c r="I146" s="9"/>
      <c r="J146" s="44"/>
      <c r="K146" s="173" t="s">
        <v>370</v>
      </c>
      <c r="L146" s="44"/>
    </row>
    <row r="147" spans="1:12" x14ac:dyDescent="0.25">
      <c r="A147" s="88" t="s">
        <v>312</v>
      </c>
      <c r="B147" s="120">
        <v>3</v>
      </c>
      <c r="C147" s="117"/>
      <c r="D147" s="43"/>
      <c r="E147" s="46">
        <v>2500</v>
      </c>
      <c r="F147" s="47">
        <f t="shared" si="6"/>
        <v>2500</v>
      </c>
      <c r="G147" s="56">
        <v>2000</v>
      </c>
      <c r="H147" s="129">
        <f t="shared" si="7"/>
        <v>500</v>
      </c>
      <c r="I147" s="9"/>
      <c r="J147" s="44">
        <v>5</v>
      </c>
      <c r="K147" s="44" t="s">
        <v>371</v>
      </c>
      <c r="L147" s="44">
        <v>4000</v>
      </c>
    </row>
    <row r="148" spans="1:12" x14ac:dyDescent="0.25">
      <c r="A148" s="88" t="s">
        <v>21</v>
      </c>
      <c r="B148" s="120">
        <v>4</v>
      </c>
      <c r="C148" s="117"/>
      <c r="D148" s="43"/>
      <c r="E148" s="46"/>
      <c r="F148" s="47">
        <f t="shared" si="6"/>
        <v>0</v>
      </c>
      <c r="G148" s="53"/>
      <c r="H148" s="129">
        <f t="shared" si="7"/>
        <v>0</v>
      </c>
      <c r="I148" s="9"/>
      <c r="J148" s="44">
        <v>13</v>
      </c>
      <c r="K148" s="44" t="s">
        <v>264</v>
      </c>
      <c r="L148" s="44">
        <v>4000</v>
      </c>
    </row>
    <row r="149" spans="1:12" x14ac:dyDescent="0.25">
      <c r="A149" s="43" t="s">
        <v>260</v>
      </c>
      <c r="B149" s="120">
        <v>5</v>
      </c>
      <c r="C149" s="117"/>
      <c r="D149" s="44">
        <v>4000</v>
      </c>
      <c r="E149" s="46">
        <v>4000</v>
      </c>
      <c r="F149" s="47">
        <f t="shared" si="6"/>
        <v>8000</v>
      </c>
      <c r="G149" s="46">
        <v>4000</v>
      </c>
      <c r="H149" s="129">
        <f t="shared" si="7"/>
        <v>4000</v>
      </c>
      <c r="I149" s="9"/>
      <c r="J149" s="44">
        <v>18</v>
      </c>
      <c r="K149" s="44" t="s">
        <v>313</v>
      </c>
      <c r="L149" s="44">
        <v>2000</v>
      </c>
    </row>
    <row r="150" spans="1:12" x14ac:dyDescent="0.25">
      <c r="A150" s="43" t="s">
        <v>261</v>
      </c>
      <c r="B150" s="120">
        <v>6</v>
      </c>
      <c r="C150" s="117"/>
      <c r="D150" s="44"/>
      <c r="E150" s="46">
        <v>4000</v>
      </c>
      <c r="F150" s="47">
        <f t="shared" si="6"/>
        <v>4000</v>
      </c>
      <c r="G150" s="46">
        <v>4000</v>
      </c>
      <c r="H150" s="129">
        <f t="shared" si="7"/>
        <v>0</v>
      </c>
      <c r="I150" s="9"/>
      <c r="J150" s="44">
        <v>25</v>
      </c>
      <c r="K150" s="44" t="s">
        <v>372</v>
      </c>
      <c r="L150" s="44">
        <v>5000</v>
      </c>
    </row>
    <row r="151" spans="1:12" x14ac:dyDescent="0.25">
      <c r="A151" s="43" t="s">
        <v>21</v>
      </c>
      <c r="B151" s="120">
        <v>7</v>
      </c>
      <c r="C151" s="117"/>
      <c r="D151" s="44"/>
      <c r="E151" s="73"/>
      <c r="F151" s="47">
        <f t="shared" si="6"/>
        <v>0</v>
      </c>
      <c r="G151" s="132"/>
      <c r="H151" s="129">
        <f t="shared" si="7"/>
        <v>0</v>
      </c>
      <c r="I151" s="9"/>
      <c r="J151" s="181">
        <v>22</v>
      </c>
      <c r="K151" s="181" t="s">
        <v>389</v>
      </c>
      <c r="L151" s="181">
        <v>4000</v>
      </c>
    </row>
    <row r="152" spans="1:12" x14ac:dyDescent="0.25">
      <c r="A152" s="47" t="s">
        <v>351</v>
      </c>
      <c r="B152" s="120">
        <v>8</v>
      </c>
      <c r="C152" s="118"/>
      <c r="D152" s="46"/>
      <c r="E152" s="46">
        <v>4000</v>
      </c>
      <c r="F152" s="47">
        <f t="shared" si="6"/>
        <v>4000</v>
      </c>
      <c r="G152" s="53">
        <v>4000</v>
      </c>
      <c r="H152" s="129">
        <f t="shared" si="7"/>
        <v>0</v>
      </c>
      <c r="I152" s="9" t="s">
        <v>107</v>
      </c>
    </row>
    <row r="153" spans="1:12" x14ac:dyDescent="0.25">
      <c r="A153" s="44" t="s">
        <v>21</v>
      </c>
      <c r="B153" s="120">
        <v>9</v>
      </c>
      <c r="C153" s="117"/>
      <c r="D153" s="44"/>
      <c r="E153" s="44"/>
      <c r="F153" s="47">
        <f t="shared" si="6"/>
        <v>0</v>
      </c>
      <c r="G153" s="44"/>
      <c r="H153" s="129">
        <f t="shared" si="7"/>
        <v>0</v>
      </c>
      <c r="I153" s="9"/>
      <c r="L153">
        <f>SUM(L147:L151)</f>
        <v>19000</v>
      </c>
    </row>
    <row r="154" spans="1:12" x14ac:dyDescent="0.25">
      <c r="A154" s="169" t="s">
        <v>21</v>
      </c>
      <c r="B154" s="120">
        <v>10</v>
      </c>
      <c r="C154" s="9"/>
      <c r="D154" s="44"/>
      <c r="E154" s="115"/>
      <c r="F154" s="47">
        <f t="shared" si="6"/>
        <v>0</v>
      </c>
      <c r="G154" s="44"/>
      <c r="H154" s="129">
        <f t="shared" si="7"/>
        <v>0</v>
      </c>
      <c r="I154" s="9"/>
    </row>
    <row r="155" spans="1:12" x14ac:dyDescent="0.25">
      <c r="A155" s="169" t="s">
        <v>364</v>
      </c>
      <c r="B155" s="120">
        <v>11</v>
      </c>
      <c r="C155" s="119"/>
      <c r="D155" s="44"/>
      <c r="E155" s="105">
        <v>4000</v>
      </c>
      <c r="F155" s="47">
        <f t="shared" si="6"/>
        <v>4000</v>
      </c>
      <c r="G155" s="44">
        <v>2000</v>
      </c>
      <c r="H155" s="129">
        <f t="shared" si="7"/>
        <v>2000</v>
      </c>
      <c r="I155" s="9" t="s">
        <v>314</v>
      </c>
    </row>
    <row r="156" spans="1:12" x14ac:dyDescent="0.25">
      <c r="A156" s="44" t="s">
        <v>264</v>
      </c>
      <c r="B156" s="120">
        <v>12</v>
      </c>
      <c r="C156" s="119"/>
      <c r="D156" s="44"/>
      <c r="E156" s="44">
        <v>4000</v>
      </c>
      <c r="F156" s="47">
        <f t="shared" si="6"/>
        <v>4000</v>
      </c>
      <c r="G156" s="44">
        <v>4000</v>
      </c>
      <c r="H156" s="129">
        <f t="shared" si="7"/>
        <v>0</v>
      </c>
      <c r="I156" s="9"/>
    </row>
    <row r="157" spans="1:12" x14ac:dyDescent="0.25">
      <c r="A157" s="44" t="s">
        <v>302</v>
      </c>
      <c r="B157" s="120">
        <v>13</v>
      </c>
      <c r="C157" s="117"/>
      <c r="D157" s="44"/>
      <c r="E157" s="44">
        <v>4000</v>
      </c>
      <c r="F157" s="47">
        <f t="shared" si="6"/>
        <v>4000</v>
      </c>
      <c r="G157" s="44">
        <v>4000</v>
      </c>
      <c r="H157" s="129">
        <f t="shared" si="7"/>
        <v>0</v>
      </c>
      <c r="I157" s="9"/>
    </row>
    <row r="158" spans="1:12" x14ac:dyDescent="0.25">
      <c r="A158" s="44" t="s">
        <v>254</v>
      </c>
      <c r="B158" s="120">
        <v>14</v>
      </c>
      <c r="C158" s="44"/>
      <c r="D158" s="44"/>
      <c r="E158" s="44">
        <v>4000</v>
      </c>
      <c r="F158" s="47">
        <f t="shared" si="6"/>
        <v>4000</v>
      </c>
      <c r="G158" s="113">
        <v>4000</v>
      </c>
      <c r="H158" s="129">
        <f t="shared" si="7"/>
        <v>0</v>
      </c>
      <c r="I158" s="9" t="s">
        <v>107</v>
      </c>
    </row>
    <row r="159" spans="1:12" x14ac:dyDescent="0.25">
      <c r="A159" s="44" t="s">
        <v>352</v>
      </c>
      <c r="B159" s="120">
        <v>15</v>
      </c>
      <c r="C159" s="44"/>
      <c r="D159" s="44"/>
      <c r="E159" s="44"/>
      <c r="F159" s="47">
        <f t="shared" si="6"/>
        <v>0</v>
      </c>
      <c r="G159" s="44"/>
      <c r="H159" s="129">
        <f t="shared" si="7"/>
        <v>0</v>
      </c>
      <c r="I159" s="9"/>
    </row>
    <row r="160" spans="1:12" x14ac:dyDescent="0.25">
      <c r="A160" s="125" t="s">
        <v>255</v>
      </c>
      <c r="B160" s="120">
        <v>16</v>
      </c>
      <c r="C160" s="44"/>
      <c r="D160" s="44"/>
      <c r="E160" s="125">
        <v>4000</v>
      </c>
      <c r="F160" s="47">
        <f t="shared" si="6"/>
        <v>4000</v>
      </c>
      <c r="G160" s="44">
        <v>4000</v>
      </c>
      <c r="H160" s="129">
        <f t="shared" si="7"/>
        <v>0</v>
      </c>
      <c r="I160" s="9"/>
    </row>
    <row r="161" spans="1:9" x14ac:dyDescent="0.25">
      <c r="A161" s="44" t="s">
        <v>266</v>
      </c>
      <c r="B161" s="120">
        <v>17</v>
      </c>
      <c r="C161" s="44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I161" s="9"/>
    </row>
    <row r="162" spans="1:9" x14ac:dyDescent="0.25">
      <c r="A162" s="44" t="s">
        <v>313</v>
      </c>
      <c r="B162" s="120">
        <v>18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I162" s="9"/>
    </row>
    <row r="163" spans="1:9" x14ac:dyDescent="0.25">
      <c r="A163" s="44" t="s">
        <v>137</v>
      </c>
      <c r="B163" s="120">
        <v>19</v>
      </c>
      <c r="C163" s="117"/>
      <c r="D163" s="44"/>
      <c r="E163" s="44">
        <v>2000</v>
      </c>
      <c r="F163" s="47">
        <f t="shared" si="6"/>
        <v>2000</v>
      </c>
      <c r="G163" s="44"/>
      <c r="H163" s="129">
        <f t="shared" si="7"/>
        <v>2000</v>
      </c>
      <c r="I163" s="9"/>
    </row>
    <row r="164" spans="1:9" x14ac:dyDescent="0.25">
      <c r="A164" s="124" t="s">
        <v>256</v>
      </c>
      <c r="B164" s="120">
        <v>20</v>
      </c>
      <c r="C164" s="117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I164" s="9"/>
    </row>
    <row r="165" spans="1:9" x14ac:dyDescent="0.25">
      <c r="A165" s="127" t="s">
        <v>269</v>
      </c>
      <c r="B165" s="120">
        <v>21</v>
      </c>
      <c r="C165" s="44"/>
      <c r="D165" s="44"/>
      <c r="E165" s="44">
        <v>2000</v>
      </c>
      <c r="F165" s="47">
        <f t="shared" si="6"/>
        <v>2000</v>
      </c>
      <c r="G165" s="44"/>
      <c r="H165" s="129">
        <f t="shared" si="7"/>
        <v>2000</v>
      </c>
      <c r="I165" s="9"/>
    </row>
    <row r="166" spans="1:9" x14ac:dyDescent="0.25">
      <c r="A166" s="127" t="s">
        <v>270</v>
      </c>
      <c r="B166" s="120">
        <v>22</v>
      </c>
      <c r="C166" s="44"/>
      <c r="D166" s="44"/>
      <c r="E166" s="44">
        <v>2000</v>
      </c>
      <c r="F166" s="47">
        <f t="shared" si="6"/>
        <v>2000</v>
      </c>
      <c r="G166" s="44"/>
      <c r="H166" s="129">
        <f t="shared" si="7"/>
        <v>2000</v>
      </c>
      <c r="I166" s="9"/>
    </row>
    <row r="167" spans="1:9" x14ac:dyDescent="0.25">
      <c r="A167" s="127" t="s">
        <v>271</v>
      </c>
      <c r="B167" s="120">
        <v>23</v>
      </c>
      <c r="C167" s="44"/>
      <c r="D167" s="44"/>
      <c r="E167" s="44">
        <v>2000</v>
      </c>
      <c r="F167" s="47">
        <f t="shared" si="6"/>
        <v>2000</v>
      </c>
      <c r="G167" s="44">
        <v>2000</v>
      </c>
      <c r="H167" s="129">
        <f t="shared" si="7"/>
        <v>0</v>
      </c>
      <c r="I167" s="9"/>
    </row>
    <row r="168" spans="1:9" x14ac:dyDescent="0.25">
      <c r="A168" s="127" t="s">
        <v>272</v>
      </c>
      <c r="B168" s="120">
        <v>24</v>
      </c>
      <c r="C168" s="44"/>
      <c r="D168" s="44"/>
      <c r="E168" s="44">
        <v>4500</v>
      </c>
      <c r="F168" s="47">
        <f t="shared" si="6"/>
        <v>4500</v>
      </c>
      <c r="G168" s="44">
        <v>4500</v>
      </c>
      <c r="H168" s="129">
        <f t="shared" si="7"/>
        <v>0</v>
      </c>
      <c r="I168" s="9"/>
    </row>
    <row r="169" spans="1:9" x14ac:dyDescent="0.25">
      <c r="A169" s="127" t="s">
        <v>273</v>
      </c>
      <c r="B169" s="120">
        <v>25</v>
      </c>
      <c r="C169" s="44"/>
      <c r="D169" s="44"/>
      <c r="E169" s="44">
        <v>2500</v>
      </c>
      <c r="F169" s="47">
        <f t="shared" si="6"/>
        <v>2500</v>
      </c>
      <c r="G169" s="44"/>
      <c r="H169" s="129">
        <f t="shared" si="7"/>
        <v>2500</v>
      </c>
      <c r="I169" s="9"/>
    </row>
    <row r="170" spans="1:9" x14ac:dyDescent="0.25">
      <c r="A170" s="44"/>
      <c r="B170" s="120"/>
      <c r="C170" s="44"/>
      <c r="D170" s="44"/>
      <c r="E170" s="105">
        <f>SUM(E145:E169)</f>
        <v>58000</v>
      </c>
      <c r="F170" s="105"/>
      <c r="G170" s="105">
        <f>SUM(G145:G169)</f>
        <v>47000</v>
      </c>
      <c r="H170" s="129">
        <f>SUM(H145:H169)</f>
        <v>15000</v>
      </c>
      <c r="I170" s="9"/>
    </row>
    <row r="171" spans="1:9" x14ac:dyDescent="0.25">
      <c r="A171" s="44"/>
      <c r="B171" s="120"/>
      <c r="C171" s="44"/>
      <c r="D171" s="44"/>
      <c r="E171" s="44"/>
      <c r="F171" s="44"/>
      <c r="G171" s="44"/>
      <c r="H171" s="44"/>
      <c r="I171" s="9"/>
    </row>
    <row r="172" spans="1:9" x14ac:dyDescent="0.25">
      <c r="A172" s="44"/>
      <c r="B172" s="120"/>
      <c r="C172" s="44"/>
      <c r="D172" s="44"/>
      <c r="E172" s="44"/>
      <c r="F172" s="44"/>
      <c r="G172" s="44"/>
      <c r="H172" s="44"/>
      <c r="I172" s="9"/>
    </row>
    <row r="173" spans="1:9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5">
      <c r="A175" s="100" t="s">
        <v>60</v>
      </c>
      <c r="B175" s="97"/>
      <c r="C175" s="102">
        <f>E170</f>
        <v>58000</v>
      </c>
      <c r="D175" s="9"/>
      <c r="E175" s="9"/>
      <c r="F175" s="100" t="s">
        <v>60</v>
      </c>
      <c r="G175" s="101"/>
      <c r="H175" s="121">
        <f>G170</f>
        <v>47000</v>
      </c>
      <c r="I175" s="102">
        <f>J170</f>
        <v>0</v>
      </c>
    </row>
    <row r="176" spans="1:9" x14ac:dyDescent="0.25">
      <c r="A176" s="9"/>
      <c r="B176" s="128">
        <v>0.1</v>
      </c>
      <c r="C176" s="104"/>
      <c r="D176" s="9"/>
      <c r="E176" s="9"/>
      <c r="F176" s="9"/>
      <c r="G176" s="128">
        <v>0.1</v>
      </c>
      <c r="H176" s="104"/>
      <c r="I176" s="9"/>
    </row>
    <row r="177" spans="1:9" x14ac:dyDescent="0.25">
      <c r="A177" s="103" t="s">
        <v>347</v>
      </c>
      <c r="B177" s="97"/>
      <c r="C177" s="9"/>
      <c r="D177" s="9"/>
      <c r="E177" s="9"/>
      <c r="F177" s="103"/>
      <c r="G177" s="97" t="s">
        <v>347</v>
      </c>
      <c r="H177" s="9">
        <v>-650</v>
      </c>
      <c r="I177" s="9"/>
    </row>
    <row r="178" spans="1:9" x14ac:dyDescent="0.25">
      <c r="A178" s="103"/>
      <c r="B178" s="97"/>
      <c r="C178" s="72">
        <f>SUM(C175:C177)</f>
        <v>58000</v>
      </c>
      <c r="D178" s="9"/>
      <c r="E178" s="9"/>
      <c r="F178" s="103"/>
      <c r="G178" s="97"/>
      <c r="H178" s="72">
        <f>SUM(H175:H177)</f>
        <v>46350</v>
      </c>
      <c r="I178" s="9"/>
    </row>
    <row r="179" spans="1:9" x14ac:dyDescent="0.25">
      <c r="A179" s="67" t="s">
        <v>58</v>
      </c>
      <c r="B179" s="9"/>
      <c r="C179" s="9"/>
      <c r="D179" s="9"/>
      <c r="E179" s="9"/>
      <c r="F179" s="67" t="s">
        <v>58</v>
      </c>
      <c r="G179" s="9"/>
      <c r="H179" s="9"/>
      <c r="I179" s="9"/>
    </row>
    <row r="180" spans="1:9" x14ac:dyDescent="0.25">
      <c r="A180" s="103" t="s">
        <v>196</v>
      </c>
      <c r="B180" s="9"/>
      <c r="C180" s="104">
        <f>C175*B176</f>
        <v>5800</v>
      </c>
      <c r="D180" s="9"/>
      <c r="E180" s="9"/>
      <c r="F180" s="103" t="s">
        <v>196</v>
      </c>
      <c r="G180" s="9"/>
      <c r="H180" s="104">
        <f>H175*G176</f>
        <v>4700</v>
      </c>
      <c r="I180" s="9"/>
    </row>
    <row r="181" spans="1:9" x14ac:dyDescent="0.25">
      <c r="A181" s="93">
        <v>42862</v>
      </c>
      <c r="B181" s="9"/>
      <c r="C181" s="9">
        <v>20210</v>
      </c>
      <c r="D181" s="9"/>
      <c r="E181" s="9"/>
      <c r="F181" s="93">
        <v>42862</v>
      </c>
      <c r="G181" s="9"/>
      <c r="H181" s="9">
        <v>20210</v>
      </c>
      <c r="I181" s="9"/>
    </row>
    <row r="182" spans="1:9" s="9" customFormat="1" x14ac:dyDescent="0.25">
      <c r="A182" s="136" t="s">
        <v>381</v>
      </c>
      <c r="C182" s="9">
        <v>10000</v>
      </c>
      <c r="F182" s="136" t="s">
        <v>381</v>
      </c>
      <c r="H182" s="9">
        <v>10000</v>
      </c>
    </row>
    <row r="183" spans="1:9" x14ac:dyDescent="0.25">
      <c r="A183" s="36" t="s">
        <v>275</v>
      </c>
      <c r="B183" s="9"/>
      <c r="C183" s="34">
        <f>H183</f>
        <v>10500</v>
      </c>
      <c r="D183" s="72">
        <f>C175-C180</f>
        <v>52200</v>
      </c>
      <c r="E183" s="9"/>
      <c r="F183" s="36" t="s">
        <v>275</v>
      </c>
      <c r="G183" s="9"/>
      <c r="H183" s="34">
        <f>G145+G152+G158</f>
        <v>10500</v>
      </c>
      <c r="I183" s="9"/>
    </row>
    <row r="184" spans="1:9" x14ac:dyDescent="0.25">
      <c r="A184" s="9" t="s">
        <v>382</v>
      </c>
      <c r="B184" s="86"/>
      <c r="C184" s="87">
        <v>10000</v>
      </c>
      <c r="D184" s="9"/>
      <c r="E184" s="9"/>
      <c r="F184" t="s">
        <v>382</v>
      </c>
      <c r="G184" s="86"/>
      <c r="H184" s="87">
        <v>10000</v>
      </c>
      <c r="I184" s="9"/>
    </row>
    <row r="185" spans="1:9" x14ac:dyDescent="0.25">
      <c r="A185" s="9" t="s">
        <v>2</v>
      </c>
      <c r="B185" s="9"/>
      <c r="C185" s="72">
        <f>SUM(C180:C184)</f>
        <v>56510</v>
      </c>
      <c r="D185" s="9"/>
      <c r="E185" s="9"/>
      <c r="I185" s="72">
        <f>H181+H182+H183+H184</f>
        <v>50710</v>
      </c>
    </row>
    <row r="186" spans="1:9" x14ac:dyDescent="0.25">
      <c r="A186" s="9" t="s">
        <v>355</v>
      </c>
      <c r="B186" s="9"/>
      <c r="C186" s="72">
        <f>C175-C185</f>
        <v>1490</v>
      </c>
      <c r="D186" s="9"/>
      <c r="E186" s="9"/>
      <c r="F186" s="9" t="s">
        <v>2</v>
      </c>
      <c r="G186" s="9"/>
      <c r="H186" s="72">
        <f>SUM(H180:H184)</f>
        <v>55410</v>
      </c>
      <c r="I186" s="9"/>
    </row>
    <row r="187" spans="1:9" x14ac:dyDescent="0.25">
      <c r="A187" s="9"/>
      <c r="B187" s="9"/>
      <c r="C187" s="72"/>
      <c r="D187" s="9"/>
      <c r="E187" s="9"/>
      <c r="F187" s="9" t="s">
        <v>355</v>
      </c>
      <c r="G187" s="9"/>
      <c r="H187" s="72">
        <f>H175-H186</f>
        <v>-8410</v>
      </c>
      <c r="I187" s="9"/>
    </row>
    <row r="188" spans="1:9" x14ac:dyDescent="0.25">
      <c r="A188" s="36"/>
      <c r="B188" s="9"/>
      <c r="C188" s="72"/>
      <c r="D188" s="9"/>
      <c r="E188" s="9"/>
      <c r="F188" s="36"/>
      <c r="G188" s="9"/>
      <c r="H188" s="72"/>
      <c r="I188" s="9"/>
    </row>
    <row r="189" spans="1:9" x14ac:dyDescent="0.25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5">
      <c r="A190" s="24"/>
      <c r="B190" s="79"/>
      <c r="C190" s="82" t="s">
        <v>88</v>
      </c>
      <c r="D190" s="80"/>
      <c r="E190" s="80"/>
      <c r="F190" s="79"/>
      <c r="G190" s="9"/>
      <c r="H190" s="9"/>
      <c r="I190" s="9"/>
    </row>
    <row r="191" spans="1:9" x14ac:dyDescent="0.25">
      <c r="A191" s="4"/>
      <c r="B191" s="5"/>
      <c r="C191" s="6" t="s">
        <v>5</v>
      </c>
      <c r="D191" s="6"/>
      <c r="E191" s="5"/>
      <c r="F191" s="4"/>
      <c r="G191" s="9"/>
      <c r="H191" s="9"/>
      <c r="I191" s="9"/>
    </row>
    <row r="192" spans="1:9" ht="23.25" x14ac:dyDescent="0.35">
      <c r="A192" s="4"/>
      <c r="B192" s="52"/>
      <c r="C192" s="9"/>
      <c r="D192" s="172" t="s">
        <v>278</v>
      </c>
      <c r="E192" s="172"/>
      <c r="F192" s="172"/>
      <c r="G192" s="172"/>
      <c r="H192" s="9"/>
      <c r="I192" s="9"/>
    </row>
    <row r="193" spans="1:9" x14ac:dyDescent="0.25">
      <c r="A193" s="9"/>
      <c r="B193" s="9"/>
      <c r="C193" s="95"/>
      <c r="D193" s="95"/>
      <c r="E193" s="96" t="s">
        <v>350</v>
      </c>
      <c r="F193" s="95"/>
      <c r="G193" s="95"/>
      <c r="H193" s="9"/>
      <c r="I193" s="9"/>
    </row>
    <row r="194" spans="1:9" x14ac:dyDescent="0.25">
      <c r="A194" s="12" t="s">
        <v>0</v>
      </c>
      <c r="B194" s="12" t="s">
        <v>32</v>
      </c>
      <c r="C194" s="12" t="s">
        <v>52</v>
      </c>
      <c r="D194" s="22" t="s">
        <v>55</v>
      </c>
      <c r="E194" s="21"/>
      <c r="F194" s="22" t="s">
        <v>10</v>
      </c>
      <c r="G194" s="21" t="s">
        <v>3</v>
      </c>
      <c r="H194" s="13" t="s">
        <v>13</v>
      </c>
      <c r="I194" s="9"/>
    </row>
    <row r="195" spans="1:9" x14ac:dyDescent="0.25">
      <c r="A195" s="43" t="s">
        <v>279</v>
      </c>
      <c r="B195" s="120">
        <v>1</v>
      </c>
      <c r="C195" s="116"/>
      <c r="D195" s="43"/>
      <c r="E195" s="47"/>
      <c r="F195" s="47">
        <v>3500</v>
      </c>
      <c r="G195" s="133">
        <v>3500</v>
      </c>
      <c r="H195" s="43"/>
      <c r="I195" s="9"/>
    </row>
    <row r="196" spans="1:9" x14ac:dyDescent="0.25">
      <c r="A196" s="88" t="s">
        <v>280</v>
      </c>
      <c r="B196" s="120">
        <v>2</v>
      </c>
      <c r="C196" s="117"/>
      <c r="D196" s="2"/>
      <c r="E196" s="46"/>
      <c r="F196" s="46">
        <v>3500</v>
      </c>
      <c r="G196" s="56"/>
      <c r="H196" s="44"/>
      <c r="I196" s="9" t="s">
        <v>376</v>
      </c>
    </row>
    <row r="197" spans="1:9" x14ac:dyDescent="0.25">
      <c r="A197" s="88" t="s">
        <v>21</v>
      </c>
      <c r="B197" s="120">
        <v>3</v>
      </c>
      <c r="C197" s="44"/>
      <c r="D197" s="43"/>
      <c r="E197" s="46"/>
      <c r="F197" s="46"/>
      <c r="G197" s="56"/>
      <c r="H197" s="44"/>
      <c r="I197" s="9"/>
    </row>
    <row r="198" spans="1:9" x14ac:dyDescent="0.25">
      <c r="A198" s="88" t="s">
        <v>282</v>
      </c>
      <c r="B198" s="120">
        <v>4</v>
      </c>
      <c r="C198" s="44"/>
      <c r="D198" s="43"/>
      <c r="E198" s="46"/>
      <c r="F198" s="46">
        <v>2000</v>
      </c>
      <c r="G198" s="56"/>
      <c r="H198" s="44"/>
      <c r="I198" s="9" t="s">
        <v>376</v>
      </c>
    </row>
    <row r="199" spans="1:9" x14ac:dyDescent="0.25">
      <c r="A199" s="43" t="s">
        <v>21</v>
      </c>
      <c r="B199" s="120">
        <v>5</v>
      </c>
      <c r="C199" s="44"/>
      <c r="D199" s="44"/>
      <c r="E199" s="46"/>
      <c r="F199" s="46"/>
      <c r="G199" s="46"/>
      <c r="H199" s="44"/>
      <c r="I199" s="9"/>
    </row>
    <row r="200" spans="1:9" x14ac:dyDescent="0.25">
      <c r="A200" s="43" t="s">
        <v>284</v>
      </c>
      <c r="B200" s="120">
        <v>6</v>
      </c>
      <c r="C200" s="44"/>
      <c r="D200" s="44"/>
      <c r="E200" s="46"/>
      <c r="F200" s="46">
        <v>3500</v>
      </c>
      <c r="G200" s="46"/>
      <c r="H200" s="44" t="s">
        <v>314</v>
      </c>
      <c r="I200" s="9" t="s">
        <v>376</v>
      </c>
    </row>
    <row r="201" spans="1:9" x14ac:dyDescent="0.25">
      <c r="A201" s="43" t="s">
        <v>285</v>
      </c>
      <c r="B201" s="120">
        <v>7</v>
      </c>
      <c r="C201" s="44"/>
      <c r="D201" s="44"/>
      <c r="E201" s="73"/>
      <c r="F201" s="46">
        <v>3500</v>
      </c>
      <c r="G201" s="68">
        <v>3500</v>
      </c>
      <c r="H201" s="44"/>
      <c r="I201" s="9" t="s">
        <v>376</v>
      </c>
    </row>
    <row r="202" spans="1:9" x14ac:dyDescent="0.25">
      <c r="A202" s="47" t="s">
        <v>304</v>
      </c>
      <c r="B202" s="120">
        <v>8</v>
      </c>
      <c r="C202" s="48"/>
      <c r="D202" s="46"/>
      <c r="E202" s="46"/>
      <c r="F202" s="46">
        <v>2000</v>
      </c>
      <c r="G202" s="46"/>
      <c r="H202" s="46"/>
      <c r="I202" s="9"/>
    </row>
    <row r="203" spans="1:9" x14ac:dyDescent="0.25">
      <c r="A203" s="44"/>
      <c r="B203" s="120">
        <v>9</v>
      </c>
      <c r="C203" s="44"/>
      <c r="D203" s="44"/>
      <c r="E203" s="44"/>
      <c r="F203" s="44"/>
      <c r="G203" s="44"/>
      <c r="H203" s="44"/>
      <c r="I203" s="9"/>
    </row>
    <row r="204" spans="1:9" x14ac:dyDescent="0.25">
      <c r="A204" s="45" t="s">
        <v>137</v>
      </c>
      <c r="B204" s="120">
        <v>10</v>
      </c>
      <c r="C204" s="44"/>
      <c r="D204" s="44"/>
      <c r="E204" s="115"/>
      <c r="F204" s="105">
        <f>SUM(F195:F203)</f>
        <v>18000</v>
      </c>
      <c r="G204" s="44">
        <f>SUM(G195:G203)</f>
        <v>7000</v>
      </c>
      <c r="H204" s="44"/>
      <c r="I204" s="9"/>
    </row>
    <row r="205" spans="1:9" x14ac:dyDescent="0.25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7000</v>
      </c>
      <c r="I206" s="102">
        <f>J204</f>
        <v>0</v>
      </c>
    </row>
    <row r="207" spans="1:9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</row>
    <row r="208" spans="1:9" x14ac:dyDescent="0.25">
      <c r="A208" s="9"/>
      <c r="B208" s="103" t="s">
        <v>347</v>
      </c>
      <c r="C208" s="101"/>
      <c r="D208" s="97"/>
      <c r="E208" s="72">
        <f>H208</f>
        <v>-1950</v>
      </c>
      <c r="F208" s="103" t="s">
        <v>343</v>
      </c>
      <c r="G208" s="101"/>
      <c r="H208" s="72">
        <f>'JULY 2017'!I215</f>
        <v>-1950</v>
      </c>
      <c r="I208" s="9"/>
    </row>
    <row r="209" spans="1:9" x14ac:dyDescent="0.25">
      <c r="A209" s="9"/>
      <c r="B209" s="103" t="s">
        <v>229</v>
      </c>
      <c r="C209" s="101"/>
      <c r="D209" s="97"/>
      <c r="E209" s="72">
        <f>SUM(E206:E208)</f>
        <v>16050</v>
      </c>
      <c r="F209" s="103"/>
      <c r="G209" s="101"/>
      <c r="H209" s="9">
        <f>SUM(H206:H208)</f>
        <v>5050.1000000000004</v>
      </c>
      <c r="I209" s="9"/>
    </row>
    <row r="210" spans="1:9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I211" s="9"/>
    </row>
    <row r="212" spans="1:9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700</v>
      </c>
    </row>
    <row r="213" spans="1:9" x14ac:dyDescent="0.25">
      <c r="A213" s="9"/>
      <c r="B213" s="36" t="s">
        <v>383</v>
      </c>
      <c r="C213" s="17"/>
      <c r="D213" s="9"/>
      <c r="E213" s="34">
        <v>10000</v>
      </c>
      <c r="F213" s="36" t="s">
        <v>353</v>
      </c>
      <c r="G213" s="17"/>
      <c r="H213" s="34"/>
    </row>
    <row r="214" spans="1:9" x14ac:dyDescent="0.25">
      <c r="A214" s="9"/>
      <c r="B214" s="9" t="s">
        <v>384</v>
      </c>
      <c r="C214" s="9"/>
      <c r="D214" s="9"/>
      <c r="E214" s="9"/>
      <c r="F214" s="9" t="s">
        <v>354</v>
      </c>
      <c r="G214" s="9"/>
      <c r="H214" s="147">
        <v>10000</v>
      </c>
    </row>
    <row r="215" spans="1:9" x14ac:dyDescent="0.25">
      <c r="A215" s="9"/>
      <c r="B215" s="9"/>
      <c r="C215" s="9"/>
      <c r="D215" s="9"/>
      <c r="E215" s="9"/>
      <c r="F215" s="9"/>
      <c r="G215" s="9"/>
      <c r="H215" s="9"/>
    </row>
    <row r="216" spans="1:9" x14ac:dyDescent="0.25">
      <c r="A216" s="9"/>
      <c r="B216" s="36" t="s">
        <v>2</v>
      </c>
      <c r="C216" s="9"/>
      <c r="D216" s="9"/>
      <c r="E216" s="72">
        <f>SUM(E212:E215)</f>
        <v>11800</v>
      </c>
      <c r="F216" s="36" t="s">
        <v>2</v>
      </c>
      <c r="G216" s="9"/>
      <c r="H216" s="72">
        <f>SUM(H212:H214)</f>
        <v>10700</v>
      </c>
    </row>
    <row r="217" spans="1:9" x14ac:dyDescent="0.25">
      <c r="A217" s="9"/>
      <c r="B217" s="36" t="s">
        <v>355</v>
      </c>
      <c r="C217" s="9"/>
      <c r="D217" s="9"/>
      <c r="E217" s="72">
        <f>E209-E216</f>
        <v>4250</v>
      </c>
      <c r="F217" s="36" t="s">
        <v>355</v>
      </c>
      <c r="G217" s="9"/>
      <c r="H217" s="72">
        <f>H209-H216</f>
        <v>-5649.9</v>
      </c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0"/>
  <sheetViews>
    <sheetView topLeftCell="A97" workbookViewId="0">
      <selection activeCell="G200" sqref="G200"/>
    </sheetView>
  </sheetViews>
  <sheetFormatPr defaultRowHeight="15" x14ac:dyDescent="0.25"/>
  <cols>
    <col min="1" max="1" width="12.140625" customWidth="1"/>
    <col min="2" max="2" width="11" customWidth="1"/>
    <col min="3" max="3" width="10.42578125" customWidth="1"/>
    <col min="4" max="4" width="11.7109375" customWidth="1"/>
    <col min="5" max="5" width="10.7109375" customWidth="1"/>
    <col min="6" max="6" width="10.28515625" customWidth="1"/>
    <col min="7" max="7" width="11" customWidth="1"/>
    <col min="8" max="8" width="11.5703125" customWidth="1"/>
    <col min="9" max="10" width="10.5703125" bestFit="1" customWidth="1"/>
    <col min="11" max="11" width="9.5703125" bestFit="1" customWidth="1"/>
    <col min="12" max="12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/>
      <c r="F11" s="46">
        <f t="shared" si="0"/>
        <v>0</v>
      </c>
      <c r="G11" s="46">
        <v>1000</v>
      </c>
      <c r="H11" s="68">
        <f t="shared" si="1"/>
        <v>-1000</v>
      </c>
    </row>
    <row r="12" spans="1:8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/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44">
        <v>9</v>
      </c>
      <c r="C16" s="44"/>
      <c r="D16" s="44"/>
      <c r="E16" s="44"/>
      <c r="F16" s="44"/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12000</v>
      </c>
      <c r="H20" s="68">
        <f>SUM(H8:H19)</f>
        <v>7500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36"/>
      <c r="B26" s="17"/>
      <c r="C26" s="9"/>
      <c r="D26" s="34"/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16200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18000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76" t="s">
        <v>97</v>
      </c>
      <c r="C42" s="176"/>
      <c r="D42" s="176"/>
      <c r="E42" s="176"/>
      <c r="F42" s="176"/>
      <c r="G42" s="176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>
        <v>2500</v>
      </c>
      <c r="E46" s="46">
        <v>3000</v>
      </c>
      <c r="F46" s="46">
        <f>D46+E46</f>
        <v>5500</v>
      </c>
      <c r="G46" s="53"/>
      <c r="H46" s="105">
        <f>F46-G46</f>
        <v>5500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>D48+E48</f>
        <v>5000</v>
      </c>
      <c r="G48" s="53">
        <v>5000</v>
      </c>
      <c r="H48" s="105">
        <f t="shared" si="3"/>
        <v>0</v>
      </c>
    </row>
    <row r="49" spans="1:9" x14ac:dyDescent="0.25">
      <c r="A49" s="43" t="s">
        <v>21</v>
      </c>
      <c r="B49" s="3"/>
      <c r="C49" s="44"/>
      <c r="D49" s="44"/>
      <c r="E49" s="46"/>
      <c r="F49" s="46"/>
      <c r="G49" s="53"/>
      <c r="H49" s="105"/>
    </row>
    <row r="50" spans="1:9" x14ac:dyDescent="0.25">
      <c r="A50" s="43" t="s">
        <v>377</v>
      </c>
      <c r="B50" s="3"/>
      <c r="C50" s="44"/>
      <c r="D50" s="44"/>
      <c r="E50" s="46">
        <v>1500</v>
      </c>
      <c r="F50" s="46">
        <f t="shared" si="2"/>
        <v>1500</v>
      </c>
      <c r="G50" s="53">
        <v>1500</v>
      </c>
      <c r="H50" s="105">
        <f t="shared" si="3"/>
        <v>0</v>
      </c>
    </row>
    <row r="51" spans="1:9" x14ac:dyDescent="0.25">
      <c r="A51" s="43" t="s">
        <v>21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9" x14ac:dyDescent="0.25">
      <c r="A52" s="47" t="s">
        <v>238</v>
      </c>
      <c r="B52" s="16"/>
      <c r="C52" s="48"/>
      <c r="D52" s="46">
        <v>6000</v>
      </c>
      <c r="E52" s="46">
        <v>3000</v>
      </c>
      <c r="F52" s="46">
        <f t="shared" si="2"/>
        <v>9000</v>
      </c>
      <c r="G52" s="53">
        <v>1000</v>
      </c>
      <c r="H52" s="105">
        <f t="shared" si="3"/>
        <v>8000</v>
      </c>
    </row>
    <row r="53" spans="1:9" x14ac:dyDescent="0.25">
      <c r="A53" s="44" t="s">
        <v>344</v>
      </c>
      <c r="B53" s="44"/>
      <c r="C53" s="44"/>
      <c r="D53" s="44"/>
      <c r="E53" s="44">
        <v>3000</v>
      </c>
      <c r="F53" s="46">
        <v>3000</v>
      </c>
      <c r="G53" s="113">
        <v>3000</v>
      </c>
      <c r="H53" s="105">
        <f t="shared" si="3"/>
        <v>0</v>
      </c>
      <c r="I53" t="s">
        <v>107</v>
      </c>
    </row>
    <row r="54" spans="1:9" x14ac:dyDescent="0.25">
      <c r="A54" s="88" t="s">
        <v>21</v>
      </c>
      <c r="B54" s="44"/>
      <c r="C54" s="44"/>
      <c r="D54" s="44"/>
      <c r="E54" s="115"/>
      <c r="F54" s="46"/>
      <c r="G54" s="134"/>
      <c r="H54" s="105">
        <f t="shared" si="3"/>
        <v>0</v>
      </c>
    </row>
    <row r="55" spans="1:9" x14ac:dyDescent="0.25">
      <c r="A55" s="88"/>
      <c r="B55" s="44"/>
      <c r="C55" s="44"/>
      <c r="D55" s="44"/>
      <c r="E55" s="115"/>
      <c r="F55" s="46"/>
      <c r="G55" s="134"/>
      <c r="H55" s="105"/>
    </row>
    <row r="56" spans="1:9" x14ac:dyDescent="0.25">
      <c r="A56" s="88" t="s">
        <v>21</v>
      </c>
      <c r="B56" s="44"/>
      <c r="C56" s="44"/>
      <c r="D56" s="44"/>
      <c r="E56" s="115"/>
      <c r="F56" s="46"/>
      <c r="G56" s="134"/>
      <c r="H56" s="105"/>
    </row>
    <row r="57" spans="1:9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9" x14ac:dyDescent="0.25">
      <c r="A58" s="44"/>
      <c r="B58" s="44"/>
      <c r="C58" s="44"/>
      <c r="D58" s="44">
        <f>SUM(D45:D57)</f>
        <v>8500</v>
      </c>
      <c r="E58" s="105">
        <f>SUM(E45:E57)</f>
        <v>21500</v>
      </c>
      <c r="F58" s="105">
        <f>SUM(F46:F57)</f>
        <v>30000</v>
      </c>
      <c r="G58" s="105">
        <f>SUM(G46:G57)</f>
        <v>16500</v>
      </c>
      <c r="H58" s="105">
        <f>SUM(H46:H57)</f>
        <v>13500</v>
      </c>
    </row>
    <row r="59" spans="1:9" x14ac:dyDescent="0.25">
      <c r="A59" s="100" t="s">
        <v>60</v>
      </c>
      <c r="B59" s="101"/>
      <c r="C59" s="97"/>
      <c r="D59" s="102">
        <f>E58</f>
        <v>21500</v>
      </c>
      <c r="E59" s="100" t="s">
        <v>60</v>
      </c>
      <c r="F59" s="101"/>
      <c r="G59" s="97"/>
      <c r="H59" s="102">
        <f>G58</f>
        <v>16500</v>
      </c>
    </row>
    <row r="60" spans="1:9" x14ac:dyDescent="0.25">
      <c r="A60" s="103" t="s">
        <v>347</v>
      </c>
      <c r="B60" s="101"/>
      <c r="C60" s="97"/>
      <c r="D60" s="104">
        <v>500</v>
      </c>
      <c r="E60" s="103" t="s">
        <v>347</v>
      </c>
      <c r="F60" s="101"/>
      <c r="G60" s="97"/>
      <c r="H60" s="104">
        <v>2500</v>
      </c>
    </row>
    <row r="61" spans="1:9" x14ac:dyDescent="0.25">
      <c r="A61" s="103"/>
      <c r="B61" s="101"/>
      <c r="C61" s="97"/>
      <c r="D61" s="104">
        <f>SUM(D59:D60)</f>
        <v>22000</v>
      </c>
      <c r="E61" s="103"/>
      <c r="F61" s="101"/>
      <c r="G61" s="97"/>
      <c r="H61" s="104">
        <f>SUM(H59:H60)</f>
        <v>19000</v>
      </c>
    </row>
    <row r="62" spans="1:9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9" x14ac:dyDescent="0.25">
      <c r="A63" s="36" t="s">
        <v>22</v>
      </c>
      <c r="B63" s="146">
        <v>0.1</v>
      </c>
      <c r="C63" s="9"/>
      <c r="D63" s="34">
        <f>D61*B63</f>
        <v>2200</v>
      </c>
      <c r="E63" s="36" t="s">
        <v>22</v>
      </c>
      <c r="F63" s="146">
        <v>0.1</v>
      </c>
      <c r="G63" s="9"/>
      <c r="H63" s="34">
        <f>H61*F63</f>
        <v>1900</v>
      </c>
    </row>
    <row r="64" spans="1:9" x14ac:dyDescent="0.25">
      <c r="A64" s="36" t="s">
        <v>358</v>
      </c>
      <c r="B64" s="9"/>
      <c r="C64" s="9"/>
      <c r="D64" s="72">
        <v>4000</v>
      </c>
      <c r="E64" s="36" t="s">
        <v>180</v>
      </c>
      <c r="F64" s="9"/>
      <c r="G64" s="9"/>
      <c r="H64" s="72">
        <v>4000</v>
      </c>
    </row>
    <row r="65" spans="1:9" x14ac:dyDescent="0.25">
      <c r="A65" s="36" t="s">
        <v>360</v>
      </c>
      <c r="B65" s="9"/>
      <c r="C65" s="9"/>
      <c r="D65" s="9">
        <v>5850</v>
      </c>
      <c r="F65" s="9"/>
      <c r="G65" s="9"/>
      <c r="H65" s="9">
        <v>5850</v>
      </c>
    </row>
    <row r="66" spans="1:9" x14ac:dyDescent="0.25">
      <c r="B66" t="s">
        <v>75</v>
      </c>
      <c r="D66" s="9">
        <v>7000</v>
      </c>
      <c r="E66" s="36" t="s">
        <v>378</v>
      </c>
      <c r="F66" s="9"/>
      <c r="H66">
        <v>7000</v>
      </c>
    </row>
    <row r="67" spans="1:9" x14ac:dyDescent="0.25">
      <c r="A67" s="36" t="s">
        <v>361</v>
      </c>
      <c r="B67" s="9"/>
      <c r="C67" s="9"/>
      <c r="D67" s="72">
        <v>850</v>
      </c>
      <c r="E67" s="36"/>
      <c r="F67" s="9"/>
      <c r="G67" s="9"/>
      <c r="H67" s="72">
        <v>850</v>
      </c>
    </row>
    <row r="68" spans="1:9" x14ac:dyDescent="0.25">
      <c r="A68" s="36"/>
      <c r="B68" s="9"/>
      <c r="C68" s="9"/>
      <c r="D68" s="72">
        <f>SUM(D63:D67)</f>
        <v>19900</v>
      </c>
      <c r="E68" s="9"/>
      <c r="F68" s="9"/>
      <c r="G68" s="9"/>
      <c r="H68" s="72">
        <f>SUM(H63:H67)</f>
        <v>19600</v>
      </c>
      <c r="I68" s="72">
        <f>H64+H65+H66+H67</f>
        <v>17700</v>
      </c>
    </row>
    <row r="69" spans="1:9" x14ac:dyDescent="0.25">
      <c r="A69" s="36" t="s">
        <v>355</v>
      </c>
      <c r="B69" s="9"/>
      <c r="C69" s="9"/>
      <c r="D69" s="135">
        <f>D61-D68</f>
        <v>2100</v>
      </c>
      <c r="E69" s="38" t="s">
        <v>24</v>
      </c>
      <c r="F69" s="39"/>
      <c r="G69" s="9"/>
      <c r="H69" s="135">
        <f>H61-H68</f>
        <v>-600</v>
      </c>
    </row>
    <row r="70" spans="1:9" x14ac:dyDescent="0.25">
      <c r="A70" s="36"/>
      <c r="B70" s="9"/>
      <c r="C70" s="9"/>
      <c r="D70" s="72"/>
      <c r="E70" s="9"/>
      <c r="F70" s="9"/>
      <c r="G70" s="9"/>
      <c r="H70" s="9"/>
    </row>
    <row r="71" spans="1:9" x14ac:dyDescent="0.25">
      <c r="A71" s="9"/>
      <c r="B71" s="9"/>
      <c r="C71" s="9"/>
      <c r="D71" s="9"/>
      <c r="E71" s="9"/>
      <c r="F71" s="9"/>
      <c r="G71" s="9"/>
      <c r="H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9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9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8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8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8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8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8" x14ac:dyDescent="0.25">
      <c r="A85" s="43"/>
      <c r="B85" s="3"/>
      <c r="C85" s="44"/>
      <c r="D85" s="46"/>
      <c r="E85" s="44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100" t="s">
        <v>60</v>
      </c>
      <c r="B87" s="101"/>
      <c r="C87" s="97"/>
      <c r="D87" s="102">
        <f>D84</f>
        <v>14000</v>
      </c>
      <c r="E87" s="9"/>
      <c r="F87" s="9"/>
      <c r="G87" s="9">
        <f>F84</f>
        <v>9000</v>
      </c>
      <c r="H87" s="9"/>
    </row>
    <row r="88" spans="1:8" x14ac:dyDescent="0.25">
      <c r="A88" s="103"/>
      <c r="B88" s="101"/>
      <c r="C88" s="97"/>
      <c r="D88" s="104"/>
      <c r="E88" s="51"/>
      <c r="F88" s="9"/>
      <c r="G88" s="9"/>
      <c r="H88" s="9"/>
    </row>
    <row r="89" spans="1:8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</row>
    <row r="90" spans="1:8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 s="9">
        <f>F90*G87</f>
        <v>900</v>
      </c>
      <c r="H90" s="9"/>
    </row>
    <row r="91" spans="1:8" x14ac:dyDescent="0.25">
      <c r="A91" s="36" t="s">
        <v>172</v>
      </c>
      <c r="B91" s="9"/>
      <c r="C91" s="9"/>
      <c r="D91" s="133">
        <v>3150</v>
      </c>
      <c r="E91" s="9"/>
      <c r="F91" s="9" t="s">
        <v>227</v>
      </c>
      <c r="G91" s="133">
        <v>3150</v>
      </c>
      <c r="H91" s="9"/>
    </row>
    <row r="92" spans="1:8" x14ac:dyDescent="0.25">
      <c r="A92" s="9" t="s">
        <v>362</v>
      </c>
      <c r="B92" s="9"/>
      <c r="C92" s="9"/>
      <c r="D92" s="72">
        <v>3150</v>
      </c>
      <c r="E92" s="72"/>
      <c r="F92" s="9"/>
      <c r="G92" s="72">
        <v>3150</v>
      </c>
      <c r="H92" s="9"/>
    </row>
    <row r="93" spans="1:8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</row>
    <row r="94" spans="1:8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8" x14ac:dyDescent="0.25">
      <c r="A95" s="9"/>
      <c r="B95" s="9"/>
      <c r="C95" s="9"/>
      <c r="D95" s="9"/>
      <c r="E95" s="91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76" t="s">
        <v>292</v>
      </c>
      <c r="E101" s="176"/>
      <c r="F101" s="176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3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2400</v>
      </c>
      <c r="H108" s="129">
        <f t="shared" si="5"/>
        <v>100</v>
      </c>
    </row>
    <row r="109" spans="1:8" x14ac:dyDescent="0.25">
      <c r="A109" s="43" t="s">
        <v>386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1500</v>
      </c>
      <c r="H109" s="129">
        <f t="shared" si="5"/>
        <v>1000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2500</v>
      </c>
      <c r="F112" s="47">
        <f t="shared" si="4"/>
        <v>2500</v>
      </c>
      <c r="G112" s="150">
        <v>2500</v>
      </c>
      <c r="H112" s="129">
        <f t="shared" si="5"/>
        <v>0</v>
      </c>
    </row>
    <row r="113" spans="1:8" x14ac:dyDescent="0.25">
      <c r="A113" s="184" t="s">
        <v>123</v>
      </c>
      <c r="B113" s="120">
        <v>10</v>
      </c>
      <c r="C113" s="9"/>
      <c r="D113" s="44"/>
      <c r="E113" s="115"/>
      <c r="F113" s="47"/>
      <c r="G113" s="150"/>
      <c r="H113" s="129">
        <f t="shared" si="5"/>
        <v>0</v>
      </c>
    </row>
    <row r="114" spans="1:8" x14ac:dyDescent="0.25">
      <c r="A114" s="45" t="s">
        <v>327</v>
      </c>
      <c r="B114" s="120">
        <v>11</v>
      </c>
      <c r="C114" s="119"/>
      <c r="D114" s="44"/>
      <c r="E114" s="105">
        <v>2700</v>
      </c>
      <c r="F114" s="47">
        <f t="shared" si="4"/>
        <v>2700</v>
      </c>
      <c r="G114" s="150">
        <v>2500</v>
      </c>
      <c r="H114" s="129">
        <f t="shared" si="5"/>
        <v>200</v>
      </c>
    </row>
    <row r="115" spans="1:8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374</v>
      </c>
      <c r="B116" s="120">
        <v>13</v>
      </c>
      <c r="C116" s="117"/>
      <c r="D116" s="9"/>
      <c r="E116" s="44">
        <v>2500</v>
      </c>
      <c r="F116" s="47">
        <v>2500</v>
      </c>
      <c r="G116" s="150"/>
      <c r="H116" s="129">
        <f t="shared" si="5"/>
        <v>2500</v>
      </c>
    </row>
    <row r="117" spans="1:8" x14ac:dyDescent="0.25">
      <c r="A117" s="44" t="s">
        <v>123</v>
      </c>
      <c r="B117" s="120">
        <v>14</v>
      </c>
      <c r="C117" s="117"/>
      <c r="D117" s="44"/>
      <c r="E117" s="44"/>
      <c r="F117" s="47"/>
      <c r="G117" s="150"/>
      <c r="H117" s="129">
        <f t="shared" si="5"/>
        <v>0</v>
      </c>
    </row>
    <row r="118" spans="1:8" x14ac:dyDescent="0.25">
      <c r="A118" s="125"/>
      <c r="B118" s="120">
        <v>15</v>
      </c>
      <c r="C118" s="117"/>
      <c r="D118" s="44"/>
      <c r="E118" s="44"/>
      <c r="F118" s="47"/>
      <c r="G118" s="150"/>
      <c r="H118" s="129">
        <f t="shared" si="5"/>
        <v>0</v>
      </c>
    </row>
    <row r="119" spans="1:8" x14ac:dyDescent="0.25">
      <c r="A119" s="44" t="s">
        <v>251</v>
      </c>
      <c r="B119" s="148">
        <v>16</v>
      </c>
      <c r="C119" s="9"/>
      <c r="D119" s="9"/>
      <c r="E119" s="125">
        <v>2500</v>
      </c>
      <c r="F119" s="47">
        <v>2500</v>
      </c>
      <c r="G119" s="150">
        <v>2000</v>
      </c>
      <c r="H119" s="129">
        <f t="shared" si="5"/>
        <v>500</v>
      </c>
    </row>
    <row r="120" spans="1:8" x14ac:dyDescent="0.25">
      <c r="A120" s="44" t="s">
        <v>330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1000</v>
      </c>
      <c r="H120" s="129">
        <f t="shared" si="5"/>
        <v>2200</v>
      </c>
    </row>
    <row r="121" spans="1:8" x14ac:dyDescent="0.25">
      <c r="A121" s="125" t="s">
        <v>331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1200</v>
      </c>
      <c r="H121" s="129">
        <f t="shared" si="5"/>
        <v>400</v>
      </c>
    </row>
    <row r="122" spans="1:8" x14ac:dyDescent="0.25">
      <c r="A122" s="44" t="s">
        <v>123</v>
      </c>
      <c r="B122" s="141">
        <v>19</v>
      </c>
      <c r="C122" s="142"/>
      <c r="D122" s="58"/>
      <c r="E122" s="58"/>
      <c r="F122" s="61"/>
      <c r="G122" s="58"/>
      <c r="H122" s="129">
        <f t="shared" si="5"/>
        <v>0</v>
      </c>
    </row>
    <row r="123" spans="1:8" x14ac:dyDescent="0.25">
      <c r="A123" s="44" t="s">
        <v>123</v>
      </c>
      <c r="B123" s="44">
        <v>20</v>
      </c>
      <c r="C123" s="44"/>
      <c r="D123" s="44"/>
      <c r="E123" s="44"/>
      <c r="F123" s="44"/>
      <c r="G123" s="44"/>
      <c r="H123" s="129">
        <f t="shared" si="5"/>
        <v>0</v>
      </c>
    </row>
    <row r="124" spans="1:8" x14ac:dyDescent="0.25">
      <c r="A124" s="138"/>
      <c r="B124" s="138"/>
      <c r="C124" s="138"/>
      <c r="D124" s="138">
        <f>SUM(D117:D123)</f>
        <v>1600</v>
      </c>
      <c r="E124" s="139">
        <f>SUM(E104:E123)</f>
        <v>41900</v>
      </c>
      <c r="F124" s="138"/>
      <c r="G124" s="139">
        <f>SUM(G104:G123)</f>
        <v>36600</v>
      </c>
      <c r="H124" s="139">
        <f>SUM(H104:H123)</f>
        <v>6900</v>
      </c>
    </row>
    <row r="125" spans="1:8" x14ac:dyDescent="0.25">
      <c r="A125" s="100" t="s">
        <v>60</v>
      </c>
      <c r="B125" s="101"/>
      <c r="C125" s="97"/>
      <c r="D125" s="102">
        <f>E124</f>
        <v>41900</v>
      </c>
      <c r="E125" s="100" t="s">
        <v>60</v>
      </c>
      <c r="F125" s="101"/>
      <c r="G125" s="97"/>
      <c r="H125" s="102">
        <f>G124</f>
        <v>36600</v>
      </c>
    </row>
    <row r="126" spans="1:8" x14ac:dyDescent="0.25">
      <c r="A126" s="103" t="s">
        <v>347</v>
      </c>
      <c r="B126" s="101"/>
      <c r="C126" s="97"/>
      <c r="D126" s="104"/>
      <c r="E126" s="103" t="s">
        <v>343</v>
      </c>
      <c r="F126" s="101"/>
      <c r="G126" s="97"/>
      <c r="H126" s="104"/>
    </row>
    <row r="127" spans="1:8" x14ac:dyDescent="0.25">
      <c r="A127" s="103" t="s">
        <v>333</v>
      </c>
      <c r="B127" s="101"/>
      <c r="C127" s="97"/>
      <c r="D127" s="104"/>
      <c r="E127" s="103"/>
      <c r="F127" s="101"/>
      <c r="G127" s="97"/>
      <c r="H127" s="104"/>
    </row>
    <row r="128" spans="1:8" x14ac:dyDescent="0.25">
      <c r="A128" s="67" t="s">
        <v>58</v>
      </c>
      <c r="B128" s="9"/>
      <c r="C128" s="9"/>
      <c r="D128" s="72">
        <f>SUM(D125:D127)</f>
        <v>41900</v>
      </c>
      <c r="E128" s="67" t="s">
        <v>58</v>
      </c>
      <c r="F128" s="9"/>
      <c r="G128" s="9"/>
      <c r="H128" s="72">
        <f>SUM(H125:H127)</f>
        <v>36600</v>
      </c>
    </row>
    <row r="129" spans="1:93" x14ac:dyDescent="0.25">
      <c r="A129" s="36" t="s">
        <v>22</v>
      </c>
      <c r="B129" s="17"/>
      <c r="C129" s="9"/>
      <c r="D129" s="34">
        <f>SUM(D125*10%)</f>
        <v>4190</v>
      </c>
      <c r="E129" s="36" t="s">
        <v>22</v>
      </c>
      <c r="F129" s="17"/>
      <c r="G129" s="9"/>
      <c r="H129" s="34">
        <f>SUM(H125*10%)</f>
        <v>3660</v>
      </c>
    </row>
    <row r="130" spans="1:93" x14ac:dyDescent="0.25">
      <c r="A130" s="36" t="s">
        <v>487</v>
      </c>
      <c r="B130" s="17"/>
      <c r="C130" s="9"/>
      <c r="D130" s="34">
        <v>15000</v>
      </c>
      <c r="E130" s="36" t="s">
        <v>392</v>
      </c>
      <c r="F130" s="17"/>
      <c r="G130" s="9"/>
      <c r="H130" s="34">
        <v>15000</v>
      </c>
    </row>
    <row r="131" spans="1:93" x14ac:dyDescent="0.25">
      <c r="A131" s="36" t="s">
        <v>488</v>
      </c>
      <c r="B131" s="9"/>
      <c r="C131" s="9"/>
      <c r="D131" s="72">
        <v>15000</v>
      </c>
      <c r="E131" s="36" t="s">
        <v>393</v>
      </c>
      <c r="F131" s="9"/>
      <c r="G131" s="9"/>
      <c r="H131" s="72">
        <v>15000</v>
      </c>
    </row>
    <row r="132" spans="1:93" x14ac:dyDescent="0.25">
      <c r="A132" s="36" t="s">
        <v>489</v>
      </c>
      <c r="B132" s="9"/>
      <c r="C132" s="9"/>
      <c r="D132" s="72">
        <v>6270</v>
      </c>
      <c r="E132" s="36" t="s">
        <v>489</v>
      </c>
      <c r="H132">
        <v>6270</v>
      </c>
      <c r="L132" s="72">
        <f>D130+D131+D132</f>
        <v>36270</v>
      </c>
    </row>
    <row r="133" spans="1:93" x14ac:dyDescent="0.25">
      <c r="A133" s="36"/>
      <c r="B133" s="9"/>
      <c r="C133" s="9"/>
      <c r="D133" s="72">
        <f>SUM(D129:D132)</f>
        <v>40460</v>
      </c>
      <c r="E133" s="36" t="s">
        <v>2</v>
      </c>
      <c r="F133" s="9"/>
      <c r="G133" s="9"/>
      <c r="H133" s="72">
        <f>SUM(H129:H132)</f>
        <v>39930</v>
      </c>
    </row>
    <row r="134" spans="1:93" x14ac:dyDescent="0.25">
      <c r="A134" s="36"/>
      <c r="B134" s="9"/>
      <c r="C134" s="9"/>
      <c r="D134" s="72">
        <f>D128-D133</f>
        <v>1440</v>
      </c>
      <c r="E134" s="36" t="s">
        <v>26</v>
      </c>
      <c r="F134" s="9"/>
      <c r="G134" s="9"/>
      <c r="H134" s="72"/>
    </row>
    <row r="135" spans="1:93" x14ac:dyDescent="0.25">
      <c r="A135" s="9"/>
      <c r="B135" s="9"/>
      <c r="C135" s="9"/>
      <c r="D135" s="9"/>
      <c r="E135" s="9"/>
      <c r="F135" s="9"/>
      <c r="G135" s="9"/>
      <c r="H135" s="9"/>
    </row>
    <row r="136" spans="1:93" x14ac:dyDescent="0.25">
      <c r="A136" s="9"/>
      <c r="B136" s="9"/>
      <c r="C136" s="9"/>
      <c r="D136" s="9"/>
      <c r="E136" s="9"/>
      <c r="F136" s="9"/>
      <c r="G136" s="9"/>
      <c r="H136" s="9"/>
    </row>
    <row r="137" spans="1:93" x14ac:dyDescent="0.25">
      <c r="A137" s="9"/>
      <c r="B137" s="9"/>
      <c r="C137" s="9"/>
      <c r="D137" s="9"/>
      <c r="E137" s="9"/>
      <c r="F137" s="9"/>
      <c r="G137" s="9"/>
      <c r="H137" s="9"/>
    </row>
    <row r="138" spans="1:93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3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3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3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3" ht="28.5" x14ac:dyDescent="0.45">
      <c r="A142" s="175" t="s">
        <v>301</v>
      </c>
      <c r="B142" s="175"/>
      <c r="C142" s="175"/>
      <c r="D142" s="175"/>
      <c r="E142" s="175"/>
      <c r="F142" s="175"/>
      <c r="G142" s="175"/>
      <c r="H142" s="175"/>
    </row>
    <row r="143" spans="1:93" ht="17.25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L143" s="635" t="s">
        <v>396</v>
      </c>
      <c r="M143" s="635"/>
      <c r="N143" s="635"/>
      <c r="O143" s="635"/>
      <c r="P143" s="635"/>
      <c r="Q143" s="635"/>
      <c r="R143" s="635"/>
      <c r="S143" s="635"/>
      <c r="T143" s="635"/>
      <c r="U143" s="635"/>
      <c r="V143" s="635"/>
      <c r="W143" s="635"/>
      <c r="X143" s="635"/>
      <c r="Y143" s="635"/>
      <c r="Z143" s="635"/>
      <c r="AA143" s="635"/>
      <c r="AB143" s="635"/>
      <c r="AC143" s="636" t="s">
        <v>97</v>
      </c>
      <c r="AD143" s="636"/>
      <c r="AE143" s="636"/>
      <c r="AF143" s="636"/>
      <c r="AG143" s="636"/>
      <c r="AH143" s="636"/>
      <c r="AI143" s="636"/>
      <c r="AJ143" s="636"/>
      <c r="AK143" s="636"/>
      <c r="AL143" s="636"/>
      <c r="AM143" s="636"/>
      <c r="AN143" s="635" t="s">
        <v>397</v>
      </c>
      <c r="AO143" s="635"/>
      <c r="AP143" s="635"/>
      <c r="AQ143" s="635"/>
      <c r="AR143" s="635"/>
      <c r="AS143" s="635"/>
      <c r="AT143" s="635"/>
      <c r="AU143" s="635"/>
      <c r="AV143" s="635"/>
      <c r="AW143" s="635"/>
      <c r="AX143" s="636" t="s">
        <v>398</v>
      </c>
      <c r="AY143" s="636"/>
      <c r="AZ143" s="636"/>
      <c r="BA143" s="636"/>
      <c r="BB143" s="636"/>
      <c r="BC143" s="636"/>
      <c r="BD143" s="636"/>
      <c r="BE143" s="636"/>
      <c r="BF143" s="636"/>
      <c r="BG143" s="636"/>
      <c r="BH143" s="636"/>
      <c r="BI143" s="636"/>
      <c r="BJ143" s="636"/>
      <c r="BK143" s="636"/>
      <c r="BL143" s="636"/>
      <c r="BM143" s="636"/>
      <c r="BN143" s="636"/>
      <c r="BO143" s="636"/>
      <c r="BP143" s="636"/>
      <c r="BQ143" s="636"/>
      <c r="BR143" s="636"/>
      <c r="BS143" s="636"/>
      <c r="BT143" s="636"/>
      <c r="BU143" s="636"/>
      <c r="BV143" s="636"/>
      <c r="BW143" s="635" t="s">
        <v>399</v>
      </c>
      <c r="BX143" s="635"/>
      <c r="BY143" s="635"/>
      <c r="BZ143" s="635"/>
      <c r="CA143" s="635"/>
      <c r="CB143" s="635"/>
      <c r="CC143" s="635"/>
      <c r="CD143" s="635"/>
      <c r="CE143" s="635"/>
      <c r="CF143" s="635"/>
      <c r="CG143" s="637" t="s">
        <v>400</v>
      </c>
      <c r="CH143" s="637"/>
      <c r="CI143" s="637"/>
      <c r="CJ143" s="637"/>
      <c r="CK143" s="637"/>
      <c r="CL143" s="637"/>
      <c r="CM143" s="637"/>
      <c r="CN143" s="637"/>
      <c r="CO143" s="637"/>
    </row>
    <row r="144" spans="1:93" x14ac:dyDescent="0.25">
      <c r="A144" s="43" t="s">
        <v>258</v>
      </c>
      <c r="B144" s="120">
        <v>1</v>
      </c>
      <c r="C144" s="116"/>
      <c r="D144" s="43"/>
      <c r="E144" s="47">
        <v>2500</v>
      </c>
      <c r="F144" s="47">
        <f>SUM(D144:E144)</f>
        <v>2500</v>
      </c>
      <c r="G144" s="131">
        <v>2500</v>
      </c>
      <c r="H144" s="129">
        <f>F144-G144</f>
        <v>0</v>
      </c>
      <c r="I144" t="s">
        <v>107</v>
      </c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  <c r="AB144" s="153"/>
      <c r="AC144" s="636"/>
      <c r="AD144" s="636"/>
      <c r="AE144" s="636"/>
      <c r="AF144" s="636"/>
      <c r="AG144" s="636"/>
      <c r="AH144" s="636"/>
      <c r="AI144" s="636"/>
      <c r="AJ144" s="636"/>
      <c r="AK144" s="636"/>
      <c r="AL144" s="636"/>
      <c r="AM144" s="636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636"/>
      <c r="AY144" s="636"/>
      <c r="AZ144" s="636"/>
      <c r="BA144" s="636"/>
      <c r="BB144" s="636"/>
      <c r="BC144" s="636"/>
      <c r="BD144" s="636"/>
      <c r="BE144" s="636"/>
      <c r="BF144" s="636"/>
      <c r="BG144" s="636"/>
      <c r="BH144" s="636"/>
      <c r="BI144" s="636"/>
      <c r="BJ144" s="636"/>
      <c r="BK144" s="636"/>
      <c r="BL144" s="636"/>
      <c r="BM144" s="636"/>
      <c r="BN144" s="636"/>
      <c r="BO144" s="636"/>
      <c r="BP144" s="636"/>
      <c r="BQ144" s="636"/>
      <c r="BR144" s="636"/>
      <c r="BS144" s="636"/>
      <c r="BT144" s="636"/>
      <c r="BU144" s="636"/>
      <c r="BV144" s="636"/>
      <c r="BW144" s="153"/>
      <c r="BX144" s="153"/>
      <c r="BY144" s="153"/>
      <c r="BZ144" s="153"/>
      <c r="CA144" s="153"/>
      <c r="CB144" s="153"/>
      <c r="CC144" s="153"/>
      <c r="CD144" s="153"/>
      <c r="CE144" s="153"/>
      <c r="CF144" s="153"/>
      <c r="CG144" s="153"/>
      <c r="CH144" s="153"/>
      <c r="CI144" s="153"/>
      <c r="CJ144" s="153"/>
      <c r="CK144" s="153"/>
      <c r="CL144" s="153"/>
      <c r="CM144" s="153"/>
      <c r="CN144" s="153"/>
      <c r="CO144" s="153"/>
    </row>
    <row r="145" spans="1:93" x14ac:dyDescent="0.25">
      <c r="A145" s="88" t="s">
        <v>312</v>
      </c>
      <c r="B145" s="120">
        <v>2</v>
      </c>
      <c r="C145" s="117"/>
      <c r="D145" s="2"/>
      <c r="E145" s="46">
        <v>2500</v>
      </c>
      <c r="F145" s="47">
        <f t="shared" ref="F145:F168" si="6">SUM(D145:E145)</f>
        <v>2500</v>
      </c>
      <c r="G145" s="131">
        <v>2500</v>
      </c>
      <c r="H145" s="129">
        <f t="shared" ref="H145:H168" si="7">F145-G145</f>
        <v>0</v>
      </c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J145" s="153"/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3"/>
      <c r="BO145" s="153"/>
      <c r="BP145" s="153"/>
      <c r="BQ145" s="153"/>
      <c r="BR145" s="153"/>
      <c r="BS145" s="153"/>
      <c r="BT145" s="153"/>
      <c r="BU145" s="153"/>
      <c r="BV145" s="153"/>
      <c r="BW145" s="153"/>
      <c r="BX145" s="153"/>
      <c r="BY145" s="153"/>
      <c r="BZ145" s="153"/>
      <c r="CA145" s="153"/>
      <c r="CB145" s="153"/>
      <c r="CC145" s="153"/>
      <c r="CD145" s="153"/>
      <c r="CE145" s="153"/>
      <c r="CF145" s="153"/>
      <c r="CG145" s="153"/>
      <c r="CH145" s="153"/>
      <c r="CI145" s="153"/>
      <c r="CJ145" s="153"/>
      <c r="CK145" s="153"/>
      <c r="CL145" s="153"/>
      <c r="CM145" s="153"/>
      <c r="CN145" s="153"/>
      <c r="CO145" s="153"/>
    </row>
    <row r="146" spans="1:93" x14ac:dyDescent="0.25">
      <c r="B146" s="120">
        <v>3</v>
      </c>
      <c r="C146" s="117"/>
      <c r="D146" s="43"/>
      <c r="E146" s="46"/>
      <c r="F146" s="47">
        <f t="shared" si="6"/>
        <v>0</v>
      </c>
      <c r="G146" s="56"/>
      <c r="H146" s="129">
        <f t="shared" si="7"/>
        <v>0</v>
      </c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78"/>
      <c r="AL146" s="178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178"/>
      <c r="AX146" s="178"/>
      <c r="AY146" s="178"/>
      <c r="AZ146" s="178"/>
      <c r="BA146" s="178"/>
      <c r="BB146" s="178"/>
      <c r="BC146" s="178"/>
      <c r="BD146" s="178"/>
      <c r="BE146" s="178"/>
      <c r="BF146" s="178"/>
      <c r="BG146" s="178"/>
      <c r="BH146" s="178"/>
      <c r="BI146" s="178"/>
      <c r="BJ146" s="178"/>
      <c r="BK146" s="178"/>
      <c r="BL146" s="178"/>
      <c r="BM146" s="178"/>
      <c r="BN146" s="178"/>
      <c r="BO146" s="178"/>
      <c r="BP146" s="178"/>
      <c r="BQ146" s="178"/>
      <c r="BR146" s="178"/>
      <c r="BS146" s="178"/>
      <c r="BT146" s="178"/>
      <c r="BU146" s="178"/>
      <c r="BV146" s="178"/>
      <c r="BW146" s="178"/>
      <c r="BX146" s="178"/>
      <c r="BY146" s="178"/>
      <c r="BZ146" s="178"/>
      <c r="CA146" s="178"/>
      <c r="CB146" s="178"/>
      <c r="CC146" s="178"/>
      <c r="CD146" s="178"/>
      <c r="CE146" s="178"/>
      <c r="CF146" s="178"/>
      <c r="CG146" s="178"/>
      <c r="CH146" s="178"/>
      <c r="CI146" s="178"/>
      <c r="CJ146" s="178"/>
      <c r="CK146" s="178"/>
      <c r="CL146" s="178"/>
      <c r="CM146" s="178"/>
      <c r="CN146" s="178"/>
      <c r="CO146" s="178"/>
    </row>
    <row r="147" spans="1:93" x14ac:dyDescent="0.25">
      <c r="A147" s="127" t="s">
        <v>21</v>
      </c>
      <c r="B147" s="120">
        <v>4</v>
      </c>
      <c r="C147" s="117"/>
      <c r="D147" s="43"/>
      <c r="E147" s="46"/>
      <c r="F147" s="47"/>
      <c r="G147" s="53"/>
      <c r="H147" s="129">
        <f t="shared" si="7"/>
        <v>0</v>
      </c>
      <c r="K147" s="178"/>
      <c r="M147" s="178"/>
      <c r="N147" s="638" t="s">
        <v>401</v>
      </c>
      <c r="O147" s="638"/>
      <c r="P147" s="638"/>
      <c r="Q147" s="638"/>
      <c r="R147" s="638"/>
      <c r="S147" s="638"/>
      <c r="T147" s="638"/>
      <c r="U147" s="638"/>
      <c r="V147" s="638"/>
      <c r="W147" s="638"/>
      <c r="X147" s="638"/>
      <c r="Y147" s="638"/>
      <c r="Z147" s="638"/>
      <c r="AA147" s="638"/>
      <c r="AB147" s="638"/>
      <c r="AC147" s="638"/>
      <c r="AD147" s="638"/>
      <c r="AE147" s="638"/>
      <c r="AF147" s="638"/>
      <c r="AG147" s="178"/>
      <c r="AH147" s="178"/>
      <c r="AI147" s="178"/>
      <c r="AJ147" s="178"/>
      <c r="AK147" s="178"/>
      <c r="AL147" s="178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638" t="s">
        <v>402</v>
      </c>
      <c r="BM147" s="638"/>
      <c r="BN147" s="638"/>
      <c r="BO147" s="638"/>
      <c r="BP147" s="638"/>
      <c r="BQ147" s="638"/>
      <c r="BR147" s="638"/>
      <c r="BS147" s="638"/>
      <c r="BT147" s="638"/>
      <c r="BU147" s="638"/>
      <c r="BV147" s="638"/>
      <c r="BW147" s="638"/>
      <c r="BX147" s="638"/>
      <c r="BY147" s="638"/>
      <c r="BZ147" s="638"/>
      <c r="CA147" s="638"/>
      <c r="CB147" s="638"/>
      <c r="CC147" s="638"/>
      <c r="CD147" s="638"/>
      <c r="CE147" s="638"/>
      <c r="CF147" s="638"/>
      <c r="CG147" s="178"/>
      <c r="CH147" s="178"/>
      <c r="CI147" s="178"/>
      <c r="CJ147" s="178"/>
      <c r="CK147" s="178"/>
      <c r="CL147" s="178"/>
      <c r="CM147" s="178"/>
      <c r="CN147" s="178"/>
      <c r="CO147" s="178"/>
    </row>
    <row r="148" spans="1:93" x14ac:dyDescent="0.25">
      <c r="A148" s="43" t="s">
        <v>260</v>
      </c>
      <c r="B148" s="120">
        <v>5</v>
      </c>
      <c r="C148" s="117"/>
      <c r="D148" s="44">
        <v>4000</v>
      </c>
      <c r="E148" s="46">
        <v>4000</v>
      </c>
      <c r="F148" s="47">
        <f t="shared" si="6"/>
        <v>8000</v>
      </c>
      <c r="G148" s="46">
        <v>4000</v>
      </c>
      <c r="H148" s="129">
        <f t="shared" si="7"/>
        <v>4000</v>
      </c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178"/>
      <c r="BW148" s="178"/>
      <c r="BX148" s="178"/>
      <c r="BY148" s="178"/>
      <c r="BZ148" s="178"/>
      <c r="CA148" s="178"/>
      <c r="CB148" s="178"/>
      <c r="CC148" s="178"/>
      <c r="CD148" s="178"/>
      <c r="CE148" s="178"/>
      <c r="CF148" s="178"/>
      <c r="CG148" s="178"/>
      <c r="CH148" s="178"/>
      <c r="CI148" s="178"/>
      <c r="CJ148" s="178"/>
      <c r="CK148" s="178"/>
      <c r="CL148" s="178"/>
      <c r="CM148" s="178"/>
      <c r="CN148" s="178"/>
      <c r="CO148" s="178"/>
    </row>
    <row r="149" spans="1:93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6"/>
        <v>4000</v>
      </c>
      <c r="H149" s="129">
        <f>F149-D156</f>
        <v>0</v>
      </c>
      <c r="L149" s="178"/>
      <c r="M149" s="178"/>
      <c r="N149" s="639" t="s">
        <v>403</v>
      </c>
      <c r="O149" s="639"/>
      <c r="P149" s="639"/>
      <c r="Q149" s="639"/>
      <c r="R149" s="639"/>
      <c r="S149" s="178"/>
      <c r="T149" s="178"/>
      <c r="U149" s="178"/>
      <c r="V149" s="178"/>
      <c r="W149" s="178"/>
      <c r="X149" s="178"/>
      <c r="Y149" s="178"/>
      <c r="Z149" s="178"/>
      <c r="AA149" s="178"/>
      <c r="AB149" s="639" t="s">
        <v>404</v>
      </c>
      <c r="AC149" s="639"/>
      <c r="AD149" s="639"/>
      <c r="AE149" s="178"/>
      <c r="AF149" s="178"/>
      <c r="AG149" s="178"/>
      <c r="AH149" s="178"/>
      <c r="AI149" s="178"/>
      <c r="AJ149" s="178"/>
      <c r="AK149" s="639" t="s">
        <v>405</v>
      </c>
      <c r="AL149" s="639"/>
      <c r="AM149" s="639"/>
      <c r="AN149" s="639"/>
      <c r="AO149" s="639"/>
      <c r="AP149" s="178"/>
      <c r="AQ149" s="639" t="s">
        <v>1</v>
      </c>
      <c r="AR149" s="639"/>
      <c r="AS149" s="639"/>
      <c r="AT149" s="178"/>
      <c r="AU149" s="639" t="s">
        <v>8</v>
      </c>
      <c r="AV149" s="639"/>
      <c r="AW149" s="639"/>
      <c r="AX149" s="639"/>
      <c r="AY149" s="639"/>
      <c r="AZ149" s="639" t="s">
        <v>406</v>
      </c>
      <c r="BA149" s="639"/>
      <c r="BB149" s="639"/>
      <c r="BC149" s="639"/>
      <c r="BD149" s="178"/>
      <c r="BE149" s="178"/>
      <c r="BF149" s="179" t="s">
        <v>2</v>
      </c>
      <c r="BG149" s="178"/>
      <c r="BH149" s="178"/>
      <c r="BI149" s="639" t="s">
        <v>407</v>
      </c>
      <c r="BJ149" s="639"/>
      <c r="BK149" s="639"/>
      <c r="BL149" s="639"/>
      <c r="BM149" s="639"/>
      <c r="BN149" s="639"/>
      <c r="BO149" s="639"/>
      <c r="BP149" s="178"/>
      <c r="BQ149" s="639" t="s">
        <v>408</v>
      </c>
      <c r="BR149" s="639"/>
      <c r="BS149" s="178"/>
      <c r="BT149" s="639" t="s">
        <v>1</v>
      </c>
      <c r="BU149" s="639"/>
      <c r="BV149" s="639"/>
      <c r="BW149" s="639"/>
      <c r="BX149" s="639"/>
      <c r="BY149" s="639" t="s">
        <v>406</v>
      </c>
      <c r="BZ149" s="639"/>
      <c r="CA149" s="639"/>
      <c r="CB149" s="639"/>
      <c r="CC149" s="639"/>
      <c r="CD149" s="178"/>
      <c r="CE149" s="639" t="s">
        <v>2</v>
      </c>
      <c r="CF149" s="639"/>
      <c r="CG149" s="639"/>
      <c r="CH149" s="639"/>
      <c r="CI149" s="639" t="s">
        <v>409</v>
      </c>
      <c r="CJ149" s="639"/>
      <c r="CK149" s="639"/>
      <c r="CL149" s="639"/>
      <c r="CM149" s="178"/>
      <c r="CN149" s="178"/>
      <c r="CO149" s="178"/>
    </row>
    <row r="150" spans="1:93" x14ac:dyDescent="0.25">
      <c r="A150" s="43" t="s">
        <v>21</v>
      </c>
      <c r="B150" s="120">
        <v>7</v>
      </c>
      <c r="C150" s="117"/>
      <c r="D150" s="44"/>
      <c r="E150" s="73"/>
      <c r="F150" s="47">
        <f t="shared" si="6"/>
        <v>0</v>
      </c>
      <c r="G150" s="132"/>
      <c r="H150" s="129">
        <f t="shared" si="7"/>
        <v>0</v>
      </c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78"/>
      <c r="AL150" s="178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178"/>
      <c r="BW150" s="178"/>
      <c r="BX150" s="178"/>
      <c r="BY150" s="178"/>
      <c r="BZ150" s="178"/>
      <c r="CA150" s="178"/>
      <c r="CB150" s="178"/>
      <c r="CC150" s="178"/>
      <c r="CD150" s="178"/>
      <c r="CE150" s="178"/>
      <c r="CF150" s="178"/>
      <c r="CG150" s="178"/>
      <c r="CH150" s="178"/>
      <c r="CI150" s="178"/>
      <c r="CJ150" s="178"/>
      <c r="CK150" s="178"/>
      <c r="CL150" s="178"/>
      <c r="CM150" s="178"/>
      <c r="CN150" s="178"/>
      <c r="CO150" s="178"/>
    </row>
    <row r="151" spans="1:93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6"/>
        <v>4000</v>
      </c>
      <c r="G151" s="53">
        <v>4000</v>
      </c>
      <c r="H151" s="129">
        <f t="shared" si="7"/>
        <v>0</v>
      </c>
      <c r="I151" t="s">
        <v>107</v>
      </c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78"/>
      <c r="AV151" s="178"/>
      <c r="AW151" s="178"/>
      <c r="AX151" s="178"/>
      <c r="AY151" s="178"/>
      <c r="AZ151" s="178"/>
      <c r="BA151" s="178"/>
      <c r="BB151" s="178"/>
      <c r="BC151" s="178"/>
      <c r="BD151" s="178"/>
      <c r="BE151" s="178"/>
      <c r="BF151" s="178"/>
      <c r="BG151" s="178"/>
      <c r="BH151" s="178"/>
      <c r="BI151" s="178"/>
      <c r="BJ151" s="178"/>
      <c r="BK151" s="178"/>
      <c r="BL151" s="178"/>
      <c r="BM151" s="178"/>
      <c r="BN151" s="178"/>
      <c r="BO151" s="178"/>
      <c r="BP151" s="178"/>
      <c r="BQ151" s="178"/>
      <c r="BR151" s="178"/>
      <c r="BS151" s="178"/>
      <c r="BT151" s="178"/>
      <c r="BU151" s="178"/>
      <c r="BV151" s="178"/>
      <c r="BW151" s="178"/>
      <c r="BX151" s="178"/>
      <c r="BY151" s="178"/>
      <c r="BZ151" s="178"/>
      <c r="CA151" s="178"/>
      <c r="CB151" s="178"/>
      <c r="CC151" s="178"/>
      <c r="CD151" s="178"/>
      <c r="CE151" s="178"/>
      <c r="CF151" s="178"/>
      <c r="CG151" s="178"/>
      <c r="CH151" s="178"/>
      <c r="CI151" s="178"/>
      <c r="CJ151" s="178"/>
      <c r="CK151" s="178"/>
      <c r="CL151" s="178"/>
      <c r="CM151" s="178"/>
      <c r="CN151" s="178"/>
      <c r="CO151" s="178"/>
    </row>
    <row r="152" spans="1:93" x14ac:dyDescent="0.25">
      <c r="A152" s="127"/>
      <c r="B152" s="120">
        <v>9</v>
      </c>
      <c r="C152" s="117"/>
      <c r="D152" s="44"/>
      <c r="E152" s="44"/>
      <c r="F152" s="47"/>
      <c r="G152" s="44"/>
      <c r="H152" s="129">
        <f t="shared" si="7"/>
        <v>0</v>
      </c>
      <c r="L152" s="153"/>
      <c r="M152" s="153"/>
      <c r="N152" s="640" t="s">
        <v>410</v>
      </c>
      <c r="O152" s="640"/>
      <c r="P152" s="640"/>
      <c r="Q152" s="640"/>
      <c r="R152" s="640"/>
      <c r="S152" s="640"/>
      <c r="T152" s="640"/>
      <c r="U152" s="640"/>
      <c r="V152" s="640"/>
      <c r="W152" s="640"/>
      <c r="X152" s="640"/>
      <c r="Y152" s="640"/>
      <c r="Z152" s="640"/>
      <c r="AA152" s="153"/>
      <c r="AB152" s="641" t="s">
        <v>159</v>
      </c>
      <c r="AC152" s="641"/>
      <c r="AD152" s="641"/>
      <c r="AE152" s="641"/>
      <c r="AF152" s="641"/>
      <c r="AG152" s="641"/>
      <c r="AH152" s="641"/>
      <c r="AI152" s="153"/>
      <c r="AJ152" s="153"/>
      <c r="AK152" s="153"/>
      <c r="AL152" s="153"/>
      <c r="AM152" s="153"/>
      <c r="AN152" s="153"/>
      <c r="AO152" s="153"/>
      <c r="AP152" s="642">
        <v>2500</v>
      </c>
      <c r="AQ152" s="642"/>
      <c r="AR152" s="642"/>
      <c r="AS152" s="642"/>
      <c r="AT152" s="153"/>
      <c r="AU152" s="643">
        <v>0</v>
      </c>
      <c r="AV152" s="643"/>
      <c r="AW152" s="643"/>
      <c r="AX152" s="643"/>
      <c r="AY152" s="153"/>
      <c r="AZ152" s="642">
        <v>0</v>
      </c>
      <c r="BA152" s="642"/>
      <c r="BB152" s="642"/>
      <c r="BC152" s="642"/>
      <c r="BD152" s="153"/>
      <c r="BE152" s="644">
        <v>2500</v>
      </c>
      <c r="BF152" s="644"/>
      <c r="BG152" s="153"/>
      <c r="BH152" s="153"/>
      <c r="BI152" s="153"/>
      <c r="BJ152" s="153"/>
      <c r="BK152" s="153"/>
      <c r="BL152" s="153"/>
      <c r="BM152" s="153"/>
      <c r="BN152" s="153"/>
      <c r="BO152" s="153"/>
      <c r="BP152" s="153"/>
      <c r="BQ152" s="153"/>
      <c r="BR152" s="153"/>
      <c r="BS152" s="153"/>
      <c r="BT152" s="153"/>
      <c r="BU152" s="153"/>
      <c r="BV152" s="153"/>
      <c r="BW152" s="153"/>
      <c r="BX152" s="153"/>
      <c r="BY152" s="153"/>
      <c r="BZ152" s="153"/>
      <c r="CA152" s="153"/>
      <c r="CB152" s="153"/>
      <c r="CC152" s="153"/>
      <c r="CD152" s="153"/>
      <c r="CE152" s="153"/>
      <c r="CF152" s="153"/>
      <c r="CG152" s="153"/>
      <c r="CH152" s="153"/>
      <c r="CI152" s="153"/>
      <c r="CJ152" s="643">
        <v>2500</v>
      </c>
      <c r="CK152" s="643"/>
      <c r="CL152" s="153"/>
      <c r="CM152" s="153"/>
      <c r="CN152" s="153"/>
      <c r="CO152" s="153"/>
    </row>
    <row r="153" spans="1:93" x14ac:dyDescent="0.25">
      <c r="A153" s="169"/>
      <c r="B153" s="120">
        <v>10</v>
      </c>
      <c r="C153" s="9"/>
      <c r="D153" s="44"/>
      <c r="E153" s="115"/>
      <c r="F153" s="47"/>
      <c r="G153" s="44"/>
      <c r="H153" s="129">
        <f t="shared" si="7"/>
        <v>0</v>
      </c>
      <c r="K153">
        <v>2500</v>
      </c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153"/>
      <c r="BM153" s="153"/>
      <c r="BN153" s="153"/>
      <c r="BO153" s="153"/>
      <c r="BP153" s="153"/>
      <c r="BQ153" s="153"/>
      <c r="BR153" s="153"/>
      <c r="BS153" s="153"/>
      <c r="BT153" s="153"/>
      <c r="BU153" s="153"/>
      <c r="BV153" s="153"/>
      <c r="BW153" s="153"/>
      <c r="BX153" s="153"/>
      <c r="BY153" s="153"/>
      <c r="BZ153" s="153"/>
      <c r="CA153" s="153"/>
      <c r="CB153" s="153"/>
      <c r="CC153" s="153"/>
      <c r="CD153" s="153"/>
      <c r="CE153" s="153"/>
      <c r="CF153" s="153"/>
      <c r="CG153" s="153"/>
      <c r="CH153" s="153"/>
      <c r="CI153" s="153"/>
      <c r="CJ153" s="153"/>
      <c r="CK153" s="153"/>
      <c r="CL153" s="153"/>
      <c r="CM153" s="153"/>
      <c r="CN153" s="153"/>
      <c r="CO153" s="153"/>
    </row>
    <row r="154" spans="1:93" x14ac:dyDescent="0.25">
      <c r="A154" t="s">
        <v>491</v>
      </c>
      <c r="B154" s="120">
        <v>11</v>
      </c>
      <c r="C154" s="119"/>
      <c r="D154" s="44"/>
      <c r="E154" s="105">
        <v>4000</v>
      </c>
      <c r="F154" s="47">
        <f t="shared" si="6"/>
        <v>4000</v>
      </c>
      <c r="G154" s="44">
        <v>2000</v>
      </c>
      <c r="H154" s="129">
        <f t="shared" si="7"/>
        <v>2000</v>
      </c>
      <c r="K154">
        <v>1200</v>
      </c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3"/>
      <c r="CH154" s="153"/>
      <c r="CI154" s="153"/>
      <c r="CJ154" s="153"/>
      <c r="CK154" s="153"/>
      <c r="CL154" s="153"/>
      <c r="CM154" s="153"/>
      <c r="CN154" s="153"/>
      <c r="CO154" s="153"/>
    </row>
    <row r="155" spans="1:93" x14ac:dyDescent="0.25">
      <c r="A155" s="44" t="s">
        <v>302</v>
      </c>
      <c r="B155" s="120">
        <v>12</v>
      </c>
      <c r="C155" s="119"/>
      <c r="D155" s="44"/>
      <c r="E155" s="44">
        <v>4000</v>
      </c>
      <c r="F155" s="47">
        <f t="shared" si="6"/>
        <v>4000</v>
      </c>
      <c r="G155" s="44">
        <v>4000</v>
      </c>
      <c r="H155" s="129">
        <f t="shared" si="7"/>
        <v>0</v>
      </c>
      <c r="K155">
        <f>K153-K154</f>
        <v>1300</v>
      </c>
      <c r="L155" s="153"/>
      <c r="M155" s="153"/>
      <c r="N155" s="640" t="s">
        <v>411</v>
      </c>
      <c r="O155" s="640"/>
      <c r="P155" s="640"/>
      <c r="Q155" s="640"/>
      <c r="R155" s="640"/>
      <c r="S155" s="640"/>
      <c r="T155" s="640"/>
      <c r="U155" s="640"/>
      <c r="V155" s="640"/>
      <c r="W155" s="640"/>
      <c r="X155" s="640"/>
      <c r="Y155" s="640"/>
      <c r="Z155" s="640"/>
      <c r="AA155" s="153"/>
      <c r="AB155" s="641" t="s">
        <v>253</v>
      </c>
      <c r="AC155" s="641"/>
      <c r="AD155" s="641"/>
      <c r="AE155" s="641"/>
      <c r="AF155" s="641"/>
      <c r="AG155" s="641"/>
      <c r="AH155" s="641"/>
      <c r="AI155" s="153"/>
      <c r="AJ155" s="153"/>
      <c r="AK155" s="640" t="s">
        <v>412</v>
      </c>
      <c r="AL155" s="640"/>
      <c r="AM155" s="640"/>
      <c r="AN155" s="640"/>
      <c r="AO155" s="153"/>
      <c r="AP155" s="642">
        <v>2500</v>
      </c>
      <c r="AQ155" s="642"/>
      <c r="AR155" s="642"/>
      <c r="AS155" s="642"/>
      <c r="AT155" s="153"/>
      <c r="AU155" s="643">
        <v>0</v>
      </c>
      <c r="AV155" s="643"/>
      <c r="AW155" s="643"/>
      <c r="AX155" s="643"/>
      <c r="AY155" s="153"/>
      <c r="AZ155" s="642">
        <v>0</v>
      </c>
      <c r="BA155" s="642"/>
      <c r="BB155" s="642"/>
      <c r="BC155" s="642"/>
      <c r="BD155" s="153"/>
      <c r="BE155" s="644">
        <v>2500</v>
      </c>
      <c r="BF155" s="644"/>
      <c r="BG155" s="153"/>
      <c r="BH155" s="153"/>
      <c r="BI155" s="153"/>
      <c r="BJ155" s="153"/>
      <c r="BK155" s="153"/>
      <c r="BL155" s="153"/>
      <c r="BM155" s="153"/>
      <c r="BN155" s="153"/>
      <c r="BO155" s="153"/>
      <c r="BP155" s="153"/>
      <c r="BQ155" s="153"/>
      <c r="BR155" s="153"/>
      <c r="BS155" s="153"/>
      <c r="BT155" s="153"/>
      <c r="BU155" s="153"/>
      <c r="BV155" s="153"/>
      <c r="BW155" s="153"/>
      <c r="BX155" s="153"/>
      <c r="BY155" s="153"/>
      <c r="BZ155" s="153"/>
      <c r="CA155" s="153"/>
      <c r="CB155" s="153"/>
      <c r="CC155" s="153"/>
      <c r="CD155" s="153"/>
      <c r="CE155" s="153"/>
      <c r="CF155" s="153"/>
      <c r="CG155" s="153"/>
      <c r="CH155" s="153"/>
      <c r="CI155" s="153"/>
      <c r="CJ155" s="643">
        <v>2500</v>
      </c>
      <c r="CK155" s="643"/>
      <c r="CL155" s="153"/>
      <c r="CM155" s="153"/>
      <c r="CN155" s="153"/>
      <c r="CO155" s="153"/>
    </row>
    <row r="156" spans="1:93" x14ac:dyDescent="0.25">
      <c r="A156" s="44" t="s">
        <v>264</v>
      </c>
      <c r="B156" s="120"/>
      <c r="C156" s="117"/>
      <c r="D156" s="46">
        <v>4000</v>
      </c>
      <c r="E156" s="44">
        <v>4000</v>
      </c>
      <c r="F156" s="47"/>
      <c r="G156" s="44"/>
      <c r="H156" s="129">
        <f t="shared" si="7"/>
        <v>0</v>
      </c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153"/>
      <c r="BM156" s="153"/>
      <c r="BN156" s="153"/>
      <c r="BO156" s="153"/>
      <c r="BP156" s="153"/>
      <c r="BQ156" s="153"/>
      <c r="BR156" s="153"/>
      <c r="BS156" s="153"/>
      <c r="BT156" s="153"/>
      <c r="BU156" s="153"/>
      <c r="BV156" s="153"/>
      <c r="BW156" s="153"/>
      <c r="BX156" s="153"/>
      <c r="BY156" s="153"/>
      <c r="BZ156" s="153"/>
      <c r="CA156" s="153"/>
      <c r="CB156" s="153"/>
      <c r="CC156" s="153"/>
      <c r="CD156" s="153"/>
      <c r="CE156" s="153"/>
      <c r="CF156" s="153"/>
      <c r="CG156" s="153"/>
      <c r="CH156" s="153"/>
      <c r="CI156" s="153"/>
      <c r="CJ156" s="153"/>
      <c r="CK156" s="153"/>
      <c r="CL156" s="153"/>
      <c r="CM156" s="153"/>
      <c r="CN156" s="153"/>
      <c r="CO156" s="153"/>
    </row>
    <row r="157" spans="1:93" x14ac:dyDescent="0.25">
      <c r="A157" s="44" t="s">
        <v>254</v>
      </c>
      <c r="B157" s="120">
        <v>14</v>
      </c>
      <c r="C157" s="44"/>
      <c r="D157" s="44"/>
      <c r="E157" s="44">
        <v>4000</v>
      </c>
      <c r="F157" s="47">
        <f t="shared" si="6"/>
        <v>4000</v>
      </c>
      <c r="G157" s="113">
        <v>4000</v>
      </c>
      <c r="H157" s="129">
        <f t="shared" si="7"/>
        <v>0</v>
      </c>
      <c r="I157" t="s">
        <v>107</v>
      </c>
      <c r="K157">
        <v>1600</v>
      </c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  <c r="AB157" s="153"/>
      <c r="AC157" s="153"/>
      <c r="AD157" s="153"/>
      <c r="AE157" s="153"/>
      <c r="AF157" s="153"/>
      <c r="AG157" s="153"/>
      <c r="AH157" s="153"/>
      <c r="AI157" s="153"/>
      <c r="AJ157" s="153"/>
      <c r="AK157" s="153"/>
      <c r="AL157" s="153"/>
      <c r="AM157" s="153"/>
      <c r="AN157" s="153"/>
      <c r="AO157" s="153"/>
      <c r="AP157" s="153"/>
      <c r="AQ157" s="153"/>
      <c r="AR157" s="153"/>
      <c r="AS157" s="153"/>
      <c r="AT157" s="153"/>
      <c r="AU157" s="153"/>
      <c r="AV157" s="153"/>
      <c r="AW157" s="153"/>
      <c r="AX157" s="153"/>
      <c r="AY157" s="153"/>
      <c r="AZ157" s="153"/>
      <c r="BA157" s="153"/>
      <c r="BB157" s="153"/>
      <c r="BC157" s="153"/>
      <c r="BD157" s="153"/>
      <c r="BE157" s="153"/>
      <c r="BF157" s="153"/>
      <c r="BG157" s="153"/>
      <c r="BH157" s="153"/>
      <c r="BI157" s="153"/>
      <c r="BJ157" s="153"/>
      <c r="BK157" s="153"/>
      <c r="BL157" s="153"/>
      <c r="BM157" s="153"/>
      <c r="BN157" s="153"/>
      <c r="BO157" s="153"/>
      <c r="BP157" s="153"/>
      <c r="BQ157" s="153"/>
      <c r="BR157" s="153"/>
      <c r="BS157" s="153"/>
      <c r="BT157" s="153"/>
      <c r="BU157" s="153"/>
      <c r="BV157" s="153"/>
      <c r="BW157" s="153"/>
      <c r="BX157" s="153"/>
      <c r="BY157" s="153"/>
      <c r="BZ157" s="153"/>
      <c r="CA157" s="153"/>
      <c r="CB157" s="153"/>
      <c r="CC157" s="153"/>
      <c r="CD157" s="153"/>
      <c r="CE157" s="153"/>
      <c r="CF157" s="153"/>
      <c r="CG157" s="153"/>
      <c r="CH157" s="153"/>
      <c r="CI157" s="153"/>
      <c r="CJ157" s="153"/>
      <c r="CK157" s="153"/>
      <c r="CL157" s="153"/>
      <c r="CM157" s="153"/>
      <c r="CN157" s="153"/>
      <c r="CO157" s="153"/>
    </row>
    <row r="158" spans="1:93" x14ac:dyDescent="0.25">
      <c r="A158" s="44" t="s">
        <v>352</v>
      </c>
      <c r="B158" s="120">
        <v>15</v>
      </c>
      <c r="C158" s="44"/>
      <c r="D158" s="44"/>
      <c r="E158" s="44"/>
      <c r="F158" s="47">
        <f t="shared" si="6"/>
        <v>0</v>
      </c>
      <c r="G158" s="44"/>
      <c r="H158" s="129">
        <f t="shared" si="7"/>
        <v>0</v>
      </c>
      <c r="K158" t="s">
        <v>485</v>
      </c>
      <c r="L158" s="153"/>
      <c r="M158" s="153"/>
      <c r="N158" s="640" t="s">
        <v>413</v>
      </c>
      <c r="O158" s="640"/>
      <c r="P158" s="640"/>
      <c r="Q158" s="640"/>
      <c r="R158" s="640"/>
      <c r="S158" s="640"/>
      <c r="T158" s="640"/>
      <c r="U158" s="640"/>
      <c r="V158" s="640"/>
      <c r="W158" s="640"/>
      <c r="X158" s="640"/>
      <c r="Y158" s="640"/>
      <c r="Z158" s="640"/>
      <c r="AA158" s="153"/>
      <c r="AB158" s="641" t="s">
        <v>312</v>
      </c>
      <c r="AC158" s="641"/>
      <c r="AD158" s="641"/>
      <c r="AE158" s="641"/>
      <c r="AF158" s="641"/>
      <c r="AG158" s="641"/>
      <c r="AH158" s="641"/>
      <c r="AI158" s="153"/>
      <c r="AJ158" s="153"/>
      <c r="AK158" s="640" t="s">
        <v>414</v>
      </c>
      <c r="AL158" s="640"/>
      <c r="AM158" s="640"/>
      <c r="AN158" s="640"/>
      <c r="AO158" s="153"/>
      <c r="AP158" s="642">
        <v>2500</v>
      </c>
      <c r="AQ158" s="642"/>
      <c r="AR158" s="642"/>
      <c r="AS158" s="642"/>
      <c r="AT158" s="153"/>
      <c r="AU158" s="643">
        <v>0</v>
      </c>
      <c r="AV158" s="643"/>
      <c r="AW158" s="643"/>
      <c r="AX158" s="643"/>
      <c r="AY158" s="153"/>
      <c r="AZ158" s="642">
        <v>0</v>
      </c>
      <c r="BA158" s="642"/>
      <c r="BB158" s="642"/>
      <c r="BC158" s="642"/>
      <c r="BD158" s="153"/>
      <c r="BE158" s="644">
        <v>2500</v>
      </c>
      <c r="BF158" s="644"/>
      <c r="BG158" s="153"/>
      <c r="BH158" s="153"/>
      <c r="BI158" s="153"/>
      <c r="BJ158" s="640" t="s">
        <v>415</v>
      </c>
      <c r="BK158" s="640"/>
      <c r="BL158" s="640"/>
      <c r="BM158" s="640"/>
      <c r="BN158" s="153"/>
      <c r="BO158" s="645">
        <v>42979</v>
      </c>
      <c r="BP158" s="645"/>
      <c r="BQ158" s="645"/>
      <c r="BR158" s="645"/>
      <c r="BS158" s="153"/>
      <c r="BT158" s="643">
        <v>2550</v>
      </c>
      <c r="BU158" s="643"/>
      <c r="BV158" s="643"/>
      <c r="BW158" s="153"/>
      <c r="BX158" s="153"/>
      <c r="BY158" s="643">
        <v>0</v>
      </c>
      <c r="BZ158" s="643"/>
      <c r="CA158" s="643"/>
      <c r="CB158" s="643"/>
      <c r="CC158" s="153"/>
      <c r="CD158" s="153"/>
      <c r="CE158" s="644">
        <v>2550</v>
      </c>
      <c r="CF158" s="644"/>
      <c r="CG158" s="644"/>
      <c r="CH158" s="153"/>
      <c r="CI158" s="153"/>
      <c r="CJ158" s="643">
        <v>-50</v>
      </c>
      <c r="CK158" s="643"/>
      <c r="CL158" s="153"/>
      <c r="CM158" s="153"/>
      <c r="CN158" s="153"/>
      <c r="CO158" s="153"/>
    </row>
    <row r="159" spans="1:93" x14ac:dyDescent="0.25">
      <c r="A159" s="125" t="s">
        <v>255</v>
      </c>
      <c r="B159" s="120">
        <v>16</v>
      </c>
      <c r="C159" s="44"/>
      <c r="D159" s="44"/>
      <c r="E159" s="125">
        <v>4000</v>
      </c>
      <c r="F159" s="47">
        <f t="shared" si="6"/>
        <v>4000</v>
      </c>
      <c r="G159" s="44">
        <v>4000</v>
      </c>
      <c r="H159" s="129">
        <f t="shared" si="7"/>
        <v>0</v>
      </c>
      <c r="K159">
        <v>800</v>
      </c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153"/>
      <c r="CB159" s="153"/>
      <c r="CC159" s="153"/>
      <c r="CD159" s="153"/>
      <c r="CE159" s="153"/>
      <c r="CF159" s="153"/>
      <c r="CG159" s="153"/>
      <c r="CH159" s="153"/>
      <c r="CI159" s="153"/>
      <c r="CJ159" s="153"/>
      <c r="CK159" s="153"/>
      <c r="CL159" s="153"/>
      <c r="CM159" s="153"/>
      <c r="CN159" s="153"/>
      <c r="CO159" s="153"/>
    </row>
    <row r="160" spans="1:93" x14ac:dyDescent="0.25">
      <c r="A160" s="44" t="s">
        <v>266</v>
      </c>
      <c r="B160" s="120">
        <v>17</v>
      </c>
      <c r="C160" s="44"/>
      <c r="D160" s="44"/>
      <c r="E160" s="44">
        <v>2000</v>
      </c>
      <c r="F160" s="47">
        <f t="shared" si="6"/>
        <v>2000</v>
      </c>
      <c r="G160" s="44">
        <v>2000</v>
      </c>
      <c r="H160" s="129">
        <f t="shared" si="7"/>
        <v>0</v>
      </c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3"/>
      <c r="AU160" s="153"/>
      <c r="AV160" s="153"/>
      <c r="AW160" s="153"/>
      <c r="AX160" s="153"/>
      <c r="AY160" s="153"/>
      <c r="AZ160" s="153"/>
      <c r="BA160" s="153"/>
      <c r="BB160" s="153"/>
      <c r="BC160" s="153"/>
      <c r="BD160" s="153"/>
      <c r="BE160" s="153"/>
      <c r="BF160" s="153"/>
      <c r="BG160" s="153"/>
      <c r="BH160" s="153"/>
      <c r="BI160" s="153"/>
      <c r="BJ160" s="640" t="s">
        <v>416</v>
      </c>
      <c r="BK160" s="640"/>
      <c r="BL160" s="640"/>
      <c r="BM160" s="640"/>
      <c r="BN160" s="153"/>
      <c r="BO160" s="645">
        <v>42992</v>
      </c>
      <c r="BP160" s="645"/>
      <c r="BQ160" s="645"/>
      <c r="BR160" s="645"/>
      <c r="BS160" s="153"/>
      <c r="BT160" s="643">
        <v>2000</v>
      </c>
      <c r="BU160" s="643"/>
      <c r="BV160" s="643"/>
      <c r="BW160" s="153"/>
      <c r="BX160" s="153"/>
      <c r="BY160" s="643">
        <v>0</v>
      </c>
      <c r="BZ160" s="643"/>
      <c r="CA160" s="643"/>
      <c r="CB160" s="643"/>
      <c r="CC160" s="153"/>
      <c r="CD160" s="153"/>
      <c r="CE160" s="644">
        <v>2000</v>
      </c>
      <c r="CF160" s="644"/>
      <c r="CG160" s="644"/>
      <c r="CH160" s="153"/>
      <c r="CI160" s="153"/>
      <c r="CJ160" s="643">
        <v>-2050</v>
      </c>
      <c r="CK160" s="643"/>
      <c r="CL160" s="153"/>
      <c r="CM160" s="153"/>
      <c r="CN160" s="153"/>
      <c r="CO160" s="153"/>
    </row>
    <row r="161" spans="1:93" x14ac:dyDescent="0.25">
      <c r="A161" s="125" t="s">
        <v>492</v>
      </c>
      <c r="B161" s="120">
        <v>18</v>
      </c>
      <c r="C161" s="117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  <c r="AB161" s="153"/>
      <c r="AC161" s="153"/>
      <c r="AD161" s="153"/>
      <c r="AE161" s="153"/>
      <c r="AF161" s="153"/>
      <c r="AG161" s="153"/>
      <c r="AH161" s="153"/>
      <c r="AI161" s="153"/>
      <c r="AJ161" s="153"/>
      <c r="AK161" s="153"/>
      <c r="AL161" s="153"/>
      <c r="AM161" s="153"/>
      <c r="AN161" s="153"/>
      <c r="AO161" s="153"/>
      <c r="AP161" s="153"/>
      <c r="AQ161" s="153"/>
      <c r="AR161" s="153"/>
      <c r="AS161" s="153"/>
      <c r="AT161" s="153"/>
      <c r="AU161" s="153"/>
      <c r="AV161" s="153"/>
      <c r="AW161" s="153"/>
      <c r="AX161" s="153"/>
      <c r="AY161" s="153"/>
      <c r="AZ161" s="153"/>
      <c r="BA161" s="153"/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53"/>
      <c r="BL161" s="153"/>
      <c r="BM161" s="153"/>
      <c r="BN161" s="153"/>
      <c r="BO161" s="153"/>
      <c r="BP161" s="153"/>
      <c r="BQ161" s="153"/>
      <c r="BR161" s="153"/>
      <c r="BS161" s="153"/>
      <c r="BT161" s="153"/>
      <c r="BU161" s="153"/>
      <c r="BV161" s="153"/>
      <c r="BW161" s="153"/>
      <c r="BX161" s="153"/>
      <c r="BY161" s="153"/>
      <c r="BZ161" s="153"/>
      <c r="CA161" s="153"/>
      <c r="CB161" s="153"/>
      <c r="CC161" s="153"/>
      <c r="CD161" s="153"/>
      <c r="CE161" s="153"/>
      <c r="CF161" s="153"/>
      <c r="CG161" s="153"/>
      <c r="CH161" s="153"/>
      <c r="CI161" s="153"/>
      <c r="CJ161" s="153"/>
      <c r="CK161" s="153"/>
      <c r="CL161" s="153"/>
      <c r="CM161" s="153"/>
      <c r="CN161" s="153"/>
      <c r="CO161" s="153"/>
    </row>
    <row r="162" spans="1:93" x14ac:dyDescent="0.25">
      <c r="A162" s="44" t="s">
        <v>387</v>
      </c>
      <c r="B162" s="120">
        <v>19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  <c r="AB162" s="153"/>
      <c r="AC162" s="153"/>
      <c r="AD162" s="153"/>
      <c r="AE162" s="153"/>
      <c r="AF162" s="153"/>
      <c r="AG162" s="153"/>
      <c r="AH162" s="153"/>
      <c r="AI162" s="153"/>
      <c r="AJ162" s="153"/>
      <c r="AK162" s="153"/>
      <c r="AL162" s="153"/>
      <c r="AM162" s="153"/>
      <c r="AN162" s="153"/>
      <c r="AO162" s="153"/>
      <c r="AP162" s="153"/>
      <c r="AQ162" s="153"/>
      <c r="AR162" s="153"/>
      <c r="AS162" s="153"/>
      <c r="AT162" s="153"/>
      <c r="AU162" s="153"/>
      <c r="AV162" s="153"/>
      <c r="AW162" s="153"/>
      <c r="AX162" s="153"/>
      <c r="AY162" s="153"/>
      <c r="AZ162" s="153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640" t="s">
        <v>417</v>
      </c>
      <c r="BK162" s="640"/>
      <c r="BL162" s="640"/>
      <c r="BM162" s="640"/>
      <c r="BN162" s="153"/>
      <c r="BO162" s="645">
        <v>42997</v>
      </c>
      <c r="BP162" s="645"/>
      <c r="BQ162" s="645"/>
      <c r="BR162" s="645"/>
      <c r="BS162" s="153"/>
      <c r="BT162" s="643">
        <v>500</v>
      </c>
      <c r="BU162" s="643"/>
      <c r="BV162" s="643"/>
      <c r="BW162" s="153"/>
      <c r="BX162" s="153"/>
      <c r="BY162" s="643">
        <v>0</v>
      </c>
      <c r="BZ162" s="643"/>
      <c r="CA162" s="643"/>
      <c r="CB162" s="643"/>
      <c r="CC162" s="153"/>
      <c r="CD162" s="153"/>
      <c r="CE162" s="644">
        <v>500</v>
      </c>
      <c r="CF162" s="644"/>
      <c r="CG162" s="644"/>
      <c r="CH162" s="153"/>
      <c r="CI162" s="153"/>
      <c r="CJ162" s="643">
        <v>-2550</v>
      </c>
      <c r="CK162" s="643"/>
      <c r="CL162" s="153"/>
      <c r="CM162" s="153"/>
      <c r="CN162" s="153"/>
      <c r="CO162" s="153"/>
    </row>
    <row r="163" spans="1:93" x14ac:dyDescent="0.25">
      <c r="A163" s="124" t="s">
        <v>256</v>
      </c>
      <c r="B163" s="120">
        <v>20</v>
      </c>
      <c r="C163" s="117"/>
      <c r="D163" s="44"/>
      <c r="E163" s="44">
        <v>2000</v>
      </c>
      <c r="F163" s="47">
        <f t="shared" si="6"/>
        <v>2000</v>
      </c>
      <c r="G163" s="44">
        <v>2000</v>
      </c>
      <c r="H163" s="129">
        <f t="shared" si="7"/>
        <v>0</v>
      </c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  <c r="AB163" s="153"/>
      <c r="AC163" s="153"/>
      <c r="AD163" s="153"/>
      <c r="AE163" s="153"/>
      <c r="AF163" s="153"/>
      <c r="AG163" s="153"/>
      <c r="AH163" s="153"/>
      <c r="AI163" s="153"/>
      <c r="AJ163" s="153"/>
      <c r="AK163" s="153"/>
      <c r="AL163" s="153"/>
      <c r="AM163" s="153"/>
      <c r="AN163" s="153"/>
      <c r="AO163" s="153"/>
      <c r="AP163" s="153"/>
      <c r="AQ163" s="153"/>
      <c r="AR163" s="153"/>
      <c r="AS163" s="153"/>
      <c r="AT163" s="153"/>
      <c r="AU163" s="153"/>
      <c r="AV163" s="153"/>
      <c r="AW163" s="153"/>
      <c r="AX163" s="153"/>
      <c r="AY163" s="153"/>
      <c r="AZ163" s="153"/>
      <c r="BA163" s="153"/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53"/>
      <c r="BL163" s="153"/>
      <c r="BM163" s="153"/>
      <c r="BN163" s="153"/>
      <c r="BO163" s="153"/>
      <c r="BP163" s="153"/>
      <c r="BQ163" s="153"/>
      <c r="BR163" s="153"/>
      <c r="BS163" s="153"/>
      <c r="BT163" s="153"/>
      <c r="BU163" s="153"/>
      <c r="BV163" s="153"/>
      <c r="BW163" s="153"/>
      <c r="BX163" s="153"/>
      <c r="BY163" s="153"/>
      <c r="BZ163" s="153"/>
      <c r="CA163" s="153"/>
      <c r="CB163" s="153"/>
      <c r="CC163" s="153"/>
      <c r="CD163" s="153"/>
      <c r="CE163" s="153"/>
      <c r="CF163" s="153"/>
      <c r="CG163" s="153"/>
      <c r="CH163" s="153"/>
      <c r="CI163" s="153"/>
      <c r="CJ163" s="153"/>
      <c r="CK163" s="153"/>
      <c r="CL163" s="153"/>
      <c r="CM163" s="153"/>
      <c r="CN163" s="153"/>
      <c r="CO163" s="153"/>
    </row>
    <row r="164" spans="1:93" x14ac:dyDescent="0.25">
      <c r="A164" s="127" t="s">
        <v>269</v>
      </c>
      <c r="B164" s="120">
        <v>21</v>
      </c>
      <c r="C164" s="44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/>
      <c r="AU164" s="153"/>
      <c r="AV164" s="153"/>
      <c r="AW164" s="153"/>
      <c r="AX164" s="153"/>
      <c r="AY164" s="153"/>
      <c r="AZ164" s="153"/>
      <c r="BA164" s="153"/>
      <c r="BB164" s="153"/>
      <c r="BC164" s="153"/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/>
      <c r="CJ164" s="153"/>
      <c r="CK164" s="153"/>
      <c r="CL164" s="153"/>
      <c r="CM164" s="153"/>
      <c r="CN164" s="153"/>
      <c r="CO164" s="153"/>
    </row>
    <row r="165" spans="1:93" x14ac:dyDescent="0.25">
      <c r="A165" s="127" t="s">
        <v>270</v>
      </c>
      <c r="B165" s="120">
        <v>22</v>
      </c>
      <c r="C165" s="44"/>
      <c r="D165" s="44"/>
      <c r="E165" s="44">
        <v>2000</v>
      </c>
      <c r="F165" s="47">
        <f t="shared" si="6"/>
        <v>2000</v>
      </c>
      <c r="G165" s="44">
        <v>2000</v>
      </c>
      <c r="H165" s="129">
        <f t="shared" si="7"/>
        <v>0</v>
      </c>
      <c r="L165" s="153"/>
      <c r="M165" s="153"/>
      <c r="N165" s="640" t="s">
        <v>418</v>
      </c>
      <c r="O165" s="640"/>
      <c r="P165" s="640"/>
      <c r="Q165" s="640"/>
      <c r="R165" s="640"/>
      <c r="S165" s="640"/>
      <c r="T165" s="640"/>
      <c r="U165" s="640"/>
      <c r="V165" s="640"/>
      <c r="W165" s="640"/>
      <c r="X165" s="640"/>
      <c r="Y165" s="640"/>
      <c r="Z165" s="640"/>
      <c r="AA165" s="153"/>
      <c r="AB165" s="641" t="s">
        <v>21</v>
      </c>
      <c r="AC165" s="641"/>
      <c r="AD165" s="641"/>
      <c r="AE165" s="641"/>
      <c r="AF165" s="641"/>
      <c r="AG165" s="641"/>
      <c r="AH165" s="641"/>
      <c r="AI165" s="153"/>
      <c r="AJ165" s="153"/>
      <c r="AK165" s="153"/>
      <c r="AL165" s="153"/>
      <c r="AM165" s="153"/>
      <c r="AN165" s="153"/>
      <c r="AO165" s="153"/>
      <c r="AP165" s="642">
        <v>0</v>
      </c>
      <c r="AQ165" s="642"/>
      <c r="AR165" s="642"/>
      <c r="AS165" s="642"/>
      <c r="AT165" s="153"/>
      <c r="AU165" s="643">
        <v>0</v>
      </c>
      <c r="AV165" s="643"/>
      <c r="AW165" s="643"/>
      <c r="AX165" s="643"/>
      <c r="AY165" s="153"/>
      <c r="AZ165" s="642">
        <v>0</v>
      </c>
      <c r="BA165" s="642"/>
      <c r="BB165" s="642"/>
      <c r="BC165" s="642"/>
      <c r="BD165" s="153"/>
      <c r="BE165" s="644">
        <v>0</v>
      </c>
      <c r="BF165" s="644"/>
      <c r="BG165" s="153"/>
      <c r="BH165" s="153"/>
      <c r="BI165" s="153"/>
      <c r="BJ165" s="153"/>
      <c r="BK165" s="153"/>
      <c r="BL165" s="153"/>
      <c r="BM165" s="153"/>
      <c r="BN165" s="153"/>
      <c r="BO165" s="153"/>
      <c r="BP165" s="153"/>
      <c r="BQ165" s="153"/>
      <c r="BR165" s="153"/>
      <c r="BS165" s="153"/>
      <c r="BT165" s="153"/>
      <c r="BU165" s="153"/>
      <c r="BV165" s="153"/>
      <c r="BW165" s="153"/>
      <c r="BX165" s="153"/>
      <c r="BY165" s="153"/>
      <c r="BZ165" s="153"/>
      <c r="CA165" s="153"/>
      <c r="CB165" s="153"/>
      <c r="CC165" s="153"/>
      <c r="CD165" s="153"/>
      <c r="CE165" s="153"/>
      <c r="CF165" s="153"/>
      <c r="CG165" s="153"/>
      <c r="CH165" s="153"/>
      <c r="CI165" s="153"/>
      <c r="CJ165" s="643">
        <v>0</v>
      </c>
      <c r="CK165" s="643"/>
      <c r="CL165" s="153"/>
      <c r="CM165" s="153"/>
      <c r="CN165" s="153"/>
      <c r="CO165" s="153"/>
    </row>
    <row r="166" spans="1:93" x14ac:dyDescent="0.25">
      <c r="A166" s="169" t="s">
        <v>271</v>
      </c>
      <c r="B166" s="120">
        <v>23</v>
      </c>
      <c r="C166" s="44"/>
      <c r="D166" s="44"/>
      <c r="E166" s="44">
        <v>2000</v>
      </c>
      <c r="F166" s="47">
        <f t="shared" si="6"/>
        <v>2000</v>
      </c>
      <c r="G166" s="44"/>
      <c r="H166" s="129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153"/>
      <c r="CB166" s="153"/>
      <c r="CC166" s="153"/>
      <c r="CD166" s="153"/>
      <c r="CE166" s="153"/>
      <c r="CF166" s="153"/>
      <c r="CG166" s="153"/>
      <c r="CH166" s="153"/>
      <c r="CI166" s="153"/>
      <c r="CJ166" s="153"/>
      <c r="CK166" s="153"/>
      <c r="CL166" s="153"/>
      <c r="CM166" s="153"/>
      <c r="CN166" s="153"/>
      <c r="CO166" s="153"/>
    </row>
    <row r="167" spans="1:93" x14ac:dyDescent="0.25">
      <c r="A167" s="127" t="s">
        <v>272</v>
      </c>
      <c r="B167" s="120">
        <v>24</v>
      </c>
      <c r="C167" s="44"/>
      <c r="D167" s="44"/>
      <c r="E167" s="44">
        <v>4500</v>
      </c>
      <c r="F167" s="47">
        <f t="shared" si="6"/>
        <v>4500</v>
      </c>
      <c r="G167" s="44">
        <v>4000</v>
      </c>
      <c r="H167" s="129">
        <f t="shared" si="7"/>
        <v>500</v>
      </c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  <c r="AA167" s="153"/>
      <c r="AB167" s="153"/>
      <c r="AC167" s="153"/>
      <c r="AD167" s="153"/>
      <c r="AE167" s="153"/>
      <c r="AF167" s="153"/>
      <c r="AG167" s="153"/>
      <c r="AH167" s="153"/>
      <c r="AI167" s="153"/>
      <c r="AJ167" s="153"/>
      <c r="AK167" s="153"/>
      <c r="AL167" s="153"/>
      <c r="AM167" s="153"/>
      <c r="AN167" s="153"/>
      <c r="AO167" s="153"/>
      <c r="AP167" s="153"/>
      <c r="AQ167" s="153"/>
      <c r="AR167" s="153"/>
      <c r="AS167" s="153"/>
      <c r="AT167" s="153"/>
      <c r="AU167" s="153"/>
      <c r="AV167" s="153"/>
      <c r="AW167" s="153"/>
      <c r="AX167" s="153"/>
      <c r="AY167" s="153"/>
      <c r="AZ167" s="153"/>
      <c r="BA167" s="153"/>
      <c r="BB167" s="153"/>
      <c r="BC167" s="153"/>
      <c r="BD167" s="153"/>
      <c r="BE167" s="153"/>
      <c r="BF167" s="153"/>
      <c r="BG167" s="153"/>
      <c r="BH167" s="153"/>
      <c r="BI167" s="153"/>
      <c r="BJ167" s="153"/>
      <c r="BK167" s="153"/>
      <c r="BL167" s="153"/>
      <c r="BM167" s="153"/>
      <c r="BN167" s="153"/>
      <c r="BO167" s="153"/>
      <c r="BP167" s="153"/>
      <c r="BQ167" s="153"/>
      <c r="BR167" s="153"/>
      <c r="BS167" s="153"/>
      <c r="BT167" s="153"/>
      <c r="BU167" s="153"/>
      <c r="BV167" s="153"/>
      <c r="BW167" s="153"/>
      <c r="BX167" s="153"/>
      <c r="BY167" s="153"/>
      <c r="BZ167" s="153"/>
      <c r="CA167" s="153"/>
      <c r="CB167" s="153"/>
      <c r="CC167" s="153"/>
      <c r="CD167" s="153"/>
      <c r="CE167" s="153"/>
      <c r="CF167" s="153"/>
      <c r="CG167" s="153"/>
      <c r="CH167" s="153"/>
      <c r="CI167" s="153"/>
      <c r="CJ167" s="153"/>
      <c r="CK167" s="153"/>
      <c r="CL167" s="153"/>
      <c r="CM167" s="153"/>
      <c r="CN167" s="153"/>
      <c r="CO167" s="153"/>
    </row>
    <row r="168" spans="1:93" x14ac:dyDescent="0.25">
      <c r="A168" s="177" t="s">
        <v>388</v>
      </c>
      <c r="B168" s="120">
        <v>25</v>
      </c>
      <c r="C168" s="44"/>
      <c r="D168" s="44">
        <v>1000</v>
      </c>
      <c r="E168" s="44">
        <v>2000</v>
      </c>
      <c r="F168" s="47">
        <f t="shared" si="6"/>
        <v>3000</v>
      </c>
      <c r="G168" s="44">
        <v>3000</v>
      </c>
      <c r="H168" s="129">
        <f t="shared" si="7"/>
        <v>0</v>
      </c>
      <c r="L168" s="153"/>
      <c r="M168" s="153"/>
      <c r="N168" s="640" t="s">
        <v>419</v>
      </c>
      <c r="O168" s="640"/>
      <c r="P168" s="640"/>
      <c r="Q168" s="640"/>
      <c r="R168" s="640"/>
      <c r="S168" s="640"/>
      <c r="T168" s="640"/>
      <c r="U168" s="640"/>
      <c r="V168" s="640"/>
      <c r="W168" s="640"/>
      <c r="X168" s="640"/>
      <c r="Y168" s="640"/>
      <c r="Z168" s="640"/>
      <c r="AA168" s="153"/>
      <c r="AB168" s="641" t="s">
        <v>21</v>
      </c>
      <c r="AC168" s="641"/>
      <c r="AD168" s="641"/>
      <c r="AE168" s="641"/>
      <c r="AF168" s="641"/>
      <c r="AG168" s="641"/>
      <c r="AH168" s="641"/>
      <c r="AI168" s="153"/>
      <c r="AJ168" s="153"/>
      <c r="AK168" s="153"/>
      <c r="AL168" s="153"/>
      <c r="AM168" s="153"/>
      <c r="AN168" s="153"/>
      <c r="AO168" s="153"/>
      <c r="AP168" s="642">
        <v>0</v>
      </c>
      <c r="AQ168" s="642"/>
      <c r="AR168" s="642"/>
      <c r="AS168" s="642"/>
      <c r="AT168" s="153"/>
      <c r="AU168" s="643">
        <v>0</v>
      </c>
      <c r="AV168" s="643"/>
      <c r="AW168" s="643"/>
      <c r="AX168" s="643"/>
      <c r="AY168" s="153"/>
      <c r="AZ168" s="642">
        <v>0</v>
      </c>
      <c r="BA168" s="642"/>
      <c r="BB168" s="642"/>
      <c r="BC168" s="642"/>
      <c r="BD168" s="153"/>
      <c r="BE168" s="644">
        <v>0</v>
      </c>
      <c r="BF168" s="644"/>
      <c r="BG168" s="153"/>
      <c r="BH168" s="153"/>
      <c r="BI168" s="153"/>
      <c r="BJ168" s="153"/>
      <c r="BK168" s="153"/>
      <c r="BL168" s="153"/>
      <c r="BM168" s="153"/>
      <c r="BN168" s="153"/>
      <c r="BO168" s="153"/>
      <c r="BP168" s="153"/>
      <c r="BQ168" s="153"/>
      <c r="BR168" s="153"/>
      <c r="BS168" s="153"/>
      <c r="BT168" s="153"/>
      <c r="BU168" s="153"/>
      <c r="BV168" s="153"/>
      <c r="BW168" s="153"/>
      <c r="BX168" s="153"/>
      <c r="BY168" s="153"/>
      <c r="BZ168" s="153"/>
      <c r="CA168" s="153"/>
      <c r="CB168" s="153"/>
      <c r="CC168" s="153"/>
      <c r="CD168" s="153"/>
      <c r="CE168" s="153"/>
      <c r="CF168" s="153"/>
      <c r="CG168" s="153"/>
      <c r="CH168" s="153"/>
      <c r="CI168" s="153"/>
      <c r="CJ168" s="643">
        <v>0</v>
      </c>
      <c r="CK168" s="643"/>
      <c r="CL168" s="153"/>
      <c r="CM168" s="153"/>
      <c r="CN168" s="153"/>
      <c r="CO168" s="153"/>
    </row>
    <row r="169" spans="1:93" x14ac:dyDescent="0.25">
      <c r="B169" s="120"/>
      <c r="C169" s="44"/>
      <c r="D169" s="44"/>
      <c r="E169" s="105">
        <f>SUM(E144:E168)</f>
        <v>57500</v>
      </c>
      <c r="F169" s="105"/>
      <c r="G169" s="105">
        <f>SUM(G144:G168)</f>
        <v>46000</v>
      </c>
      <c r="H169" s="129">
        <f>SUM(H144:H168)</f>
        <v>6500</v>
      </c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153"/>
      <c r="BA169" s="153"/>
      <c r="BB169" s="153"/>
      <c r="BC169" s="153"/>
      <c r="BD169" s="153"/>
      <c r="BE169" s="153"/>
      <c r="BF169" s="153"/>
      <c r="BG169" s="153"/>
      <c r="BH169" s="153"/>
      <c r="BI169" s="153"/>
      <c r="BJ169" s="153"/>
      <c r="BK169" s="153"/>
      <c r="BL169" s="153"/>
      <c r="BM169" s="153"/>
      <c r="BN169" s="153"/>
      <c r="BO169" s="153"/>
      <c r="BP169" s="153"/>
      <c r="BQ169" s="153"/>
      <c r="BR169" s="153"/>
      <c r="BS169" s="153"/>
      <c r="BT169" s="153"/>
      <c r="BU169" s="153"/>
      <c r="BV169" s="153"/>
      <c r="BW169" s="153"/>
      <c r="BX169" s="153"/>
      <c r="BY169" s="153"/>
      <c r="BZ169" s="153"/>
      <c r="CA169" s="153"/>
      <c r="CB169" s="153"/>
      <c r="CC169" s="153"/>
      <c r="CD169" s="153"/>
      <c r="CE169" s="153"/>
      <c r="CF169" s="153"/>
      <c r="CG169" s="153"/>
      <c r="CH169" s="153"/>
      <c r="CI169" s="153"/>
      <c r="CJ169" s="153"/>
      <c r="CK169" s="153"/>
      <c r="CL169" s="153"/>
      <c r="CM169" s="153"/>
      <c r="CN169" s="153"/>
      <c r="CO169" s="153"/>
    </row>
    <row r="170" spans="1:93" x14ac:dyDescent="0.25">
      <c r="A170" s="44"/>
      <c r="B170" s="120"/>
      <c r="C170" s="44"/>
      <c r="D170" s="44"/>
      <c r="E170" s="44"/>
      <c r="F170" s="44"/>
      <c r="G170" s="44"/>
      <c r="H170" s="44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153"/>
      <c r="BA170" s="153"/>
      <c r="BB170" s="153"/>
      <c r="BC170" s="153"/>
      <c r="BD170" s="153"/>
      <c r="BE170" s="153"/>
      <c r="BF170" s="153"/>
      <c r="BG170" s="153"/>
      <c r="BH170" s="153"/>
      <c r="BI170" s="153"/>
      <c r="BJ170" s="153"/>
      <c r="BK170" s="153"/>
      <c r="BL170" s="153"/>
      <c r="BM170" s="153"/>
      <c r="BN170" s="153"/>
      <c r="BO170" s="153"/>
      <c r="BP170" s="153"/>
      <c r="BQ170" s="153"/>
      <c r="BR170" s="153"/>
      <c r="BS170" s="153"/>
      <c r="BT170" s="153"/>
      <c r="BU170" s="153"/>
      <c r="BV170" s="153"/>
      <c r="BW170" s="153"/>
      <c r="BX170" s="153"/>
      <c r="BY170" s="153"/>
      <c r="BZ170" s="153"/>
      <c r="CA170" s="153"/>
      <c r="CB170" s="153"/>
      <c r="CC170" s="153"/>
      <c r="CD170" s="153"/>
      <c r="CE170" s="153"/>
      <c r="CF170" s="153"/>
      <c r="CG170" s="153"/>
      <c r="CH170" s="153"/>
      <c r="CI170" s="153"/>
      <c r="CJ170" s="153"/>
      <c r="CK170" s="153"/>
      <c r="CL170" s="153"/>
      <c r="CM170" s="153"/>
      <c r="CN170" s="153"/>
      <c r="CO170" s="153"/>
    </row>
    <row r="171" spans="1:93" x14ac:dyDescent="0.25">
      <c r="A171" s="44"/>
      <c r="B171" s="120"/>
      <c r="C171" s="44"/>
      <c r="D171" s="44"/>
      <c r="E171" s="44"/>
      <c r="F171" s="44"/>
      <c r="G171" s="44"/>
      <c r="H171" s="44"/>
      <c r="L171" s="153"/>
      <c r="M171" s="153"/>
      <c r="N171" s="640" t="s">
        <v>420</v>
      </c>
      <c r="O171" s="640"/>
      <c r="P171" s="640"/>
      <c r="Q171" s="640"/>
      <c r="R171" s="640"/>
      <c r="S171" s="640"/>
      <c r="T171" s="640"/>
      <c r="U171" s="640"/>
      <c r="V171" s="640"/>
      <c r="W171" s="640"/>
      <c r="X171" s="640"/>
      <c r="Y171" s="640"/>
      <c r="Z171" s="640"/>
      <c r="AA171" s="153"/>
      <c r="AB171" s="641" t="s">
        <v>421</v>
      </c>
      <c r="AC171" s="641"/>
      <c r="AD171" s="641"/>
      <c r="AE171" s="641"/>
      <c r="AF171" s="641"/>
      <c r="AG171" s="641"/>
      <c r="AH171" s="641"/>
      <c r="AI171" s="153"/>
      <c r="AJ171" s="153"/>
      <c r="AK171" s="640" t="s">
        <v>422</v>
      </c>
      <c r="AL171" s="640"/>
      <c r="AM171" s="640"/>
      <c r="AN171" s="640"/>
      <c r="AO171" s="153"/>
      <c r="AP171" s="642">
        <v>4000</v>
      </c>
      <c r="AQ171" s="642"/>
      <c r="AR171" s="642"/>
      <c r="AS171" s="642"/>
      <c r="AT171" s="153"/>
      <c r="AU171" s="643">
        <v>0</v>
      </c>
      <c r="AV171" s="643"/>
      <c r="AW171" s="643"/>
      <c r="AX171" s="643"/>
      <c r="AY171" s="153"/>
      <c r="AZ171" s="642">
        <v>0</v>
      </c>
      <c r="BA171" s="642"/>
      <c r="BB171" s="642"/>
      <c r="BC171" s="642"/>
      <c r="BD171" s="153"/>
      <c r="BE171" s="644">
        <v>4000</v>
      </c>
      <c r="BF171" s="644"/>
      <c r="BG171" s="153"/>
      <c r="BH171" s="153"/>
      <c r="BI171" s="153"/>
      <c r="BJ171" s="153"/>
      <c r="BK171" s="153"/>
      <c r="BL171" s="153"/>
      <c r="BM171" s="153"/>
      <c r="BN171" s="153"/>
      <c r="BO171" s="153"/>
      <c r="BP171" s="153"/>
      <c r="BQ171" s="153"/>
      <c r="BR171" s="153"/>
      <c r="BS171" s="153"/>
      <c r="BT171" s="153"/>
      <c r="BU171" s="153"/>
      <c r="BV171" s="153"/>
      <c r="BW171" s="153"/>
      <c r="BX171" s="153"/>
      <c r="BY171" s="153"/>
      <c r="BZ171" s="153"/>
      <c r="CA171" s="153"/>
      <c r="CB171" s="153"/>
      <c r="CC171" s="153"/>
      <c r="CD171" s="153"/>
      <c r="CE171" s="153"/>
      <c r="CF171" s="153"/>
      <c r="CG171" s="153"/>
      <c r="CH171" s="153"/>
      <c r="CI171" s="153"/>
      <c r="CJ171" s="643">
        <v>4000</v>
      </c>
      <c r="CK171" s="643"/>
      <c r="CL171" s="153"/>
      <c r="CM171" s="153"/>
      <c r="CN171" s="153"/>
      <c r="CO171" s="153"/>
    </row>
    <row r="172" spans="1:93" x14ac:dyDescent="0.25">
      <c r="A172" s="9"/>
      <c r="B172" s="9"/>
      <c r="C172" s="9"/>
      <c r="D172" s="9"/>
      <c r="E172" s="9"/>
      <c r="F172" s="9"/>
      <c r="G172" s="9"/>
      <c r="H172" s="9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3"/>
      <c r="AB172" s="153"/>
      <c r="AC172" s="153"/>
      <c r="AD172" s="153"/>
      <c r="AE172" s="153"/>
      <c r="AF172" s="153"/>
      <c r="AG172" s="153"/>
      <c r="AH172" s="153"/>
      <c r="AI172" s="153"/>
      <c r="AJ172" s="153"/>
      <c r="AK172" s="153"/>
      <c r="AL172" s="153"/>
      <c r="AM172" s="153"/>
      <c r="AN172" s="153"/>
      <c r="AO172" s="153"/>
      <c r="AP172" s="153"/>
      <c r="AQ172" s="153"/>
      <c r="AR172" s="153"/>
      <c r="AS172" s="153"/>
      <c r="AT172" s="153"/>
      <c r="AU172" s="153"/>
      <c r="AV172" s="153"/>
      <c r="AW172" s="153"/>
      <c r="AX172" s="153"/>
      <c r="AY172" s="153"/>
      <c r="AZ172" s="153"/>
      <c r="BA172" s="153"/>
      <c r="BB172" s="153"/>
      <c r="BC172" s="153"/>
      <c r="BD172" s="153"/>
      <c r="BE172" s="153"/>
      <c r="BF172" s="153"/>
      <c r="BG172" s="153"/>
      <c r="BH172" s="153"/>
      <c r="BI172" s="153"/>
      <c r="BJ172" s="153"/>
      <c r="BK172" s="153"/>
      <c r="BL172" s="153"/>
      <c r="BM172" s="153"/>
      <c r="BN172" s="153"/>
      <c r="BO172" s="153"/>
      <c r="BP172" s="153"/>
      <c r="BQ172" s="153"/>
      <c r="BR172" s="153"/>
      <c r="BS172" s="153"/>
      <c r="BT172" s="153"/>
      <c r="BU172" s="153"/>
      <c r="BV172" s="153"/>
      <c r="BW172" s="153"/>
      <c r="BX172" s="153"/>
      <c r="BY172" s="153"/>
      <c r="BZ172" s="153"/>
      <c r="CA172" s="153"/>
      <c r="CB172" s="153"/>
      <c r="CC172" s="153"/>
      <c r="CD172" s="153"/>
      <c r="CE172" s="153"/>
      <c r="CF172" s="153"/>
      <c r="CG172" s="153"/>
      <c r="CH172" s="153"/>
      <c r="CI172" s="153"/>
      <c r="CJ172" s="153"/>
      <c r="CK172" s="153"/>
      <c r="CL172" s="153"/>
      <c r="CM172" s="153"/>
      <c r="CN172" s="153"/>
      <c r="CO172" s="153"/>
    </row>
    <row r="173" spans="1:93" x14ac:dyDescent="0.25">
      <c r="A173" s="9"/>
      <c r="B173" s="9"/>
      <c r="C173" s="9"/>
      <c r="D173" s="9"/>
      <c r="E173" s="9"/>
      <c r="F173" s="9"/>
      <c r="G173" s="9"/>
      <c r="H173" s="9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  <c r="AB173" s="153"/>
      <c r="AC173" s="153"/>
      <c r="AD173" s="153"/>
      <c r="AE173" s="153"/>
      <c r="AF173" s="153"/>
      <c r="AG173" s="153"/>
      <c r="AH173" s="153"/>
      <c r="AI173" s="153"/>
      <c r="AJ173" s="153"/>
      <c r="AK173" s="153"/>
      <c r="AL173" s="153"/>
      <c r="AM173" s="153"/>
      <c r="AN173" s="153"/>
      <c r="AO173" s="153"/>
      <c r="AP173" s="153"/>
      <c r="AQ173" s="153"/>
      <c r="AR173" s="153"/>
      <c r="AS173" s="153"/>
      <c r="AT173" s="153"/>
      <c r="AU173" s="153"/>
      <c r="AV173" s="153"/>
      <c r="AW173" s="153"/>
      <c r="AX173" s="153"/>
      <c r="AY173" s="153"/>
      <c r="AZ173" s="153"/>
      <c r="BA173" s="153"/>
      <c r="BB173" s="153"/>
      <c r="BC173" s="153"/>
      <c r="BD173" s="153"/>
      <c r="BE173" s="153"/>
      <c r="BF173" s="153"/>
      <c r="BG173" s="153"/>
      <c r="BH173" s="153"/>
      <c r="BI173" s="153"/>
      <c r="BJ173" s="153"/>
      <c r="BK173" s="153"/>
      <c r="BL173" s="153"/>
      <c r="BM173" s="153"/>
      <c r="BN173" s="153"/>
      <c r="BO173" s="153"/>
      <c r="BP173" s="153"/>
      <c r="BQ173" s="153"/>
      <c r="BR173" s="153"/>
      <c r="BS173" s="153"/>
      <c r="BT173" s="153"/>
      <c r="BU173" s="153"/>
      <c r="BV173" s="153"/>
      <c r="BW173" s="153"/>
      <c r="BX173" s="153"/>
      <c r="BY173" s="153"/>
      <c r="BZ173" s="153"/>
      <c r="CA173" s="153"/>
      <c r="CB173" s="153"/>
      <c r="CC173" s="153"/>
      <c r="CD173" s="153"/>
      <c r="CE173" s="153"/>
      <c r="CF173" s="153"/>
      <c r="CG173" s="153"/>
      <c r="CH173" s="153"/>
      <c r="CI173" s="153"/>
      <c r="CJ173" s="153"/>
      <c r="CK173" s="153"/>
      <c r="CL173" s="153"/>
      <c r="CM173" s="153"/>
      <c r="CN173" s="153"/>
      <c r="CO173" s="153"/>
    </row>
    <row r="174" spans="1:93" x14ac:dyDescent="0.25">
      <c r="A174" s="100" t="s">
        <v>60</v>
      </c>
      <c r="B174" s="97"/>
      <c r="C174" s="102">
        <f>E169</f>
        <v>57500</v>
      </c>
      <c r="D174" s="9"/>
      <c r="E174" s="9"/>
      <c r="F174" s="100" t="s">
        <v>60</v>
      </c>
      <c r="G174" s="101"/>
      <c r="H174" s="121">
        <f>G169</f>
        <v>46000</v>
      </c>
      <c r="L174" s="153"/>
      <c r="M174" s="153"/>
      <c r="N174" s="640" t="s">
        <v>423</v>
      </c>
      <c r="O174" s="640"/>
      <c r="P174" s="640"/>
      <c r="Q174" s="640"/>
      <c r="R174" s="640"/>
      <c r="S174" s="640"/>
      <c r="T174" s="640"/>
      <c r="U174" s="640"/>
      <c r="V174" s="640"/>
      <c r="W174" s="640"/>
      <c r="X174" s="640"/>
      <c r="Y174" s="640"/>
      <c r="Z174" s="640"/>
      <c r="AA174" s="153"/>
      <c r="AB174" s="641" t="s">
        <v>424</v>
      </c>
      <c r="AC174" s="641"/>
      <c r="AD174" s="641"/>
      <c r="AE174" s="641"/>
      <c r="AF174" s="641"/>
      <c r="AG174" s="641"/>
      <c r="AH174" s="641"/>
      <c r="AI174" s="153"/>
      <c r="AJ174" s="153"/>
      <c r="AK174" s="640" t="s">
        <v>425</v>
      </c>
      <c r="AL174" s="640"/>
      <c r="AM174" s="640"/>
      <c r="AN174" s="640"/>
      <c r="AO174" s="153"/>
      <c r="AP174" s="642">
        <v>4000</v>
      </c>
      <c r="AQ174" s="642"/>
      <c r="AR174" s="642"/>
      <c r="AS174" s="642"/>
      <c r="AT174" s="153"/>
      <c r="AU174" s="643">
        <v>0</v>
      </c>
      <c r="AV174" s="643"/>
      <c r="AW174" s="643"/>
      <c r="AX174" s="643"/>
      <c r="AY174" s="153"/>
      <c r="AZ174" s="642">
        <v>0</v>
      </c>
      <c r="BA174" s="642"/>
      <c r="BB174" s="642"/>
      <c r="BC174" s="642"/>
      <c r="BD174" s="153"/>
      <c r="BE174" s="644">
        <v>4000</v>
      </c>
      <c r="BF174" s="644"/>
      <c r="BG174" s="153"/>
      <c r="BH174" s="153"/>
      <c r="BI174" s="153"/>
      <c r="BJ174" s="640" t="s">
        <v>426</v>
      </c>
      <c r="BK174" s="640"/>
      <c r="BL174" s="640"/>
      <c r="BM174" s="640"/>
      <c r="BN174" s="153"/>
      <c r="BO174" s="645">
        <v>42992</v>
      </c>
      <c r="BP174" s="645"/>
      <c r="BQ174" s="645"/>
      <c r="BR174" s="645"/>
      <c r="BS174" s="153"/>
      <c r="BT174" s="643">
        <v>4000</v>
      </c>
      <c r="BU174" s="643"/>
      <c r="BV174" s="643"/>
      <c r="BW174" s="153"/>
      <c r="BX174" s="153"/>
      <c r="BY174" s="643">
        <v>0</v>
      </c>
      <c r="BZ174" s="643"/>
      <c r="CA174" s="643"/>
      <c r="CB174" s="643"/>
      <c r="CC174" s="153"/>
      <c r="CD174" s="153"/>
      <c r="CE174" s="644">
        <v>4000</v>
      </c>
      <c r="CF174" s="644"/>
      <c r="CG174" s="644"/>
      <c r="CH174" s="153"/>
      <c r="CI174" s="153"/>
      <c r="CJ174" s="643">
        <v>0</v>
      </c>
      <c r="CK174" s="643"/>
      <c r="CL174" s="153"/>
      <c r="CM174" s="153"/>
      <c r="CN174" s="153"/>
      <c r="CO174" s="153"/>
    </row>
    <row r="175" spans="1:93" x14ac:dyDescent="0.25">
      <c r="A175" s="9"/>
      <c r="B175" s="128">
        <v>0.1</v>
      </c>
      <c r="C175" s="104"/>
      <c r="D175" s="9"/>
      <c r="E175" s="9"/>
      <c r="F175" s="9"/>
      <c r="G175" s="128">
        <v>0.1</v>
      </c>
      <c r="H175" s="104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3"/>
      <c r="AB175" s="153"/>
      <c r="AC175" s="153"/>
      <c r="AD175" s="153"/>
      <c r="AE175" s="153"/>
      <c r="AF175" s="153"/>
      <c r="AG175" s="153"/>
      <c r="AH175" s="153"/>
      <c r="AI175" s="153"/>
      <c r="AJ175" s="153"/>
      <c r="AK175" s="153"/>
      <c r="AL175" s="153"/>
      <c r="AM175" s="153"/>
      <c r="AN175" s="153"/>
      <c r="AO175" s="153"/>
      <c r="AP175" s="153"/>
      <c r="AQ175" s="153"/>
      <c r="AR175" s="153"/>
      <c r="AS175" s="153"/>
      <c r="AT175" s="153"/>
      <c r="AU175" s="153"/>
      <c r="AV175" s="153"/>
      <c r="AW175" s="153"/>
      <c r="AX175" s="153"/>
      <c r="AY175" s="153"/>
      <c r="AZ175" s="153"/>
      <c r="BA175" s="153"/>
      <c r="BB175" s="153"/>
      <c r="BC175" s="153"/>
      <c r="BD175" s="153"/>
      <c r="BE175" s="153"/>
      <c r="BF175" s="153"/>
      <c r="BG175" s="153"/>
      <c r="BH175" s="153"/>
      <c r="BI175" s="153"/>
      <c r="BJ175" s="153"/>
      <c r="BK175" s="153"/>
      <c r="BL175" s="153"/>
      <c r="BM175" s="153"/>
      <c r="BN175" s="153"/>
      <c r="BO175" s="153"/>
      <c r="BP175" s="153"/>
      <c r="BQ175" s="153"/>
      <c r="BR175" s="153"/>
      <c r="BS175" s="153"/>
      <c r="BT175" s="153"/>
      <c r="BU175" s="153"/>
      <c r="BV175" s="153"/>
      <c r="BW175" s="153"/>
      <c r="BX175" s="153"/>
      <c r="BY175" s="153"/>
      <c r="BZ175" s="153"/>
      <c r="CA175" s="153"/>
      <c r="CB175" s="153"/>
      <c r="CC175" s="153"/>
      <c r="CD175" s="153"/>
      <c r="CE175" s="153"/>
      <c r="CF175" s="153"/>
      <c r="CG175" s="153"/>
      <c r="CH175" s="153"/>
      <c r="CI175" s="153"/>
      <c r="CJ175" s="153"/>
      <c r="CK175" s="153"/>
      <c r="CL175" s="153"/>
      <c r="CM175" s="153"/>
      <c r="CN175" s="153"/>
      <c r="CO175" s="153"/>
    </row>
    <row r="176" spans="1:93" x14ac:dyDescent="0.25">
      <c r="A176" s="103" t="s">
        <v>347</v>
      </c>
      <c r="B176" s="97"/>
      <c r="C176" s="9">
        <v>6010</v>
      </c>
      <c r="D176" s="9"/>
      <c r="E176" s="9"/>
      <c r="F176" s="103"/>
      <c r="G176" s="97" t="s">
        <v>347</v>
      </c>
      <c r="H176" s="9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  <c r="AC176" s="153"/>
      <c r="AD176" s="153"/>
      <c r="AE176" s="153"/>
      <c r="AF176" s="153"/>
      <c r="AG176" s="153"/>
      <c r="AH176" s="153"/>
      <c r="AI176" s="153"/>
      <c r="AJ176" s="153"/>
      <c r="AK176" s="153"/>
      <c r="AL176" s="153"/>
      <c r="AM176" s="153"/>
      <c r="AN176" s="153"/>
      <c r="AO176" s="153"/>
      <c r="AP176" s="153"/>
      <c r="AQ176" s="153"/>
      <c r="AR176" s="153"/>
      <c r="AS176" s="153"/>
      <c r="AT176" s="153"/>
      <c r="AU176" s="153"/>
      <c r="AV176" s="153"/>
      <c r="AW176" s="153"/>
      <c r="AX176" s="153"/>
      <c r="AY176" s="153"/>
      <c r="AZ176" s="153"/>
      <c r="BA176" s="153"/>
      <c r="BB176" s="153"/>
      <c r="BC176" s="153"/>
      <c r="BD176" s="153"/>
      <c r="BE176" s="153"/>
      <c r="BF176" s="153"/>
      <c r="BG176" s="153"/>
      <c r="BH176" s="153"/>
      <c r="BI176" s="153"/>
      <c r="BJ176" s="153"/>
      <c r="BK176" s="153"/>
      <c r="BL176" s="153"/>
      <c r="BM176" s="153"/>
      <c r="BN176" s="153"/>
      <c r="BO176" s="153"/>
      <c r="BP176" s="153"/>
      <c r="BQ176" s="153"/>
      <c r="BR176" s="153"/>
      <c r="BS176" s="153"/>
      <c r="BT176" s="153"/>
      <c r="BU176" s="153"/>
      <c r="BV176" s="153"/>
      <c r="BW176" s="153"/>
      <c r="BX176" s="153"/>
      <c r="BY176" s="153"/>
      <c r="BZ176" s="153"/>
      <c r="CA176" s="153"/>
      <c r="CB176" s="153"/>
      <c r="CC176" s="153"/>
      <c r="CD176" s="153"/>
      <c r="CE176" s="153"/>
      <c r="CF176" s="153"/>
      <c r="CG176" s="153"/>
      <c r="CH176" s="153"/>
      <c r="CI176" s="153"/>
      <c r="CJ176" s="153"/>
      <c r="CK176" s="153"/>
      <c r="CL176" s="153"/>
      <c r="CM176" s="153"/>
      <c r="CN176" s="153"/>
      <c r="CO176" s="153"/>
    </row>
    <row r="177" spans="1:93" x14ac:dyDescent="0.25">
      <c r="A177" s="103"/>
      <c r="B177" s="97"/>
      <c r="C177" s="72">
        <f>SUM(C174:C176)</f>
        <v>63510</v>
      </c>
      <c r="D177" s="9"/>
      <c r="E177" s="9"/>
      <c r="F177" s="103"/>
      <c r="G177" s="97"/>
      <c r="H177" s="72"/>
      <c r="L177" s="153"/>
      <c r="M177" s="153"/>
      <c r="N177" s="640" t="s">
        <v>427</v>
      </c>
      <c r="O177" s="640"/>
      <c r="P177" s="640"/>
      <c r="Q177" s="640"/>
      <c r="R177" s="640"/>
      <c r="S177" s="640"/>
      <c r="T177" s="640"/>
      <c r="U177" s="640"/>
      <c r="V177" s="640"/>
      <c r="W177" s="640"/>
      <c r="X177" s="640"/>
      <c r="Y177" s="640"/>
      <c r="Z177" s="640"/>
      <c r="AA177" s="153"/>
      <c r="AB177" s="641" t="s">
        <v>21</v>
      </c>
      <c r="AC177" s="641"/>
      <c r="AD177" s="641"/>
      <c r="AE177" s="641"/>
      <c r="AF177" s="641"/>
      <c r="AG177" s="641"/>
      <c r="AH177" s="641"/>
      <c r="AI177" s="153"/>
      <c r="AJ177" s="153"/>
      <c r="AK177" s="153"/>
      <c r="AL177" s="153"/>
      <c r="AM177" s="153"/>
      <c r="AN177" s="153"/>
      <c r="AO177" s="153"/>
      <c r="AP177" s="642">
        <v>0</v>
      </c>
      <c r="AQ177" s="642"/>
      <c r="AR177" s="642"/>
      <c r="AS177" s="642"/>
      <c r="AT177" s="153"/>
      <c r="AU177" s="643">
        <v>0</v>
      </c>
      <c r="AV177" s="643"/>
      <c r="AW177" s="643"/>
      <c r="AX177" s="643"/>
      <c r="AY177" s="153"/>
      <c r="AZ177" s="642">
        <v>0</v>
      </c>
      <c r="BA177" s="642"/>
      <c r="BB177" s="642"/>
      <c r="BC177" s="642"/>
      <c r="BD177" s="153"/>
      <c r="BE177" s="644">
        <v>0</v>
      </c>
      <c r="BF177" s="644"/>
      <c r="BG177" s="153"/>
      <c r="BH177" s="153"/>
      <c r="BI177" s="153"/>
      <c r="BJ177" s="153"/>
      <c r="BK177" s="153"/>
      <c r="BL177" s="153"/>
      <c r="BM177" s="153"/>
      <c r="BN177" s="153"/>
      <c r="BO177" s="153"/>
      <c r="BP177" s="153"/>
      <c r="BQ177" s="153"/>
      <c r="BR177" s="153"/>
      <c r="BS177" s="153"/>
      <c r="BT177" s="153"/>
      <c r="BU177" s="153"/>
      <c r="BV177" s="153"/>
      <c r="BW177" s="153"/>
      <c r="BX177" s="153"/>
      <c r="BY177" s="153"/>
      <c r="BZ177" s="153"/>
      <c r="CA177" s="153"/>
      <c r="CB177" s="153"/>
      <c r="CC177" s="153"/>
      <c r="CD177" s="153"/>
      <c r="CE177" s="153"/>
      <c r="CF177" s="153"/>
      <c r="CG177" s="153"/>
      <c r="CH177" s="153"/>
      <c r="CI177" s="153"/>
      <c r="CJ177" s="643">
        <v>0</v>
      </c>
      <c r="CK177" s="643"/>
      <c r="CL177" s="153"/>
      <c r="CM177" s="153"/>
      <c r="CN177" s="153"/>
      <c r="CO177" s="153"/>
    </row>
    <row r="178" spans="1:93" x14ac:dyDescent="0.25">
      <c r="A178" s="67" t="s">
        <v>58</v>
      </c>
      <c r="B178" s="9"/>
      <c r="C178" s="9"/>
      <c r="D178" s="9"/>
      <c r="E178" s="9"/>
      <c r="F178" s="67" t="s">
        <v>58</v>
      </c>
      <c r="G178" s="9"/>
      <c r="H178" s="9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  <c r="AC178" s="153"/>
      <c r="AD178" s="153"/>
      <c r="AE178" s="153"/>
      <c r="AF178" s="153"/>
      <c r="AG178" s="153"/>
      <c r="AH178" s="153"/>
      <c r="AI178" s="153"/>
      <c r="AJ178" s="153"/>
      <c r="AK178" s="153"/>
      <c r="AL178" s="153"/>
      <c r="AM178" s="153"/>
      <c r="AN178" s="153"/>
      <c r="AO178" s="153"/>
      <c r="AP178" s="153"/>
      <c r="AQ178" s="153"/>
      <c r="AR178" s="153"/>
      <c r="AS178" s="153"/>
      <c r="AT178" s="153"/>
      <c r="AU178" s="153"/>
      <c r="AV178" s="153"/>
      <c r="AW178" s="153"/>
      <c r="AX178" s="153"/>
      <c r="AY178" s="153"/>
      <c r="AZ178" s="153"/>
      <c r="BA178" s="153"/>
      <c r="BB178" s="153"/>
      <c r="BC178" s="153"/>
      <c r="BD178" s="153"/>
      <c r="BE178" s="153"/>
      <c r="BF178" s="153"/>
      <c r="BG178" s="153"/>
      <c r="BH178" s="153"/>
      <c r="BI178" s="153"/>
      <c r="BJ178" s="153"/>
      <c r="BK178" s="153"/>
      <c r="BL178" s="153"/>
      <c r="BM178" s="153"/>
      <c r="BN178" s="153"/>
      <c r="BO178" s="153"/>
      <c r="BP178" s="153"/>
      <c r="BQ178" s="153"/>
      <c r="BR178" s="153"/>
      <c r="BS178" s="153"/>
      <c r="BT178" s="153"/>
      <c r="BU178" s="153"/>
      <c r="BV178" s="153"/>
      <c r="BW178" s="153"/>
      <c r="BX178" s="153"/>
      <c r="BY178" s="153"/>
      <c r="BZ178" s="153"/>
      <c r="CA178" s="153"/>
      <c r="CB178" s="153"/>
      <c r="CC178" s="153"/>
      <c r="CD178" s="153"/>
      <c r="CE178" s="153"/>
      <c r="CF178" s="153"/>
      <c r="CG178" s="153"/>
      <c r="CH178" s="153"/>
      <c r="CI178" s="153"/>
      <c r="CJ178" s="153"/>
      <c r="CK178" s="153"/>
      <c r="CL178" s="153"/>
      <c r="CM178" s="153"/>
      <c r="CN178" s="153"/>
      <c r="CO178" s="153"/>
    </row>
    <row r="179" spans="1:93" x14ac:dyDescent="0.25">
      <c r="A179" s="103" t="s">
        <v>196</v>
      </c>
      <c r="B179" s="9"/>
      <c r="C179" s="104">
        <f>C174*B175</f>
        <v>5750</v>
      </c>
      <c r="D179" s="9"/>
      <c r="E179" s="9"/>
      <c r="F179" s="103" t="s">
        <v>196</v>
      </c>
      <c r="G179" s="9"/>
      <c r="H179" s="104">
        <f>H174*G175</f>
        <v>4600</v>
      </c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  <c r="AC179" s="153"/>
      <c r="AD179" s="153"/>
      <c r="AE179" s="153"/>
      <c r="AF179" s="153"/>
      <c r="AG179" s="153"/>
      <c r="AH179" s="153"/>
      <c r="AI179" s="153"/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3"/>
      <c r="AW179" s="153"/>
      <c r="AX179" s="153"/>
      <c r="AY179" s="153"/>
      <c r="AZ179" s="153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53"/>
      <c r="BL179" s="153"/>
      <c r="BM179" s="153"/>
      <c r="BN179" s="153"/>
      <c r="BO179" s="153"/>
      <c r="BP179" s="153"/>
      <c r="BQ179" s="153"/>
      <c r="BR179" s="153"/>
      <c r="BS179" s="153"/>
      <c r="BT179" s="153"/>
      <c r="BU179" s="153"/>
      <c r="BV179" s="153"/>
      <c r="BW179" s="153"/>
      <c r="BX179" s="153"/>
      <c r="BY179" s="153"/>
      <c r="BZ179" s="153"/>
      <c r="CA179" s="153"/>
      <c r="CB179" s="153"/>
      <c r="CC179" s="153"/>
      <c r="CD179" s="153"/>
      <c r="CE179" s="153"/>
      <c r="CF179" s="153"/>
      <c r="CG179" s="153"/>
      <c r="CH179" s="153"/>
      <c r="CI179" s="153"/>
      <c r="CJ179" s="153"/>
      <c r="CK179" s="153"/>
      <c r="CL179" s="153"/>
      <c r="CM179" s="153"/>
      <c r="CN179" s="153"/>
      <c r="CO179" s="153"/>
    </row>
    <row r="180" spans="1:93" x14ac:dyDescent="0.25">
      <c r="A180" s="93">
        <v>42863</v>
      </c>
      <c r="B180" s="9"/>
      <c r="C180" s="9">
        <v>20000</v>
      </c>
      <c r="D180" s="9"/>
      <c r="E180" s="9"/>
      <c r="F180" s="93">
        <v>42863</v>
      </c>
      <c r="G180" s="9"/>
      <c r="H180" s="9">
        <v>20000</v>
      </c>
      <c r="L180" s="153"/>
      <c r="M180" s="153"/>
      <c r="N180" s="640" t="s">
        <v>428</v>
      </c>
      <c r="O180" s="640"/>
      <c r="P180" s="640"/>
      <c r="Q180" s="640"/>
      <c r="R180" s="640"/>
      <c r="S180" s="640"/>
      <c r="T180" s="640"/>
      <c r="U180" s="640"/>
      <c r="V180" s="640"/>
      <c r="W180" s="640"/>
      <c r="X180" s="640"/>
      <c r="Y180" s="640"/>
      <c r="Z180" s="640"/>
      <c r="AA180" s="153"/>
      <c r="AB180" s="641" t="s">
        <v>429</v>
      </c>
      <c r="AC180" s="641"/>
      <c r="AD180" s="641"/>
      <c r="AE180" s="641"/>
      <c r="AF180" s="641"/>
      <c r="AG180" s="641"/>
      <c r="AH180" s="641"/>
      <c r="AI180" s="153"/>
      <c r="AJ180" s="153"/>
      <c r="AK180" s="640" t="s">
        <v>430</v>
      </c>
      <c r="AL180" s="640"/>
      <c r="AM180" s="640"/>
      <c r="AN180" s="640"/>
      <c r="AO180" s="153"/>
      <c r="AP180" s="642">
        <v>4000</v>
      </c>
      <c r="AQ180" s="642"/>
      <c r="AR180" s="642"/>
      <c r="AS180" s="642"/>
      <c r="AT180" s="153"/>
      <c r="AU180" s="643">
        <v>0</v>
      </c>
      <c r="AV180" s="643"/>
      <c r="AW180" s="643"/>
      <c r="AX180" s="643"/>
      <c r="AY180" s="153"/>
      <c r="AZ180" s="642">
        <v>0</v>
      </c>
      <c r="BA180" s="642"/>
      <c r="BB180" s="642"/>
      <c r="BC180" s="642"/>
      <c r="BD180" s="153"/>
      <c r="BE180" s="644">
        <v>4000</v>
      </c>
      <c r="BF180" s="644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153"/>
      <c r="CB180" s="153"/>
      <c r="CC180" s="153"/>
      <c r="CD180" s="153"/>
      <c r="CE180" s="153"/>
      <c r="CF180" s="153"/>
      <c r="CG180" s="153"/>
      <c r="CH180" s="153"/>
      <c r="CI180" s="153"/>
      <c r="CJ180" s="643">
        <v>4000</v>
      </c>
      <c r="CK180" s="643"/>
      <c r="CL180" s="153"/>
      <c r="CM180" s="153"/>
      <c r="CN180" s="153"/>
      <c r="CO180" s="153"/>
    </row>
    <row r="181" spans="1:93" x14ac:dyDescent="0.25">
      <c r="A181" s="136" t="s">
        <v>394</v>
      </c>
      <c r="B181" s="9"/>
      <c r="C181" s="9">
        <v>9000</v>
      </c>
      <c r="D181" s="9"/>
      <c r="E181" s="9"/>
      <c r="F181" s="136" t="s">
        <v>394</v>
      </c>
      <c r="G181" s="9"/>
      <c r="H181" s="9">
        <v>9000</v>
      </c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  <c r="AC181" s="153"/>
      <c r="AD181" s="153"/>
      <c r="AE181" s="153"/>
      <c r="AF181" s="153"/>
      <c r="AG181" s="153"/>
      <c r="AH181" s="153"/>
      <c r="AI181" s="153"/>
      <c r="AJ181" s="153"/>
      <c r="AK181" s="153"/>
      <c r="AL181" s="153"/>
      <c r="AM181" s="153"/>
      <c r="AN181" s="153"/>
      <c r="AO181" s="153"/>
      <c r="AP181" s="153"/>
      <c r="AQ181" s="153"/>
      <c r="AR181" s="153"/>
      <c r="AS181" s="153"/>
      <c r="AT181" s="153"/>
      <c r="AU181" s="153"/>
      <c r="AV181" s="153"/>
      <c r="AW181" s="153"/>
      <c r="AX181" s="153"/>
      <c r="AY181" s="153"/>
      <c r="AZ181" s="153"/>
      <c r="BA181" s="153"/>
      <c r="BB181" s="153"/>
      <c r="BC181" s="153"/>
      <c r="BD181" s="153"/>
      <c r="BE181" s="153"/>
      <c r="BF181" s="153"/>
      <c r="BG181" s="153"/>
      <c r="BH181" s="153"/>
      <c r="BI181" s="153"/>
      <c r="BJ181" s="153"/>
      <c r="BK181" s="153"/>
      <c r="BL181" s="153"/>
      <c r="BM181" s="153"/>
      <c r="BN181" s="153"/>
      <c r="BO181" s="153"/>
      <c r="BP181" s="153"/>
      <c r="BQ181" s="153"/>
      <c r="BR181" s="153"/>
      <c r="BS181" s="153"/>
      <c r="BT181" s="153"/>
      <c r="BU181" s="153"/>
      <c r="BV181" s="153"/>
      <c r="BW181" s="153"/>
      <c r="BX181" s="153"/>
      <c r="BY181" s="153"/>
      <c r="BZ181" s="153"/>
      <c r="CA181" s="153"/>
      <c r="CB181" s="153"/>
      <c r="CC181" s="153"/>
      <c r="CD181" s="153"/>
      <c r="CE181" s="153"/>
      <c r="CF181" s="153"/>
      <c r="CG181" s="153"/>
      <c r="CH181" s="153"/>
      <c r="CI181" s="153"/>
      <c r="CJ181" s="153"/>
      <c r="CK181" s="153"/>
      <c r="CL181" s="153"/>
      <c r="CM181" s="153"/>
      <c r="CN181" s="153"/>
      <c r="CO181" s="153"/>
    </row>
    <row r="182" spans="1:93" x14ac:dyDescent="0.25">
      <c r="A182" s="36" t="s">
        <v>72</v>
      </c>
      <c r="B182" s="9"/>
      <c r="C182" s="34">
        <f>H182</f>
        <v>10500</v>
      </c>
      <c r="D182" s="72">
        <f>C174-C179</f>
        <v>51750</v>
      </c>
      <c r="E182" s="9"/>
      <c r="F182" s="36" t="s">
        <v>72</v>
      </c>
      <c r="G182" s="9"/>
      <c r="H182" s="34">
        <f>G144+G151+G157</f>
        <v>10500</v>
      </c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  <c r="AC182" s="153"/>
      <c r="AD182" s="153"/>
      <c r="AE182" s="153"/>
      <c r="AF182" s="153"/>
      <c r="AG182" s="153"/>
      <c r="AH182" s="153"/>
      <c r="AI182" s="153"/>
      <c r="AJ182" s="153"/>
      <c r="AK182" s="153"/>
      <c r="AL182" s="153"/>
      <c r="AM182" s="153"/>
      <c r="AN182" s="153"/>
      <c r="AO182" s="153"/>
      <c r="AP182" s="153"/>
      <c r="AQ182" s="153"/>
      <c r="AR182" s="153"/>
      <c r="AS182" s="153"/>
      <c r="AT182" s="153"/>
      <c r="AU182" s="153"/>
      <c r="AV182" s="153"/>
      <c r="AW182" s="153"/>
      <c r="AX182" s="153"/>
      <c r="AY182" s="153"/>
      <c r="AZ182" s="153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53"/>
      <c r="BL182" s="153"/>
      <c r="BM182" s="153"/>
      <c r="BN182" s="153"/>
      <c r="BO182" s="153"/>
      <c r="BP182" s="153"/>
      <c r="BQ182" s="153"/>
      <c r="BR182" s="153"/>
      <c r="BS182" s="153"/>
      <c r="BT182" s="153"/>
      <c r="BU182" s="153"/>
      <c r="BV182" s="153"/>
      <c r="BW182" s="153"/>
      <c r="BX182" s="153"/>
      <c r="BY182" s="153"/>
      <c r="BZ182" s="153"/>
      <c r="CA182" s="153"/>
      <c r="CB182" s="153"/>
      <c r="CC182" s="153"/>
      <c r="CD182" s="153"/>
      <c r="CE182" s="153"/>
      <c r="CF182" s="153"/>
      <c r="CG182" s="153"/>
      <c r="CH182" s="153"/>
      <c r="CI182" s="153"/>
      <c r="CJ182" s="153"/>
      <c r="CK182" s="153"/>
      <c r="CL182" s="153"/>
      <c r="CM182" s="153"/>
      <c r="CN182" s="153"/>
      <c r="CO182" s="153"/>
    </row>
    <row r="183" spans="1:93" x14ac:dyDescent="0.25">
      <c r="A183" s="9" t="s">
        <v>2</v>
      </c>
      <c r="B183" s="86"/>
      <c r="C183" s="87">
        <f>SUM(C179:C182)</f>
        <v>45250</v>
      </c>
      <c r="D183" s="9"/>
      <c r="E183" s="9"/>
      <c r="F183" s="9" t="s">
        <v>2</v>
      </c>
      <c r="G183" s="86"/>
      <c r="H183" s="87">
        <f>SUM(H179:H182)</f>
        <v>44100</v>
      </c>
      <c r="L183" s="153"/>
      <c r="M183" s="153"/>
      <c r="N183" s="640" t="s">
        <v>431</v>
      </c>
      <c r="O183" s="640"/>
      <c r="P183" s="640"/>
      <c r="Q183" s="640"/>
      <c r="R183" s="640"/>
      <c r="S183" s="640"/>
      <c r="T183" s="640"/>
      <c r="U183" s="640"/>
      <c r="V183" s="640"/>
      <c r="W183" s="640"/>
      <c r="X183" s="640"/>
      <c r="Y183" s="640"/>
      <c r="Z183" s="640"/>
      <c r="AA183" s="153"/>
      <c r="AB183" s="641" t="s">
        <v>21</v>
      </c>
      <c r="AC183" s="641"/>
      <c r="AD183" s="641"/>
      <c r="AE183" s="641"/>
      <c r="AF183" s="641"/>
      <c r="AG183" s="641"/>
      <c r="AH183" s="641"/>
      <c r="AI183" s="153"/>
      <c r="AJ183" s="153"/>
      <c r="AK183" s="153"/>
      <c r="AL183" s="153"/>
      <c r="AM183" s="153"/>
      <c r="AN183" s="153"/>
      <c r="AO183" s="153"/>
      <c r="AP183" s="642">
        <v>0</v>
      </c>
      <c r="AQ183" s="642"/>
      <c r="AR183" s="642"/>
      <c r="AS183" s="642"/>
      <c r="AT183" s="153"/>
      <c r="AU183" s="643">
        <v>0</v>
      </c>
      <c r="AV183" s="643"/>
      <c r="AW183" s="643"/>
      <c r="AX183" s="643"/>
      <c r="AY183" s="153"/>
      <c r="AZ183" s="642">
        <v>0</v>
      </c>
      <c r="BA183" s="642"/>
      <c r="BB183" s="642"/>
      <c r="BC183" s="642"/>
      <c r="BD183" s="153"/>
      <c r="BE183" s="644">
        <v>0</v>
      </c>
      <c r="BF183" s="644"/>
      <c r="BG183" s="153"/>
      <c r="BH183" s="153"/>
      <c r="BI183" s="153"/>
      <c r="BJ183" s="153"/>
      <c r="BK183" s="153"/>
      <c r="BL183" s="153"/>
      <c r="BM183" s="153"/>
      <c r="BN183" s="153"/>
      <c r="BO183" s="153"/>
      <c r="BP183" s="153"/>
      <c r="BQ183" s="153"/>
      <c r="BR183" s="153"/>
      <c r="BS183" s="153"/>
      <c r="BT183" s="153"/>
      <c r="BU183" s="153"/>
      <c r="BV183" s="153"/>
      <c r="BW183" s="153"/>
      <c r="BX183" s="153"/>
      <c r="BY183" s="153"/>
      <c r="BZ183" s="153"/>
      <c r="CA183" s="153"/>
      <c r="CB183" s="153"/>
      <c r="CC183" s="153"/>
      <c r="CD183" s="153"/>
      <c r="CE183" s="153"/>
      <c r="CF183" s="153"/>
      <c r="CG183" s="153"/>
      <c r="CH183" s="153"/>
      <c r="CI183" s="153"/>
      <c r="CJ183" s="643">
        <v>0</v>
      </c>
      <c r="CK183" s="643"/>
      <c r="CL183" s="153"/>
      <c r="CM183" s="153"/>
      <c r="CN183" s="153"/>
      <c r="CO183" s="153"/>
    </row>
    <row r="184" spans="1:93" x14ac:dyDescent="0.25">
      <c r="A184" s="9"/>
      <c r="B184" s="9"/>
      <c r="C184" s="72"/>
      <c r="D184" s="9"/>
      <c r="E184" s="9"/>
      <c r="F184" s="9"/>
      <c r="G184" s="9"/>
      <c r="H184" s="9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  <c r="AC184" s="153"/>
      <c r="AD184" s="153"/>
      <c r="AE184" s="153"/>
      <c r="AF184" s="153"/>
      <c r="AG184" s="153"/>
      <c r="AH184" s="153"/>
      <c r="AI184" s="153"/>
      <c r="AJ184" s="153"/>
      <c r="AK184" s="153"/>
      <c r="AL184" s="153"/>
      <c r="AM184" s="153"/>
      <c r="AN184" s="153"/>
      <c r="AO184" s="153"/>
      <c r="AP184" s="153"/>
      <c r="AQ184" s="153"/>
      <c r="AR184" s="153"/>
      <c r="AS184" s="153"/>
      <c r="AT184" s="153"/>
      <c r="AU184" s="153"/>
      <c r="AV184" s="153"/>
      <c r="AW184" s="153"/>
      <c r="AX184" s="153"/>
      <c r="AY184" s="153"/>
      <c r="AZ184" s="153"/>
      <c r="BA184" s="153"/>
      <c r="BB184" s="153"/>
      <c r="BC184" s="153"/>
      <c r="BD184" s="153"/>
      <c r="BE184" s="153"/>
      <c r="BF184" s="153"/>
      <c r="BG184" s="153"/>
      <c r="BH184" s="153"/>
      <c r="BI184" s="153"/>
      <c r="BJ184" s="153"/>
      <c r="BK184" s="153"/>
      <c r="BL184" s="153"/>
      <c r="BM184" s="153"/>
      <c r="BN184" s="153"/>
      <c r="BO184" s="153"/>
      <c r="BP184" s="153"/>
      <c r="BQ184" s="153"/>
      <c r="BR184" s="153"/>
      <c r="BS184" s="153"/>
      <c r="BT184" s="153"/>
      <c r="BU184" s="153"/>
      <c r="BV184" s="153"/>
      <c r="BW184" s="153"/>
      <c r="BX184" s="153"/>
      <c r="BY184" s="153"/>
      <c r="BZ184" s="153"/>
      <c r="CA184" s="153"/>
      <c r="CB184" s="153"/>
      <c r="CC184" s="153"/>
      <c r="CD184" s="153"/>
      <c r="CE184" s="153"/>
      <c r="CF184" s="153"/>
      <c r="CG184" s="153"/>
      <c r="CH184" s="153"/>
      <c r="CI184" s="153"/>
      <c r="CJ184" s="153"/>
      <c r="CK184" s="153"/>
      <c r="CL184" s="153"/>
      <c r="CM184" s="153"/>
      <c r="CN184" s="153"/>
      <c r="CO184" s="153"/>
    </row>
    <row r="185" spans="1:93" x14ac:dyDescent="0.25">
      <c r="A185" s="9" t="s">
        <v>355</v>
      </c>
      <c r="B185" s="9"/>
      <c r="C185" s="72">
        <f>C177-C183</f>
        <v>18260</v>
      </c>
      <c r="D185" s="9"/>
      <c r="E185" s="9"/>
      <c r="F185" s="9" t="s">
        <v>355</v>
      </c>
      <c r="G185" s="9"/>
      <c r="H185" s="72">
        <f>H174-H183</f>
        <v>1900</v>
      </c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3"/>
      <c r="AQ185" s="153"/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53"/>
      <c r="BN185" s="153"/>
      <c r="BO185" s="153"/>
      <c r="BP185" s="153"/>
      <c r="BQ185" s="153"/>
      <c r="BR185" s="153"/>
      <c r="BS185" s="153"/>
      <c r="BT185" s="153"/>
      <c r="BU185" s="153"/>
      <c r="BV185" s="153"/>
      <c r="BW185" s="153"/>
      <c r="BX185" s="153"/>
      <c r="BY185" s="153"/>
      <c r="BZ185" s="153"/>
      <c r="CA185" s="153"/>
      <c r="CB185" s="153"/>
      <c r="CC185" s="153"/>
      <c r="CD185" s="153"/>
      <c r="CE185" s="153"/>
      <c r="CF185" s="153"/>
      <c r="CG185" s="153"/>
      <c r="CH185" s="153"/>
      <c r="CI185" s="153"/>
      <c r="CJ185" s="153"/>
      <c r="CK185" s="153"/>
      <c r="CL185" s="153"/>
      <c r="CM185" s="153"/>
      <c r="CN185" s="153"/>
      <c r="CO185" s="153"/>
    </row>
    <row r="186" spans="1:93" x14ac:dyDescent="0.25">
      <c r="A186" s="9"/>
      <c r="B186" s="9"/>
      <c r="C186" s="72"/>
      <c r="D186" s="9"/>
      <c r="E186" s="9"/>
      <c r="F186" s="36" t="s">
        <v>483</v>
      </c>
      <c r="G186" s="9"/>
      <c r="H186" s="72">
        <v>5000</v>
      </c>
      <c r="L186" s="153"/>
      <c r="M186" s="153"/>
      <c r="N186" s="640" t="s">
        <v>432</v>
      </c>
      <c r="O186" s="640"/>
      <c r="P186" s="640"/>
      <c r="Q186" s="640"/>
      <c r="R186" s="640"/>
      <c r="S186" s="640"/>
      <c r="T186" s="640"/>
      <c r="U186" s="640"/>
      <c r="V186" s="640"/>
      <c r="W186" s="640"/>
      <c r="X186" s="640"/>
      <c r="Y186" s="640"/>
      <c r="Z186" s="640"/>
      <c r="AA186" s="153"/>
      <c r="AB186" s="641" t="s">
        <v>21</v>
      </c>
      <c r="AC186" s="641"/>
      <c r="AD186" s="641"/>
      <c r="AE186" s="641"/>
      <c r="AF186" s="641"/>
      <c r="AG186" s="641"/>
      <c r="AH186" s="641"/>
      <c r="AI186" s="153"/>
      <c r="AJ186" s="153"/>
      <c r="AK186" s="153"/>
      <c r="AL186" s="153"/>
      <c r="AM186" s="153"/>
      <c r="AN186" s="153"/>
      <c r="AO186" s="153"/>
      <c r="AP186" s="642">
        <v>0</v>
      </c>
      <c r="AQ186" s="642"/>
      <c r="AR186" s="642"/>
      <c r="AS186" s="642"/>
      <c r="AT186" s="153"/>
      <c r="AU186" s="643">
        <v>0</v>
      </c>
      <c r="AV186" s="643"/>
      <c r="AW186" s="643"/>
      <c r="AX186" s="643"/>
      <c r="AY186" s="153"/>
      <c r="AZ186" s="642">
        <v>0</v>
      </c>
      <c r="BA186" s="642"/>
      <c r="BB186" s="642"/>
      <c r="BC186" s="642"/>
      <c r="BD186" s="153"/>
      <c r="BE186" s="644">
        <v>0</v>
      </c>
      <c r="BF186" s="644"/>
      <c r="BG186" s="153"/>
      <c r="BH186" s="153"/>
      <c r="BI186" s="153"/>
      <c r="BJ186" s="153"/>
      <c r="BK186" s="153"/>
      <c r="BL186" s="153"/>
      <c r="BM186" s="153"/>
      <c r="BN186" s="153"/>
      <c r="BO186" s="153"/>
      <c r="BP186" s="153"/>
      <c r="BQ186" s="153"/>
      <c r="BR186" s="153"/>
      <c r="BS186" s="153"/>
      <c r="BT186" s="153"/>
      <c r="BU186" s="153"/>
      <c r="BV186" s="153"/>
      <c r="BW186" s="153"/>
      <c r="BX186" s="153"/>
      <c r="BY186" s="153"/>
      <c r="BZ186" s="153"/>
      <c r="CA186" s="153"/>
      <c r="CB186" s="153"/>
      <c r="CC186" s="153"/>
      <c r="CD186" s="153"/>
      <c r="CE186" s="153"/>
      <c r="CF186" s="153"/>
      <c r="CG186" s="153"/>
      <c r="CH186" s="153"/>
      <c r="CI186" s="153"/>
      <c r="CJ186" s="643">
        <v>0</v>
      </c>
      <c r="CK186" s="643"/>
      <c r="CL186" s="153"/>
      <c r="CM186" s="153"/>
      <c r="CN186" s="153"/>
      <c r="CO186" s="153"/>
    </row>
    <row r="187" spans="1:93" x14ac:dyDescent="0.25">
      <c r="A187" s="36"/>
      <c r="B187" s="9"/>
      <c r="C187" s="72"/>
      <c r="D187" s="9"/>
      <c r="E187" s="9"/>
      <c r="F187" s="9"/>
      <c r="G187" s="9"/>
      <c r="H187" s="72">
        <f>SUM(H185:H186)</f>
        <v>6900</v>
      </c>
      <c r="I187">
        <v>3899</v>
      </c>
      <c r="J187" s="72">
        <f>H187-I187</f>
        <v>3001</v>
      </c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3"/>
      <c r="AK187" s="153"/>
      <c r="AL187" s="153"/>
      <c r="AM187" s="153"/>
      <c r="AN187" s="153"/>
      <c r="AO187" s="153"/>
      <c r="AP187" s="153"/>
      <c r="AQ187" s="153"/>
      <c r="AR187" s="153"/>
      <c r="AS187" s="153"/>
      <c r="AT187" s="153"/>
      <c r="AU187" s="153"/>
      <c r="AV187" s="153"/>
      <c r="AW187" s="153"/>
      <c r="AX187" s="153"/>
      <c r="AY187" s="153"/>
      <c r="AZ187" s="153"/>
      <c r="BA187" s="153"/>
      <c r="BB187" s="153"/>
      <c r="BC187" s="153"/>
      <c r="BD187" s="153"/>
      <c r="BE187" s="153"/>
      <c r="BF187" s="153"/>
      <c r="BG187" s="153"/>
      <c r="BH187" s="153"/>
      <c r="BI187" s="153"/>
      <c r="BJ187" s="153"/>
      <c r="BK187" s="153"/>
      <c r="BL187" s="153"/>
      <c r="BM187" s="153"/>
      <c r="BN187" s="153"/>
      <c r="BO187" s="153"/>
      <c r="BP187" s="153"/>
      <c r="BQ187" s="153"/>
      <c r="BR187" s="153"/>
      <c r="BS187" s="153"/>
      <c r="BT187" s="153"/>
      <c r="BU187" s="153"/>
      <c r="BV187" s="153"/>
      <c r="BW187" s="153"/>
      <c r="BX187" s="153"/>
      <c r="BY187" s="153"/>
      <c r="BZ187" s="153"/>
      <c r="CA187" s="153"/>
      <c r="CB187" s="153"/>
      <c r="CC187" s="153"/>
      <c r="CD187" s="153"/>
      <c r="CE187" s="153"/>
      <c r="CF187" s="153"/>
      <c r="CG187" s="153"/>
      <c r="CH187" s="153"/>
      <c r="CI187" s="153"/>
      <c r="CJ187" s="153"/>
      <c r="CK187" s="153"/>
      <c r="CL187" s="153"/>
      <c r="CM187" s="153"/>
      <c r="CN187" s="153"/>
      <c r="CO187" s="153"/>
    </row>
    <row r="188" spans="1:93" x14ac:dyDescent="0.25">
      <c r="A188" s="9"/>
      <c r="B188" s="9"/>
      <c r="C188" s="9"/>
      <c r="D188" s="9"/>
      <c r="J188">
        <f>J18</f>
        <v>0</v>
      </c>
      <c r="L188" s="153" t="s">
        <v>484</v>
      </c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  <c r="AC188" s="153"/>
      <c r="AD188" s="153"/>
      <c r="AE188" s="153"/>
      <c r="AF188" s="153"/>
      <c r="AG188" s="153"/>
      <c r="AH188" s="153"/>
      <c r="AI188" s="153"/>
      <c r="AJ188" s="153"/>
      <c r="AK188" s="153"/>
      <c r="AL188" s="153"/>
      <c r="AM188" s="153"/>
      <c r="AN188" s="153"/>
      <c r="AO188" s="153"/>
      <c r="AP188" s="153"/>
      <c r="AQ188" s="153"/>
      <c r="AR188" s="153"/>
      <c r="AS188" s="153"/>
      <c r="AT188" s="153"/>
      <c r="AU188" s="153"/>
      <c r="AV188" s="153"/>
      <c r="AW188" s="153"/>
      <c r="AX188" s="153"/>
      <c r="AY188" s="153"/>
      <c r="AZ188" s="153"/>
      <c r="BA188" s="153"/>
      <c r="BB188" s="153"/>
      <c r="BC188" s="153"/>
      <c r="BD188" s="153"/>
      <c r="BE188" s="153"/>
      <c r="BF188" s="153"/>
      <c r="BG188" s="153"/>
      <c r="BH188" s="153"/>
      <c r="BI188" s="153"/>
      <c r="BJ188" s="153"/>
      <c r="BK188" s="153"/>
      <c r="BL188" s="153"/>
      <c r="BM188" s="153"/>
      <c r="BN188" s="153"/>
      <c r="BO188" s="153"/>
      <c r="BP188" s="153"/>
      <c r="BQ188" s="153"/>
      <c r="BR188" s="153"/>
      <c r="BS188" s="153"/>
      <c r="BT188" s="153"/>
      <c r="BU188" s="153"/>
      <c r="BV188" s="153"/>
      <c r="BW188" s="153"/>
      <c r="BX188" s="153"/>
      <c r="BY188" s="153"/>
      <c r="BZ188" s="153"/>
      <c r="CA188" s="153"/>
      <c r="CB188" s="153"/>
      <c r="CC188" s="153"/>
      <c r="CD188" s="153"/>
      <c r="CE188" s="153"/>
      <c r="CF188" s="153"/>
      <c r="CG188" s="153"/>
      <c r="CH188" s="153"/>
      <c r="CI188" s="153"/>
      <c r="CJ188" s="153"/>
      <c r="CK188" s="153"/>
      <c r="CL188" s="153"/>
      <c r="CM188" s="153"/>
      <c r="CN188" s="153"/>
      <c r="CO188" s="153"/>
    </row>
    <row r="189" spans="1:93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L189" s="153"/>
      <c r="M189" s="153"/>
      <c r="N189" s="640" t="s">
        <v>433</v>
      </c>
      <c r="O189" s="640"/>
      <c r="P189" s="640"/>
      <c r="Q189" s="640"/>
      <c r="R189" s="640"/>
      <c r="S189" s="640"/>
      <c r="T189" s="640"/>
      <c r="U189" s="640"/>
      <c r="V189" s="640"/>
      <c r="W189" s="640"/>
      <c r="X189" s="640"/>
      <c r="Y189" s="640"/>
      <c r="Z189" s="640"/>
      <c r="AA189" s="153"/>
      <c r="AB189" s="641" t="s">
        <v>434</v>
      </c>
      <c r="AC189" s="641"/>
      <c r="AD189" s="641"/>
      <c r="AE189" s="641"/>
      <c r="AF189" s="641"/>
      <c r="AG189" s="641"/>
      <c r="AH189" s="641"/>
      <c r="AI189" s="153"/>
      <c r="AJ189" s="153"/>
      <c r="AK189" s="640" t="s">
        <v>435</v>
      </c>
      <c r="AL189" s="640"/>
      <c r="AM189" s="640"/>
      <c r="AN189" s="640"/>
      <c r="AO189" s="153"/>
      <c r="AP189" s="642">
        <v>2000</v>
      </c>
      <c r="AQ189" s="642"/>
      <c r="AR189" s="642"/>
      <c r="AS189" s="642"/>
      <c r="AT189" s="153"/>
      <c r="AU189" s="643">
        <v>0</v>
      </c>
      <c r="AV189" s="643"/>
      <c r="AW189" s="643"/>
      <c r="AX189" s="643"/>
      <c r="AY189" s="153"/>
      <c r="AZ189" s="642">
        <v>0</v>
      </c>
      <c r="BA189" s="642"/>
      <c r="BB189" s="642"/>
      <c r="BC189" s="642"/>
      <c r="BD189" s="153"/>
      <c r="BE189" s="644">
        <v>2000</v>
      </c>
      <c r="BF189" s="644"/>
      <c r="BG189" s="153"/>
      <c r="BH189" s="153"/>
      <c r="BI189" s="153"/>
      <c r="BJ189" s="640" t="s">
        <v>436</v>
      </c>
      <c r="BK189" s="640"/>
      <c r="BL189" s="640"/>
      <c r="BM189" s="640"/>
      <c r="BN189" s="153"/>
      <c r="BO189" s="645">
        <v>42989</v>
      </c>
      <c r="BP189" s="645"/>
      <c r="BQ189" s="645"/>
      <c r="BR189" s="645"/>
      <c r="BS189" s="153"/>
      <c r="BT189" s="643">
        <v>2000</v>
      </c>
      <c r="BU189" s="643"/>
      <c r="BV189" s="643"/>
      <c r="BW189" s="153"/>
      <c r="BX189" s="153"/>
      <c r="BY189" s="643">
        <v>0</v>
      </c>
      <c r="BZ189" s="643"/>
      <c r="CA189" s="643"/>
      <c r="CB189" s="643"/>
      <c r="CC189" s="153"/>
      <c r="CD189" s="153"/>
      <c r="CE189" s="644">
        <v>2000</v>
      </c>
      <c r="CF189" s="644"/>
      <c r="CG189" s="644"/>
      <c r="CH189" s="153"/>
      <c r="CI189" s="153"/>
      <c r="CJ189" s="643">
        <v>0</v>
      </c>
      <c r="CK189" s="643"/>
      <c r="CL189" s="153"/>
      <c r="CM189" s="153"/>
      <c r="CN189" s="153"/>
      <c r="CO189" s="153"/>
    </row>
    <row r="190" spans="1:93" x14ac:dyDescent="0.25">
      <c r="A190" s="4"/>
      <c r="B190" s="5"/>
      <c r="C190" s="6" t="s">
        <v>5</v>
      </c>
      <c r="D190" s="6"/>
      <c r="E190" s="5"/>
      <c r="F190" s="4"/>
      <c r="G190" s="9"/>
      <c r="H190" s="9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  <c r="AC190" s="153"/>
      <c r="AD190" s="153"/>
      <c r="AE190" s="153"/>
      <c r="AF190" s="153"/>
      <c r="AG190" s="153"/>
      <c r="AH190" s="153"/>
      <c r="AI190" s="153"/>
      <c r="AJ190" s="153"/>
      <c r="AK190" s="153"/>
      <c r="AL190" s="153"/>
      <c r="AM190" s="153"/>
      <c r="AN190" s="153"/>
      <c r="AO190" s="153"/>
      <c r="AP190" s="153"/>
      <c r="AQ190" s="153"/>
      <c r="AR190" s="153"/>
      <c r="AS190" s="153"/>
      <c r="AT190" s="153"/>
      <c r="AU190" s="153"/>
      <c r="AV190" s="153"/>
      <c r="AW190" s="153"/>
      <c r="AX190" s="153"/>
      <c r="AY190" s="153"/>
      <c r="AZ190" s="153"/>
      <c r="BA190" s="153"/>
      <c r="BB190" s="153"/>
      <c r="BC190" s="153"/>
      <c r="BD190" s="153"/>
      <c r="BE190" s="153"/>
      <c r="BF190" s="153"/>
      <c r="BG190" s="153"/>
      <c r="BH190" s="153"/>
      <c r="BI190" s="153"/>
      <c r="BJ190" s="153"/>
      <c r="BK190" s="153"/>
      <c r="BL190" s="153"/>
      <c r="BM190" s="153"/>
      <c r="BN190" s="153"/>
      <c r="BO190" s="153"/>
      <c r="BP190" s="153"/>
      <c r="BQ190" s="153"/>
      <c r="BR190" s="153"/>
      <c r="BS190" s="153"/>
      <c r="BT190" s="153"/>
      <c r="BU190" s="153"/>
      <c r="BV190" s="153"/>
      <c r="BW190" s="153"/>
      <c r="BX190" s="153"/>
      <c r="BY190" s="153"/>
      <c r="BZ190" s="153"/>
      <c r="CA190" s="153"/>
      <c r="CB190" s="153"/>
      <c r="CC190" s="153"/>
      <c r="CD190" s="153"/>
      <c r="CE190" s="153"/>
      <c r="CF190" s="153"/>
      <c r="CG190" s="153"/>
      <c r="CH190" s="153"/>
      <c r="CI190" s="153"/>
      <c r="CJ190" s="153"/>
      <c r="CK190" s="153"/>
      <c r="CL190" s="153"/>
      <c r="CM190" s="153"/>
      <c r="CN190" s="153"/>
      <c r="CO190" s="153"/>
    </row>
    <row r="191" spans="1:93" ht="23.25" x14ac:dyDescent="0.35">
      <c r="A191" s="4"/>
      <c r="B191" s="52"/>
      <c r="C191" s="9"/>
      <c r="D191" s="176" t="s">
        <v>278</v>
      </c>
      <c r="E191" s="176"/>
      <c r="F191" s="176"/>
      <c r="G191" s="176"/>
      <c r="H191" s="9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53"/>
      <c r="AE191" s="153"/>
      <c r="AF191" s="153"/>
      <c r="AG191" s="153"/>
      <c r="AH191" s="153"/>
      <c r="AI191" s="153"/>
      <c r="AJ191" s="153"/>
      <c r="AK191" s="153"/>
      <c r="AL191" s="153"/>
      <c r="AM191" s="153"/>
      <c r="AN191" s="153"/>
      <c r="AO191" s="153"/>
      <c r="AP191" s="153"/>
      <c r="AQ191" s="153"/>
      <c r="AR191" s="153"/>
      <c r="AS191" s="153"/>
      <c r="AT191" s="153"/>
      <c r="AU191" s="153"/>
      <c r="AV191" s="153"/>
      <c r="AW191" s="153"/>
      <c r="AX191" s="153"/>
      <c r="AY191" s="153"/>
      <c r="AZ191" s="153"/>
      <c r="BA191" s="153"/>
      <c r="BB191" s="153"/>
      <c r="BC191" s="153"/>
      <c r="BD191" s="153"/>
      <c r="BE191" s="153"/>
      <c r="BF191" s="153"/>
      <c r="BG191" s="153"/>
      <c r="BH191" s="153"/>
      <c r="BI191" s="153"/>
      <c r="BJ191" s="153"/>
      <c r="BK191" s="153"/>
      <c r="BL191" s="153"/>
      <c r="BM191" s="153"/>
      <c r="BN191" s="153"/>
      <c r="BO191" s="153"/>
      <c r="BP191" s="153"/>
      <c r="BQ191" s="153"/>
      <c r="BR191" s="153"/>
      <c r="BS191" s="153"/>
      <c r="BT191" s="153"/>
      <c r="BU191" s="153"/>
      <c r="BV191" s="153"/>
      <c r="BW191" s="153"/>
      <c r="BX191" s="153"/>
      <c r="BY191" s="153"/>
      <c r="BZ191" s="153"/>
      <c r="CA191" s="153"/>
      <c r="CB191" s="153"/>
      <c r="CC191" s="153"/>
      <c r="CD191" s="153"/>
      <c r="CE191" s="153"/>
      <c r="CF191" s="153"/>
      <c r="CG191" s="153"/>
      <c r="CH191" s="153"/>
      <c r="CI191" s="153"/>
      <c r="CJ191" s="153"/>
      <c r="CK191" s="153"/>
      <c r="CL191" s="153"/>
      <c r="CM191" s="153"/>
      <c r="CN191" s="153"/>
      <c r="CO191" s="153"/>
    </row>
    <row r="192" spans="1:93" x14ac:dyDescent="0.25">
      <c r="A192" s="9"/>
      <c r="B192" s="9"/>
      <c r="C192" s="95"/>
      <c r="D192" s="95"/>
      <c r="E192" s="96" t="s">
        <v>350</v>
      </c>
      <c r="F192" s="95"/>
      <c r="G192" s="95"/>
      <c r="H192" s="9"/>
      <c r="L192" s="153"/>
      <c r="M192" s="153"/>
      <c r="N192" s="640" t="s">
        <v>437</v>
      </c>
      <c r="O192" s="640"/>
      <c r="P192" s="640"/>
      <c r="Q192" s="640"/>
      <c r="R192" s="640"/>
      <c r="S192" s="640"/>
      <c r="T192" s="640"/>
      <c r="U192" s="640"/>
      <c r="V192" s="640"/>
      <c r="W192" s="640"/>
      <c r="X192" s="640"/>
      <c r="Y192" s="640"/>
      <c r="Z192" s="640"/>
      <c r="AA192" s="153"/>
      <c r="AB192" s="641" t="s">
        <v>438</v>
      </c>
      <c r="AC192" s="641"/>
      <c r="AD192" s="641"/>
      <c r="AE192" s="641"/>
      <c r="AF192" s="641"/>
      <c r="AG192" s="641"/>
      <c r="AH192" s="641"/>
      <c r="AI192" s="153"/>
      <c r="AJ192" s="153"/>
      <c r="AK192" s="640" t="s">
        <v>439</v>
      </c>
      <c r="AL192" s="640"/>
      <c r="AM192" s="640"/>
      <c r="AN192" s="640"/>
      <c r="AO192" s="153"/>
      <c r="AP192" s="642">
        <v>4000</v>
      </c>
      <c r="AQ192" s="642"/>
      <c r="AR192" s="642"/>
      <c r="AS192" s="642"/>
      <c r="AT192" s="153"/>
      <c r="AU192" s="643">
        <v>0</v>
      </c>
      <c r="AV192" s="643"/>
      <c r="AW192" s="643"/>
      <c r="AX192" s="643"/>
      <c r="AY192" s="153"/>
      <c r="AZ192" s="642">
        <v>0</v>
      </c>
      <c r="BA192" s="642"/>
      <c r="BB192" s="642"/>
      <c r="BC192" s="642"/>
      <c r="BD192" s="153"/>
      <c r="BE192" s="644">
        <v>4000</v>
      </c>
      <c r="BF192" s="644"/>
      <c r="BG192" s="153"/>
      <c r="BH192" s="153"/>
      <c r="BI192" s="153"/>
      <c r="BJ192" s="640" t="s">
        <v>440</v>
      </c>
      <c r="BK192" s="640"/>
      <c r="BL192" s="640"/>
      <c r="BM192" s="640"/>
      <c r="BN192" s="153"/>
      <c r="BO192" s="645">
        <v>42989</v>
      </c>
      <c r="BP192" s="645"/>
      <c r="BQ192" s="645"/>
      <c r="BR192" s="645"/>
      <c r="BS192" s="153"/>
      <c r="BT192" s="643">
        <v>4000</v>
      </c>
      <c r="BU192" s="643"/>
      <c r="BV192" s="643"/>
      <c r="BW192" s="153"/>
      <c r="BX192" s="153"/>
      <c r="BY192" s="643">
        <v>0</v>
      </c>
      <c r="BZ192" s="643"/>
      <c r="CA192" s="643"/>
      <c r="CB192" s="643"/>
      <c r="CC192" s="153"/>
      <c r="CD192" s="153"/>
      <c r="CE192" s="644">
        <v>4000</v>
      </c>
      <c r="CF192" s="644"/>
      <c r="CG192" s="644"/>
      <c r="CH192" s="153"/>
      <c r="CI192" s="153"/>
      <c r="CJ192" s="643">
        <v>0</v>
      </c>
      <c r="CK192" s="643"/>
      <c r="CL192" s="153"/>
      <c r="CM192" s="153"/>
      <c r="CN192" s="153"/>
      <c r="CO192" s="153"/>
    </row>
    <row r="193" spans="1:93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  <c r="AC193" s="153"/>
      <c r="AD193" s="153"/>
      <c r="AE193" s="153"/>
      <c r="AF193" s="153"/>
      <c r="AG193" s="153"/>
      <c r="AH193" s="153"/>
      <c r="AI193" s="153"/>
      <c r="AJ193" s="153"/>
      <c r="AK193" s="153"/>
      <c r="AL193" s="153"/>
      <c r="AM193" s="153"/>
      <c r="AN193" s="153"/>
      <c r="AO193" s="153"/>
      <c r="AP193" s="153"/>
      <c r="AQ193" s="153"/>
      <c r="AR193" s="153"/>
      <c r="AS193" s="153"/>
      <c r="AT193" s="153"/>
      <c r="AU193" s="153"/>
      <c r="AV193" s="153"/>
      <c r="AW193" s="153"/>
      <c r="AX193" s="153"/>
      <c r="AY193" s="153"/>
      <c r="AZ193" s="153"/>
      <c r="BA193" s="153"/>
      <c r="BB193" s="153"/>
      <c r="BC193" s="153"/>
      <c r="BD193" s="153"/>
      <c r="BE193" s="153"/>
      <c r="BF193" s="153"/>
      <c r="BG193" s="153"/>
      <c r="BH193" s="153"/>
      <c r="BI193" s="153"/>
      <c r="BJ193" s="153"/>
      <c r="BK193" s="153"/>
      <c r="BL193" s="153"/>
      <c r="BM193" s="153"/>
      <c r="BN193" s="153"/>
      <c r="BO193" s="153"/>
      <c r="BP193" s="153"/>
      <c r="BQ193" s="153"/>
      <c r="BR193" s="153"/>
      <c r="BS193" s="153"/>
      <c r="BT193" s="153"/>
      <c r="BU193" s="153"/>
      <c r="BV193" s="153"/>
      <c r="BW193" s="153"/>
      <c r="BX193" s="153"/>
      <c r="BY193" s="153"/>
      <c r="BZ193" s="153"/>
      <c r="CA193" s="153"/>
      <c r="CB193" s="153"/>
      <c r="CC193" s="153"/>
      <c r="CD193" s="153"/>
      <c r="CE193" s="153"/>
      <c r="CF193" s="153"/>
      <c r="CG193" s="153"/>
      <c r="CH193" s="153"/>
      <c r="CI193" s="153"/>
      <c r="CJ193" s="153"/>
      <c r="CK193" s="153"/>
      <c r="CL193" s="153"/>
      <c r="CM193" s="153"/>
      <c r="CN193" s="153"/>
      <c r="CO193" s="153"/>
    </row>
    <row r="194" spans="1:93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133">
        <v>3500</v>
      </c>
      <c r="H194" s="43"/>
      <c r="J194" s="72">
        <f>G194+G196</f>
        <v>3500</v>
      </c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  <c r="AC194" s="153"/>
      <c r="AD194" s="153"/>
      <c r="AE194" s="153"/>
      <c r="AF194" s="153"/>
      <c r="AG194" s="153"/>
      <c r="AH194" s="153"/>
      <c r="AI194" s="153"/>
      <c r="AJ194" s="153"/>
      <c r="AK194" s="153"/>
      <c r="AL194" s="153"/>
      <c r="AM194" s="153"/>
      <c r="AN194" s="153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3"/>
      <c r="AY194" s="153"/>
      <c r="AZ194" s="153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  <c r="BL194" s="153"/>
      <c r="BM194" s="153"/>
      <c r="BN194" s="153"/>
      <c r="BO194" s="153"/>
      <c r="BP194" s="153"/>
      <c r="BQ194" s="153"/>
      <c r="BR194" s="153"/>
      <c r="BS194" s="153"/>
      <c r="BT194" s="153"/>
      <c r="BU194" s="153"/>
      <c r="BV194" s="153"/>
      <c r="BW194" s="153"/>
      <c r="BX194" s="153"/>
      <c r="BY194" s="153"/>
      <c r="BZ194" s="153"/>
      <c r="CA194" s="153"/>
      <c r="CB194" s="153"/>
      <c r="CC194" s="153"/>
      <c r="CD194" s="153"/>
      <c r="CE194" s="153"/>
      <c r="CF194" s="153"/>
      <c r="CG194" s="153"/>
      <c r="CH194" s="153"/>
      <c r="CI194" s="153"/>
      <c r="CJ194" s="153"/>
      <c r="CK194" s="153"/>
      <c r="CL194" s="153"/>
      <c r="CM194" s="153"/>
      <c r="CN194" s="153"/>
      <c r="CO194" s="153"/>
    </row>
    <row r="195" spans="1:93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>
        <v>3500</v>
      </c>
      <c r="H195" s="44"/>
      <c r="I195" t="s">
        <v>107</v>
      </c>
      <c r="L195" s="153"/>
      <c r="M195" s="153"/>
      <c r="N195" s="640" t="s">
        <v>441</v>
      </c>
      <c r="O195" s="640"/>
      <c r="P195" s="640"/>
      <c r="Q195" s="640"/>
      <c r="R195" s="640"/>
      <c r="S195" s="640"/>
      <c r="T195" s="640"/>
      <c r="U195" s="640"/>
      <c r="V195" s="640"/>
      <c r="W195" s="640"/>
      <c r="X195" s="640"/>
      <c r="Y195" s="640"/>
      <c r="Z195" s="640"/>
      <c r="AA195" s="153"/>
      <c r="AB195" s="641" t="s">
        <v>442</v>
      </c>
      <c r="AC195" s="641"/>
      <c r="AD195" s="641"/>
      <c r="AE195" s="641"/>
      <c r="AF195" s="641"/>
      <c r="AG195" s="641"/>
      <c r="AH195" s="641"/>
      <c r="AI195" s="153"/>
      <c r="AJ195" s="153"/>
      <c r="AK195" s="640" t="s">
        <v>443</v>
      </c>
      <c r="AL195" s="640"/>
      <c r="AM195" s="640"/>
      <c r="AN195" s="640"/>
      <c r="AO195" s="153"/>
      <c r="AP195" s="642">
        <v>4000</v>
      </c>
      <c r="AQ195" s="642"/>
      <c r="AR195" s="642"/>
      <c r="AS195" s="642"/>
      <c r="AT195" s="153"/>
      <c r="AU195" s="643">
        <v>0</v>
      </c>
      <c r="AV195" s="643"/>
      <c r="AW195" s="643"/>
      <c r="AX195" s="643"/>
      <c r="AY195" s="153"/>
      <c r="AZ195" s="642">
        <v>0</v>
      </c>
      <c r="BA195" s="642"/>
      <c r="BB195" s="642"/>
      <c r="BC195" s="642"/>
      <c r="BD195" s="153"/>
      <c r="BE195" s="644">
        <v>4000</v>
      </c>
      <c r="BF195" s="644"/>
      <c r="BG195" s="153"/>
      <c r="BH195" s="153"/>
      <c r="BI195" s="153"/>
      <c r="BJ195" s="640" t="s">
        <v>444</v>
      </c>
      <c r="BK195" s="640"/>
      <c r="BL195" s="640"/>
      <c r="BM195" s="640"/>
      <c r="BN195" s="153"/>
      <c r="BO195" s="645">
        <v>43003</v>
      </c>
      <c r="BP195" s="645"/>
      <c r="BQ195" s="645"/>
      <c r="BR195" s="645"/>
      <c r="BS195" s="153"/>
      <c r="BT195" s="643">
        <v>4000</v>
      </c>
      <c r="BU195" s="643"/>
      <c r="BV195" s="643"/>
      <c r="BW195" s="153"/>
      <c r="BX195" s="153"/>
      <c r="BY195" s="643">
        <v>0</v>
      </c>
      <c r="BZ195" s="643"/>
      <c r="CA195" s="643"/>
      <c r="CB195" s="643"/>
      <c r="CC195" s="153"/>
      <c r="CD195" s="153"/>
      <c r="CE195" s="644">
        <v>4000</v>
      </c>
      <c r="CF195" s="644"/>
      <c r="CG195" s="644"/>
      <c r="CH195" s="153"/>
      <c r="CI195" s="153"/>
      <c r="CJ195" s="643">
        <v>0</v>
      </c>
      <c r="CK195" s="643"/>
      <c r="CL195" s="153"/>
      <c r="CM195" s="153"/>
      <c r="CN195" s="153"/>
      <c r="CO195" s="153"/>
    </row>
    <row r="196" spans="1:93" x14ac:dyDescent="0.25">
      <c r="A196" s="88" t="s">
        <v>21</v>
      </c>
      <c r="B196" s="120">
        <v>3</v>
      </c>
      <c r="C196" s="44"/>
      <c r="D196" s="43"/>
      <c r="E196" s="46"/>
      <c r="F196" s="46"/>
      <c r="G196" s="56"/>
      <c r="H196" s="44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  <c r="AC196" s="153"/>
      <c r="AD196" s="153"/>
      <c r="AE196" s="153"/>
      <c r="AF196" s="153"/>
      <c r="AG196" s="153"/>
      <c r="AH196" s="153"/>
      <c r="AI196" s="153"/>
      <c r="AJ196" s="153"/>
      <c r="AK196" s="153"/>
      <c r="AL196" s="153"/>
      <c r="AM196" s="153"/>
      <c r="AN196" s="153"/>
      <c r="AO196" s="153"/>
      <c r="AP196" s="153"/>
      <c r="AQ196" s="153"/>
      <c r="AR196" s="153"/>
      <c r="AS196" s="153"/>
      <c r="AT196" s="153"/>
      <c r="AU196" s="153"/>
      <c r="AV196" s="153"/>
      <c r="AW196" s="153"/>
      <c r="AX196" s="153"/>
      <c r="AY196" s="153"/>
      <c r="AZ196" s="153"/>
      <c r="BA196" s="153"/>
      <c r="BB196" s="153"/>
      <c r="BC196" s="153"/>
      <c r="BD196" s="153"/>
      <c r="BE196" s="153"/>
      <c r="BF196" s="153"/>
      <c r="BG196" s="153"/>
      <c r="BH196" s="153"/>
      <c r="BI196" s="153"/>
      <c r="BJ196" s="153"/>
      <c r="BK196" s="153"/>
      <c r="BL196" s="153"/>
      <c r="BM196" s="153"/>
      <c r="BN196" s="153"/>
      <c r="BO196" s="153"/>
      <c r="BP196" s="153"/>
      <c r="BQ196" s="153"/>
      <c r="BR196" s="153"/>
      <c r="BS196" s="153"/>
      <c r="BT196" s="153"/>
      <c r="BU196" s="153"/>
      <c r="BV196" s="153"/>
      <c r="BW196" s="153"/>
      <c r="BX196" s="153"/>
      <c r="BY196" s="153"/>
      <c r="BZ196" s="153"/>
      <c r="CA196" s="153"/>
      <c r="CB196" s="153"/>
      <c r="CC196" s="153"/>
      <c r="CD196" s="153"/>
      <c r="CE196" s="153"/>
      <c r="CF196" s="153"/>
      <c r="CG196" s="153"/>
      <c r="CH196" s="153"/>
      <c r="CI196" s="153"/>
      <c r="CJ196" s="153"/>
      <c r="CK196" s="153"/>
      <c r="CL196" s="153"/>
      <c r="CM196" s="153"/>
      <c r="CN196" s="153"/>
      <c r="CO196" s="153"/>
    </row>
    <row r="197" spans="1:93" x14ac:dyDescent="0.25">
      <c r="A197" s="88" t="s">
        <v>389</v>
      </c>
      <c r="B197" s="120">
        <v>4</v>
      </c>
      <c r="C197" s="44"/>
      <c r="D197" s="43"/>
      <c r="E197" s="46"/>
      <c r="F197" s="46">
        <v>2000</v>
      </c>
      <c r="G197" s="56">
        <v>2000</v>
      </c>
      <c r="H197" s="44"/>
      <c r="I197" t="s">
        <v>107</v>
      </c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  <c r="AC197" s="153"/>
      <c r="AD197" s="153"/>
      <c r="AE197" s="153"/>
      <c r="AF197" s="153"/>
      <c r="AG197" s="153"/>
      <c r="AH197" s="153"/>
      <c r="AI197" s="153"/>
      <c r="AJ197" s="153"/>
      <c r="AK197" s="153"/>
      <c r="AL197" s="153"/>
      <c r="AM197" s="153"/>
      <c r="AN197" s="153"/>
      <c r="AO197" s="153"/>
      <c r="AP197" s="153"/>
      <c r="AQ197" s="153"/>
      <c r="AR197" s="153"/>
      <c r="AS197" s="153"/>
      <c r="AT197" s="153"/>
      <c r="AU197" s="153"/>
      <c r="AV197" s="153"/>
      <c r="AW197" s="153"/>
      <c r="AX197" s="153"/>
      <c r="AY197" s="153"/>
      <c r="AZ197" s="153"/>
      <c r="BA197" s="153"/>
      <c r="BB197" s="153"/>
      <c r="BC197" s="153"/>
      <c r="BD197" s="153"/>
      <c r="BE197" s="153"/>
      <c r="BF197" s="153"/>
      <c r="BG197" s="153"/>
      <c r="BH197" s="153"/>
      <c r="BI197" s="153"/>
      <c r="BJ197" s="153"/>
      <c r="BK197" s="153"/>
      <c r="BL197" s="153"/>
      <c r="BM197" s="153"/>
      <c r="BN197" s="153"/>
      <c r="BO197" s="153"/>
      <c r="BP197" s="153"/>
      <c r="BQ197" s="153"/>
      <c r="BR197" s="153"/>
      <c r="BS197" s="153"/>
      <c r="BT197" s="153"/>
      <c r="BU197" s="153"/>
      <c r="BV197" s="153"/>
      <c r="BW197" s="153"/>
      <c r="BX197" s="153"/>
      <c r="BY197" s="153"/>
      <c r="BZ197" s="153"/>
      <c r="CA197" s="153"/>
      <c r="CB197" s="153"/>
      <c r="CC197" s="153"/>
      <c r="CD197" s="153"/>
      <c r="CE197" s="153"/>
      <c r="CF197" s="153"/>
      <c r="CG197" s="153"/>
      <c r="CH197" s="153"/>
      <c r="CI197" s="153"/>
      <c r="CJ197" s="153"/>
      <c r="CK197" s="153"/>
      <c r="CL197" s="153"/>
      <c r="CM197" s="153"/>
      <c r="CN197" s="153"/>
      <c r="CO197" s="153"/>
    </row>
    <row r="198" spans="1:93" x14ac:dyDescent="0.25">
      <c r="A198" s="43" t="s">
        <v>21</v>
      </c>
      <c r="B198" s="120">
        <v>5</v>
      </c>
      <c r="C198" s="44"/>
      <c r="D198" s="44"/>
      <c r="E198" s="46"/>
      <c r="F198" s="46"/>
      <c r="G198" s="46"/>
      <c r="H198" s="44"/>
      <c r="L198" s="153"/>
      <c r="M198" s="153"/>
      <c r="N198" s="640" t="s">
        <v>445</v>
      </c>
      <c r="O198" s="640"/>
      <c r="P198" s="640"/>
      <c r="Q198" s="640"/>
      <c r="R198" s="640"/>
      <c r="S198" s="640"/>
      <c r="T198" s="640"/>
      <c r="U198" s="640"/>
      <c r="V198" s="640"/>
      <c r="W198" s="640"/>
      <c r="X198" s="640"/>
      <c r="Y198" s="640"/>
      <c r="Z198" s="640"/>
      <c r="AA198" s="153"/>
      <c r="AB198" s="641" t="s">
        <v>254</v>
      </c>
      <c r="AC198" s="641"/>
      <c r="AD198" s="641"/>
      <c r="AE198" s="641"/>
      <c r="AF198" s="641"/>
      <c r="AG198" s="641"/>
      <c r="AH198" s="641"/>
      <c r="AI198" s="153"/>
      <c r="AJ198" s="153"/>
      <c r="AK198" s="640" t="s">
        <v>446</v>
      </c>
      <c r="AL198" s="640"/>
      <c r="AM198" s="640"/>
      <c r="AN198" s="640"/>
      <c r="AO198" s="153"/>
      <c r="AP198" s="642">
        <v>4000</v>
      </c>
      <c r="AQ198" s="642"/>
      <c r="AR198" s="642"/>
      <c r="AS198" s="642"/>
      <c r="AT198" s="153"/>
      <c r="AU198" s="643">
        <v>0</v>
      </c>
      <c r="AV198" s="643"/>
      <c r="AW198" s="643"/>
      <c r="AX198" s="643"/>
      <c r="AY198" s="153"/>
      <c r="AZ198" s="642">
        <v>0</v>
      </c>
      <c r="BA198" s="642"/>
      <c r="BB198" s="642"/>
      <c r="BC198" s="642"/>
      <c r="BD198" s="153"/>
      <c r="BE198" s="644">
        <v>4000</v>
      </c>
      <c r="BF198" s="644"/>
      <c r="BG198" s="153"/>
      <c r="BH198" s="153"/>
      <c r="BI198" s="153"/>
      <c r="BJ198" s="153"/>
      <c r="BK198" s="153"/>
      <c r="BL198" s="153"/>
      <c r="BM198" s="153"/>
      <c r="BN198" s="153"/>
      <c r="BO198" s="153"/>
      <c r="BP198" s="153"/>
      <c r="BQ198" s="153"/>
      <c r="BR198" s="153"/>
      <c r="BS198" s="153"/>
      <c r="BT198" s="153"/>
      <c r="BU198" s="153"/>
      <c r="BV198" s="153"/>
      <c r="BW198" s="153"/>
      <c r="BX198" s="153"/>
      <c r="BY198" s="153"/>
      <c r="BZ198" s="153"/>
      <c r="CA198" s="153"/>
      <c r="CB198" s="153"/>
      <c r="CC198" s="153"/>
      <c r="CD198" s="153"/>
      <c r="CE198" s="153"/>
      <c r="CF198" s="153"/>
      <c r="CG198" s="153"/>
      <c r="CH198" s="153"/>
      <c r="CI198" s="153"/>
      <c r="CJ198" s="643">
        <v>4000</v>
      </c>
      <c r="CK198" s="643"/>
      <c r="CL198" s="153"/>
      <c r="CM198" s="153"/>
      <c r="CN198" s="153"/>
      <c r="CO198" s="153"/>
    </row>
    <row r="199" spans="1:93" s="9" customFormat="1" x14ac:dyDescent="0.25">
      <c r="A199" s="43" t="s">
        <v>284</v>
      </c>
      <c r="B199" s="120">
        <v>6</v>
      </c>
      <c r="C199" s="44"/>
      <c r="D199" s="44"/>
      <c r="E199" s="46"/>
      <c r="F199" s="46">
        <v>3500</v>
      </c>
      <c r="G199" s="46"/>
      <c r="H199" s="44"/>
      <c r="I199" t="s">
        <v>390</v>
      </c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  <c r="AC199" s="153"/>
      <c r="AD199" s="153"/>
      <c r="AE199" s="153"/>
      <c r="AF199" s="153"/>
      <c r="AG199" s="153"/>
      <c r="AH199" s="153"/>
      <c r="AI199" s="153"/>
      <c r="AJ199" s="153"/>
      <c r="AK199" s="153"/>
      <c r="AL199" s="153"/>
      <c r="AM199" s="153"/>
      <c r="AN199" s="153"/>
      <c r="AO199" s="153"/>
      <c r="AP199" s="153"/>
      <c r="AQ199" s="153"/>
      <c r="AR199" s="153"/>
      <c r="AS199" s="153"/>
      <c r="AT199" s="153"/>
      <c r="AU199" s="153"/>
      <c r="AV199" s="153"/>
      <c r="AW199" s="153"/>
      <c r="AX199" s="153"/>
      <c r="AY199" s="153"/>
      <c r="AZ199" s="153"/>
      <c r="BA199" s="153"/>
      <c r="BB199" s="153"/>
      <c r="BC199" s="153"/>
      <c r="BD199" s="153"/>
      <c r="BE199" s="153"/>
      <c r="BF199" s="153"/>
      <c r="BG199" s="153"/>
      <c r="BH199" s="153"/>
      <c r="BI199" s="153"/>
      <c r="BJ199" s="153"/>
      <c r="BK199" s="153"/>
      <c r="BL199" s="153"/>
      <c r="BM199" s="153"/>
      <c r="BN199" s="153"/>
      <c r="BO199" s="153"/>
      <c r="BP199" s="153"/>
      <c r="BQ199" s="153"/>
      <c r="BR199" s="153"/>
      <c r="BS199" s="153"/>
      <c r="BT199" s="153"/>
      <c r="BU199" s="153"/>
      <c r="BV199" s="153"/>
      <c r="BW199" s="153"/>
      <c r="BX199" s="153"/>
      <c r="BY199" s="153"/>
      <c r="BZ199" s="153"/>
      <c r="CA199" s="153"/>
      <c r="CB199" s="153"/>
      <c r="CC199" s="153"/>
      <c r="CD199" s="153"/>
      <c r="CE199" s="153"/>
      <c r="CF199" s="153"/>
      <c r="CG199" s="153"/>
      <c r="CH199" s="153"/>
      <c r="CI199" s="153"/>
      <c r="CJ199" s="153"/>
      <c r="CK199" s="153"/>
      <c r="CL199" s="153"/>
      <c r="CM199" s="153"/>
      <c r="CN199" s="153"/>
      <c r="CO199" s="153"/>
    </row>
    <row r="200" spans="1:93" x14ac:dyDescent="0.25">
      <c r="A200" s="43" t="s">
        <v>285</v>
      </c>
      <c r="B200" s="120">
        <v>7</v>
      </c>
      <c r="C200" s="44"/>
      <c r="D200" s="44"/>
      <c r="E200" s="46"/>
      <c r="F200" s="46">
        <v>3500</v>
      </c>
      <c r="G200" s="46">
        <v>3500</v>
      </c>
      <c r="H200" s="44" t="s">
        <v>314</v>
      </c>
      <c r="I200" t="s">
        <v>107</v>
      </c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  <c r="AC200" s="153"/>
      <c r="AD200" s="153"/>
      <c r="AE200" s="153"/>
      <c r="AF200" s="153"/>
      <c r="AG200" s="153"/>
      <c r="AH200" s="153"/>
      <c r="AI200" s="153"/>
      <c r="AJ200" s="153"/>
      <c r="AK200" s="153"/>
      <c r="AL200" s="153"/>
      <c r="AM200" s="153"/>
      <c r="AN200" s="153"/>
      <c r="AO200" s="153"/>
      <c r="AP200" s="153"/>
      <c r="AQ200" s="153"/>
      <c r="AR200" s="153"/>
      <c r="AS200" s="153"/>
      <c r="AT200" s="153"/>
      <c r="AU200" s="153"/>
      <c r="AV200" s="153"/>
      <c r="AW200" s="153"/>
      <c r="AX200" s="153"/>
      <c r="AY200" s="153"/>
      <c r="AZ200" s="153"/>
      <c r="BA200" s="153"/>
      <c r="BB200" s="153"/>
      <c r="BC200" s="153"/>
      <c r="BD200" s="153"/>
      <c r="BE200" s="153"/>
      <c r="BF200" s="153"/>
      <c r="BG200" s="153"/>
      <c r="BH200" s="153"/>
      <c r="BI200" s="153"/>
      <c r="BJ200" s="153"/>
      <c r="BK200" s="153"/>
      <c r="BL200" s="153"/>
      <c r="BM200" s="153"/>
      <c r="BN200" s="153"/>
      <c r="BO200" s="153"/>
      <c r="BP200" s="153"/>
      <c r="BQ200" s="153"/>
      <c r="BR200" s="153"/>
      <c r="BS200" s="153"/>
      <c r="BT200" s="153"/>
      <c r="BU200" s="153"/>
      <c r="BV200" s="153"/>
      <c r="BW200" s="153"/>
      <c r="BX200" s="153"/>
      <c r="BY200" s="153"/>
      <c r="BZ200" s="153"/>
      <c r="CA200" s="153"/>
      <c r="CB200" s="153"/>
      <c r="CC200" s="153"/>
      <c r="CD200" s="153"/>
      <c r="CE200" s="153"/>
      <c r="CF200" s="153"/>
      <c r="CG200" s="153"/>
      <c r="CH200" s="153"/>
      <c r="CI200" s="153"/>
      <c r="CJ200" s="153"/>
      <c r="CK200" s="153"/>
      <c r="CL200" s="153"/>
      <c r="CM200" s="153"/>
      <c r="CN200" s="153"/>
      <c r="CO200" s="153"/>
    </row>
    <row r="201" spans="1:93" x14ac:dyDescent="0.25">
      <c r="A201" s="45" t="s">
        <v>493</v>
      </c>
      <c r="B201" s="120">
        <v>8</v>
      </c>
      <c r="C201" s="44"/>
      <c r="D201" s="44"/>
      <c r="E201" s="73"/>
      <c r="F201" s="46">
        <v>2000</v>
      </c>
      <c r="G201" s="68"/>
      <c r="H201" s="44"/>
      <c r="I201" t="s">
        <v>391</v>
      </c>
      <c r="L201" s="153"/>
      <c r="M201" s="153"/>
      <c r="N201" s="640" t="s">
        <v>447</v>
      </c>
      <c r="O201" s="640"/>
      <c r="P201" s="640"/>
      <c r="Q201" s="640"/>
      <c r="R201" s="640"/>
      <c r="S201" s="640"/>
      <c r="T201" s="640"/>
      <c r="U201" s="640"/>
      <c r="V201" s="640"/>
      <c r="W201" s="640"/>
      <c r="X201" s="640"/>
      <c r="Y201" s="640"/>
      <c r="Z201" s="640"/>
      <c r="AA201" s="153"/>
      <c r="AB201" s="641" t="s">
        <v>21</v>
      </c>
      <c r="AC201" s="641"/>
      <c r="AD201" s="641"/>
      <c r="AE201" s="641"/>
      <c r="AF201" s="641"/>
      <c r="AG201" s="641"/>
      <c r="AH201" s="641"/>
      <c r="AI201" s="153"/>
      <c r="AJ201" s="153"/>
      <c r="AK201" s="153"/>
      <c r="AL201" s="153"/>
      <c r="AM201" s="153"/>
      <c r="AN201" s="153"/>
      <c r="AO201" s="153"/>
      <c r="AP201" s="642">
        <v>0</v>
      </c>
      <c r="AQ201" s="642"/>
      <c r="AR201" s="642"/>
      <c r="AS201" s="642"/>
      <c r="AT201" s="153"/>
      <c r="AU201" s="643">
        <v>0</v>
      </c>
      <c r="AV201" s="643"/>
      <c r="AW201" s="643"/>
      <c r="AX201" s="643"/>
      <c r="AY201" s="153"/>
      <c r="AZ201" s="642">
        <v>0</v>
      </c>
      <c r="BA201" s="642"/>
      <c r="BB201" s="642"/>
      <c r="BC201" s="642"/>
      <c r="BD201" s="153"/>
      <c r="BE201" s="644">
        <v>0</v>
      </c>
      <c r="BF201" s="644"/>
      <c r="BG201" s="153"/>
      <c r="BH201" s="153"/>
      <c r="BI201" s="153"/>
      <c r="BJ201" s="153"/>
      <c r="BK201" s="153"/>
      <c r="BL201" s="153"/>
      <c r="BM201" s="153"/>
      <c r="BN201" s="153"/>
      <c r="BO201" s="153"/>
      <c r="BP201" s="153"/>
      <c r="BQ201" s="153"/>
      <c r="BR201" s="153"/>
      <c r="BS201" s="153"/>
      <c r="BT201" s="153"/>
      <c r="BU201" s="153"/>
      <c r="BV201" s="153"/>
      <c r="BW201" s="153"/>
      <c r="BX201" s="153"/>
      <c r="BY201" s="153"/>
      <c r="BZ201" s="153"/>
      <c r="CA201" s="153"/>
      <c r="CB201" s="153"/>
      <c r="CC201" s="153"/>
      <c r="CD201" s="153"/>
      <c r="CE201" s="153"/>
      <c r="CF201" s="153"/>
      <c r="CG201" s="153"/>
      <c r="CH201" s="153"/>
      <c r="CI201" s="153"/>
      <c r="CJ201" s="643">
        <v>0</v>
      </c>
      <c r="CK201" s="643"/>
      <c r="CL201" s="153"/>
      <c r="CM201" s="153"/>
      <c r="CN201" s="153"/>
      <c r="CO201" s="153"/>
    </row>
    <row r="202" spans="1:93" x14ac:dyDescent="0.25">
      <c r="A202" s="47" t="s">
        <v>21</v>
      </c>
      <c r="B202" s="120">
        <v>9</v>
      </c>
      <c r="C202" s="48"/>
      <c r="D202" s="46"/>
      <c r="E202" s="46"/>
      <c r="F202" s="46">
        <v>0</v>
      </c>
      <c r="G202" s="46"/>
      <c r="H202" s="46"/>
      <c r="L202" s="180">
        <f>G194+G196</f>
        <v>3500</v>
      </c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  <c r="AC202" s="153"/>
      <c r="AD202" s="153"/>
      <c r="AE202" s="153"/>
      <c r="AF202" s="153"/>
      <c r="AG202" s="153"/>
      <c r="AH202" s="153"/>
      <c r="AI202" s="153"/>
      <c r="AJ202" s="153"/>
      <c r="AK202" s="153"/>
      <c r="AL202" s="153"/>
      <c r="AM202" s="153"/>
      <c r="AN202" s="153"/>
      <c r="AO202" s="153"/>
      <c r="AP202" s="153"/>
      <c r="AQ202" s="153"/>
      <c r="AR202" s="153"/>
      <c r="AS202" s="153"/>
      <c r="AT202" s="153"/>
      <c r="AU202" s="153"/>
      <c r="AV202" s="153"/>
      <c r="AW202" s="153"/>
      <c r="AX202" s="153"/>
      <c r="AY202" s="153"/>
      <c r="AZ202" s="153"/>
      <c r="BA202" s="153"/>
      <c r="BB202" s="153"/>
      <c r="BC202" s="153"/>
      <c r="BD202" s="153"/>
      <c r="BE202" s="153"/>
      <c r="BF202" s="153"/>
      <c r="BG202" s="153"/>
      <c r="BH202" s="153"/>
      <c r="BI202" s="153"/>
      <c r="BJ202" s="153"/>
      <c r="BK202" s="153"/>
      <c r="BL202" s="153"/>
      <c r="BM202" s="153"/>
      <c r="BN202" s="153"/>
      <c r="BO202" s="153"/>
      <c r="BP202" s="153"/>
      <c r="BQ202" s="153"/>
      <c r="BR202" s="153"/>
      <c r="BS202" s="153"/>
      <c r="BT202" s="153"/>
      <c r="BU202" s="153"/>
      <c r="BV202" s="153"/>
      <c r="BW202" s="153"/>
      <c r="BX202" s="153"/>
      <c r="BY202" s="153"/>
      <c r="BZ202" s="153"/>
      <c r="CA202" s="153"/>
      <c r="CB202" s="153"/>
      <c r="CC202" s="153"/>
      <c r="CD202" s="153"/>
      <c r="CE202" s="153"/>
      <c r="CF202" s="153"/>
      <c r="CG202" s="153"/>
      <c r="CH202" s="153"/>
      <c r="CI202" s="153"/>
      <c r="CJ202" s="153"/>
      <c r="CK202" s="153"/>
      <c r="CL202" s="153"/>
      <c r="CM202" s="153"/>
      <c r="CN202" s="153"/>
      <c r="CO202" s="153"/>
    </row>
    <row r="203" spans="1:93" x14ac:dyDescent="0.25">
      <c r="A203" s="44"/>
      <c r="B203" s="120">
        <v>10</v>
      </c>
      <c r="C203" s="44"/>
      <c r="D203" s="44"/>
      <c r="E203" s="44"/>
      <c r="F203" s="44"/>
      <c r="G203" s="44"/>
      <c r="H203" s="44"/>
      <c r="L203" s="153">
        <v>895</v>
      </c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  <c r="AC203" s="153"/>
      <c r="AD203" s="153"/>
      <c r="AE203" s="153"/>
      <c r="AF203" s="153"/>
      <c r="AG203" s="153"/>
      <c r="AH203" s="153"/>
      <c r="AI203" s="153"/>
      <c r="AJ203" s="153"/>
      <c r="AK203" s="153"/>
      <c r="AL203" s="153"/>
      <c r="AM203" s="153"/>
      <c r="AN203" s="153"/>
      <c r="AO203" s="153"/>
      <c r="AP203" s="153"/>
      <c r="AQ203" s="153"/>
      <c r="AR203" s="153"/>
      <c r="AS203" s="153"/>
      <c r="AT203" s="153"/>
      <c r="AU203" s="153"/>
      <c r="AV203" s="153"/>
      <c r="AW203" s="153"/>
      <c r="AX203" s="153"/>
      <c r="AY203" s="153"/>
      <c r="AZ203" s="153"/>
      <c r="BA203" s="153"/>
      <c r="BB203" s="153"/>
      <c r="BC203" s="153"/>
      <c r="BD203" s="153"/>
      <c r="BE203" s="153"/>
      <c r="BF203" s="153"/>
      <c r="BG203" s="153"/>
      <c r="BH203" s="153"/>
      <c r="BI203" s="153"/>
      <c r="BJ203" s="153"/>
      <c r="BK203" s="153"/>
      <c r="BL203" s="153"/>
      <c r="BM203" s="153"/>
      <c r="BN203" s="153"/>
      <c r="BO203" s="153"/>
      <c r="BP203" s="153"/>
      <c r="BQ203" s="153"/>
      <c r="BR203" s="153"/>
      <c r="BS203" s="153"/>
      <c r="BT203" s="153"/>
      <c r="BU203" s="153"/>
      <c r="BV203" s="153"/>
      <c r="BW203" s="153"/>
      <c r="BX203" s="153"/>
      <c r="BY203" s="153"/>
      <c r="BZ203" s="153"/>
      <c r="CA203" s="153"/>
      <c r="CB203" s="153"/>
      <c r="CC203" s="153"/>
      <c r="CD203" s="153"/>
      <c r="CE203" s="153"/>
      <c r="CF203" s="153"/>
      <c r="CG203" s="153"/>
      <c r="CH203" s="153"/>
      <c r="CI203" s="153"/>
      <c r="CJ203" s="153"/>
      <c r="CK203" s="153"/>
      <c r="CL203" s="153"/>
      <c r="CM203" s="153"/>
      <c r="CN203" s="153"/>
      <c r="CO203" s="153"/>
    </row>
    <row r="204" spans="1:93" x14ac:dyDescent="0.25">
      <c r="A204" s="45" t="s">
        <v>137</v>
      </c>
      <c r="C204" s="44"/>
      <c r="D204" s="44"/>
      <c r="E204" s="115"/>
      <c r="F204" s="105">
        <f>SUM(F194:F203)</f>
        <v>18000</v>
      </c>
      <c r="G204" s="44">
        <f>SUM(G194:G203)</f>
        <v>12500</v>
      </c>
      <c r="H204" s="44"/>
      <c r="L204" s="180">
        <f>L202-L203</f>
        <v>2605</v>
      </c>
      <c r="M204" s="153"/>
      <c r="N204" s="640" t="s">
        <v>448</v>
      </c>
      <c r="O204" s="640"/>
      <c r="P204" s="640"/>
      <c r="Q204" s="640"/>
      <c r="R204" s="640"/>
      <c r="S204" s="640"/>
      <c r="T204" s="640"/>
      <c r="U204" s="640"/>
      <c r="V204" s="640"/>
      <c r="W204" s="640"/>
      <c r="X204" s="640"/>
      <c r="Y204" s="640"/>
      <c r="Z204" s="640"/>
      <c r="AA204" s="153"/>
      <c r="AB204" s="641" t="s">
        <v>255</v>
      </c>
      <c r="AC204" s="641"/>
      <c r="AD204" s="641"/>
      <c r="AE204" s="641"/>
      <c r="AF204" s="641"/>
      <c r="AG204" s="641"/>
      <c r="AH204" s="641"/>
      <c r="AI204" s="153"/>
      <c r="AJ204" s="153"/>
      <c r="AK204" s="640" t="s">
        <v>449</v>
      </c>
      <c r="AL204" s="640"/>
      <c r="AM204" s="640"/>
      <c r="AN204" s="640"/>
      <c r="AO204" s="153"/>
      <c r="AP204" s="642">
        <v>4000</v>
      </c>
      <c r="AQ204" s="642"/>
      <c r="AR204" s="642"/>
      <c r="AS204" s="642"/>
      <c r="AT204" s="153"/>
      <c r="AU204" s="643">
        <v>0</v>
      </c>
      <c r="AV204" s="643"/>
      <c r="AW204" s="643"/>
      <c r="AX204" s="643"/>
      <c r="AY204" s="153"/>
      <c r="AZ204" s="642">
        <v>0</v>
      </c>
      <c r="BA204" s="642"/>
      <c r="BB204" s="642"/>
      <c r="BC204" s="642"/>
      <c r="BD204" s="153"/>
      <c r="BE204" s="644">
        <v>4000</v>
      </c>
      <c r="BF204" s="644"/>
      <c r="BG204" s="153"/>
      <c r="BH204" s="153"/>
      <c r="BI204" s="153"/>
      <c r="BJ204" s="153"/>
      <c r="BK204" s="153"/>
      <c r="BL204" s="153"/>
      <c r="BM204" s="153"/>
      <c r="BN204" s="153"/>
      <c r="BO204" s="153"/>
      <c r="BP204" s="153"/>
      <c r="BQ204" s="153"/>
      <c r="BR204" s="153"/>
      <c r="BS204" s="153"/>
      <c r="BT204" s="153"/>
      <c r="BU204" s="153"/>
      <c r="BV204" s="153"/>
      <c r="BW204" s="153"/>
      <c r="BX204" s="153"/>
      <c r="BY204" s="153"/>
      <c r="BZ204" s="153"/>
      <c r="CA204" s="153"/>
      <c r="CB204" s="153"/>
      <c r="CC204" s="153"/>
      <c r="CD204" s="153"/>
      <c r="CE204" s="153"/>
      <c r="CF204" s="153"/>
      <c r="CG204" s="153"/>
      <c r="CH204" s="153"/>
      <c r="CI204" s="153"/>
      <c r="CJ204" s="643">
        <v>4000</v>
      </c>
      <c r="CK204" s="643"/>
      <c r="CL204" s="153"/>
      <c r="CM204" s="153"/>
      <c r="CN204" s="153"/>
      <c r="CO204" s="153"/>
    </row>
    <row r="205" spans="1:93" x14ac:dyDescent="0.25">
      <c r="A205" s="9"/>
      <c r="B205" s="9"/>
      <c r="C205" s="9"/>
      <c r="D205" s="9"/>
      <c r="E205" s="9"/>
      <c r="F205" s="9"/>
      <c r="G205" s="9"/>
      <c r="H205" s="9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  <c r="AC205" s="153"/>
      <c r="AD205" s="153"/>
      <c r="AE205" s="153"/>
      <c r="AF205" s="153"/>
      <c r="AG205" s="153"/>
      <c r="AH205" s="153"/>
      <c r="AI205" s="153"/>
      <c r="AJ205" s="153"/>
      <c r="AK205" s="153"/>
      <c r="AL205" s="153"/>
      <c r="AM205" s="153"/>
      <c r="AN205" s="153"/>
      <c r="AO205" s="153"/>
      <c r="AP205" s="153"/>
      <c r="AQ205" s="153"/>
      <c r="AR205" s="153"/>
      <c r="AS205" s="153"/>
      <c r="AT205" s="153"/>
      <c r="AU205" s="153"/>
      <c r="AV205" s="153"/>
      <c r="AW205" s="153"/>
      <c r="AX205" s="153"/>
      <c r="AY205" s="153"/>
      <c r="AZ205" s="153"/>
      <c r="BA205" s="153"/>
      <c r="BB205" s="153"/>
      <c r="BC205" s="153"/>
      <c r="BD205" s="153"/>
      <c r="BE205" s="153"/>
      <c r="BF205" s="153"/>
      <c r="BG205" s="153"/>
      <c r="BH205" s="153"/>
      <c r="BI205" s="153"/>
      <c r="BJ205" s="153"/>
      <c r="BK205" s="153"/>
      <c r="BL205" s="153"/>
      <c r="BM205" s="153"/>
      <c r="BN205" s="153"/>
      <c r="BO205" s="153"/>
      <c r="BP205" s="153"/>
      <c r="BQ205" s="153"/>
      <c r="BR205" s="153"/>
      <c r="BS205" s="153"/>
      <c r="BT205" s="153"/>
      <c r="BU205" s="153"/>
      <c r="BV205" s="153"/>
      <c r="BW205" s="153"/>
      <c r="BX205" s="153"/>
      <c r="BY205" s="153"/>
      <c r="BZ205" s="153"/>
      <c r="CA205" s="153"/>
      <c r="CB205" s="153"/>
      <c r="CC205" s="153"/>
      <c r="CD205" s="153"/>
      <c r="CE205" s="153"/>
      <c r="CF205" s="153"/>
      <c r="CG205" s="153"/>
      <c r="CH205" s="153"/>
      <c r="CI205" s="153"/>
      <c r="CJ205" s="153"/>
      <c r="CK205" s="153"/>
      <c r="CL205" s="153"/>
      <c r="CM205" s="153"/>
      <c r="CN205" s="153"/>
      <c r="CO205" s="153"/>
    </row>
    <row r="206" spans="1:93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12500</v>
      </c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  <c r="AC206" s="153"/>
      <c r="AD206" s="153"/>
      <c r="AE206" s="153"/>
      <c r="AF206" s="153"/>
      <c r="AG206" s="153"/>
      <c r="AH206" s="153"/>
      <c r="AI206" s="153"/>
      <c r="AJ206" s="153"/>
      <c r="AK206" s="153"/>
      <c r="AL206" s="153"/>
      <c r="AM206" s="153"/>
      <c r="AN206" s="153"/>
      <c r="AO206" s="153"/>
      <c r="AP206" s="153"/>
      <c r="AQ206" s="153"/>
      <c r="AR206" s="153"/>
      <c r="AS206" s="153"/>
      <c r="AT206" s="153"/>
      <c r="AU206" s="153"/>
      <c r="AV206" s="153"/>
      <c r="AW206" s="153"/>
      <c r="AX206" s="153"/>
      <c r="AY206" s="153"/>
      <c r="AZ206" s="153"/>
      <c r="BA206" s="153"/>
      <c r="BB206" s="153"/>
      <c r="BC206" s="153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  <c r="BT206" s="153"/>
      <c r="BU206" s="153"/>
      <c r="BV206" s="153"/>
      <c r="BW206" s="153"/>
      <c r="BX206" s="153"/>
      <c r="BY206" s="153"/>
      <c r="BZ206" s="153"/>
      <c r="CA206" s="153"/>
      <c r="CB206" s="153"/>
      <c r="CC206" s="153"/>
      <c r="CD206" s="153"/>
      <c r="CE206" s="153"/>
      <c r="CF206" s="153"/>
      <c r="CG206" s="153"/>
      <c r="CH206" s="153"/>
      <c r="CI206" s="153"/>
      <c r="CJ206" s="153"/>
      <c r="CK206" s="153"/>
      <c r="CL206" s="153"/>
      <c r="CM206" s="153"/>
      <c r="CN206" s="153"/>
      <c r="CO206" s="153"/>
    </row>
    <row r="207" spans="1:93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  <c r="L207" s="153"/>
      <c r="M207" s="153"/>
      <c r="N207" s="640" t="s">
        <v>450</v>
      </c>
      <c r="O207" s="640"/>
      <c r="P207" s="640"/>
      <c r="Q207" s="640"/>
      <c r="R207" s="640"/>
      <c r="S207" s="640"/>
      <c r="T207" s="640"/>
      <c r="U207" s="640"/>
      <c r="V207" s="640"/>
      <c r="W207" s="640"/>
      <c r="X207" s="640"/>
      <c r="Y207" s="640"/>
      <c r="Z207" s="640"/>
      <c r="AA207" s="153"/>
      <c r="AB207" s="641" t="s">
        <v>451</v>
      </c>
      <c r="AC207" s="641"/>
      <c r="AD207" s="641"/>
      <c r="AE207" s="641"/>
      <c r="AF207" s="641"/>
      <c r="AG207" s="641"/>
      <c r="AH207" s="641"/>
      <c r="AI207" s="153"/>
      <c r="AJ207" s="153"/>
      <c r="AK207" s="153"/>
      <c r="AL207" s="153"/>
      <c r="AM207" s="153"/>
      <c r="AN207" s="153"/>
      <c r="AO207" s="153"/>
      <c r="AP207" s="642">
        <v>2000</v>
      </c>
      <c r="AQ207" s="642"/>
      <c r="AR207" s="642"/>
      <c r="AS207" s="642"/>
      <c r="AT207" s="153"/>
      <c r="AU207" s="643">
        <v>0</v>
      </c>
      <c r="AV207" s="643"/>
      <c r="AW207" s="643"/>
      <c r="AX207" s="643"/>
      <c r="AY207" s="153"/>
      <c r="AZ207" s="642">
        <v>0</v>
      </c>
      <c r="BA207" s="642"/>
      <c r="BB207" s="642"/>
      <c r="BC207" s="642"/>
      <c r="BD207" s="153"/>
      <c r="BE207" s="644">
        <v>2000</v>
      </c>
      <c r="BF207" s="644"/>
      <c r="BG207" s="153"/>
      <c r="BH207" s="153"/>
      <c r="BI207" s="153"/>
      <c r="BJ207" s="640" t="s">
        <v>452</v>
      </c>
      <c r="BK207" s="640"/>
      <c r="BL207" s="640"/>
      <c r="BM207" s="640"/>
      <c r="BN207" s="153"/>
      <c r="BO207" s="645">
        <v>43000</v>
      </c>
      <c r="BP207" s="645"/>
      <c r="BQ207" s="645"/>
      <c r="BR207" s="645"/>
      <c r="BS207" s="153"/>
      <c r="BT207" s="643">
        <v>2000</v>
      </c>
      <c r="BU207" s="643"/>
      <c r="BV207" s="643"/>
      <c r="BW207" s="153"/>
      <c r="BX207" s="153"/>
      <c r="BY207" s="643">
        <v>0</v>
      </c>
      <c r="BZ207" s="643"/>
      <c r="CA207" s="643"/>
      <c r="CB207" s="643"/>
      <c r="CC207" s="153"/>
      <c r="CD207" s="153"/>
      <c r="CE207" s="644">
        <v>2000</v>
      </c>
      <c r="CF207" s="644"/>
      <c r="CG207" s="644"/>
      <c r="CH207" s="153"/>
      <c r="CI207" s="153"/>
      <c r="CJ207" s="643">
        <v>0</v>
      </c>
      <c r="CK207" s="643"/>
      <c r="CL207" s="153"/>
      <c r="CM207" s="153"/>
      <c r="CN207" s="153"/>
      <c r="CO207" s="153"/>
    </row>
    <row r="208" spans="1:93" x14ac:dyDescent="0.25">
      <c r="A208" s="9"/>
      <c r="B208" s="103" t="s">
        <v>347</v>
      </c>
      <c r="C208" s="101"/>
      <c r="D208" s="97"/>
      <c r="E208" s="72">
        <v>4250</v>
      </c>
      <c r="F208" s="103" t="s">
        <v>343</v>
      </c>
      <c r="G208" s="101"/>
      <c r="H208" s="72"/>
      <c r="K208" s="72">
        <f>H213+H214</f>
        <v>8950</v>
      </c>
      <c r="L208" s="180">
        <f>K208-L204</f>
        <v>6345</v>
      </c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  <c r="AC208" s="153"/>
      <c r="AD208" s="153"/>
      <c r="AE208" s="153"/>
      <c r="AF208" s="153"/>
      <c r="AG208" s="153"/>
      <c r="AH208" s="153"/>
      <c r="AI208" s="153"/>
      <c r="AJ208" s="153"/>
      <c r="AK208" s="153"/>
      <c r="AL208" s="153"/>
      <c r="AM208" s="153"/>
      <c r="AN208" s="153"/>
      <c r="AO208" s="153"/>
      <c r="AP208" s="153"/>
      <c r="AQ208" s="153"/>
      <c r="AR208" s="153"/>
      <c r="AS208" s="153"/>
      <c r="AT208" s="153"/>
      <c r="AU208" s="153"/>
      <c r="AV208" s="153"/>
      <c r="AW208" s="153"/>
      <c r="AX208" s="153"/>
      <c r="AY208" s="153"/>
      <c r="AZ208" s="153"/>
      <c r="BA208" s="153"/>
      <c r="BB208" s="153"/>
      <c r="BC208" s="153"/>
      <c r="BD208" s="153"/>
      <c r="BE208" s="153"/>
      <c r="BF208" s="153"/>
      <c r="BG208" s="153"/>
      <c r="BH208" s="153"/>
      <c r="BI208" s="153"/>
      <c r="BJ208" s="153"/>
      <c r="BK208" s="153"/>
      <c r="BL208" s="153"/>
      <c r="BM208" s="153"/>
      <c r="BN208" s="153"/>
      <c r="BO208" s="153"/>
      <c r="BP208" s="153"/>
      <c r="BQ208" s="153"/>
      <c r="BR208" s="153"/>
      <c r="BS208" s="153"/>
      <c r="BT208" s="153"/>
      <c r="BU208" s="153"/>
      <c r="BV208" s="153"/>
      <c r="BW208" s="153"/>
      <c r="BX208" s="153"/>
      <c r="BY208" s="153"/>
      <c r="BZ208" s="153"/>
      <c r="CA208" s="153"/>
      <c r="CB208" s="153"/>
      <c r="CC208" s="153"/>
      <c r="CD208" s="153"/>
      <c r="CE208" s="153"/>
      <c r="CF208" s="153"/>
      <c r="CG208" s="153"/>
      <c r="CH208" s="153"/>
      <c r="CI208" s="153"/>
      <c r="CJ208" s="153"/>
      <c r="CK208" s="153"/>
      <c r="CL208" s="153"/>
      <c r="CM208" s="153"/>
      <c r="CN208" s="153"/>
      <c r="CO208" s="153"/>
    </row>
    <row r="209" spans="1:93" x14ac:dyDescent="0.25">
      <c r="A209" s="9"/>
      <c r="B209" s="103" t="s">
        <v>229</v>
      </c>
      <c r="C209" s="101"/>
      <c r="D209" s="97"/>
      <c r="E209" s="72">
        <f>SUM(E206:E208)</f>
        <v>22250</v>
      </c>
      <c r="F209" s="103"/>
      <c r="G209" s="101"/>
      <c r="H209" s="9">
        <f>SUM(H206:H208)</f>
        <v>12500.1</v>
      </c>
      <c r="K209">
        <v>895</v>
      </c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  <c r="AC209" s="153"/>
      <c r="AD209" s="153"/>
      <c r="AE209" s="153"/>
      <c r="AF209" s="153"/>
      <c r="AG209" s="153"/>
      <c r="AH209" s="153"/>
      <c r="AI209" s="153"/>
      <c r="AJ209" s="153"/>
      <c r="AK209" s="153"/>
      <c r="AL209" s="153"/>
      <c r="AM209" s="153"/>
      <c r="AN209" s="153"/>
      <c r="AO209" s="153"/>
      <c r="AP209" s="153"/>
      <c r="AQ209" s="153"/>
      <c r="AR209" s="153"/>
      <c r="AS209" s="153"/>
      <c r="AT209" s="153"/>
      <c r="AU209" s="153"/>
      <c r="AV209" s="153"/>
      <c r="AW209" s="153"/>
      <c r="AX209" s="153"/>
      <c r="AY209" s="153"/>
      <c r="AZ209" s="153"/>
      <c r="BA209" s="153"/>
      <c r="BB209" s="153"/>
      <c r="BC209" s="153"/>
      <c r="BD209" s="153"/>
      <c r="BE209" s="153"/>
      <c r="BF209" s="153"/>
      <c r="BG209" s="153"/>
      <c r="BH209" s="153"/>
      <c r="BI209" s="153"/>
      <c r="BJ209" s="153"/>
      <c r="BK209" s="153"/>
      <c r="BL209" s="153"/>
      <c r="BM209" s="153"/>
      <c r="BN209" s="153"/>
      <c r="BO209" s="153"/>
      <c r="BP209" s="153"/>
      <c r="BQ209" s="153"/>
      <c r="BR209" s="153"/>
      <c r="BS209" s="153"/>
      <c r="BT209" s="153"/>
      <c r="BU209" s="153"/>
      <c r="BV209" s="153"/>
      <c r="BW209" s="153"/>
      <c r="BX209" s="153"/>
      <c r="BY209" s="153"/>
      <c r="BZ209" s="153"/>
      <c r="CA209" s="153"/>
      <c r="CB209" s="153"/>
      <c r="CC209" s="153"/>
      <c r="CD209" s="153"/>
      <c r="CE209" s="153"/>
      <c r="CF209" s="153"/>
      <c r="CG209" s="153"/>
      <c r="CH209" s="153"/>
      <c r="CI209" s="153"/>
      <c r="CJ209" s="153"/>
      <c r="CK209" s="153"/>
      <c r="CL209" s="153"/>
      <c r="CM209" s="153"/>
      <c r="CN209" s="153"/>
      <c r="CO209" s="153"/>
    </row>
    <row r="210" spans="1:93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K210" s="72">
        <f>SUM(K208:K209)</f>
        <v>9845</v>
      </c>
      <c r="L210" s="153"/>
      <c r="M210" s="153"/>
      <c r="N210" s="640" t="s">
        <v>453</v>
      </c>
      <c r="O210" s="640"/>
      <c r="P210" s="640"/>
      <c r="Q210" s="640"/>
      <c r="R210" s="640"/>
      <c r="S210" s="640"/>
      <c r="T210" s="640"/>
      <c r="U210" s="640"/>
      <c r="V210" s="640"/>
      <c r="W210" s="640"/>
      <c r="X210" s="640"/>
      <c r="Y210" s="640"/>
      <c r="Z210" s="640"/>
      <c r="AA210" s="153"/>
      <c r="AB210" s="641" t="s">
        <v>313</v>
      </c>
      <c r="AC210" s="641"/>
      <c r="AD210" s="641"/>
      <c r="AE210" s="641"/>
      <c r="AF210" s="641"/>
      <c r="AG210" s="641"/>
      <c r="AH210" s="641"/>
      <c r="AI210" s="153"/>
      <c r="AJ210" s="153"/>
      <c r="AK210" s="153"/>
      <c r="AL210" s="153"/>
      <c r="AM210" s="153"/>
      <c r="AN210" s="153"/>
      <c r="AO210" s="153"/>
      <c r="AP210" s="642">
        <v>2000</v>
      </c>
      <c r="AQ210" s="642"/>
      <c r="AR210" s="642"/>
      <c r="AS210" s="642"/>
      <c r="AT210" s="153"/>
      <c r="AU210" s="643">
        <v>0</v>
      </c>
      <c r="AV210" s="643"/>
      <c r="AW210" s="643"/>
      <c r="AX210" s="643"/>
      <c r="AY210" s="153"/>
      <c r="AZ210" s="642">
        <v>0</v>
      </c>
      <c r="BA210" s="642"/>
      <c r="BB210" s="642"/>
      <c r="BC210" s="642"/>
      <c r="BD210" s="153"/>
      <c r="BE210" s="644">
        <v>2000</v>
      </c>
      <c r="BF210" s="644"/>
      <c r="BG210" s="153"/>
      <c r="BH210" s="153"/>
      <c r="BI210" s="153"/>
      <c r="BJ210" s="153"/>
      <c r="BK210" s="153"/>
      <c r="BL210" s="153"/>
      <c r="BM210" s="153"/>
      <c r="BN210" s="153"/>
      <c r="BO210" s="153"/>
      <c r="BP210" s="153"/>
      <c r="BQ210" s="153"/>
      <c r="BR210" s="153"/>
      <c r="BS210" s="153"/>
      <c r="BT210" s="153"/>
      <c r="BU210" s="153"/>
      <c r="BV210" s="153"/>
      <c r="BW210" s="153"/>
      <c r="BX210" s="153"/>
      <c r="BY210" s="153"/>
      <c r="BZ210" s="153"/>
      <c r="CA210" s="153"/>
      <c r="CB210" s="153"/>
      <c r="CC210" s="153"/>
      <c r="CD210" s="153"/>
      <c r="CE210" s="153"/>
      <c r="CF210" s="153"/>
      <c r="CG210" s="153"/>
      <c r="CH210" s="153"/>
      <c r="CI210" s="153"/>
      <c r="CJ210" s="643">
        <v>2000</v>
      </c>
      <c r="CK210" s="643"/>
      <c r="CL210" s="153"/>
      <c r="CM210" s="153"/>
      <c r="CN210" s="153"/>
      <c r="CO210" s="153"/>
    </row>
    <row r="211" spans="1:93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  <c r="AC211" s="153"/>
      <c r="AD211" s="153"/>
      <c r="AE211" s="153"/>
      <c r="AF211" s="153"/>
      <c r="AG211" s="153"/>
      <c r="AH211" s="153"/>
      <c r="AI211" s="153"/>
      <c r="AJ211" s="153"/>
      <c r="AK211" s="153"/>
      <c r="AL211" s="153"/>
      <c r="AM211" s="153"/>
      <c r="AN211" s="153"/>
      <c r="AO211" s="153"/>
      <c r="AP211" s="153"/>
      <c r="AQ211" s="153"/>
      <c r="AR211" s="153"/>
      <c r="AS211" s="153"/>
      <c r="AT211" s="153"/>
      <c r="AU211" s="153"/>
      <c r="AV211" s="153"/>
      <c r="AW211" s="153"/>
      <c r="AX211" s="153"/>
      <c r="AY211" s="153"/>
      <c r="AZ211" s="153"/>
      <c r="BA211" s="153"/>
      <c r="BB211" s="153"/>
      <c r="BC211" s="153"/>
      <c r="BD211" s="153"/>
      <c r="BE211" s="153"/>
      <c r="BF211" s="153"/>
      <c r="BG211" s="153"/>
      <c r="BH211" s="153"/>
      <c r="BI211" s="153"/>
      <c r="BJ211" s="153"/>
      <c r="BK211" s="153"/>
      <c r="BL211" s="153"/>
      <c r="BM211" s="153"/>
      <c r="BN211" s="153"/>
      <c r="BO211" s="153"/>
      <c r="BP211" s="153"/>
      <c r="BQ211" s="153"/>
      <c r="BR211" s="153"/>
      <c r="BS211" s="153"/>
      <c r="BT211" s="153"/>
      <c r="BU211" s="153"/>
      <c r="BV211" s="153"/>
      <c r="BW211" s="153"/>
      <c r="BX211" s="153"/>
      <c r="BY211" s="153"/>
      <c r="BZ211" s="153"/>
      <c r="CA211" s="153"/>
      <c r="CB211" s="153"/>
      <c r="CC211" s="153"/>
      <c r="CD211" s="153"/>
      <c r="CE211" s="153"/>
      <c r="CF211" s="153"/>
      <c r="CG211" s="153"/>
      <c r="CH211" s="153"/>
      <c r="CI211" s="153"/>
      <c r="CJ211" s="153"/>
      <c r="CK211" s="153"/>
      <c r="CL211" s="153"/>
      <c r="CM211" s="153"/>
      <c r="CN211" s="153"/>
      <c r="CO211" s="153"/>
    </row>
    <row r="212" spans="1:93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1250</v>
      </c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  <c r="AC212" s="153"/>
      <c r="AD212" s="153"/>
      <c r="AE212" s="153"/>
      <c r="AF212" s="153"/>
      <c r="AG212" s="153"/>
      <c r="AH212" s="153"/>
      <c r="AI212" s="153"/>
      <c r="AJ212" s="153"/>
      <c r="AK212" s="153"/>
      <c r="AL212" s="153"/>
      <c r="AM212" s="153"/>
      <c r="AN212" s="153"/>
      <c r="AO212" s="153"/>
      <c r="AP212" s="153"/>
      <c r="AQ212" s="153"/>
      <c r="AR212" s="153"/>
      <c r="AS212" s="153"/>
      <c r="AT212" s="153"/>
      <c r="AU212" s="153"/>
      <c r="AV212" s="153"/>
      <c r="AW212" s="153"/>
      <c r="AX212" s="153"/>
      <c r="AY212" s="153"/>
      <c r="AZ212" s="153"/>
      <c r="BA212" s="153"/>
      <c r="BB212" s="153"/>
      <c r="BC212" s="153"/>
      <c r="BD212" s="153"/>
      <c r="BE212" s="153"/>
      <c r="BF212" s="153"/>
      <c r="BG212" s="153"/>
      <c r="BH212" s="153"/>
      <c r="BI212" s="153"/>
      <c r="BJ212" s="153"/>
      <c r="BK212" s="153"/>
      <c r="BL212" s="153"/>
      <c r="BM212" s="153"/>
      <c r="BN212" s="153"/>
      <c r="BO212" s="153"/>
      <c r="BP212" s="153"/>
      <c r="BQ212" s="153"/>
      <c r="BR212" s="153"/>
      <c r="BS212" s="153"/>
      <c r="BT212" s="153"/>
      <c r="BU212" s="153"/>
      <c r="BV212" s="153"/>
      <c r="BW212" s="153"/>
      <c r="BX212" s="153"/>
      <c r="BY212" s="153"/>
      <c r="BZ212" s="153"/>
      <c r="CA212" s="153"/>
      <c r="CB212" s="153"/>
      <c r="CC212" s="153"/>
      <c r="CD212" s="153"/>
      <c r="CE212" s="153"/>
      <c r="CF212" s="153"/>
      <c r="CG212" s="153"/>
      <c r="CH212" s="153"/>
      <c r="CI212" s="153"/>
      <c r="CJ212" s="153"/>
      <c r="CK212" s="153"/>
      <c r="CL212" s="153"/>
      <c r="CM212" s="153"/>
      <c r="CN212" s="153"/>
      <c r="CO212" s="153"/>
    </row>
    <row r="213" spans="1:93" x14ac:dyDescent="0.25">
      <c r="A213" s="9"/>
      <c r="B213" s="136">
        <v>43078</v>
      </c>
      <c r="D213" s="17"/>
      <c r="E213" s="34">
        <v>4950</v>
      </c>
      <c r="F213" s="136">
        <v>43078</v>
      </c>
      <c r="G213" s="17"/>
      <c r="H213" s="34">
        <v>4950</v>
      </c>
      <c r="L213" s="153"/>
      <c r="M213" s="153"/>
      <c r="N213" s="640" t="s">
        <v>454</v>
      </c>
      <c r="O213" s="640"/>
      <c r="P213" s="640"/>
      <c r="Q213" s="640"/>
      <c r="R213" s="640"/>
      <c r="S213" s="640"/>
      <c r="T213" s="640"/>
      <c r="U213" s="640"/>
      <c r="V213" s="640"/>
      <c r="W213" s="640"/>
      <c r="X213" s="640"/>
      <c r="Y213" s="640"/>
      <c r="Z213" s="640"/>
      <c r="AA213" s="153"/>
      <c r="AB213" s="641" t="s">
        <v>313</v>
      </c>
      <c r="AC213" s="641"/>
      <c r="AD213" s="641"/>
      <c r="AE213" s="641"/>
      <c r="AF213" s="641"/>
      <c r="AG213" s="641"/>
      <c r="AH213" s="641"/>
      <c r="AI213" s="153"/>
      <c r="AJ213" s="153"/>
      <c r="AK213" s="153"/>
      <c r="AL213" s="153"/>
      <c r="AM213" s="153"/>
      <c r="AN213" s="153"/>
      <c r="AO213" s="153"/>
      <c r="AP213" s="642">
        <v>2000</v>
      </c>
      <c r="AQ213" s="642"/>
      <c r="AR213" s="642"/>
      <c r="AS213" s="642"/>
      <c r="AT213" s="153"/>
      <c r="AU213" s="643">
        <v>0</v>
      </c>
      <c r="AV213" s="643"/>
      <c r="AW213" s="643"/>
      <c r="AX213" s="643"/>
      <c r="AY213" s="153"/>
      <c r="AZ213" s="642">
        <v>0</v>
      </c>
      <c r="BA213" s="642"/>
      <c r="BB213" s="642"/>
      <c r="BC213" s="642"/>
      <c r="BD213" s="153"/>
      <c r="BE213" s="644">
        <v>2000</v>
      </c>
      <c r="BF213" s="644"/>
      <c r="BG213" s="153"/>
      <c r="BH213" s="153"/>
      <c r="BI213" s="153"/>
      <c r="BJ213" s="153"/>
      <c r="BK213" s="153"/>
      <c r="BL213" s="153"/>
      <c r="BM213" s="153"/>
      <c r="BN213" s="153"/>
      <c r="BO213" s="153"/>
      <c r="BP213" s="153"/>
      <c r="BQ213" s="153"/>
      <c r="BR213" s="153"/>
      <c r="BS213" s="153"/>
      <c r="BT213" s="153"/>
      <c r="BU213" s="153"/>
      <c r="BV213" s="153"/>
      <c r="BW213" s="153"/>
      <c r="BX213" s="153"/>
      <c r="BY213" s="153"/>
      <c r="BZ213" s="153"/>
      <c r="CA213" s="153"/>
      <c r="CB213" s="153"/>
      <c r="CC213" s="153"/>
      <c r="CD213" s="153"/>
      <c r="CE213" s="153"/>
      <c r="CF213" s="153"/>
      <c r="CG213" s="153"/>
      <c r="CH213" s="153"/>
      <c r="CI213" s="153"/>
      <c r="CJ213" s="643">
        <v>2000</v>
      </c>
      <c r="CK213" s="643"/>
      <c r="CL213" s="153"/>
      <c r="CM213" s="153"/>
      <c r="CN213" s="153"/>
      <c r="CO213" s="153"/>
    </row>
    <row r="214" spans="1:93" x14ac:dyDescent="0.25">
      <c r="A214" s="9"/>
      <c r="B214" s="9" t="s">
        <v>395</v>
      </c>
      <c r="D214" s="9"/>
      <c r="E214" s="147">
        <v>4000</v>
      </c>
      <c r="F214" s="9" t="s">
        <v>395</v>
      </c>
      <c r="G214" s="9"/>
      <c r="H214" s="147">
        <v>4000</v>
      </c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153"/>
      <c r="AO214" s="153"/>
      <c r="AP214" s="153"/>
      <c r="AQ214" s="153"/>
      <c r="AR214" s="153"/>
      <c r="AS214" s="153"/>
      <c r="AT214" s="153"/>
      <c r="AU214" s="153"/>
      <c r="AV214" s="153"/>
      <c r="AW214" s="153"/>
      <c r="AX214" s="153"/>
      <c r="AY214" s="153"/>
      <c r="AZ214" s="153"/>
      <c r="BA214" s="153"/>
      <c r="BB214" s="153"/>
      <c r="BC214" s="153"/>
      <c r="BD214" s="153"/>
      <c r="BE214" s="153"/>
      <c r="BF214" s="153"/>
      <c r="BG214" s="153"/>
      <c r="BH214" s="153"/>
      <c r="BI214" s="153"/>
      <c r="BJ214" s="153"/>
      <c r="BK214" s="153"/>
      <c r="BL214" s="153"/>
      <c r="BM214" s="153"/>
      <c r="BN214" s="153"/>
      <c r="BO214" s="153"/>
      <c r="BP214" s="153"/>
      <c r="BQ214" s="153"/>
      <c r="BR214" s="153"/>
      <c r="BS214" s="153"/>
      <c r="BT214" s="153"/>
      <c r="BU214" s="153"/>
      <c r="BV214" s="153"/>
      <c r="BW214" s="153"/>
      <c r="BX214" s="153"/>
      <c r="BY214" s="153"/>
      <c r="BZ214" s="153"/>
      <c r="CA214" s="153"/>
      <c r="CB214" s="153"/>
      <c r="CC214" s="153"/>
      <c r="CD214" s="153"/>
      <c r="CE214" s="153"/>
      <c r="CF214" s="153"/>
      <c r="CG214" s="153"/>
      <c r="CH214" s="153"/>
      <c r="CI214" s="153"/>
      <c r="CJ214" s="153"/>
      <c r="CK214" s="153"/>
      <c r="CL214" s="153"/>
      <c r="CM214" s="153"/>
      <c r="CN214" s="153"/>
      <c r="CO214" s="153"/>
    </row>
    <row r="215" spans="1:93" x14ac:dyDescent="0.25">
      <c r="A215" s="9"/>
      <c r="B215" s="9" t="s">
        <v>72</v>
      </c>
      <c r="D215" s="9"/>
      <c r="E215" s="72">
        <v>9000</v>
      </c>
      <c r="F215" s="9" t="s">
        <v>72</v>
      </c>
      <c r="G215" s="9"/>
      <c r="H215" s="72">
        <f>G195+G197+G200+G201</f>
        <v>9000</v>
      </c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  <c r="AC215" s="153"/>
      <c r="AD215" s="153"/>
      <c r="AE215" s="153"/>
      <c r="AF215" s="153"/>
      <c r="AG215" s="153"/>
      <c r="AH215" s="153"/>
      <c r="AI215" s="153"/>
      <c r="AJ215" s="153"/>
      <c r="AK215" s="153"/>
      <c r="AL215" s="153"/>
      <c r="AM215" s="153"/>
      <c r="AN215" s="153"/>
      <c r="AO215" s="153"/>
      <c r="AP215" s="153"/>
      <c r="AQ215" s="153"/>
      <c r="AR215" s="153"/>
      <c r="AS215" s="153"/>
      <c r="AT215" s="153"/>
      <c r="AU215" s="153"/>
      <c r="AV215" s="153"/>
      <c r="AW215" s="153"/>
      <c r="AX215" s="153"/>
      <c r="AY215" s="153"/>
      <c r="AZ215" s="153"/>
      <c r="BA215" s="153"/>
      <c r="BB215" s="153"/>
      <c r="BC215" s="153"/>
      <c r="BD215" s="153"/>
      <c r="BE215" s="153"/>
      <c r="BF215" s="153"/>
      <c r="BG215" s="153"/>
      <c r="BH215" s="153"/>
      <c r="BI215" s="153"/>
      <c r="BJ215" s="153"/>
      <c r="BK215" s="153"/>
      <c r="BL215" s="153"/>
      <c r="BM215" s="153"/>
      <c r="BN215" s="153"/>
      <c r="BO215" s="153"/>
      <c r="BP215" s="153"/>
      <c r="BQ215" s="153"/>
      <c r="BR215" s="153"/>
      <c r="BS215" s="153"/>
      <c r="BT215" s="153"/>
      <c r="BU215" s="153"/>
      <c r="BV215" s="153"/>
      <c r="BW215" s="153"/>
      <c r="BX215" s="153"/>
      <c r="BY215" s="153"/>
      <c r="BZ215" s="153"/>
      <c r="CA215" s="153"/>
      <c r="CB215" s="153"/>
      <c r="CC215" s="153"/>
      <c r="CD215" s="153"/>
      <c r="CE215" s="153"/>
      <c r="CF215" s="153"/>
      <c r="CG215" s="153"/>
      <c r="CH215" s="153"/>
      <c r="CI215" s="153"/>
      <c r="CJ215" s="153"/>
      <c r="CK215" s="153"/>
      <c r="CL215" s="153"/>
      <c r="CM215" s="153"/>
      <c r="CN215" s="153"/>
      <c r="CO215" s="153"/>
    </row>
    <row r="216" spans="1:93" x14ac:dyDescent="0.25">
      <c r="A216" s="9"/>
      <c r="B216" s="36" t="s">
        <v>2</v>
      </c>
      <c r="C216" s="9"/>
      <c r="D216" s="9"/>
      <c r="E216" s="72">
        <f>SUM(E212:E215)</f>
        <v>19750</v>
      </c>
      <c r="F216" s="36" t="s">
        <v>2</v>
      </c>
      <c r="G216" s="9"/>
      <c r="H216" s="72">
        <f>SUM(H212:H215)</f>
        <v>19200</v>
      </c>
      <c r="I216" s="72">
        <f>H213+H214+H215</f>
        <v>17950</v>
      </c>
      <c r="L216" s="153"/>
      <c r="M216" s="153"/>
      <c r="N216" s="640" t="s">
        <v>455</v>
      </c>
      <c r="O216" s="640"/>
      <c r="P216" s="640"/>
      <c r="Q216" s="640"/>
      <c r="R216" s="640"/>
      <c r="S216" s="640"/>
      <c r="T216" s="640"/>
      <c r="U216" s="640"/>
      <c r="V216" s="640"/>
      <c r="W216" s="640"/>
      <c r="X216" s="640"/>
      <c r="Y216" s="640"/>
      <c r="Z216" s="640"/>
      <c r="AA216" s="153"/>
      <c r="AB216" s="641" t="s">
        <v>256</v>
      </c>
      <c r="AC216" s="641"/>
      <c r="AD216" s="641"/>
      <c r="AE216" s="641"/>
      <c r="AF216" s="641"/>
      <c r="AG216" s="641"/>
      <c r="AH216" s="641"/>
      <c r="AI216" s="153"/>
      <c r="AJ216" s="153"/>
      <c r="AK216" s="640" t="s">
        <v>456</v>
      </c>
      <c r="AL216" s="640"/>
      <c r="AM216" s="640"/>
      <c r="AN216" s="640"/>
      <c r="AO216" s="153"/>
      <c r="AP216" s="642">
        <v>2000</v>
      </c>
      <c r="AQ216" s="642"/>
      <c r="AR216" s="642"/>
      <c r="AS216" s="642"/>
      <c r="AT216" s="153"/>
      <c r="AU216" s="643">
        <v>0</v>
      </c>
      <c r="AV216" s="643"/>
      <c r="AW216" s="643"/>
      <c r="AX216" s="643"/>
      <c r="AY216" s="153"/>
      <c r="AZ216" s="642">
        <v>0</v>
      </c>
      <c r="BA216" s="642"/>
      <c r="BB216" s="642"/>
      <c r="BC216" s="642"/>
      <c r="BD216" s="153"/>
      <c r="BE216" s="644">
        <v>2000</v>
      </c>
      <c r="BF216" s="644"/>
      <c r="BG216" s="153"/>
      <c r="BH216" s="153"/>
      <c r="BI216" s="153"/>
      <c r="BJ216" s="640" t="s">
        <v>457</v>
      </c>
      <c r="BK216" s="640"/>
      <c r="BL216" s="640"/>
      <c r="BM216" s="640"/>
      <c r="BN216" s="153"/>
      <c r="BO216" s="645">
        <v>42992</v>
      </c>
      <c r="BP216" s="645"/>
      <c r="BQ216" s="645"/>
      <c r="BR216" s="645"/>
      <c r="BS216" s="153"/>
      <c r="BT216" s="643">
        <v>2000</v>
      </c>
      <c r="BU216" s="643"/>
      <c r="BV216" s="643"/>
      <c r="BW216" s="153"/>
      <c r="BX216" s="153"/>
      <c r="BY216" s="643">
        <v>0</v>
      </c>
      <c r="BZ216" s="643"/>
      <c r="CA216" s="643"/>
      <c r="CB216" s="643"/>
      <c r="CC216" s="153"/>
      <c r="CD216" s="153"/>
      <c r="CE216" s="644">
        <v>2000</v>
      </c>
      <c r="CF216" s="644"/>
      <c r="CG216" s="644"/>
      <c r="CH216" s="153"/>
      <c r="CI216" s="153"/>
      <c r="CJ216" s="643">
        <v>0</v>
      </c>
      <c r="CK216" s="643"/>
      <c r="CL216" s="153"/>
      <c r="CM216" s="153"/>
      <c r="CN216" s="153"/>
      <c r="CO216" s="153"/>
    </row>
    <row r="217" spans="1:93" x14ac:dyDescent="0.25">
      <c r="A217" s="9"/>
      <c r="B217" s="36" t="s">
        <v>355</v>
      </c>
      <c r="C217" s="9"/>
      <c r="D217" s="9"/>
      <c r="E217" s="72">
        <f>E209-E216</f>
        <v>2500</v>
      </c>
      <c r="F217" s="36" t="s">
        <v>355</v>
      </c>
      <c r="G217" s="9"/>
      <c r="H217" s="72">
        <f>H209-H216</f>
        <v>-6699.9</v>
      </c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  <c r="AC217" s="153"/>
      <c r="AD217" s="153"/>
      <c r="AE217" s="153"/>
      <c r="AF217" s="153"/>
      <c r="AG217" s="153"/>
      <c r="AH217" s="153"/>
      <c r="AI217" s="153"/>
      <c r="AJ217" s="153"/>
      <c r="AK217" s="153"/>
      <c r="AL217" s="153"/>
      <c r="AM217" s="153"/>
      <c r="AN217" s="153"/>
      <c r="AO217" s="153"/>
      <c r="AP217" s="153"/>
      <c r="AQ217" s="153"/>
      <c r="AR217" s="153"/>
      <c r="AS217" s="153"/>
      <c r="AT217" s="153"/>
      <c r="AU217" s="153"/>
      <c r="AV217" s="153"/>
      <c r="AW217" s="153"/>
      <c r="AX217" s="153"/>
      <c r="AY217" s="153"/>
      <c r="AZ217" s="153"/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640" t="s">
        <v>458</v>
      </c>
      <c r="BK217" s="640"/>
      <c r="BL217" s="640"/>
      <c r="BM217" s="640"/>
      <c r="BN217" s="153"/>
      <c r="BO217" s="645">
        <v>43001</v>
      </c>
      <c r="BP217" s="645"/>
      <c r="BQ217" s="645"/>
      <c r="BR217" s="645"/>
      <c r="BS217" s="153"/>
      <c r="BT217" s="643">
        <v>2000</v>
      </c>
      <c r="BU217" s="643"/>
      <c r="BV217" s="643"/>
      <c r="BW217" s="153"/>
      <c r="BX217" s="643">
        <v>0</v>
      </c>
      <c r="BY217" s="643"/>
      <c r="BZ217" s="643"/>
      <c r="CA217" s="643"/>
      <c r="CB217" s="643"/>
      <c r="CC217" s="153"/>
      <c r="CD217" s="153"/>
      <c r="CE217" s="644">
        <v>2000</v>
      </c>
      <c r="CF217" s="644"/>
      <c r="CG217" s="644"/>
      <c r="CH217" s="153"/>
      <c r="CI217" s="153"/>
      <c r="CJ217" s="643">
        <v>-2000</v>
      </c>
      <c r="CK217" s="643"/>
      <c r="CL217" s="153"/>
      <c r="CM217" s="153"/>
      <c r="CN217" s="153"/>
      <c r="CO217" s="153"/>
    </row>
    <row r="218" spans="1:93" x14ac:dyDescent="0.25">
      <c r="A218" s="9"/>
      <c r="B218" s="9"/>
      <c r="C218" s="9"/>
      <c r="D218" s="9"/>
      <c r="E218" s="9"/>
      <c r="F218" s="9"/>
      <c r="G218" s="9"/>
      <c r="H218" s="9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  <c r="AC218" s="153"/>
      <c r="AD218" s="153"/>
      <c r="AE218" s="153"/>
      <c r="AF218" s="153"/>
      <c r="AG218" s="153"/>
      <c r="AH218" s="153"/>
      <c r="AI218" s="153"/>
      <c r="AJ218" s="153"/>
      <c r="AK218" s="153"/>
      <c r="AL218" s="153"/>
      <c r="AM218" s="153"/>
      <c r="AN218" s="153"/>
      <c r="AO218" s="153"/>
      <c r="AP218" s="153"/>
      <c r="AQ218" s="153"/>
      <c r="AR218" s="153"/>
      <c r="AS218" s="153"/>
      <c r="AT218" s="153"/>
      <c r="AU218" s="153"/>
      <c r="AV218" s="153"/>
      <c r="AW218" s="153"/>
      <c r="AX218" s="153"/>
      <c r="AY218" s="153"/>
      <c r="AZ218" s="153"/>
      <c r="BA218" s="153"/>
      <c r="BB218" s="153"/>
      <c r="BC218" s="153"/>
      <c r="BD218" s="153"/>
      <c r="BE218" s="153"/>
      <c r="BF218" s="153"/>
      <c r="BG218" s="153"/>
      <c r="BH218" s="153"/>
      <c r="BI218" s="153"/>
      <c r="BJ218" s="153"/>
      <c r="BK218" s="153"/>
      <c r="BL218" s="153"/>
      <c r="BM218" s="153"/>
      <c r="BN218" s="153"/>
      <c r="BO218" s="153"/>
      <c r="BP218" s="153"/>
      <c r="BQ218" s="153"/>
      <c r="BR218" s="153"/>
      <c r="BS218" s="153"/>
      <c r="BT218" s="153"/>
      <c r="BU218" s="153"/>
      <c r="BV218" s="153"/>
      <c r="BW218" s="153"/>
      <c r="BX218" s="153"/>
      <c r="BY218" s="153"/>
      <c r="BZ218" s="153"/>
      <c r="CA218" s="153"/>
      <c r="CB218" s="153"/>
      <c r="CC218" s="153"/>
      <c r="CD218" s="153"/>
      <c r="CE218" s="153"/>
      <c r="CF218" s="153"/>
      <c r="CG218" s="153"/>
      <c r="CH218" s="153"/>
      <c r="CI218" s="153"/>
      <c r="CJ218" s="153"/>
      <c r="CK218" s="153"/>
      <c r="CL218" s="153"/>
      <c r="CM218" s="153"/>
      <c r="CN218" s="153"/>
      <c r="CO218" s="153"/>
    </row>
    <row r="219" spans="1:93" x14ac:dyDescent="0.25"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  <c r="AC219" s="153"/>
      <c r="AD219" s="153"/>
      <c r="AE219" s="153"/>
      <c r="AF219" s="153"/>
      <c r="AG219" s="153"/>
      <c r="AH219" s="153"/>
      <c r="AI219" s="153"/>
      <c r="AJ219" s="153"/>
      <c r="AK219" s="153"/>
      <c r="AL219" s="153"/>
      <c r="AM219" s="153"/>
      <c r="AN219" s="153"/>
      <c r="AO219" s="153"/>
      <c r="AP219" s="153"/>
      <c r="AQ219" s="153"/>
      <c r="AR219" s="153"/>
      <c r="AS219" s="153"/>
      <c r="AT219" s="153"/>
      <c r="AU219" s="153"/>
      <c r="AV219" s="153"/>
      <c r="AW219" s="153"/>
      <c r="AX219" s="153"/>
      <c r="AY219" s="153"/>
      <c r="AZ219" s="153"/>
      <c r="BA219" s="153"/>
      <c r="BB219" s="153"/>
      <c r="BC219" s="153"/>
      <c r="BD219" s="153"/>
      <c r="BE219" s="153"/>
      <c r="BF219" s="153"/>
      <c r="BG219" s="153"/>
      <c r="BH219" s="153"/>
      <c r="BI219" s="153"/>
      <c r="BJ219" s="153"/>
      <c r="BK219" s="153"/>
      <c r="BL219" s="153"/>
      <c r="BM219" s="153"/>
      <c r="BN219" s="153"/>
      <c r="BO219" s="153"/>
      <c r="BP219" s="153"/>
      <c r="BQ219" s="153"/>
      <c r="BR219" s="153"/>
      <c r="BS219" s="153"/>
      <c r="BT219" s="153"/>
      <c r="BU219" s="153"/>
      <c r="BV219" s="153"/>
      <c r="BW219" s="153"/>
      <c r="BX219" s="153"/>
      <c r="BY219" s="153"/>
      <c r="BZ219" s="153"/>
      <c r="CA219" s="153"/>
      <c r="CB219" s="153"/>
      <c r="CC219" s="153"/>
      <c r="CD219" s="153"/>
      <c r="CE219" s="153"/>
      <c r="CF219" s="153"/>
      <c r="CG219" s="153"/>
      <c r="CH219" s="153"/>
      <c r="CI219" s="153"/>
      <c r="CJ219" s="153"/>
      <c r="CK219" s="153"/>
      <c r="CL219" s="153"/>
      <c r="CM219" s="153"/>
      <c r="CN219" s="153"/>
      <c r="CO219" s="153"/>
    </row>
    <row r="220" spans="1:93" x14ac:dyDescent="0.25">
      <c r="L220" s="153"/>
      <c r="M220" s="153"/>
      <c r="N220" s="640" t="s">
        <v>459</v>
      </c>
      <c r="O220" s="640"/>
      <c r="P220" s="640"/>
      <c r="Q220" s="640"/>
      <c r="R220" s="640"/>
      <c r="S220" s="640"/>
      <c r="T220" s="640"/>
      <c r="U220" s="640"/>
      <c r="V220" s="640"/>
      <c r="W220" s="640"/>
      <c r="X220" s="640"/>
      <c r="Y220" s="640"/>
      <c r="Z220" s="640"/>
      <c r="AA220" s="153"/>
      <c r="AB220" s="641" t="s">
        <v>460</v>
      </c>
      <c r="AC220" s="641"/>
      <c r="AD220" s="641"/>
      <c r="AE220" s="641"/>
      <c r="AF220" s="641"/>
      <c r="AG220" s="641"/>
      <c r="AH220" s="641"/>
      <c r="AI220" s="153"/>
      <c r="AJ220" s="153"/>
      <c r="AK220" s="640" t="s">
        <v>461</v>
      </c>
      <c r="AL220" s="640"/>
      <c r="AM220" s="640"/>
      <c r="AN220" s="640"/>
      <c r="AO220" s="153"/>
      <c r="AP220" s="642">
        <v>2000</v>
      </c>
      <c r="AQ220" s="642"/>
      <c r="AR220" s="642"/>
      <c r="AS220" s="642"/>
      <c r="AT220" s="153"/>
      <c r="AU220" s="643">
        <v>0</v>
      </c>
      <c r="AV220" s="643"/>
      <c r="AW220" s="643"/>
      <c r="AX220" s="643"/>
      <c r="AY220" s="153"/>
      <c r="AZ220" s="642">
        <v>0</v>
      </c>
      <c r="BA220" s="642"/>
      <c r="BB220" s="642"/>
      <c r="BC220" s="642"/>
      <c r="BD220" s="153"/>
      <c r="BE220" s="644">
        <v>2000</v>
      </c>
      <c r="BF220" s="644"/>
      <c r="BG220" s="153"/>
      <c r="BH220" s="153"/>
      <c r="BI220" s="153"/>
      <c r="BJ220" s="640" t="s">
        <v>462</v>
      </c>
      <c r="BK220" s="640"/>
      <c r="BL220" s="640"/>
      <c r="BM220" s="640"/>
      <c r="BN220" s="153"/>
      <c r="BO220" s="645">
        <v>43001</v>
      </c>
      <c r="BP220" s="645"/>
      <c r="BQ220" s="645"/>
      <c r="BR220" s="645"/>
      <c r="BS220" s="153"/>
      <c r="BT220" s="643">
        <v>2000</v>
      </c>
      <c r="BU220" s="643"/>
      <c r="BV220" s="643"/>
      <c r="BW220" s="153"/>
      <c r="BX220" s="643">
        <v>0</v>
      </c>
      <c r="BY220" s="643"/>
      <c r="BZ220" s="643"/>
      <c r="CA220" s="643"/>
      <c r="CB220" s="643"/>
      <c r="CC220" s="153"/>
      <c r="CD220" s="153"/>
      <c r="CE220" s="644">
        <v>2000</v>
      </c>
      <c r="CF220" s="644"/>
      <c r="CG220" s="644"/>
      <c r="CH220" s="153"/>
      <c r="CI220" s="153"/>
      <c r="CJ220" s="643">
        <v>0</v>
      </c>
      <c r="CK220" s="643"/>
      <c r="CL220" s="153"/>
      <c r="CM220" s="153"/>
      <c r="CN220" s="153"/>
      <c r="CO220" s="153"/>
    </row>
    <row r="221" spans="1:93" x14ac:dyDescent="0.25"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  <c r="AC221" s="153"/>
      <c r="AD221" s="153"/>
      <c r="AE221" s="153"/>
      <c r="AF221" s="153"/>
      <c r="AG221" s="153"/>
      <c r="AH221" s="153"/>
      <c r="AI221" s="153"/>
      <c r="AJ221" s="153"/>
      <c r="AK221" s="153"/>
      <c r="AL221" s="153"/>
      <c r="AM221" s="153"/>
      <c r="AN221" s="153"/>
      <c r="AO221" s="153"/>
      <c r="AP221" s="153"/>
      <c r="AQ221" s="153"/>
      <c r="AR221" s="153"/>
      <c r="AS221" s="153"/>
      <c r="AT221" s="153"/>
      <c r="AU221" s="153"/>
      <c r="AV221" s="153"/>
      <c r="AW221" s="153"/>
      <c r="AX221" s="153"/>
      <c r="AY221" s="153"/>
      <c r="AZ221" s="153"/>
      <c r="BA221" s="153"/>
      <c r="BB221" s="153"/>
      <c r="BC221" s="153"/>
      <c r="BD221" s="153"/>
      <c r="BE221" s="153"/>
      <c r="BF221" s="153"/>
      <c r="BG221" s="153"/>
      <c r="BH221" s="153"/>
      <c r="BI221" s="153"/>
      <c r="BJ221" s="153"/>
      <c r="BK221" s="153"/>
      <c r="BL221" s="153"/>
      <c r="BM221" s="153"/>
      <c r="BN221" s="153"/>
      <c r="BO221" s="153"/>
      <c r="BP221" s="153"/>
      <c r="BQ221" s="153"/>
      <c r="BR221" s="153"/>
      <c r="BS221" s="153"/>
      <c r="BT221" s="153"/>
      <c r="BU221" s="153"/>
      <c r="BV221" s="153"/>
      <c r="BW221" s="153"/>
      <c r="BX221" s="153"/>
      <c r="BY221" s="153"/>
      <c r="BZ221" s="153"/>
      <c r="CA221" s="153"/>
      <c r="CB221" s="153"/>
      <c r="CC221" s="153"/>
      <c r="CD221" s="153"/>
      <c r="CE221" s="153"/>
      <c r="CF221" s="153"/>
      <c r="CG221" s="153"/>
      <c r="CH221" s="153"/>
      <c r="CI221" s="153"/>
      <c r="CJ221" s="153"/>
      <c r="CK221" s="153"/>
      <c r="CL221" s="153"/>
      <c r="CM221" s="153"/>
      <c r="CN221" s="153"/>
      <c r="CO221" s="153"/>
    </row>
    <row r="222" spans="1:93" x14ac:dyDescent="0.25"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  <c r="AC222" s="153"/>
      <c r="AD222" s="153"/>
      <c r="AE222" s="153"/>
      <c r="AF222" s="153"/>
      <c r="AG222" s="153"/>
      <c r="AH222" s="153"/>
      <c r="AI222" s="153"/>
      <c r="AJ222" s="153"/>
      <c r="AK222" s="153"/>
      <c r="AL222" s="153"/>
      <c r="AM222" s="153"/>
      <c r="AN222" s="153"/>
      <c r="AO222" s="153"/>
      <c r="AP222" s="153"/>
      <c r="AQ222" s="153"/>
      <c r="AR222" s="153"/>
      <c r="AS222" s="153"/>
      <c r="AT222" s="153"/>
      <c r="AU222" s="153"/>
      <c r="AV222" s="153"/>
      <c r="AW222" s="153"/>
      <c r="AX222" s="153"/>
      <c r="AY222" s="153"/>
      <c r="AZ222" s="153"/>
      <c r="BA222" s="153"/>
      <c r="BB222" s="153"/>
      <c r="BC222" s="153"/>
      <c r="BD222" s="153"/>
      <c r="BE222" s="153"/>
      <c r="BF222" s="153"/>
      <c r="BG222" s="153"/>
      <c r="BH222" s="153"/>
      <c r="BI222" s="153"/>
      <c r="BJ222" s="153"/>
      <c r="BK222" s="153"/>
      <c r="BL222" s="153"/>
      <c r="BM222" s="153"/>
      <c r="BN222" s="153"/>
      <c r="BO222" s="153"/>
      <c r="BP222" s="153"/>
      <c r="BQ222" s="153"/>
      <c r="BR222" s="153"/>
      <c r="BS222" s="153"/>
      <c r="BT222" s="153"/>
      <c r="BU222" s="153"/>
      <c r="BV222" s="153"/>
      <c r="BW222" s="153"/>
      <c r="BX222" s="153"/>
      <c r="BY222" s="153"/>
      <c r="BZ222" s="153"/>
      <c r="CA222" s="153"/>
      <c r="CB222" s="153"/>
      <c r="CC222" s="153"/>
      <c r="CD222" s="153"/>
      <c r="CE222" s="153"/>
      <c r="CF222" s="153"/>
      <c r="CG222" s="153"/>
      <c r="CH222" s="153"/>
      <c r="CI222" s="153"/>
      <c r="CJ222" s="153"/>
      <c r="CK222" s="153"/>
      <c r="CL222" s="153"/>
      <c r="CM222" s="153"/>
      <c r="CN222" s="153"/>
      <c r="CO222" s="153"/>
    </row>
    <row r="223" spans="1:93" x14ac:dyDescent="0.25">
      <c r="L223" s="153"/>
      <c r="M223" s="153"/>
      <c r="N223" s="640" t="s">
        <v>463</v>
      </c>
      <c r="O223" s="640"/>
      <c r="P223" s="640"/>
      <c r="Q223" s="640"/>
      <c r="R223" s="640"/>
      <c r="S223" s="640"/>
      <c r="T223" s="640"/>
      <c r="U223" s="640"/>
      <c r="V223" s="640"/>
      <c r="W223" s="640"/>
      <c r="X223" s="640"/>
      <c r="Y223" s="640"/>
      <c r="Z223" s="640"/>
      <c r="AA223" s="153"/>
      <c r="AB223" s="641" t="s">
        <v>464</v>
      </c>
      <c r="AC223" s="641"/>
      <c r="AD223" s="641"/>
      <c r="AE223" s="641"/>
      <c r="AF223" s="641"/>
      <c r="AG223" s="641"/>
      <c r="AH223" s="641"/>
      <c r="AI223" s="153"/>
      <c r="AJ223" s="153"/>
      <c r="AK223" s="640" t="s">
        <v>465</v>
      </c>
      <c r="AL223" s="640"/>
      <c r="AM223" s="640"/>
      <c r="AN223" s="640"/>
      <c r="AO223" s="153"/>
      <c r="AP223" s="642">
        <v>2000</v>
      </c>
      <c r="AQ223" s="642"/>
      <c r="AR223" s="642"/>
      <c r="AS223" s="642"/>
      <c r="AT223" s="153"/>
      <c r="AU223" s="643">
        <v>0</v>
      </c>
      <c r="AV223" s="643"/>
      <c r="AW223" s="643"/>
      <c r="AX223" s="643"/>
      <c r="AY223" s="153"/>
      <c r="AZ223" s="642">
        <v>0</v>
      </c>
      <c r="BA223" s="642"/>
      <c r="BB223" s="642"/>
      <c r="BC223" s="642"/>
      <c r="BD223" s="153"/>
      <c r="BE223" s="644">
        <v>2000</v>
      </c>
      <c r="BF223" s="644"/>
      <c r="BG223" s="153"/>
      <c r="BH223" s="153"/>
      <c r="BI223" s="153"/>
      <c r="BJ223" s="153"/>
      <c r="BK223" s="153"/>
      <c r="BL223" s="153"/>
      <c r="BM223" s="153"/>
      <c r="BN223" s="153"/>
      <c r="BO223" s="153"/>
      <c r="BP223" s="153"/>
      <c r="BQ223" s="153"/>
      <c r="BR223" s="153"/>
      <c r="BS223" s="153"/>
      <c r="BT223" s="153"/>
      <c r="BU223" s="153"/>
      <c r="BV223" s="153"/>
      <c r="BW223" s="153"/>
      <c r="BX223" s="153"/>
      <c r="BY223" s="153"/>
      <c r="BZ223" s="153"/>
      <c r="CA223" s="153"/>
      <c r="CB223" s="153"/>
      <c r="CC223" s="153"/>
      <c r="CD223" s="153"/>
      <c r="CE223" s="153"/>
      <c r="CF223" s="153"/>
      <c r="CG223" s="153"/>
      <c r="CH223" s="153"/>
      <c r="CI223" s="153"/>
      <c r="CJ223" s="643">
        <v>2000</v>
      </c>
      <c r="CK223" s="643"/>
      <c r="CL223" s="153"/>
      <c r="CM223" s="153"/>
      <c r="CN223" s="153"/>
      <c r="CO223" s="153"/>
    </row>
    <row r="224" spans="1:93" x14ac:dyDescent="0.25"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  <c r="AC224" s="153"/>
      <c r="AD224" s="153"/>
      <c r="AE224" s="153"/>
      <c r="AF224" s="153"/>
      <c r="AG224" s="153"/>
      <c r="AH224" s="153"/>
      <c r="AI224" s="153"/>
      <c r="AJ224" s="153"/>
      <c r="AK224" s="153"/>
      <c r="AL224" s="153"/>
      <c r="AM224" s="153"/>
      <c r="AN224" s="153"/>
      <c r="AO224" s="153"/>
      <c r="AP224" s="153"/>
      <c r="AQ224" s="153"/>
      <c r="AR224" s="153"/>
      <c r="AS224" s="153"/>
      <c r="AT224" s="153"/>
      <c r="AU224" s="153"/>
      <c r="AV224" s="153"/>
      <c r="AW224" s="153"/>
      <c r="AX224" s="153"/>
      <c r="AY224" s="153"/>
      <c r="AZ224" s="153"/>
      <c r="BA224" s="153"/>
      <c r="BB224" s="153"/>
      <c r="BC224" s="153"/>
      <c r="BD224" s="153"/>
      <c r="BE224" s="153"/>
      <c r="BF224" s="153"/>
      <c r="BG224" s="153"/>
      <c r="BH224" s="153"/>
      <c r="BI224" s="153"/>
      <c r="BJ224" s="153"/>
      <c r="BK224" s="153"/>
      <c r="BL224" s="153"/>
      <c r="BM224" s="153"/>
      <c r="BN224" s="153"/>
      <c r="BO224" s="153"/>
      <c r="BP224" s="153"/>
      <c r="BQ224" s="153"/>
      <c r="BR224" s="153"/>
      <c r="BS224" s="153"/>
      <c r="BT224" s="153"/>
      <c r="BU224" s="153"/>
      <c r="BV224" s="153"/>
      <c r="BW224" s="153"/>
      <c r="BX224" s="153"/>
      <c r="BY224" s="153"/>
      <c r="BZ224" s="153"/>
      <c r="CA224" s="153"/>
      <c r="CB224" s="153"/>
      <c r="CC224" s="153"/>
      <c r="CD224" s="153"/>
      <c r="CE224" s="153"/>
      <c r="CF224" s="153"/>
      <c r="CG224" s="153"/>
      <c r="CH224" s="153"/>
      <c r="CI224" s="153"/>
      <c r="CJ224" s="153"/>
      <c r="CK224" s="153"/>
      <c r="CL224" s="153"/>
      <c r="CM224" s="153"/>
      <c r="CN224" s="153"/>
      <c r="CO224" s="153"/>
    </row>
    <row r="225" spans="12:93" x14ac:dyDescent="0.25"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  <c r="AC225" s="153"/>
      <c r="AD225" s="153"/>
      <c r="AE225" s="153"/>
      <c r="AF225" s="153"/>
      <c r="AG225" s="153"/>
      <c r="AH225" s="153"/>
      <c r="AI225" s="153"/>
      <c r="AJ225" s="153"/>
      <c r="AK225" s="153"/>
      <c r="AL225" s="153"/>
      <c r="AM225" s="153"/>
      <c r="AN225" s="153"/>
      <c r="AO225" s="153"/>
      <c r="AP225" s="153"/>
      <c r="AQ225" s="153"/>
      <c r="AR225" s="153"/>
      <c r="AS225" s="153"/>
      <c r="AT225" s="153"/>
      <c r="AU225" s="153"/>
      <c r="AV225" s="153"/>
      <c r="AW225" s="153"/>
      <c r="AX225" s="153"/>
      <c r="AY225" s="153"/>
      <c r="AZ225" s="153"/>
      <c r="BA225" s="153"/>
      <c r="BB225" s="153"/>
      <c r="BC225" s="153"/>
      <c r="BD225" s="153"/>
      <c r="BE225" s="153"/>
      <c r="BF225" s="153"/>
      <c r="BG225" s="153"/>
      <c r="BH225" s="153"/>
      <c r="BI225" s="153"/>
      <c r="BJ225" s="153"/>
      <c r="BK225" s="153"/>
      <c r="BL225" s="153"/>
      <c r="BM225" s="153"/>
      <c r="BN225" s="153"/>
      <c r="BO225" s="153"/>
      <c r="BP225" s="153"/>
      <c r="BQ225" s="153"/>
      <c r="BR225" s="153"/>
      <c r="BS225" s="153"/>
      <c r="BT225" s="153"/>
      <c r="BU225" s="153"/>
      <c r="BV225" s="153"/>
      <c r="BW225" s="153"/>
      <c r="BX225" s="153"/>
      <c r="BY225" s="153"/>
      <c r="BZ225" s="153"/>
      <c r="CA225" s="153"/>
      <c r="CB225" s="153"/>
      <c r="CC225" s="153"/>
      <c r="CD225" s="153"/>
      <c r="CE225" s="153"/>
      <c r="CF225" s="153"/>
      <c r="CG225" s="153"/>
      <c r="CH225" s="153"/>
      <c r="CI225" s="153"/>
      <c r="CJ225" s="153"/>
      <c r="CK225" s="153"/>
      <c r="CL225" s="153"/>
      <c r="CM225" s="153"/>
      <c r="CN225" s="153"/>
      <c r="CO225" s="153"/>
    </row>
    <row r="226" spans="12:93" x14ac:dyDescent="0.25">
      <c r="L226" s="153"/>
      <c r="M226" s="153"/>
      <c r="N226" s="640" t="s">
        <v>466</v>
      </c>
      <c r="O226" s="640"/>
      <c r="P226" s="640"/>
      <c r="Q226" s="640"/>
      <c r="R226" s="640"/>
      <c r="S226" s="640"/>
      <c r="T226" s="640"/>
      <c r="U226" s="640"/>
      <c r="V226" s="640"/>
      <c r="W226" s="640"/>
      <c r="X226" s="640"/>
      <c r="Y226" s="640"/>
      <c r="Z226" s="640"/>
      <c r="AA226" s="153"/>
      <c r="AB226" s="641" t="s">
        <v>467</v>
      </c>
      <c r="AC226" s="641"/>
      <c r="AD226" s="641"/>
      <c r="AE226" s="641"/>
      <c r="AF226" s="641"/>
      <c r="AG226" s="641"/>
      <c r="AH226" s="641"/>
      <c r="AI226" s="153"/>
      <c r="AJ226" s="153"/>
      <c r="AK226" s="640" t="s">
        <v>468</v>
      </c>
      <c r="AL226" s="640"/>
      <c r="AM226" s="640"/>
      <c r="AN226" s="640"/>
      <c r="AO226" s="153"/>
      <c r="AP226" s="642">
        <v>2000</v>
      </c>
      <c r="AQ226" s="642"/>
      <c r="AR226" s="642"/>
      <c r="AS226" s="642"/>
      <c r="AT226" s="153"/>
      <c r="AU226" s="643">
        <v>0</v>
      </c>
      <c r="AV226" s="643"/>
      <c r="AW226" s="643"/>
      <c r="AX226" s="643"/>
      <c r="AY226" s="153"/>
      <c r="AZ226" s="642">
        <v>0</v>
      </c>
      <c r="BA226" s="642"/>
      <c r="BB226" s="642"/>
      <c r="BC226" s="642"/>
      <c r="BD226" s="153"/>
      <c r="BE226" s="644">
        <v>2000</v>
      </c>
      <c r="BF226" s="644"/>
      <c r="BG226" s="153"/>
      <c r="BH226" s="153"/>
      <c r="BI226" s="153"/>
      <c r="BJ226" s="640" t="s">
        <v>469</v>
      </c>
      <c r="BK226" s="640"/>
      <c r="BL226" s="640"/>
      <c r="BM226" s="640"/>
      <c r="BN226" s="153"/>
      <c r="BO226" s="645">
        <v>43000</v>
      </c>
      <c r="BP226" s="645"/>
      <c r="BQ226" s="645"/>
      <c r="BR226" s="645"/>
      <c r="BS226" s="153"/>
      <c r="BT226" s="643">
        <v>2000</v>
      </c>
      <c r="BU226" s="643"/>
      <c r="BV226" s="643"/>
      <c r="BW226" s="153"/>
      <c r="BX226" s="643">
        <v>0</v>
      </c>
      <c r="BY226" s="643"/>
      <c r="BZ226" s="643"/>
      <c r="CA226" s="643"/>
      <c r="CB226" s="643"/>
      <c r="CC226" s="153"/>
      <c r="CD226" s="153"/>
      <c r="CE226" s="644">
        <v>2000</v>
      </c>
      <c r="CF226" s="644"/>
      <c r="CG226" s="644"/>
      <c r="CH226" s="153"/>
      <c r="CI226" s="153"/>
      <c r="CJ226" s="643">
        <v>0</v>
      </c>
      <c r="CK226" s="643"/>
      <c r="CL226" s="153"/>
      <c r="CM226" s="153"/>
      <c r="CN226" s="153"/>
      <c r="CO226" s="153"/>
    </row>
    <row r="227" spans="12:93" x14ac:dyDescent="0.25"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  <c r="AC227" s="153"/>
      <c r="AD227" s="153"/>
      <c r="AE227" s="153"/>
      <c r="AF227" s="153"/>
      <c r="AG227" s="153"/>
      <c r="AH227" s="153"/>
      <c r="AI227" s="153"/>
      <c r="AJ227" s="153"/>
      <c r="AK227" s="153"/>
      <c r="AL227" s="153"/>
      <c r="AM227" s="153"/>
      <c r="AN227" s="153"/>
      <c r="AO227" s="153"/>
      <c r="AP227" s="153"/>
      <c r="AQ227" s="153"/>
      <c r="AR227" s="153"/>
      <c r="AS227" s="153"/>
      <c r="AT227" s="153"/>
      <c r="AU227" s="153"/>
      <c r="AV227" s="153"/>
      <c r="AW227" s="153"/>
      <c r="AX227" s="153"/>
      <c r="AY227" s="153"/>
      <c r="AZ227" s="153"/>
      <c r="BA227" s="153"/>
      <c r="BB227" s="153"/>
      <c r="BC227" s="153"/>
      <c r="BD227" s="153"/>
      <c r="BE227" s="153"/>
      <c r="BF227" s="153"/>
      <c r="BG227" s="153"/>
      <c r="BH227" s="153"/>
      <c r="BI227" s="153"/>
      <c r="BJ227" s="153"/>
      <c r="BK227" s="153"/>
      <c r="BL227" s="153"/>
      <c r="BM227" s="153"/>
      <c r="BN227" s="153"/>
      <c r="BO227" s="153"/>
      <c r="BP227" s="153"/>
      <c r="BQ227" s="153"/>
      <c r="BR227" s="153"/>
      <c r="BS227" s="153"/>
      <c r="BT227" s="153"/>
      <c r="BU227" s="153"/>
      <c r="BV227" s="153"/>
      <c r="BW227" s="153"/>
      <c r="BX227" s="153"/>
      <c r="BY227" s="153"/>
      <c r="BZ227" s="153"/>
      <c r="CA227" s="153"/>
      <c r="CB227" s="153"/>
      <c r="CC227" s="153"/>
      <c r="CD227" s="153"/>
      <c r="CE227" s="153"/>
      <c r="CF227" s="153"/>
      <c r="CG227" s="153"/>
      <c r="CH227" s="153"/>
      <c r="CI227" s="153"/>
      <c r="CJ227" s="153"/>
      <c r="CK227" s="153"/>
      <c r="CL227" s="153"/>
      <c r="CM227" s="153"/>
      <c r="CN227" s="153"/>
      <c r="CO227" s="153"/>
    </row>
    <row r="228" spans="12:93" x14ac:dyDescent="0.25"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  <c r="AC228" s="153"/>
      <c r="AD228" s="153"/>
      <c r="AE228" s="153"/>
      <c r="AF228" s="153"/>
      <c r="AG228" s="153"/>
      <c r="AH228" s="153"/>
      <c r="AI228" s="153"/>
      <c r="AJ228" s="153"/>
      <c r="AK228" s="153"/>
      <c r="AL228" s="153"/>
      <c r="AM228" s="153"/>
      <c r="AN228" s="153"/>
      <c r="AO228" s="153"/>
      <c r="AP228" s="153"/>
      <c r="AQ228" s="153"/>
      <c r="AR228" s="153"/>
      <c r="AS228" s="153"/>
      <c r="AT228" s="153"/>
      <c r="AU228" s="153"/>
      <c r="AV228" s="153"/>
      <c r="AW228" s="153"/>
      <c r="AX228" s="153"/>
      <c r="AY228" s="153"/>
      <c r="AZ228" s="153"/>
      <c r="BA228" s="153"/>
      <c r="BB228" s="153"/>
      <c r="BC228" s="153"/>
      <c r="BD228" s="153"/>
      <c r="BE228" s="153"/>
      <c r="BF228" s="153"/>
      <c r="BG228" s="153"/>
      <c r="BH228" s="153"/>
      <c r="BI228" s="153"/>
      <c r="BJ228" s="153"/>
      <c r="BK228" s="153"/>
      <c r="BL228" s="153"/>
      <c r="BM228" s="153"/>
      <c r="BN228" s="153"/>
      <c r="BO228" s="153"/>
      <c r="BP228" s="153"/>
      <c r="BQ228" s="153"/>
      <c r="BR228" s="153"/>
      <c r="BS228" s="153"/>
      <c r="BT228" s="153"/>
      <c r="BU228" s="153"/>
      <c r="BV228" s="153"/>
      <c r="BW228" s="153"/>
      <c r="BX228" s="153"/>
      <c r="BY228" s="153"/>
      <c r="BZ228" s="153"/>
      <c r="CA228" s="153"/>
      <c r="CB228" s="153"/>
      <c r="CC228" s="153"/>
      <c r="CD228" s="153"/>
      <c r="CE228" s="153"/>
      <c r="CF228" s="153"/>
      <c r="CG228" s="153"/>
      <c r="CH228" s="153"/>
      <c r="CI228" s="153"/>
      <c r="CJ228" s="153"/>
      <c r="CK228" s="153"/>
      <c r="CL228" s="153"/>
      <c r="CM228" s="153"/>
      <c r="CN228" s="153"/>
      <c r="CO228" s="153"/>
    </row>
    <row r="229" spans="12:93" x14ac:dyDescent="0.25">
      <c r="L229" s="153"/>
      <c r="M229" s="153"/>
      <c r="N229" s="640" t="s">
        <v>470</v>
      </c>
      <c r="O229" s="640"/>
      <c r="P229" s="640"/>
      <c r="Q229" s="640"/>
      <c r="R229" s="640"/>
      <c r="S229" s="640"/>
      <c r="T229" s="640"/>
      <c r="U229" s="640"/>
      <c r="V229" s="640"/>
      <c r="W229" s="640"/>
      <c r="X229" s="640"/>
      <c r="Y229" s="640"/>
      <c r="Z229" s="640"/>
      <c r="AA229" s="153"/>
      <c r="AB229" s="641" t="s">
        <v>471</v>
      </c>
      <c r="AC229" s="641"/>
      <c r="AD229" s="641"/>
      <c r="AE229" s="641"/>
      <c r="AF229" s="641"/>
      <c r="AG229" s="641"/>
      <c r="AH229" s="641"/>
      <c r="AI229" s="153"/>
      <c r="AJ229" s="153"/>
      <c r="AK229" s="640" t="s">
        <v>472</v>
      </c>
      <c r="AL229" s="640"/>
      <c r="AM229" s="640"/>
      <c r="AN229" s="640"/>
      <c r="AO229" s="153"/>
      <c r="AP229" s="642">
        <v>4500</v>
      </c>
      <c r="AQ229" s="642"/>
      <c r="AR229" s="642"/>
      <c r="AS229" s="642"/>
      <c r="AT229" s="153"/>
      <c r="AU229" s="643">
        <v>0</v>
      </c>
      <c r="AV229" s="643"/>
      <c r="AW229" s="643"/>
      <c r="AX229" s="643"/>
      <c r="AY229" s="153"/>
      <c r="AZ229" s="642">
        <v>0</v>
      </c>
      <c r="BA229" s="642"/>
      <c r="BB229" s="642"/>
      <c r="BC229" s="642"/>
      <c r="BD229" s="153"/>
      <c r="BE229" s="644">
        <v>4500</v>
      </c>
      <c r="BF229" s="644"/>
      <c r="BG229" s="153"/>
      <c r="BH229" s="153"/>
      <c r="BI229" s="153"/>
      <c r="BJ229" s="640" t="s">
        <v>473</v>
      </c>
      <c r="BK229" s="640"/>
      <c r="BL229" s="640"/>
      <c r="BM229" s="640"/>
      <c r="BN229" s="153"/>
      <c r="BO229" s="645">
        <v>42990</v>
      </c>
      <c r="BP229" s="645"/>
      <c r="BQ229" s="645"/>
      <c r="BR229" s="645"/>
      <c r="BS229" s="153"/>
      <c r="BT229" s="643">
        <v>4500</v>
      </c>
      <c r="BU229" s="643"/>
      <c r="BV229" s="643"/>
      <c r="BW229" s="153"/>
      <c r="BX229" s="643">
        <v>0</v>
      </c>
      <c r="BY229" s="643"/>
      <c r="BZ229" s="643"/>
      <c r="CA229" s="643"/>
      <c r="CB229" s="643"/>
      <c r="CC229" s="153"/>
      <c r="CD229" s="153"/>
      <c r="CE229" s="644">
        <v>4500</v>
      </c>
      <c r="CF229" s="644"/>
      <c r="CG229" s="644"/>
      <c r="CH229" s="153"/>
      <c r="CI229" s="153"/>
      <c r="CJ229" s="643">
        <v>0</v>
      </c>
      <c r="CK229" s="643"/>
      <c r="CL229" s="153"/>
      <c r="CM229" s="153"/>
      <c r="CN229" s="153"/>
      <c r="CO229" s="153"/>
    </row>
    <row r="230" spans="12:93" x14ac:dyDescent="0.25"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53"/>
      <c r="AP230" s="153"/>
      <c r="AQ230" s="153"/>
      <c r="AR230" s="153"/>
      <c r="AS230" s="153"/>
      <c r="AT230" s="153"/>
      <c r="AU230" s="153"/>
      <c r="AV230" s="153"/>
      <c r="AW230" s="153"/>
      <c r="AX230" s="153"/>
      <c r="AY230" s="153"/>
      <c r="AZ230" s="153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  <c r="BL230" s="153"/>
      <c r="BM230" s="153"/>
      <c r="BN230" s="153"/>
      <c r="BO230" s="153"/>
      <c r="BP230" s="153"/>
      <c r="BQ230" s="153"/>
      <c r="BR230" s="153"/>
      <c r="BS230" s="153"/>
      <c r="BT230" s="153"/>
      <c r="BU230" s="153"/>
      <c r="BV230" s="153"/>
      <c r="BW230" s="153"/>
      <c r="BX230" s="153"/>
      <c r="BY230" s="153"/>
      <c r="BZ230" s="153"/>
      <c r="CA230" s="153"/>
      <c r="CB230" s="153"/>
      <c r="CC230" s="153"/>
      <c r="CD230" s="153"/>
      <c r="CE230" s="153"/>
      <c r="CF230" s="153"/>
      <c r="CG230" s="153"/>
      <c r="CH230" s="153"/>
      <c r="CI230" s="153"/>
      <c r="CJ230" s="153"/>
      <c r="CK230" s="153"/>
      <c r="CL230" s="153"/>
      <c r="CM230" s="153"/>
      <c r="CN230" s="153"/>
      <c r="CO230" s="153"/>
    </row>
    <row r="231" spans="12:93" x14ac:dyDescent="0.25"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  <c r="AC231" s="153"/>
      <c r="AD231" s="153"/>
      <c r="AE231" s="153"/>
      <c r="AF231" s="153"/>
      <c r="AG231" s="153"/>
      <c r="AH231" s="153"/>
      <c r="AI231" s="153"/>
      <c r="AJ231" s="153"/>
      <c r="AK231" s="153"/>
      <c r="AL231" s="153"/>
      <c r="AM231" s="153"/>
      <c r="AN231" s="153"/>
      <c r="AO231" s="153"/>
      <c r="AP231" s="153"/>
      <c r="AQ231" s="153"/>
      <c r="AR231" s="153"/>
      <c r="AS231" s="153"/>
      <c r="AT231" s="153"/>
      <c r="AU231" s="153"/>
      <c r="AV231" s="153"/>
      <c r="AW231" s="153"/>
      <c r="AX231" s="153"/>
      <c r="AY231" s="153"/>
      <c r="AZ231" s="153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53"/>
      <c r="BN231" s="153"/>
      <c r="BO231" s="153"/>
      <c r="BP231" s="153"/>
      <c r="BQ231" s="153"/>
      <c r="BR231" s="153"/>
      <c r="BS231" s="153"/>
      <c r="BT231" s="153"/>
      <c r="BU231" s="153"/>
      <c r="BV231" s="153"/>
      <c r="BW231" s="153"/>
      <c r="BX231" s="153"/>
      <c r="BY231" s="153"/>
      <c r="BZ231" s="153"/>
      <c r="CA231" s="153"/>
      <c r="CB231" s="153"/>
      <c r="CC231" s="153"/>
      <c r="CD231" s="153"/>
      <c r="CE231" s="153"/>
      <c r="CF231" s="153"/>
      <c r="CG231" s="153"/>
      <c r="CH231" s="153"/>
      <c r="CI231" s="153"/>
      <c r="CJ231" s="153"/>
      <c r="CK231" s="153"/>
      <c r="CL231" s="153"/>
      <c r="CM231" s="153"/>
      <c r="CN231" s="153"/>
      <c r="CO231" s="153"/>
    </row>
    <row r="232" spans="12:93" x14ac:dyDescent="0.25">
      <c r="L232" s="153"/>
      <c r="M232" s="153"/>
      <c r="N232" s="640" t="s">
        <v>474</v>
      </c>
      <c r="O232" s="640"/>
      <c r="P232" s="640"/>
      <c r="Q232" s="640"/>
      <c r="R232" s="640"/>
      <c r="S232" s="640"/>
      <c r="T232" s="640"/>
      <c r="U232" s="640"/>
      <c r="V232" s="640"/>
      <c r="W232" s="640"/>
      <c r="X232" s="640"/>
      <c r="Y232" s="640"/>
      <c r="Z232" s="640"/>
      <c r="AA232" s="153"/>
      <c r="AB232" s="641" t="s">
        <v>372</v>
      </c>
      <c r="AC232" s="641"/>
      <c r="AD232" s="641"/>
      <c r="AE232" s="641"/>
      <c r="AF232" s="641"/>
      <c r="AG232" s="641"/>
      <c r="AH232" s="641"/>
      <c r="AI232" s="153"/>
      <c r="AJ232" s="153"/>
      <c r="AK232" s="640" t="s">
        <v>475</v>
      </c>
      <c r="AL232" s="640"/>
      <c r="AM232" s="640"/>
      <c r="AN232" s="640"/>
      <c r="AO232" s="153"/>
      <c r="AP232" s="642">
        <v>3000</v>
      </c>
      <c r="AQ232" s="642"/>
      <c r="AR232" s="642"/>
      <c r="AS232" s="642"/>
      <c r="AT232" s="153"/>
      <c r="AU232" s="643">
        <v>0</v>
      </c>
      <c r="AV232" s="643"/>
      <c r="AW232" s="643"/>
      <c r="AX232" s="643"/>
      <c r="AY232" s="153"/>
      <c r="AZ232" s="642">
        <v>0</v>
      </c>
      <c r="BA232" s="642"/>
      <c r="BB232" s="642"/>
      <c r="BC232" s="642"/>
      <c r="BD232" s="153"/>
      <c r="BE232" s="644">
        <v>3000</v>
      </c>
      <c r="BF232" s="644"/>
      <c r="BG232" s="153"/>
      <c r="BH232" s="153"/>
      <c r="BI232" s="153"/>
      <c r="BJ232" s="640" t="s">
        <v>476</v>
      </c>
      <c r="BK232" s="640"/>
      <c r="BL232" s="640"/>
      <c r="BM232" s="640"/>
      <c r="BN232" s="153"/>
      <c r="BO232" s="645">
        <v>42984</v>
      </c>
      <c r="BP232" s="645"/>
      <c r="BQ232" s="645"/>
      <c r="BR232" s="645"/>
      <c r="BS232" s="153"/>
      <c r="BT232" s="643">
        <v>4000</v>
      </c>
      <c r="BU232" s="643"/>
      <c r="BV232" s="643"/>
      <c r="BW232" s="153"/>
      <c r="BX232" s="643">
        <v>0</v>
      </c>
      <c r="BY232" s="643"/>
      <c r="BZ232" s="643"/>
      <c r="CA232" s="643"/>
      <c r="CB232" s="643"/>
      <c r="CC232" s="153"/>
      <c r="CD232" s="153"/>
      <c r="CE232" s="644">
        <v>4000</v>
      </c>
      <c r="CF232" s="644"/>
      <c r="CG232" s="644"/>
      <c r="CH232" s="153"/>
      <c r="CI232" s="153"/>
      <c r="CJ232" s="643">
        <v>-1000</v>
      </c>
      <c r="CK232" s="643"/>
      <c r="CL232" s="153"/>
      <c r="CM232" s="153"/>
      <c r="CN232" s="153"/>
      <c r="CO232" s="153"/>
    </row>
    <row r="233" spans="12:93" x14ac:dyDescent="0.25"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53"/>
      <c r="BN233" s="153"/>
      <c r="BO233" s="153"/>
      <c r="BP233" s="153"/>
      <c r="BQ233" s="153"/>
      <c r="BR233" s="153"/>
      <c r="BS233" s="153"/>
      <c r="BT233" s="153"/>
      <c r="BU233" s="153"/>
      <c r="BV233" s="153"/>
      <c r="BW233" s="153"/>
      <c r="BX233" s="153"/>
      <c r="BY233" s="153"/>
      <c r="BZ233" s="153"/>
      <c r="CA233" s="153"/>
      <c r="CB233" s="153"/>
      <c r="CC233" s="153"/>
      <c r="CD233" s="153"/>
      <c r="CE233" s="153"/>
      <c r="CF233" s="153"/>
      <c r="CG233" s="153"/>
      <c r="CH233" s="153"/>
      <c r="CI233" s="153"/>
      <c r="CJ233" s="153"/>
      <c r="CK233" s="153"/>
      <c r="CL233" s="153"/>
      <c r="CM233" s="153"/>
      <c r="CN233" s="153"/>
      <c r="CO233" s="153"/>
    </row>
    <row r="234" spans="12:93" x14ac:dyDescent="0.25"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  <c r="AC234" s="153"/>
      <c r="AD234" s="153"/>
      <c r="AE234" s="153"/>
      <c r="AF234" s="153"/>
      <c r="AG234" s="153"/>
      <c r="AH234" s="153"/>
      <c r="AI234" s="153"/>
      <c r="AJ234" s="153"/>
      <c r="AK234" s="153"/>
      <c r="AL234" s="153"/>
      <c r="AM234" s="153"/>
      <c r="AN234" s="153"/>
      <c r="AO234" s="153"/>
      <c r="AP234" s="153"/>
      <c r="AQ234" s="153"/>
      <c r="AR234" s="153"/>
      <c r="AS234" s="153"/>
      <c r="AT234" s="153"/>
      <c r="AU234" s="153"/>
      <c r="AV234" s="153"/>
      <c r="AW234" s="153"/>
      <c r="AX234" s="153"/>
      <c r="AY234" s="153"/>
      <c r="AZ234" s="153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53"/>
      <c r="BN234" s="153"/>
      <c r="BO234" s="153"/>
      <c r="BP234" s="153"/>
      <c r="BQ234" s="153"/>
      <c r="BR234" s="153"/>
      <c r="BS234" s="153"/>
      <c r="BT234" s="153"/>
      <c r="BU234" s="153"/>
      <c r="BV234" s="153"/>
      <c r="BW234" s="153"/>
      <c r="BX234" s="153"/>
      <c r="BY234" s="153"/>
      <c r="BZ234" s="153"/>
      <c r="CA234" s="153"/>
      <c r="CB234" s="153"/>
      <c r="CC234" s="153"/>
      <c r="CD234" s="153"/>
      <c r="CE234" s="153"/>
      <c r="CF234" s="153"/>
      <c r="CG234" s="153"/>
      <c r="CH234" s="153"/>
      <c r="CI234" s="153"/>
      <c r="CJ234" s="153"/>
      <c r="CK234" s="153"/>
      <c r="CL234" s="153"/>
      <c r="CM234" s="153"/>
      <c r="CN234" s="153"/>
      <c r="CO234" s="153"/>
    </row>
    <row r="235" spans="12:93" x14ac:dyDescent="0.25">
      <c r="L235" s="153"/>
      <c r="M235" s="153"/>
      <c r="N235" s="640" t="s">
        <v>477</v>
      </c>
      <c r="O235" s="640"/>
      <c r="P235" s="640"/>
      <c r="Q235" s="640"/>
      <c r="R235" s="640"/>
      <c r="S235" s="640"/>
      <c r="T235" s="640"/>
      <c r="U235" s="640"/>
      <c r="V235" s="640"/>
      <c r="W235" s="640"/>
      <c r="X235" s="640"/>
      <c r="Y235" s="640"/>
      <c r="Z235" s="640"/>
      <c r="AA235" s="153"/>
      <c r="AB235" s="641" t="s">
        <v>21</v>
      </c>
      <c r="AC235" s="641"/>
      <c r="AD235" s="641"/>
      <c r="AE235" s="641"/>
      <c r="AF235" s="641"/>
      <c r="AG235" s="641"/>
      <c r="AH235" s="641"/>
      <c r="AI235" s="153"/>
      <c r="AJ235" s="153"/>
      <c r="AK235" s="153"/>
      <c r="AL235" s="153"/>
      <c r="AM235" s="153"/>
      <c r="AN235" s="153"/>
      <c r="AO235" s="153"/>
      <c r="AP235" s="642">
        <v>0</v>
      </c>
      <c r="AQ235" s="642"/>
      <c r="AR235" s="642"/>
      <c r="AS235" s="642"/>
      <c r="AT235" s="153"/>
      <c r="AU235" s="643">
        <v>0</v>
      </c>
      <c r="AV235" s="643"/>
      <c r="AW235" s="643"/>
      <c r="AX235" s="643"/>
      <c r="AY235" s="153"/>
      <c r="AZ235" s="642">
        <v>0</v>
      </c>
      <c r="BA235" s="642"/>
      <c r="BB235" s="642"/>
      <c r="BC235" s="642"/>
      <c r="BD235" s="153"/>
      <c r="BE235" s="644">
        <v>0</v>
      </c>
      <c r="BF235" s="644"/>
      <c r="BG235" s="153"/>
      <c r="BH235" s="153"/>
      <c r="BI235" s="153"/>
      <c r="BJ235" s="153"/>
      <c r="BK235" s="153"/>
      <c r="BL235" s="153"/>
      <c r="BM235" s="153"/>
      <c r="BN235" s="153"/>
      <c r="BO235" s="153"/>
      <c r="BP235" s="153"/>
      <c r="BQ235" s="153"/>
      <c r="BR235" s="153"/>
      <c r="BS235" s="153"/>
      <c r="BT235" s="153"/>
      <c r="BU235" s="153"/>
      <c r="BV235" s="153"/>
      <c r="BW235" s="153"/>
      <c r="BX235" s="153"/>
      <c r="BY235" s="153"/>
      <c r="BZ235" s="153"/>
      <c r="CA235" s="153"/>
      <c r="CB235" s="153"/>
      <c r="CC235" s="153"/>
      <c r="CD235" s="153"/>
      <c r="CE235" s="153"/>
      <c r="CF235" s="153"/>
      <c r="CG235" s="153"/>
      <c r="CH235" s="153"/>
      <c r="CI235" s="153"/>
      <c r="CJ235" s="643">
        <v>0</v>
      </c>
      <c r="CK235" s="643"/>
      <c r="CL235" s="153"/>
      <c r="CM235" s="153"/>
      <c r="CN235" s="153"/>
      <c r="CO235" s="153"/>
    </row>
    <row r="236" spans="12:93" x14ac:dyDescent="0.25"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  <c r="AC236" s="153"/>
      <c r="AD236" s="153"/>
      <c r="AE236" s="153"/>
      <c r="AF236" s="153"/>
      <c r="AG236" s="153"/>
      <c r="AH236" s="153"/>
      <c r="AI236" s="153"/>
      <c r="AJ236" s="153"/>
      <c r="AK236" s="153"/>
      <c r="AL236" s="153"/>
      <c r="AM236" s="153"/>
      <c r="AN236" s="153"/>
      <c r="AO236" s="153"/>
      <c r="AP236" s="153"/>
      <c r="AQ236" s="153"/>
      <c r="AR236" s="153"/>
      <c r="AS236" s="153"/>
      <c r="AT236" s="153"/>
      <c r="AU236" s="153"/>
      <c r="AV236" s="153"/>
      <c r="AW236" s="153"/>
      <c r="AX236" s="153"/>
      <c r="AY236" s="153"/>
      <c r="AZ236" s="153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53"/>
      <c r="BL236" s="153"/>
      <c r="BM236" s="153"/>
      <c r="BN236" s="153"/>
      <c r="BO236" s="153"/>
      <c r="BP236" s="153"/>
      <c r="BQ236" s="153"/>
      <c r="BR236" s="153"/>
      <c r="BS236" s="153"/>
      <c r="BT236" s="153"/>
      <c r="BU236" s="153"/>
      <c r="BV236" s="153"/>
      <c r="BW236" s="153"/>
      <c r="BX236" s="153"/>
      <c r="BY236" s="153"/>
      <c r="BZ236" s="153"/>
      <c r="CA236" s="153"/>
      <c r="CB236" s="153"/>
      <c r="CC236" s="153"/>
      <c r="CD236" s="153"/>
      <c r="CE236" s="153"/>
      <c r="CF236" s="153"/>
      <c r="CG236" s="153"/>
      <c r="CH236" s="153"/>
      <c r="CI236" s="153"/>
      <c r="CJ236" s="153"/>
      <c r="CK236" s="153"/>
      <c r="CL236" s="153"/>
      <c r="CM236" s="153"/>
      <c r="CN236" s="153"/>
      <c r="CO236" s="153"/>
    </row>
    <row r="237" spans="12:93" x14ac:dyDescent="0.25"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  <c r="AC237" s="153"/>
      <c r="AD237" s="153"/>
      <c r="AE237" s="153"/>
      <c r="AF237" s="153"/>
      <c r="AG237" s="153"/>
      <c r="AH237" s="153"/>
      <c r="AI237" s="153"/>
      <c r="AJ237" s="153"/>
      <c r="AK237" s="153"/>
      <c r="AL237" s="153"/>
      <c r="AM237" s="153"/>
      <c r="AN237" s="153"/>
      <c r="AO237" s="153"/>
      <c r="AP237" s="153"/>
      <c r="AQ237" s="153"/>
      <c r="AR237" s="153"/>
      <c r="AS237" s="153"/>
      <c r="AT237" s="153"/>
      <c r="AU237" s="153"/>
      <c r="AV237" s="153"/>
      <c r="AW237" s="153"/>
      <c r="AX237" s="153"/>
      <c r="AY237" s="153"/>
      <c r="AZ237" s="153"/>
      <c r="BA237" s="153"/>
      <c r="BB237" s="153"/>
      <c r="BC237" s="153"/>
      <c r="BD237" s="153"/>
      <c r="BE237" s="153"/>
      <c r="BF237" s="153"/>
      <c r="BG237" s="153"/>
      <c r="BH237" s="153"/>
      <c r="BI237" s="153"/>
      <c r="BJ237" s="153"/>
      <c r="BK237" s="153"/>
      <c r="BL237" s="153"/>
      <c r="BM237" s="153"/>
      <c r="BN237" s="153"/>
      <c r="BO237" s="153"/>
      <c r="BP237" s="153"/>
      <c r="BQ237" s="153"/>
      <c r="BR237" s="153"/>
      <c r="BS237" s="153"/>
      <c r="BT237" s="153"/>
      <c r="BU237" s="153"/>
      <c r="BV237" s="153"/>
      <c r="BW237" s="153"/>
      <c r="BX237" s="153"/>
      <c r="BY237" s="153"/>
      <c r="BZ237" s="153"/>
      <c r="CA237" s="153"/>
      <c r="CB237" s="153"/>
      <c r="CC237" s="153"/>
      <c r="CD237" s="153"/>
      <c r="CE237" s="153"/>
      <c r="CF237" s="153"/>
      <c r="CG237" s="153"/>
      <c r="CH237" s="153"/>
      <c r="CI237" s="153"/>
      <c r="CJ237" s="153"/>
      <c r="CK237" s="153"/>
      <c r="CL237" s="153"/>
      <c r="CM237" s="153"/>
      <c r="CN237" s="153"/>
      <c r="CO237" s="153"/>
    </row>
    <row r="238" spans="12:93" x14ac:dyDescent="0.25">
      <c r="L238" s="153"/>
      <c r="M238" s="153"/>
      <c r="N238" s="640" t="s">
        <v>478</v>
      </c>
      <c r="O238" s="640"/>
      <c r="P238" s="640"/>
      <c r="Q238" s="640"/>
      <c r="R238" s="640"/>
      <c r="S238" s="640"/>
      <c r="T238" s="640"/>
      <c r="U238" s="640"/>
      <c r="V238" s="640"/>
      <c r="W238" s="640"/>
      <c r="X238" s="640"/>
      <c r="Y238" s="640"/>
      <c r="Z238" s="640"/>
      <c r="AA238" s="153"/>
      <c r="AB238" s="641" t="s">
        <v>21</v>
      </c>
      <c r="AC238" s="641"/>
      <c r="AD238" s="641"/>
      <c r="AE238" s="641"/>
      <c r="AF238" s="641"/>
      <c r="AG238" s="641"/>
      <c r="AH238" s="641"/>
      <c r="AI238" s="153"/>
      <c r="AJ238" s="153"/>
      <c r="AK238" s="153"/>
      <c r="AL238" s="153"/>
      <c r="AM238" s="153"/>
      <c r="AN238" s="153"/>
      <c r="AO238" s="153"/>
      <c r="AP238" s="642">
        <v>0</v>
      </c>
      <c r="AQ238" s="642"/>
      <c r="AR238" s="642"/>
      <c r="AS238" s="642"/>
      <c r="AT238" s="153"/>
      <c r="AU238" s="643">
        <v>0</v>
      </c>
      <c r="AV238" s="643"/>
      <c r="AW238" s="643"/>
      <c r="AX238" s="643"/>
      <c r="AY238" s="153"/>
      <c r="AZ238" s="642">
        <v>0</v>
      </c>
      <c r="BA238" s="642"/>
      <c r="BB238" s="642"/>
      <c r="BC238" s="642"/>
      <c r="BD238" s="153"/>
      <c r="BE238" s="644">
        <v>0</v>
      </c>
      <c r="BF238" s="644"/>
      <c r="BG238" s="153"/>
      <c r="BH238" s="153"/>
      <c r="BI238" s="153"/>
      <c r="BJ238" s="153"/>
      <c r="BK238" s="153"/>
      <c r="BL238" s="153"/>
      <c r="BM238" s="153"/>
      <c r="BN238" s="153"/>
      <c r="BO238" s="153"/>
      <c r="BP238" s="153"/>
      <c r="BQ238" s="153"/>
      <c r="BR238" s="153"/>
      <c r="BS238" s="153"/>
      <c r="BT238" s="153"/>
      <c r="BU238" s="153"/>
      <c r="BV238" s="153"/>
      <c r="BW238" s="153"/>
      <c r="BX238" s="153"/>
      <c r="BY238" s="153"/>
      <c r="BZ238" s="153"/>
      <c r="CA238" s="153"/>
      <c r="CB238" s="153"/>
      <c r="CC238" s="153"/>
      <c r="CD238" s="153"/>
      <c r="CE238" s="153"/>
      <c r="CF238" s="153"/>
      <c r="CG238" s="153"/>
      <c r="CH238" s="153"/>
      <c r="CI238" s="153"/>
      <c r="CJ238" s="643">
        <v>0</v>
      </c>
      <c r="CK238" s="643"/>
      <c r="CL238" s="153"/>
      <c r="CM238" s="153"/>
      <c r="CN238" s="153"/>
      <c r="CO238" s="153"/>
    </row>
    <row r="239" spans="12:93" x14ac:dyDescent="0.25"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  <c r="AC239" s="153"/>
      <c r="AD239" s="153"/>
      <c r="AE239" s="153"/>
      <c r="AF239" s="153"/>
      <c r="AG239" s="153"/>
      <c r="AH239" s="153"/>
      <c r="AI239" s="153"/>
      <c r="AJ239" s="153"/>
      <c r="AK239" s="153"/>
      <c r="AL239" s="153"/>
      <c r="AM239" s="153"/>
      <c r="AN239" s="153"/>
      <c r="AO239" s="153"/>
      <c r="AP239" s="153"/>
      <c r="AQ239" s="153"/>
      <c r="AR239" s="153"/>
      <c r="AS239" s="153"/>
      <c r="AT239" s="153"/>
      <c r="AU239" s="153"/>
      <c r="AV239" s="153"/>
      <c r="AW239" s="153"/>
      <c r="AX239" s="153"/>
      <c r="AY239" s="153"/>
      <c r="AZ239" s="153"/>
      <c r="BA239" s="153"/>
      <c r="BB239" s="153"/>
      <c r="BC239" s="153"/>
      <c r="BD239" s="153"/>
      <c r="BE239" s="153"/>
      <c r="BF239" s="153"/>
      <c r="BG239" s="153"/>
      <c r="BH239" s="153"/>
      <c r="BI239" s="153"/>
      <c r="BJ239" s="153"/>
      <c r="BK239" s="153"/>
      <c r="BL239" s="153"/>
      <c r="BM239" s="153"/>
      <c r="BN239" s="153"/>
      <c r="BO239" s="153"/>
      <c r="BP239" s="153"/>
      <c r="BQ239" s="153"/>
      <c r="BR239" s="153"/>
      <c r="BS239" s="153"/>
      <c r="BT239" s="153"/>
      <c r="BU239" s="153"/>
      <c r="BV239" s="153"/>
      <c r="BW239" s="153"/>
      <c r="BX239" s="153"/>
      <c r="BY239" s="153"/>
      <c r="BZ239" s="153"/>
      <c r="CA239" s="153"/>
      <c r="CB239" s="153"/>
      <c r="CC239" s="153"/>
      <c r="CD239" s="153"/>
      <c r="CE239" s="153"/>
      <c r="CF239" s="153"/>
      <c r="CG239" s="153"/>
      <c r="CH239" s="153"/>
      <c r="CI239" s="153"/>
      <c r="CJ239" s="153"/>
      <c r="CK239" s="153"/>
      <c r="CL239" s="153"/>
      <c r="CM239" s="153"/>
      <c r="CN239" s="153"/>
      <c r="CO239" s="153"/>
    </row>
    <row r="240" spans="12:93" x14ac:dyDescent="0.25"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  <c r="AC240" s="153"/>
      <c r="AD240" s="153"/>
      <c r="AE240" s="153"/>
      <c r="AF240" s="153"/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53"/>
      <c r="AQ240" s="153"/>
      <c r="AR240" s="153"/>
      <c r="AS240" s="153"/>
      <c r="AT240" s="153"/>
      <c r="AU240" s="153"/>
      <c r="AV240" s="153"/>
      <c r="AW240" s="153"/>
      <c r="AX240" s="153"/>
      <c r="AY240" s="153"/>
      <c r="AZ240" s="153"/>
      <c r="BA240" s="153"/>
      <c r="BB240" s="153"/>
      <c r="BC240" s="153"/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53"/>
      <c r="BN240" s="153"/>
      <c r="BO240" s="153"/>
      <c r="BP240" s="153"/>
      <c r="BQ240" s="153"/>
      <c r="BR240" s="153"/>
      <c r="BS240" s="153"/>
      <c r="BT240" s="153"/>
      <c r="BU240" s="153"/>
      <c r="BV240" s="153"/>
      <c r="BW240" s="153"/>
      <c r="BX240" s="153"/>
      <c r="BY240" s="153"/>
      <c r="BZ240" s="153"/>
      <c r="CA240" s="153"/>
      <c r="CB240" s="153"/>
      <c r="CC240" s="153"/>
      <c r="CD240" s="153"/>
      <c r="CE240" s="153"/>
      <c r="CF240" s="153"/>
      <c r="CG240" s="153"/>
      <c r="CH240" s="153"/>
      <c r="CI240" s="153"/>
      <c r="CJ240" s="153"/>
      <c r="CK240" s="153"/>
      <c r="CL240" s="153"/>
      <c r="CM240" s="153"/>
      <c r="CN240" s="153"/>
      <c r="CO240" s="153"/>
    </row>
    <row r="241" spans="12:93" x14ac:dyDescent="0.25">
      <c r="L241" s="153"/>
      <c r="M241" s="153"/>
      <c r="N241" s="640" t="s">
        <v>479</v>
      </c>
      <c r="O241" s="640"/>
      <c r="P241" s="640"/>
      <c r="Q241" s="640"/>
      <c r="R241" s="640"/>
      <c r="S241" s="640"/>
      <c r="T241" s="640"/>
      <c r="U241" s="640"/>
      <c r="V241" s="640"/>
      <c r="W241" s="640"/>
      <c r="X241" s="640"/>
      <c r="Y241" s="640"/>
      <c r="Z241" s="640"/>
      <c r="AA241" s="153"/>
      <c r="AB241" s="641" t="s">
        <v>21</v>
      </c>
      <c r="AC241" s="641"/>
      <c r="AD241" s="641"/>
      <c r="AE241" s="641"/>
      <c r="AF241" s="641"/>
      <c r="AG241" s="641"/>
      <c r="AH241" s="641"/>
      <c r="AI241" s="153"/>
      <c r="AJ241" s="153"/>
      <c r="AK241" s="153"/>
      <c r="AL241" s="153"/>
      <c r="AM241" s="153"/>
      <c r="AN241" s="153"/>
      <c r="AO241" s="153"/>
      <c r="AP241" s="642">
        <v>0</v>
      </c>
      <c r="AQ241" s="642"/>
      <c r="AR241" s="642"/>
      <c r="AS241" s="642"/>
      <c r="AT241" s="153"/>
      <c r="AU241" s="643">
        <v>0</v>
      </c>
      <c r="AV241" s="643"/>
      <c r="AW241" s="643"/>
      <c r="AX241" s="643"/>
      <c r="AY241" s="153"/>
      <c r="AZ241" s="642">
        <v>0</v>
      </c>
      <c r="BA241" s="642"/>
      <c r="BB241" s="642"/>
      <c r="BC241" s="642"/>
      <c r="BD241" s="153"/>
      <c r="BE241" s="644">
        <v>0</v>
      </c>
      <c r="BF241" s="644"/>
      <c r="BG241" s="153"/>
      <c r="BH241" s="153"/>
      <c r="BI241" s="153"/>
      <c r="BJ241" s="153"/>
      <c r="BK241" s="153"/>
      <c r="BL241" s="153"/>
      <c r="BM241" s="153"/>
      <c r="BN241" s="153"/>
      <c r="BO241" s="153"/>
      <c r="BP241" s="153"/>
      <c r="BQ241" s="153"/>
      <c r="BR241" s="153"/>
      <c r="BS241" s="153"/>
      <c r="BT241" s="153"/>
      <c r="BU241" s="153"/>
      <c r="BV241" s="153"/>
      <c r="BW241" s="153"/>
      <c r="BX241" s="153"/>
      <c r="BY241" s="153"/>
      <c r="BZ241" s="153"/>
      <c r="CA241" s="153"/>
      <c r="CB241" s="153"/>
      <c r="CC241" s="153"/>
      <c r="CD241" s="153"/>
      <c r="CE241" s="153"/>
      <c r="CF241" s="153"/>
      <c r="CG241" s="153"/>
      <c r="CH241" s="153"/>
      <c r="CI241" s="153"/>
      <c r="CJ241" s="643">
        <v>0</v>
      </c>
      <c r="CK241" s="643"/>
      <c r="CL241" s="153"/>
      <c r="CM241" s="153"/>
      <c r="CN241" s="153"/>
      <c r="CO241" s="153"/>
    </row>
    <row r="242" spans="12:93" x14ac:dyDescent="0.25"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  <c r="AC242" s="153"/>
      <c r="AD242" s="153"/>
      <c r="AE242" s="153"/>
      <c r="AF242" s="153"/>
      <c r="AG242" s="153"/>
      <c r="AH242" s="153"/>
      <c r="AI242" s="153"/>
      <c r="AJ242" s="153"/>
      <c r="AK242" s="153"/>
      <c r="AL242" s="153"/>
      <c r="AM242" s="153"/>
      <c r="AN242" s="153"/>
      <c r="AO242" s="153"/>
      <c r="AP242" s="153"/>
      <c r="AQ242" s="153"/>
      <c r="AR242" s="153"/>
      <c r="AS242" s="153"/>
      <c r="AT242" s="153"/>
      <c r="AU242" s="153"/>
      <c r="AV242" s="153"/>
      <c r="AW242" s="153"/>
      <c r="AX242" s="153"/>
      <c r="AY242" s="153"/>
      <c r="AZ242" s="153"/>
      <c r="BA242" s="153"/>
      <c r="BB242" s="153"/>
      <c r="BC242" s="153"/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53"/>
      <c r="BN242" s="153"/>
      <c r="BO242" s="153"/>
      <c r="BP242" s="153"/>
      <c r="BQ242" s="153"/>
      <c r="BR242" s="153"/>
      <c r="BS242" s="153"/>
      <c r="BT242" s="153"/>
      <c r="BU242" s="153"/>
      <c r="BV242" s="153"/>
      <c r="BW242" s="153"/>
      <c r="BX242" s="153"/>
      <c r="BY242" s="153"/>
      <c r="BZ242" s="153"/>
      <c r="CA242" s="153"/>
      <c r="CB242" s="153"/>
      <c r="CC242" s="153"/>
      <c r="CD242" s="153"/>
      <c r="CE242" s="153"/>
      <c r="CF242" s="153"/>
      <c r="CG242" s="153"/>
      <c r="CH242" s="153"/>
      <c r="CI242" s="153"/>
      <c r="CJ242" s="153"/>
      <c r="CK242" s="153"/>
      <c r="CL242" s="153"/>
      <c r="CM242" s="153"/>
      <c r="CN242" s="153"/>
      <c r="CO242" s="153"/>
    </row>
    <row r="243" spans="12:93" x14ac:dyDescent="0.25"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  <c r="AC243" s="153"/>
      <c r="AD243" s="153"/>
      <c r="AE243" s="153"/>
      <c r="AF243" s="153"/>
      <c r="AG243" s="153"/>
      <c r="AH243" s="153"/>
      <c r="AI243" s="153"/>
      <c r="AJ243" s="153"/>
      <c r="AK243" s="153"/>
      <c r="AL243" s="153"/>
      <c r="AM243" s="153"/>
      <c r="AN243" s="153"/>
      <c r="AO243" s="153"/>
      <c r="AP243" s="153"/>
      <c r="AQ243" s="153"/>
      <c r="AR243" s="153"/>
      <c r="AS243" s="153"/>
      <c r="AT243" s="153"/>
      <c r="AU243" s="153"/>
      <c r="AV243" s="153"/>
      <c r="AW243" s="153"/>
      <c r="AX243" s="153"/>
      <c r="AY243" s="153"/>
      <c r="AZ243" s="153"/>
      <c r="BA243" s="153"/>
      <c r="BB243" s="153"/>
      <c r="BC243" s="153"/>
      <c r="BD243" s="153"/>
      <c r="BE243" s="153"/>
      <c r="BF243" s="153"/>
      <c r="BG243" s="153"/>
      <c r="BH243" s="153"/>
      <c r="BI243" s="153"/>
      <c r="BJ243" s="153"/>
      <c r="BK243" s="153"/>
      <c r="BL243" s="153"/>
      <c r="BM243" s="153"/>
      <c r="BN243" s="153"/>
      <c r="BO243" s="153"/>
      <c r="BP243" s="153"/>
      <c r="BQ243" s="153"/>
      <c r="BR243" s="153"/>
      <c r="BS243" s="153"/>
      <c r="BT243" s="153"/>
      <c r="BU243" s="153"/>
      <c r="BV243" s="153"/>
      <c r="BW243" s="153"/>
      <c r="BX243" s="153"/>
      <c r="BY243" s="153"/>
      <c r="BZ243" s="153"/>
      <c r="CA243" s="153"/>
      <c r="CB243" s="153"/>
      <c r="CC243" s="153"/>
      <c r="CD243" s="153"/>
      <c r="CE243" s="153"/>
      <c r="CF243" s="153"/>
      <c r="CG243" s="153"/>
      <c r="CH243" s="153"/>
      <c r="CI243" s="153"/>
      <c r="CJ243" s="153"/>
      <c r="CK243" s="153"/>
      <c r="CL243" s="153"/>
      <c r="CM243" s="153"/>
      <c r="CN243" s="153"/>
      <c r="CO243" s="153"/>
    </row>
    <row r="244" spans="12:93" x14ac:dyDescent="0.25">
      <c r="L244" s="153"/>
      <c r="M244" s="153"/>
      <c r="N244" s="640" t="s">
        <v>480</v>
      </c>
      <c r="O244" s="640"/>
      <c r="P244" s="640"/>
      <c r="Q244" s="640"/>
      <c r="R244" s="640"/>
      <c r="S244" s="640"/>
      <c r="T244" s="640"/>
      <c r="U244" s="640"/>
      <c r="V244" s="640"/>
      <c r="W244" s="640"/>
      <c r="X244" s="640"/>
      <c r="Y244" s="640"/>
      <c r="Z244" s="640"/>
      <c r="AA244" s="153"/>
      <c r="AB244" s="641" t="s">
        <v>21</v>
      </c>
      <c r="AC244" s="641"/>
      <c r="AD244" s="641"/>
      <c r="AE244" s="641"/>
      <c r="AF244" s="641"/>
      <c r="AG244" s="641"/>
      <c r="AH244" s="641"/>
      <c r="AI244" s="153"/>
      <c r="AJ244" s="153"/>
      <c r="AK244" s="153"/>
      <c r="AL244" s="153"/>
      <c r="AM244" s="153"/>
      <c r="AN244" s="153"/>
      <c r="AO244" s="153"/>
      <c r="AP244" s="642">
        <v>0</v>
      </c>
      <c r="AQ244" s="642"/>
      <c r="AR244" s="642"/>
      <c r="AS244" s="642"/>
      <c r="AT244" s="153"/>
      <c r="AU244" s="643">
        <v>0</v>
      </c>
      <c r="AV244" s="643"/>
      <c r="AW244" s="643"/>
      <c r="AX244" s="643"/>
      <c r="AY244" s="153"/>
      <c r="AZ244" s="642">
        <v>0</v>
      </c>
      <c r="BA244" s="642"/>
      <c r="BB244" s="642"/>
      <c r="BC244" s="642"/>
      <c r="BD244" s="153"/>
      <c r="BE244" s="644">
        <v>0</v>
      </c>
      <c r="BF244" s="644"/>
      <c r="BG244" s="153"/>
      <c r="BH244" s="153"/>
      <c r="BI244" s="153"/>
      <c r="BJ244" s="153"/>
      <c r="BK244" s="153"/>
      <c r="BL244" s="153"/>
      <c r="BM244" s="153"/>
      <c r="BN244" s="153"/>
      <c r="BO244" s="153"/>
      <c r="BP244" s="153"/>
      <c r="BQ244" s="153"/>
      <c r="BR244" s="153"/>
      <c r="BS244" s="153"/>
      <c r="BT244" s="153"/>
      <c r="BU244" s="153"/>
      <c r="BV244" s="153"/>
      <c r="BW244" s="153"/>
      <c r="BX244" s="153"/>
      <c r="BY244" s="153"/>
      <c r="BZ244" s="153"/>
      <c r="CA244" s="153"/>
      <c r="CB244" s="153"/>
      <c r="CC244" s="153"/>
      <c r="CD244" s="153"/>
      <c r="CE244" s="153"/>
      <c r="CF244" s="153"/>
      <c r="CG244" s="153"/>
      <c r="CH244" s="153"/>
      <c r="CI244" s="153"/>
      <c r="CJ244" s="643">
        <v>0</v>
      </c>
      <c r="CK244" s="643"/>
      <c r="CL244" s="153"/>
      <c r="CM244" s="153"/>
      <c r="CN244" s="153"/>
      <c r="CO244" s="153"/>
    </row>
    <row r="245" spans="12:93" x14ac:dyDescent="0.25"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  <c r="AC245" s="153"/>
      <c r="AD245" s="153"/>
      <c r="AE245" s="153"/>
      <c r="AF245" s="153"/>
      <c r="AG245" s="153"/>
      <c r="AH245" s="153"/>
      <c r="AI245" s="153"/>
      <c r="AJ245" s="153"/>
      <c r="AK245" s="153"/>
      <c r="AL245" s="153"/>
      <c r="AM245" s="153"/>
      <c r="AN245" s="153"/>
      <c r="AO245" s="153"/>
      <c r="AP245" s="153"/>
      <c r="AQ245" s="153"/>
      <c r="AR245" s="153"/>
      <c r="AS245" s="153"/>
      <c r="AT245" s="153"/>
      <c r="AU245" s="153"/>
      <c r="AV245" s="153"/>
      <c r="AW245" s="153"/>
      <c r="AX245" s="153"/>
      <c r="AY245" s="153"/>
      <c r="AZ245" s="153"/>
      <c r="BA245" s="153"/>
      <c r="BB245" s="153"/>
      <c r="BC245" s="153"/>
      <c r="BD245" s="153"/>
      <c r="BE245" s="153"/>
      <c r="BF245" s="153"/>
      <c r="BG245" s="153"/>
      <c r="BH245" s="153"/>
      <c r="BI245" s="153"/>
      <c r="BJ245" s="153"/>
      <c r="BK245" s="153"/>
      <c r="BL245" s="153"/>
      <c r="BM245" s="153"/>
      <c r="BN245" s="153"/>
      <c r="BO245" s="153"/>
      <c r="BP245" s="153"/>
      <c r="BQ245" s="153"/>
      <c r="BR245" s="153"/>
      <c r="BS245" s="153"/>
      <c r="BT245" s="153"/>
      <c r="BU245" s="153"/>
      <c r="BV245" s="153"/>
      <c r="BW245" s="153"/>
      <c r="BX245" s="153"/>
      <c r="BY245" s="153"/>
      <c r="BZ245" s="153"/>
      <c r="CA245" s="153"/>
      <c r="CB245" s="153"/>
      <c r="CC245" s="153"/>
      <c r="CD245" s="153"/>
      <c r="CE245" s="153"/>
      <c r="CF245" s="153"/>
      <c r="CG245" s="153"/>
      <c r="CH245" s="153"/>
      <c r="CI245" s="153"/>
      <c r="CJ245" s="153"/>
      <c r="CK245" s="153"/>
      <c r="CL245" s="153"/>
      <c r="CM245" s="153"/>
      <c r="CN245" s="153"/>
      <c r="CO245" s="153"/>
    </row>
    <row r="246" spans="12:93" x14ac:dyDescent="0.25"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  <c r="AC246" s="153"/>
      <c r="AD246" s="153"/>
      <c r="AE246" s="153"/>
      <c r="AF246" s="153"/>
      <c r="AG246" s="153"/>
      <c r="AH246" s="153"/>
      <c r="AI246" s="153"/>
      <c r="AJ246" s="153"/>
      <c r="AK246" s="153"/>
      <c r="AL246" s="153"/>
      <c r="AM246" s="153"/>
      <c r="AN246" s="153"/>
      <c r="AO246" s="153"/>
      <c r="AP246" s="153"/>
      <c r="AQ246" s="153"/>
      <c r="AR246" s="153"/>
      <c r="AS246" s="153"/>
      <c r="AT246" s="153"/>
      <c r="AU246" s="153"/>
      <c r="AV246" s="153"/>
      <c r="AW246" s="153"/>
      <c r="AX246" s="153"/>
      <c r="AY246" s="153"/>
      <c r="AZ246" s="153"/>
      <c r="BA246" s="153"/>
      <c r="BB246" s="153"/>
      <c r="BC246" s="153"/>
      <c r="BD246" s="153"/>
      <c r="BE246" s="153"/>
      <c r="BF246" s="153"/>
      <c r="BG246" s="153"/>
      <c r="BH246" s="153"/>
      <c r="BI246" s="153"/>
      <c r="BJ246" s="153"/>
      <c r="BK246" s="153"/>
      <c r="BL246" s="153"/>
      <c r="BM246" s="153"/>
      <c r="BN246" s="153"/>
      <c r="BO246" s="153"/>
      <c r="BP246" s="153"/>
      <c r="BQ246" s="153"/>
      <c r="BR246" s="153"/>
      <c r="BS246" s="153"/>
      <c r="BT246" s="153"/>
      <c r="BU246" s="153"/>
      <c r="BV246" s="153"/>
      <c r="BW246" s="153"/>
      <c r="BX246" s="153"/>
      <c r="BY246" s="153"/>
      <c r="BZ246" s="153"/>
      <c r="CA246" s="153"/>
      <c r="CB246" s="153"/>
      <c r="CC246" s="153"/>
      <c r="CD246" s="153"/>
      <c r="CE246" s="153"/>
      <c r="CF246" s="153"/>
      <c r="CG246" s="153"/>
      <c r="CH246" s="153"/>
      <c r="CI246" s="153"/>
      <c r="CJ246" s="153"/>
      <c r="CK246" s="153"/>
      <c r="CL246" s="153"/>
      <c r="CM246" s="153"/>
      <c r="CN246" s="153"/>
      <c r="CO246" s="153"/>
    </row>
    <row r="247" spans="12:93" x14ac:dyDescent="0.25">
      <c r="L247" s="153"/>
      <c r="M247" s="153"/>
      <c r="N247" s="640" t="s">
        <v>481</v>
      </c>
      <c r="O247" s="640"/>
      <c r="P247" s="640"/>
      <c r="Q247" s="640"/>
      <c r="R247" s="640"/>
      <c r="S247" s="640"/>
      <c r="T247" s="640"/>
      <c r="U247" s="640"/>
      <c r="V247" s="640"/>
      <c r="W247" s="640"/>
      <c r="X247" s="640"/>
      <c r="Y247" s="640"/>
      <c r="Z247" s="640"/>
      <c r="AA247" s="153"/>
      <c r="AB247" s="641" t="s">
        <v>21</v>
      </c>
      <c r="AC247" s="641"/>
      <c r="AD247" s="641"/>
      <c r="AE247" s="641"/>
      <c r="AF247" s="641"/>
      <c r="AG247" s="641"/>
      <c r="AH247" s="641"/>
      <c r="AI247" s="153"/>
      <c r="AJ247" s="153"/>
      <c r="AK247" s="153"/>
      <c r="AL247" s="153"/>
      <c r="AM247" s="153"/>
      <c r="AN247" s="153"/>
      <c r="AO247" s="153"/>
      <c r="AP247" s="642">
        <v>0</v>
      </c>
      <c r="AQ247" s="642"/>
      <c r="AR247" s="642"/>
      <c r="AS247" s="642"/>
      <c r="AT247" s="153"/>
      <c r="AU247" s="643">
        <v>0</v>
      </c>
      <c r="AV247" s="643"/>
      <c r="AW247" s="643"/>
      <c r="AX247" s="643"/>
      <c r="AY247" s="153"/>
      <c r="AZ247" s="642">
        <v>0</v>
      </c>
      <c r="BA247" s="642"/>
      <c r="BB247" s="642"/>
      <c r="BC247" s="642"/>
      <c r="BD247" s="153"/>
      <c r="BE247" s="644">
        <v>0</v>
      </c>
      <c r="BF247" s="644"/>
      <c r="BG247" s="153"/>
      <c r="BH247" s="153"/>
      <c r="BI247" s="153"/>
      <c r="BJ247" s="153"/>
      <c r="BK247" s="153"/>
      <c r="BL247" s="153"/>
      <c r="BM247" s="153"/>
      <c r="BN247" s="153"/>
      <c r="BO247" s="153"/>
      <c r="BP247" s="153"/>
      <c r="BQ247" s="153"/>
      <c r="BR247" s="153"/>
      <c r="BS247" s="153"/>
      <c r="BT247" s="153"/>
      <c r="BU247" s="153"/>
      <c r="BV247" s="153"/>
      <c r="BW247" s="153"/>
      <c r="BX247" s="153"/>
      <c r="BY247" s="153"/>
      <c r="BZ247" s="153"/>
      <c r="CA247" s="153"/>
      <c r="CB247" s="153"/>
      <c r="CC247" s="153"/>
      <c r="CD247" s="153"/>
      <c r="CE247" s="153"/>
      <c r="CF247" s="153"/>
      <c r="CG247" s="153"/>
      <c r="CH247" s="153"/>
      <c r="CI247" s="153"/>
      <c r="CJ247" s="643">
        <v>0</v>
      </c>
      <c r="CK247" s="643"/>
      <c r="CL247" s="153"/>
      <c r="CM247" s="153"/>
      <c r="CN247" s="153"/>
      <c r="CO247" s="153"/>
    </row>
    <row r="248" spans="12:93" x14ac:dyDescent="0.25"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  <c r="AC248" s="153"/>
      <c r="AD248" s="153"/>
      <c r="AE248" s="153"/>
      <c r="AF248" s="153"/>
      <c r="AG248" s="153"/>
      <c r="AH248" s="153"/>
      <c r="AI248" s="153"/>
      <c r="AJ248" s="153"/>
      <c r="AK248" s="153"/>
      <c r="AL248" s="153"/>
      <c r="AM248" s="153"/>
      <c r="AN248" s="153"/>
      <c r="AO248" s="153"/>
      <c r="AP248" s="153"/>
      <c r="AQ248" s="153"/>
      <c r="AR248" s="153"/>
      <c r="AS248" s="153"/>
      <c r="AT248" s="153"/>
      <c r="AU248" s="153"/>
      <c r="AV248" s="153"/>
      <c r="AW248" s="153"/>
      <c r="AX248" s="153"/>
      <c r="AY248" s="153"/>
      <c r="AZ248" s="153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  <c r="BL248" s="153"/>
      <c r="BM248" s="153"/>
      <c r="BN248" s="153"/>
      <c r="BO248" s="153"/>
      <c r="BP248" s="153"/>
      <c r="BQ248" s="153"/>
      <c r="BR248" s="153"/>
      <c r="BS248" s="153"/>
      <c r="BT248" s="153"/>
      <c r="BU248" s="153"/>
      <c r="BV248" s="153"/>
      <c r="BW248" s="153"/>
      <c r="BX248" s="153"/>
      <c r="BY248" s="153"/>
      <c r="BZ248" s="153"/>
      <c r="CA248" s="153"/>
      <c r="CB248" s="153"/>
      <c r="CC248" s="153"/>
      <c r="CD248" s="153"/>
      <c r="CE248" s="153"/>
      <c r="CF248" s="153"/>
      <c r="CG248" s="153"/>
      <c r="CH248" s="153"/>
      <c r="CI248" s="153"/>
      <c r="CJ248" s="153"/>
      <c r="CK248" s="153"/>
      <c r="CL248" s="153"/>
      <c r="CM248" s="153"/>
      <c r="CN248" s="153"/>
      <c r="CO248" s="153"/>
    </row>
    <row r="249" spans="12:93" x14ac:dyDescent="0.25"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  <c r="AC249" s="153"/>
      <c r="AD249" s="153"/>
      <c r="AE249" s="153"/>
      <c r="AF249" s="153"/>
      <c r="AG249" s="153"/>
      <c r="AH249" s="153"/>
      <c r="AI249" s="153"/>
      <c r="AJ249" s="153"/>
      <c r="AK249" s="153"/>
      <c r="AL249" s="153"/>
      <c r="AM249" s="153"/>
      <c r="AN249" s="153"/>
      <c r="AO249" s="153"/>
      <c r="AP249" s="153"/>
      <c r="AQ249" s="153"/>
      <c r="AR249" s="153"/>
      <c r="AS249" s="153"/>
      <c r="AT249" s="153"/>
      <c r="AU249" s="153"/>
      <c r="AV249" s="153"/>
      <c r="AW249" s="153"/>
      <c r="AX249" s="153"/>
      <c r="AY249" s="153"/>
      <c r="AZ249" s="153"/>
      <c r="BA249" s="153"/>
      <c r="BB249" s="153"/>
      <c r="BC249" s="153"/>
      <c r="BD249" s="153"/>
      <c r="BE249" s="153"/>
      <c r="BF249" s="153"/>
      <c r="BG249" s="153"/>
      <c r="BH249" s="153"/>
      <c r="BI249" s="153"/>
      <c r="BJ249" s="153"/>
      <c r="BK249" s="153"/>
      <c r="BL249" s="153"/>
      <c r="BM249" s="153"/>
      <c r="BN249" s="153"/>
      <c r="BO249" s="153"/>
      <c r="BP249" s="153"/>
      <c r="BQ249" s="153"/>
      <c r="BR249" s="153"/>
      <c r="BS249" s="153"/>
      <c r="BT249" s="153"/>
      <c r="BU249" s="153"/>
      <c r="BV249" s="153"/>
      <c r="BW249" s="153"/>
      <c r="BX249" s="153"/>
      <c r="BY249" s="153"/>
      <c r="BZ249" s="153"/>
      <c r="CA249" s="153"/>
      <c r="CB249" s="153"/>
      <c r="CC249" s="153"/>
      <c r="CD249" s="153"/>
      <c r="CE249" s="153"/>
      <c r="CF249" s="153"/>
      <c r="CG249" s="153"/>
      <c r="CH249" s="153"/>
      <c r="CI249" s="153"/>
      <c r="CJ249" s="153"/>
      <c r="CK249" s="153"/>
      <c r="CL249" s="153"/>
      <c r="CM249" s="153"/>
      <c r="CN249" s="153"/>
      <c r="CO249" s="153"/>
    </row>
    <row r="250" spans="12:93" x14ac:dyDescent="0.25">
      <c r="L250" s="647" t="s">
        <v>482</v>
      </c>
      <c r="M250" s="647"/>
      <c r="N250" s="647"/>
      <c r="O250" s="647"/>
      <c r="P250" s="647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  <c r="AC250" s="153"/>
      <c r="AD250" s="153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646">
        <v>59000</v>
      </c>
      <c r="AQ250" s="646"/>
      <c r="AR250" s="646"/>
      <c r="AS250" s="646"/>
      <c r="AT250" s="153"/>
      <c r="AU250" s="646">
        <v>0</v>
      </c>
      <c r="AV250" s="646"/>
      <c r="AW250" s="646"/>
      <c r="AX250" s="646"/>
      <c r="AY250" s="153"/>
      <c r="AZ250" s="646">
        <v>0</v>
      </c>
      <c r="BA250" s="646"/>
      <c r="BB250" s="646"/>
      <c r="BC250" s="646"/>
      <c r="BD250" s="153"/>
      <c r="BE250" s="644">
        <v>59000</v>
      </c>
      <c r="BF250" s="644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646">
        <v>37550</v>
      </c>
      <c r="BU250" s="646"/>
      <c r="BV250" s="646"/>
      <c r="BW250" s="153"/>
      <c r="BX250" s="646">
        <v>0</v>
      </c>
      <c r="BY250" s="646"/>
      <c r="BZ250" s="646"/>
      <c r="CA250" s="646"/>
      <c r="CB250" s="646"/>
      <c r="CC250" s="153"/>
      <c r="CD250" s="153"/>
      <c r="CE250" s="644">
        <v>37550</v>
      </c>
      <c r="CF250" s="644"/>
      <c r="CG250" s="644"/>
      <c r="CH250" s="153"/>
      <c r="CI250" s="153"/>
      <c r="CJ250" s="646">
        <v>21450</v>
      </c>
      <c r="CK250" s="646"/>
      <c r="CL250" s="646"/>
      <c r="CM250" s="153"/>
      <c r="CN250" s="153"/>
      <c r="CO250" s="153"/>
    </row>
  </sheetData>
  <mergeCells count="335">
    <mergeCell ref="BX250:CB250"/>
    <mergeCell ref="CE250:CG250"/>
    <mergeCell ref="CJ250:CL250"/>
    <mergeCell ref="L250:P250"/>
    <mergeCell ref="AP250:AS250"/>
    <mergeCell ref="AU250:AX250"/>
    <mergeCell ref="AZ250:BC250"/>
    <mergeCell ref="BE250:BF250"/>
    <mergeCell ref="BT250:BV250"/>
    <mergeCell ref="CJ244:CK244"/>
    <mergeCell ref="N247:Z247"/>
    <mergeCell ref="AB247:AH247"/>
    <mergeCell ref="AP247:AS247"/>
    <mergeCell ref="AU247:AX247"/>
    <mergeCell ref="AZ247:BC247"/>
    <mergeCell ref="BE247:BF247"/>
    <mergeCell ref="CJ247:CK247"/>
    <mergeCell ref="N244:Z244"/>
    <mergeCell ref="AB244:AH244"/>
    <mergeCell ref="AP244:AS244"/>
    <mergeCell ref="AU244:AX244"/>
    <mergeCell ref="AZ244:BC244"/>
    <mergeCell ref="BE244:BF244"/>
    <mergeCell ref="CJ238:CK238"/>
    <mergeCell ref="N241:Z241"/>
    <mergeCell ref="AB241:AH241"/>
    <mergeCell ref="AP241:AS241"/>
    <mergeCell ref="AU241:AX241"/>
    <mergeCell ref="AZ241:BC241"/>
    <mergeCell ref="BE241:BF241"/>
    <mergeCell ref="CJ241:CK241"/>
    <mergeCell ref="N238:Z238"/>
    <mergeCell ref="AB238:AH238"/>
    <mergeCell ref="AP238:AS238"/>
    <mergeCell ref="AU238:AX238"/>
    <mergeCell ref="AZ238:BC238"/>
    <mergeCell ref="BE238:BF238"/>
    <mergeCell ref="N235:Z235"/>
    <mergeCell ref="AB235:AH235"/>
    <mergeCell ref="AP235:AS235"/>
    <mergeCell ref="AU235:AX235"/>
    <mergeCell ref="AZ235:BC235"/>
    <mergeCell ref="BE235:BF235"/>
    <mergeCell ref="CJ235:CK235"/>
    <mergeCell ref="BE232:BF232"/>
    <mergeCell ref="BJ232:BM232"/>
    <mergeCell ref="BO232:BR232"/>
    <mergeCell ref="BT232:BV232"/>
    <mergeCell ref="BX232:CB232"/>
    <mergeCell ref="CE232:CG232"/>
    <mergeCell ref="CE229:CG229"/>
    <mergeCell ref="CJ229:CK229"/>
    <mergeCell ref="N232:Z232"/>
    <mergeCell ref="AB232:AH232"/>
    <mergeCell ref="AK232:AN232"/>
    <mergeCell ref="AP232:AS232"/>
    <mergeCell ref="AU232:AX232"/>
    <mergeCell ref="AZ232:BC232"/>
    <mergeCell ref="CJ232:CK232"/>
    <mergeCell ref="CJ226:CK226"/>
    <mergeCell ref="N229:Z229"/>
    <mergeCell ref="AB229:AH229"/>
    <mergeCell ref="AK229:AN229"/>
    <mergeCell ref="AP229:AS229"/>
    <mergeCell ref="AU229:AX229"/>
    <mergeCell ref="AZ229:BC229"/>
    <mergeCell ref="BE229:BF229"/>
    <mergeCell ref="BJ229:BM229"/>
    <mergeCell ref="BO229:BR229"/>
    <mergeCell ref="BE226:BF226"/>
    <mergeCell ref="BJ226:BM226"/>
    <mergeCell ref="BO226:BR226"/>
    <mergeCell ref="BT226:BV226"/>
    <mergeCell ref="BX226:CB226"/>
    <mergeCell ref="CE226:CG226"/>
    <mergeCell ref="N226:Z226"/>
    <mergeCell ref="AB226:AH226"/>
    <mergeCell ref="AK226:AN226"/>
    <mergeCell ref="AP226:AS226"/>
    <mergeCell ref="AU226:AX226"/>
    <mergeCell ref="AZ226:BC226"/>
    <mergeCell ref="BT229:BV229"/>
    <mergeCell ref="BX229:CB229"/>
    <mergeCell ref="CJ220:CK220"/>
    <mergeCell ref="N223:Z223"/>
    <mergeCell ref="AB223:AH223"/>
    <mergeCell ref="AK223:AN223"/>
    <mergeCell ref="AP223:AS223"/>
    <mergeCell ref="AU223:AX223"/>
    <mergeCell ref="AZ223:BC223"/>
    <mergeCell ref="BE223:BF223"/>
    <mergeCell ref="CJ223:CK223"/>
    <mergeCell ref="BE220:BF220"/>
    <mergeCell ref="BJ220:BM220"/>
    <mergeCell ref="BO220:BR220"/>
    <mergeCell ref="BT220:BV220"/>
    <mergeCell ref="BX220:CB220"/>
    <mergeCell ref="CE220:CG220"/>
    <mergeCell ref="N220:Z220"/>
    <mergeCell ref="AB220:AH220"/>
    <mergeCell ref="AK220:AN220"/>
    <mergeCell ref="AP220:AS220"/>
    <mergeCell ref="AU220:AX220"/>
    <mergeCell ref="AZ220:BC220"/>
    <mergeCell ref="BJ217:BM217"/>
    <mergeCell ref="BO217:BR217"/>
    <mergeCell ref="BT217:BV217"/>
    <mergeCell ref="BX217:CB217"/>
    <mergeCell ref="CE217:CG217"/>
    <mergeCell ref="CJ217:CK217"/>
    <mergeCell ref="BE216:BF216"/>
    <mergeCell ref="BJ216:BM216"/>
    <mergeCell ref="BO216:BR216"/>
    <mergeCell ref="BT216:BV216"/>
    <mergeCell ref="BY216:CB216"/>
    <mergeCell ref="CE216:CG216"/>
    <mergeCell ref="N216:Z216"/>
    <mergeCell ref="AB216:AH216"/>
    <mergeCell ref="AK216:AN216"/>
    <mergeCell ref="AP216:AS216"/>
    <mergeCell ref="AU216:AX216"/>
    <mergeCell ref="AZ216:BC216"/>
    <mergeCell ref="CJ210:CK210"/>
    <mergeCell ref="N213:Z213"/>
    <mergeCell ref="AB213:AH213"/>
    <mergeCell ref="AP213:AS213"/>
    <mergeCell ref="AU213:AX213"/>
    <mergeCell ref="AZ213:BC213"/>
    <mergeCell ref="BE213:BF213"/>
    <mergeCell ref="CJ213:CK213"/>
    <mergeCell ref="N210:Z210"/>
    <mergeCell ref="AB210:AH210"/>
    <mergeCell ref="AP210:AS210"/>
    <mergeCell ref="AU210:AX210"/>
    <mergeCell ref="AZ210:BC210"/>
    <mergeCell ref="BE210:BF210"/>
    <mergeCell ref="CJ216:CK216"/>
    <mergeCell ref="BJ207:BM207"/>
    <mergeCell ref="BO207:BR207"/>
    <mergeCell ref="BT207:BV207"/>
    <mergeCell ref="BY207:CB207"/>
    <mergeCell ref="CE207:CG207"/>
    <mergeCell ref="CJ207:CK207"/>
    <mergeCell ref="N207:Z207"/>
    <mergeCell ref="AB207:AH207"/>
    <mergeCell ref="AP207:AS207"/>
    <mergeCell ref="AU207:AX207"/>
    <mergeCell ref="AZ207:BC207"/>
    <mergeCell ref="BE207:BF207"/>
    <mergeCell ref="CJ201:CK201"/>
    <mergeCell ref="N204:Z204"/>
    <mergeCell ref="AB204:AH204"/>
    <mergeCell ref="AK204:AN204"/>
    <mergeCell ref="AP204:AS204"/>
    <mergeCell ref="AU204:AX204"/>
    <mergeCell ref="AZ204:BC204"/>
    <mergeCell ref="BE204:BF204"/>
    <mergeCell ref="CJ204:CK204"/>
    <mergeCell ref="N201:Z201"/>
    <mergeCell ref="AB201:AH201"/>
    <mergeCell ref="AP201:AS201"/>
    <mergeCell ref="AU201:AX201"/>
    <mergeCell ref="AZ201:BC201"/>
    <mergeCell ref="BE201:BF201"/>
    <mergeCell ref="N198:Z198"/>
    <mergeCell ref="AB198:AH198"/>
    <mergeCell ref="AK198:AN198"/>
    <mergeCell ref="AP198:AS198"/>
    <mergeCell ref="AU198:AX198"/>
    <mergeCell ref="AZ198:BC198"/>
    <mergeCell ref="BE198:BF198"/>
    <mergeCell ref="CJ198:CK198"/>
    <mergeCell ref="BE195:BF195"/>
    <mergeCell ref="BJ195:BM195"/>
    <mergeCell ref="BO195:BR195"/>
    <mergeCell ref="BT195:BV195"/>
    <mergeCell ref="BY195:CB195"/>
    <mergeCell ref="CE195:CG195"/>
    <mergeCell ref="CE192:CG192"/>
    <mergeCell ref="CJ192:CK192"/>
    <mergeCell ref="N195:Z195"/>
    <mergeCell ref="AB195:AH195"/>
    <mergeCell ref="AK195:AN195"/>
    <mergeCell ref="AP195:AS195"/>
    <mergeCell ref="AU195:AX195"/>
    <mergeCell ref="AZ195:BC195"/>
    <mergeCell ref="CJ195:CK195"/>
    <mergeCell ref="CJ189:CK189"/>
    <mergeCell ref="N192:Z192"/>
    <mergeCell ref="AB192:AH192"/>
    <mergeCell ref="AK192:AN192"/>
    <mergeCell ref="AP192:AS192"/>
    <mergeCell ref="AU192:AX192"/>
    <mergeCell ref="AZ192:BC192"/>
    <mergeCell ref="BE192:BF192"/>
    <mergeCell ref="BJ192:BM192"/>
    <mergeCell ref="BO192:BR192"/>
    <mergeCell ref="BE189:BF189"/>
    <mergeCell ref="BJ189:BM189"/>
    <mergeCell ref="BO189:BR189"/>
    <mergeCell ref="BT189:BV189"/>
    <mergeCell ref="BY189:CB189"/>
    <mergeCell ref="CE189:CG189"/>
    <mergeCell ref="N189:Z189"/>
    <mergeCell ref="AB189:AH189"/>
    <mergeCell ref="AK189:AN189"/>
    <mergeCell ref="AP189:AS189"/>
    <mergeCell ref="AU189:AX189"/>
    <mergeCell ref="AZ189:BC189"/>
    <mergeCell ref="BT192:BV192"/>
    <mergeCell ref="BY192:CB192"/>
    <mergeCell ref="CJ183:CK183"/>
    <mergeCell ref="N186:Z186"/>
    <mergeCell ref="AB186:AH186"/>
    <mergeCell ref="AP186:AS186"/>
    <mergeCell ref="AU186:AX186"/>
    <mergeCell ref="AZ186:BC186"/>
    <mergeCell ref="BE186:BF186"/>
    <mergeCell ref="CJ186:CK186"/>
    <mergeCell ref="N183:Z183"/>
    <mergeCell ref="AB183:AH183"/>
    <mergeCell ref="AP183:AS183"/>
    <mergeCell ref="AU183:AX183"/>
    <mergeCell ref="AZ183:BC183"/>
    <mergeCell ref="BE183:BF183"/>
    <mergeCell ref="N177:Z177"/>
    <mergeCell ref="AB177:AH177"/>
    <mergeCell ref="AP177:AS177"/>
    <mergeCell ref="AU177:AX177"/>
    <mergeCell ref="AZ177:BC177"/>
    <mergeCell ref="BE177:BF177"/>
    <mergeCell ref="CJ177:CK177"/>
    <mergeCell ref="N180:Z180"/>
    <mergeCell ref="AB180:AH180"/>
    <mergeCell ref="AK180:AN180"/>
    <mergeCell ref="AP180:AS180"/>
    <mergeCell ref="AU180:AX180"/>
    <mergeCell ref="AZ180:BC180"/>
    <mergeCell ref="BE180:BF180"/>
    <mergeCell ref="CJ180:CK180"/>
    <mergeCell ref="BE171:BF171"/>
    <mergeCell ref="CJ171:CK171"/>
    <mergeCell ref="N174:Z174"/>
    <mergeCell ref="AB174:AH174"/>
    <mergeCell ref="AK174:AN174"/>
    <mergeCell ref="AP174:AS174"/>
    <mergeCell ref="AU174:AX174"/>
    <mergeCell ref="AZ174:BC174"/>
    <mergeCell ref="BE174:BF174"/>
    <mergeCell ref="BJ174:BM174"/>
    <mergeCell ref="N171:Z171"/>
    <mergeCell ref="AB171:AH171"/>
    <mergeCell ref="AK171:AN171"/>
    <mergeCell ref="AP171:AS171"/>
    <mergeCell ref="AU171:AX171"/>
    <mergeCell ref="AZ171:BC171"/>
    <mergeCell ref="BO174:BR174"/>
    <mergeCell ref="BT174:BV174"/>
    <mergeCell ref="BY174:CB174"/>
    <mergeCell ref="CE174:CG174"/>
    <mergeCell ref="CJ174:CK174"/>
    <mergeCell ref="CJ165:CK165"/>
    <mergeCell ref="N168:Z168"/>
    <mergeCell ref="AB168:AH168"/>
    <mergeCell ref="AP168:AS168"/>
    <mergeCell ref="AU168:AX168"/>
    <mergeCell ref="AZ168:BC168"/>
    <mergeCell ref="BE168:BF168"/>
    <mergeCell ref="CJ168:CK168"/>
    <mergeCell ref="N165:Z165"/>
    <mergeCell ref="AB165:AH165"/>
    <mergeCell ref="AP165:AS165"/>
    <mergeCell ref="AU165:AX165"/>
    <mergeCell ref="AZ165:BC165"/>
    <mergeCell ref="BE165:BF165"/>
    <mergeCell ref="BJ162:BM162"/>
    <mergeCell ref="BO162:BR162"/>
    <mergeCell ref="BT162:BV162"/>
    <mergeCell ref="BY162:CB162"/>
    <mergeCell ref="CE162:CG162"/>
    <mergeCell ref="CJ162:CK162"/>
    <mergeCell ref="CJ158:CK158"/>
    <mergeCell ref="BJ160:BM160"/>
    <mergeCell ref="BO160:BR160"/>
    <mergeCell ref="BT160:BV160"/>
    <mergeCell ref="BY160:CB160"/>
    <mergeCell ref="CE160:CG160"/>
    <mergeCell ref="CJ160:CK160"/>
    <mergeCell ref="BE158:BF158"/>
    <mergeCell ref="BJ158:BM158"/>
    <mergeCell ref="BO158:BR158"/>
    <mergeCell ref="BT158:BV158"/>
    <mergeCell ref="BY158:CB158"/>
    <mergeCell ref="CE158:CG158"/>
    <mergeCell ref="N158:Z158"/>
    <mergeCell ref="AB158:AH158"/>
    <mergeCell ref="AK158:AN158"/>
    <mergeCell ref="AP158:AS158"/>
    <mergeCell ref="AU158:AX158"/>
    <mergeCell ref="AZ158:BC158"/>
    <mergeCell ref="N152:Z152"/>
    <mergeCell ref="AB152:AH152"/>
    <mergeCell ref="AP152:AS152"/>
    <mergeCell ref="AU152:AX152"/>
    <mergeCell ref="AZ152:BC152"/>
    <mergeCell ref="BE152:BF152"/>
    <mergeCell ref="CJ152:CK152"/>
    <mergeCell ref="N155:Z155"/>
    <mergeCell ref="AB155:AH155"/>
    <mergeCell ref="AK155:AN155"/>
    <mergeCell ref="AP155:AS155"/>
    <mergeCell ref="AU155:AX155"/>
    <mergeCell ref="AZ155:BC155"/>
    <mergeCell ref="BE155:BF155"/>
    <mergeCell ref="CJ155:CK155"/>
    <mergeCell ref="L143:AB143"/>
    <mergeCell ref="AC143:AM144"/>
    <mergeCell ref="AN143:AW143"/>
    <mergeCell ref="AX143:BV144"/>
    <mergeCell ref="BW143:CF143"/>
    <mergeCell ref="CG143:CO143"/>
    <mergeCell ref="N147:AF147"/>
    <mergeCell ref="BL147:CF147"/>
    <mergeCell ref="N149:R149"/>
    <mergeCell ref="AB149:AD149"/>
    <mergeCell ref="AK149:AO149"/>
    <mergeCell ref="AQ149:AS149"/>
    <mergeCell ref="AU149:AY149"/>
    <mergeCell ref="AZ149:BC149"/>
    <mergeCell ref="BI149:BO149"/>
    <mergeCell ref="BQ149:BR149"/>
    <mergeCell ref="BT149:BX149"/>
    <mergeCell ref="BY149:CC149"/>
    <mergeCell ref="CE149:CH149"/>
    <mergeCell ref="CI149:CL149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A94" zoomScaleNormal="100" workbookViewId="0">
      <selection activeCell="J212" sqref="J212"/>
    </sheetView>
  </sheetViews>
  <sheetFormatPr defaultRowHeight="15" x14ac:dyDescent="0.25"/>
  <cols>
    <col min="1" max="1" width="15.7109375" customWidth="1"/>
    <col min="2" max="2" width="7.5703125" customWidth="1"/>
    <col min="3" max="3" width="12.28515625" customWidth="1"/>
    <col min="4" max="4" width="10.85546875" customWidth="1"/>
    <col min="5" max="5" width="11.28515625" customWidth="1"/>
    <col min="6" max="6" width="11" customWidth="1"/>
    <col min="7" max="7" width="11.7109375" customWidth="1"/>
    <col min="8" max="8" width="12.140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499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>
        <v>8000</v>
      </c>
      <c r="E10" s="47">
        <v>2000</v>
      </c>
      <c r="F10" s="46">
        <f t="shared" si="0"/>
        <v>10000</v>
      </c>
      <c r="G10" s="46"/>
      <c r="H10" s="68">
        <f t="shared" si="1"/>
        <v>10000</v>
      </c>
    </row>
    <row r="11" spans="1:8" x14ac:dyDescent="0.25">
      <c r="A11" s="43" t="s">
        <v>149</v>
      </c>
      <c r="B11" s="3">
        <v>4</v>
      </c>
      <c r="C11" s="44"/>
      <c r="D11" s="2">
        <v>8500</v>
      </c>
      <c r="E11" s="46"/>
      <c r="F11" s="46">
        <f t="shared" si="0"/>
        <v>8500</v>
      </c>
      <c r="G11" s="46"/>
      <c r="H11" s="68">
        <f t="shared" si="1"/>
        <v>8500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500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2000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 t="shared" si="0"/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185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16000</v>
      </c>
      <c r="H20" s="68">
        <f>SUM(H8:H19)</f>
        <v>18500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100" t="s">
        <v>501</v>
      </c>
      <c r="B26" s="9"/>
      <c r="C26" s="9"/>
      <c r="D26" s="72">
        <v>16200</v>
      </c>
      <c r="E26" s="9"/>
      <c r="F26" s="36" t="s">
        <v>22</v>
      </c>
      <c r="G26" s="9"/>
      <c r="H26" s="162"/>
    </row>
    <row r="27" spans="1:8" x14ac:dyDescent="0.25">
      <c r="A27" t="s">
        <v>154</v>
      </c>
      <c r="D27" s="72">
        <f>SUM(D25:D26)</f>
        <v>18000</v>
      </c>
      <c r="E27" s="9"/>
      <c r="F27" s="36"/>
      <c r="G27" s="9"/>
      <c r="H27" s="9"/>
    </row>
    <row r="28" spans="1:8" x14ac:dyDescent="0.25">
      <c r="A28" s="122" t="s">
        <v>165</v>
      </c>
      <c r="B28" s="9"/>
      <c r="C28" s="9"/>
      <c r="D28" s="72">
        <f>D23-D27</f>
        <v>0</v>
      </c>
      <c r="E28" s="9"/>
      <c r="F28" s="9"/>
      <c r="G28" s="9"/>
      <c r="H28" s="9"/>
    </row>
    <row r="29" spans="1:8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</row>
    <row r="30" spans="1:8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38" t="s">
        <v>173</v>
      </c>
      <c r="B32" s="9"/>
      <c r="C32" s="18"/>
      <c r="D32" s="72"/>
      <c r="E32" s="9"/>
      <c r="F32" s="9"/>
      <c r="G32" s="9"/>
      <c r="H32" s="9"/>
    </row>
    <row r="33" spans="1:9" x14ac:dyDescent="0.25">
      <c r="D33" s="72"/>
      <c r="E33" s="91"/>
      <c r="F33" s="9"/>
      <c r="G33" s="9"/>
      <c r="H33" s="9"/>
    </row>
    <row r="34" spans="1:9" x14ac:dyDescent="0.25">
      <c r="D34" s="9"/>
      <c r="E34" s="9"/>
      <c r="F34" s="9"/>
      <c r="G34" s="9"/>
      <c r="H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9" ht="23.25" x14ac:dyDescent="0.35">
      <c r="A39" s="4"/>
      <c r="B39" s="183" t="s">
        <v>97</v>
      </c>
      <c r="C39" s="183"/>
      <c r="D39" s="183"/>
      <c r="E39" s="183"/>
      <c r="F39" s="183"/>
      <c r="G39" s="183"/>
      <c r="H39" s="9"/>
    </row>
    <row r="40" spans="1:9" x14ac:dyDescent="0.25">
      <c r="A40" s="9"/>
      <c r="B40" s="9"/>
      <c r="C40" s="95"/>
      <c r="D40" s="95"/>
      <c r="E40" s="96" t="s">
        <v>517</v>
      </c>
      <c r="F40" s="95"/>
      <c r="G40" s="95"/>
      <c r="H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9" x14ac:dyDescent="0.25">
      <c r="A42" s="43"/>
      <c r="B42" s="10"/>
      <c r="C42" s="43"/>
      <c r="D42" s="43"/>
      <c r="E42" s="47"/>
      <c r="F42" s="47"/>
      <c r="G42" s="47"/>
      <c r="H42" s="43"/>
    </row>
    <row r="43" spans="1:9" x14ac:dyDescent="0.25">
      <c r="A43" s="88" t="s">
        <v>297</v>
      </c>
      <c r="B43" s="3"/>
      <c r="C43" s="44"/>
      <c r="D43" s="2">
        <v>7500</v>
      </c>
      <c r="E43" s="46">
        <v>3000</v>
      </c>
      <c r="F43" s="46">
        <f>D43+E43</f>
        <v>10500</v>
      </c>
      <c r="G43" s="53">
        <v>1500</v>
      </c>
      <c r="H43" s="105">
        <f>F43-G43</f>
        <v>9000</v>
      </c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53">
        <v>4500</v>
      </c>
      <c r="H44" s="105">
        <f t="shared" ref="H44:H54" si="3">F44-G44</f>
        <v>0</v>
      </c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>D45+E45</f>
        <v>5000</v>
      </c>
      <c r="G45" s="53">
        <v>5000</v>
      </c>
      <c r="H45" s="105">
        <f t="shared" si="3"/>
        <v>0</v>
      </c>
      <c r="I45" t="s">
        <v>107</v>
      </c>
    </row>
    <row r="46" spans="1:9" x14ac:dyDescent="0.25">
      <c r="A46" s="43" t="s">
        <v>21</v>
      </c>
      <c r="B46" s="3"/>
      <c r="C46" s="44"/>
      <c r="D46" s="44"/>
      <c r="E46" s="46"/>
      <c r="F46" s="46"/>
      <c r="G46" s="53"/>
      <c r="H46" s="105"/>
    </row>
    <row r="47" spans="1:9" x14ac:dyDescent="0.25">
      <c r="A47" s="43" t="s">
        <v>377</v>
      </c>
      <c r="B47" s="3"/>
      <c r="C47" s="44"/>
      <c r="D47" s="44"/>
      <c r="E47" s="46">
        <v>1500</v>
      </c>
      <c r="F47" s="46">
        <f t="shared" si="2"/>
        <v>1500</v>
      </c>
      <c r="G47" s="53">
        <v>1500</v>
      </c>
      <c r="H47" s="105">
        <f t="shared" si="3"/>
        <v>0</v>
      </c>
    </row>
    <row r="48" spans="1:9" x14ac:dyDescent="0.25">
      <c r="A48" s="43" t="s">
        <v>21</v>
      </c>
      <c r="B48" s="3"/>
      <c r="C48" s="44"/>
      <c r="D48" s="44"/>
      <c r="E48" s="73"/>
      <c r="F48" s="46">
        <f t="shared" si="2"/>
        <v>0</v>
      </c>
      <c r="G48" s="132"/>
      <c r="H48" s="105">
        <f t="shared" si="3"/>
        <v>0</v>
      </c>
    </row>
    <row r="49" spans="1:8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53">
        <v>1500</v>
      </c>
      <c r="H49" s="105">
        <f t="shared" si="3"/>
        <v>1500</v>
      </c>
    </row>
    <row r="50" spans="1:8" x14ac:dyDescent="0.25">
      <c r="A50" s="44" t="s">
        <v>344</v>
      </c>
      <c r="B50" s="44"/>
      <c r="C50" s="44"/>
      <c r="D50" s="44"/>
      <c r="E50" s="44"/>
      <c r="F50" s="46"/>
      <c r="G50" s="113"/>
      <c r="H50" s="105">
        <f t="shared" si="3"/>
        <v>0</v>
      </c>
    </row>
    <row r="51" spans="1:8" x14ac:dyDescent="0.25">
      <c r="A51" s="88" t="s">
        <v>21</v>
      </c>
      <c r="B51" s="44"/>
      <c r="C51" s="44"/>
      <c r="D51" s="44"/>
      <c r="E51" s="115"/>
      <c r="F51" s="46"/>
      <c r="G51" s="134"/>
      <c r="H51" s="105">
        <f t="shared" si="3"/>
        <v>0</v>
      </c>
    </row>
    <row r="52" spans="1:8" x14ac:dyDescent="0.25">
      <c r="A52" s="88"/>
      <c r="B52" s="44"/>
      <c r="C52" s="44"/>
      <c r="D52" s="44"/>
      <c r="E52" s="115"/>
      <c r="F52" s="46"/>
      <c r="G52" s="134"/>
      <c r="H52" s="105"/>
    </row>
    <row r="53" spans="1:8" x14ac:dyDescent="0.25">
      <c r="A53" s="88" t="s">
        <v>21</v>
      </c>
      <c r="B53" s="44"/>
      <c r="C53" s="44"/>
      <c r="D53" s="44"/>
      <c r="E53" s="115"/>
      <c r="F53" s="46"/>
      <c r="G53" s="134"/>
      <c r="H53" s="105"/>
    </row>
    <row r="54" spans="1:8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34">
        <v>1500</v>
      </c>
      <c r="H54" s="105">
        <f t="shared" si="3"/>
        <v>0</v>
      </c>
    </row>
    <row r="55" spans="1:8" x14ac:dyDescent="0.25">
      <c r="A55" s="44"/>
      <c r="B55" s="44"/>
      <c r="C55" s="44"/>
      <c r="D55" s="44">
        <f>SUM(D42:D54)</f>
        <v>7500</v>
      </c>
      <c r="E55" s="105">
        <f>SUM(E42:E54)</f>
        <v>18500</v>
      </c>
      <c r="F55" s="105">
        <f>SUM(F43:F54)</f>
        <v>26000</v>
      </c>
      <c r="G55" s="105">
        <f>SUM(G42:G54)</f>
        <v>15500</v>
      </c>
      <c r="H55" s="105">
        <f>SUM(H43:H54)</f>
        <v>10500</v>
      </c>
    </row>
    <row r="56" spans="1:8" x14ac:dyDescent="0.25">
      <c r="A56" s="100" t="s">
        <v>60</v>
      </c>
      <c r="B56" s="101"/>
      <c r="C56" s="97"/>
      <c r="D56" s="102">
        <f>E55</f>
        <v>18500</v>
      </c>
      <c r="E56" s="100" t="s">
        <v>60</v>
      </c>
      <c r="F56" s="101"/>
      <c r="G56" s="97"/>
      <c r="H56" s="102">
        <f>G55</f>
        <v>15500</v>
      </c>
    </row>
    <row r="57" spans="1:8" x14ac:dyDescent="0.25">
      <c r="A57" s="103" t="s">
        <v>347</v>
      </c>
      <c r="B57" s="101"/>
      <c r="C57" s="97"/>
      <c r="D57" s="104">
        <f>'SEPTEMBER 2017'!D69</f>
        <v>2100</v>
      </c>
      <c r="E57" s="103" t="s">
        <v>347</v>
      </c>
      <c r="F57" s="101"/>
      <c r="G57" s="97"/>
      <c r="H57" s="104">
        <v>-600</v>
      </c>
    </row>
    <row r="58" spans="1:8" x14ac:dyDescent="0.25">
      <c r="A58" s="103"/>
      <c r="B58" s="101"/>
      <c r="C58" s="97"/>
      <c r="D58" s="104">
        <f>SUM(D56:D57)</f>
        <v>20600</v>
      </c>
      <c r="E58" s="103"/>
      <c r="F58" s="101"/>
      <c r="G58" s="97"/>
      <c r="H58" s="104">
        <f>SUM(H56:H57)</f>
        <v>14900</v>
      </c>
    </row>
    <row r="59" spans="1:8" x14ac:dyDescent="0.25">
      <c r="A59" s="67" t="s">
        <v>58</v>
      </c>
      <c r="B59" s="9"/>
      <c r="C59" s="9"/>
      <c r="D59" s="9"/>
      <c r="E59" s="67" t="s">
        <v>58</v>
      </c>
      <c r="F59" s="9"/>
      <c r="G59" s="9"/>
      <c r="H59" s="9"/>
    </row>
    <row r="60" spans="1:8" x14ac:dyDescent="0.25">
      <c r="A60" s="36" t="s">
        <v>22</v>
      </c>
      <c r="B60" s="146">
        <v>0.1</v>
      </c>
      <c r="C60" s="9"/>
      <c r="D60" s="34">
        <f>D58*B60</f>
        <v>2060</v>
      </c>
      <c r="E60" s="36" t="s">
        <v>22</v>
      </c>
      <c r="F60" s="146">
        <v>0.1</v>
      </c>
      <c r="G60" s="9"/>
      <c r="H60" s="34">
        <f>H58*F60</f>
        <v>1490</v>
      </c>
    </row>
    <row r="61" spans="1:8" x14ac:dyDescent="0.25">
      <c r="A61" s="36" t="s">
        <v>502</v>
      </c>
      <c r="B61" s="9"/>
      <c r="C61" s="9"/>
      <c r="D61" s="72">
        <v>4500</v>
      </c>
      <c r="E61" s="36" t="s">
        <v>502</v>
      </c>
      <c r="F61" s="9"/>
      <c r="G61" s="9"/>
      <c r="H61" s="72">
        <v>4500</v>
      </c>
    </row>
    <row r="62" spans="1:8" x14ac:dyDescent="0.25">
      <c r="A62" s="9" t="s">
        <v>503</v>
      </c>
      <c r="B62" s="9"/>
      <c r="C62" s="9"/>
      <c r="D62" s="9">
        <v>3000</v>
      </c>
      <c r="E62" s="9" t="s">
        <v>503</v>
      </c>
      <c r="F62" s="9"/>
      <c r="G62" s="9"/>
      <c r="H62" s="9">
        <v>3000</v>
      </c>
    </row>
    <row r="63" spans="1:8" x14ac:dyDescent="0.25">
      <c r="A63" s="36" t="s">
        <v>378</v>
      </c>
      <c r="B63" s="9"/>
      <c r="C63" s="9"/>
      <c r="D63" s="72">
        <f>E45</f>
        <v>5000</v>
      </c>
      <c r="E63" s="36" t="s">
        <v>378</v>
      </c>
      <c r="F63" s="9"/>
      <c r="G63" s="9"/>
      <c r="H63" s="72">
        <f>G45</f>
        <v>5000</v>
      </c>
    </row>
    <row r="64" spans="1:8" x14ac:dyDescent="0.25">
      <c r="A64" s="36"/>
      <c r="B64" s="9"/>
      <c r="C64" s="9"/>
      <c r="D64" s="72">
        <f>SUM(D60:D63)</f>
        <v>14560</v>
      </c>
      <c r="E64" s="36"/>
      <c r="F64" s="9"/>
      <c r="G64" s="9"/>
      <c r="H64" s="72">
        <f>SUM(H60:H63)</f>
        <v>13990</v>
      </c>
    </row>
    <row r="65" spans="1:14" x14ac:dyDescent="0.25">
      <c r="A65" s="36" t="s">
        <v>355</v>
      </c>
      <c r="B65" s="9"/>
      <c r="C65" s="9"/>
      <c r="D65" s="135">
        <f>D58-D64</f>
        <v>6040</v>
      </c>
      <c r="E65" s="9"/>
      <c r="F65" s="9"/>
      <c r="G65" s="9"/>
      <c r="H65" s="72"/>
    </row>
    <row r="66" spans="1:14" x14ac:dyDescent="0.25">
      <c r="A66" s="9"/>
      <c r="B66" s="9"/>
      <c r="C66" s="86"/>
      <c r="D66" s="72"/>
      <c r="E66" s="38" t="s">
        <v>24</v>
      </c>
      <c r="F66" s="39"/>
      <c r="G66" s="9"/>
      <c r="H66" s="135">
        <f>H58-H64</f>
        <v>910</v>
      </c>
    </row>
    <row r="67" spans="1:14" x14ac:dyDescent="0.25">
      <c r="A67" s="36"/>
      <c r="B67" s="9"/>
      <c r="C67" s="9"/>
      <c r="D67" s="72"/>
      <c r="E67" s="9"/>
      <c r="F67" s="9"/>
      <c r="G67" s="9"/>
      <c r="H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L68">
        <v>9000</v>
      </c>
      <c r="M68">
        <v>2500</v>
      </c>
      <c r="N68">
        <f>L68-M68</f>
        <v>6500</v>
      </c>
    </row>
    <row r="69" spans="1:14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14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14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14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14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14" x14ac:dyDescent="0.25">
      <c r="A74" s="9"/>
      <c r="B74" s="95"/>
      <c r="C74" s="95"/>
      <c r="D74" s="96" t="s">
        <v>518</v>
      </c>
      <c r="E74" s="95"/>
      <c r="F74" s="95"/>
      <c r="G74" s="95"/>
      <c r="H74" s="9"/>
    </row>
    <row r="75" spans="1:14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14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/>
      <c r="G76" s="107">
        <f>E76-F76</f>
        <v>3500</v>
      </c>
      <c r="H76" s="44"/>
    </row>
    <row r="77" spans="1:14" x14ac:dyDescent="0.25">
      <c r="A77" s="43" t="s">
        <v>208</v>
      </c>
      <c r="B77" s="3"/>
      <c r="C77" s="44">
        <v>1500</v>
      </c>
      <c r="D77" s="46">
        <v>3500</v>
      </c>
      <c r="E77" s="105">
        <f>C77+D77</f>
        <v>5000</v>
      </c>
      <c r="F77" s="44">
        <v>3500</v>
      </c>
      <c r="G77" s="107">
        <f>E77-F77</f>
        <v>1500</v>
      </c>
      <c r="H77" s="44"/>
    </row>
    <row r="78" spans="1:14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/>
      <c r="H78" s="44"/>
    </row>
    <row r="79" spans="1:14" x14ac:dyDescent="0.25">
      <c r="A79" s="43" t="s">
        <v>346</v>
      </c>
      <c r="B79" s="3"/>
      <c r="C79" s="109"/>
      <c r="D79" s="46">
        <v>3500</v>
      </c>
      <c r="E79" s="105"/>
      <c r="F79" s="44">
        <v>3500</v>
      </c>
      <c r="G79" s="107"/>
      <c r="H79" s="44"/>
    </row>
    <row r="80" spans="1:14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1500</v>
      </c>
      <c r="D81" s="53">
        <f>SUM(D76:D80)</f>
        <v>14000</v>
      </c>
      <c r="E81" s="112">
        <f>SUM(E76:E80)</f>
        <v>12000</v>
      </c>
      <c r="F81" s="113">
        <f>SUM(F76:F80)</f>
        <v>9000</v>
      </c>
      <c r="G81" s="114">
        <f>SUM(G76:G80)</f>
        <v>5000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9"/>
      <c r="G84" s="9">
        <f>F81</f>
        <v>9000</v>
      </c>
      <c r="H84" s="9"/>
    </row>
    <row r="85" spans="1:8" x14ac:dyDescent="0.25">
      <c r="A85" s="103"/>
      <c r="B85" s="101"/>
      <c r="C85" s="97"/>
      <c r="D85" s="104"/>
      <c r="E85" s="51"/>
      <c r="F85" s="9"/>
      <c r="G85" s="9"/>
      <c r="H85" s="9"/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83">
        <v>0.1</v>
      </c>
      <c r="G87" s="9">
        <f>F87*G84</f>
        <v>900</v>
      </c>
      <c r="H87" s="9"/>
    </row>
    <row r="88" spans="1:8" x14ac:dyDescent="0.25">
      <c r="A88" s="36" t="s">
        <v>172</v>
      </c>
      <c r="B88" s="9"/>
      <c r="C88" s="9"/>
      <c r="D88" s="133">
        <v>3150</v>
      </c>
      <c r="E88" s="9"/>
      <c r="F88" s="9" t="s">
        <v>227</v>
      </c>
      <c r="G88" s="133">
        <v>3150</v>
      </c>
      <c r="H88" s="9"/>
    </row>
    <row r="89" spans="1:8" x14ac:dyDescent="0.25">
      <c r="A89" s="9" t="s">
        <v>362</v>
      </c>
      <c r="B89" s="9"/>
      <c r="C89" s="9"/>
      <c r="D89" s="72">
        <v>3150</v>
      </c>
      <c r="E89" s="72"/>
      <c r="F89" s="9"/>
      <c r="G89" s="72">
        <v>3150</v>
      </c>
      <c r="H89" s="9"/>
    </row>
    <row r="90" spans="1:8" x14ac:dyDescent="0.25">
      <c r="A90" s="122"/>
      <c r="B90" s="97"/>
      <c r="C90" s="97"/>
      <c r="D90" s="121">
        <f>SUM(D87:D89)</f>
        <v>7700</v>
      </c>
      <c r="E90" s="9"/>
      <c r="F90" s="9"/>
      <c r="G90" s="133">
        <f>SUM(G87:G89)</f>
        <v>7200</v>
      </c>
      <c r="H90" s="9"/>
    </row>
    <row r="91" spans="1:8" x14ac:dyDescent="0.25">
      <c r="A91" s="9"/>
      <c r="B91" s="9"/>
      <c r="C91" s="9"/>
      <c r="D91" s="72">
        <f>D84-D90</f>
        <v>6300</v>
      </c>
      <c r="E91" s="91"/>
      <c r="F91" s="9"/>
      <c r="G91" s="133">
        <f>G84-G90</f>
        <v>1800</v>
      </c>
      <c r="H91" s="9"/>
    </row>
    <row r="92" spans="1:8" x14ac:dyDescent="0.25">
      <c r="A92" s="9"/>
      <c r="B92" s="9"/>
      <c r="C92" s="9"/>
      <c r="D92" s="9"/>
      <c r="E92" s="91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5" t="s">
        <v>92</v>
      </c>
      <c r="B94" s="19"/>
      <c r="C94" s="19"/>
      <c r="D94" s="81" t="s">
        <v>4</v>
      </c>
      <c r="E94" s="81"/>
      <c r="F94" s="19"/>
      <c r="G94" s="9"/>
      <c r="H94" s="9"/>
    </row>
    <row r="95" spans="1:8" x14ac:dyDescent="0.25">
      <c r="A95" s="5"/>
      <c r="B95" s="19"/>
      <c r="C95" s="81" t="s">
        <v>87</v>
      </c>
      <c r="D95" s="81"/>
      <c r="E95" s="19"/>
      <c r="F95" s="19"/>
      <c r="G95" s="9"/>
      <c r="H95" s="9"/>
    </row>
    <row r="96" spans="1:8" x14ac:dyDescent="0.25">
      <c r="A96" s="24"/>
      <c r="B96" s="79"/>
      <c r="C96" s="82" t="s">
        <v>88</v>
      </c>
      <c r="D96" s="80"/>
      <c r="E96" s="80"/>
      <c r="F96" s="79"/>
      <c r="G96" s="9"/>
      <c r="H96" s="9"/>
    </row>
    <row r="97" spans="1:8" x14ac:dyDescent="0.25">
      <c r="A97" s="4"/>
      <c r="B97" s="5"/>
      <c r="C97" s="6" t="s">
        <v>5</v>
      </c>
      <c r="D97" s="6"/>
      <c r="E97" s="5"/>
      <c r="F97" s="4"/>
      <c r="G97" s="9"/>
      <c r="H97" s="9"/>
    </row>
    <row r="98" spans="1:8" ht="23.25" x14ac:dyDescent="0.35">
      <c r="A98" s="4"/>
      <c r="B98" s="52" t="s">
        <v>97</v>
      </c>
      <c r="C98" s="4"/>
      <c r="D98" s="183" t="s">
        <v>292</v>
      </c>
      <c r="E98" s="183"/>
      <c r="F98" s="183"/>
      <c r="G98" s="9"/>
      <c r="H98" s="9"/>
    </row>
    <row r="99" spans="1:8" x14ac:dyDescent="0.25">
      <c r="A99" s="9"/>
      <c r="B99" s="9"/>
      <c r="C99" s="95"/>
      <c r="D99" s="95"/>
      <c r="E99" s="96" t="s">
        <v>349</v>
      </c>
      <c r="F99" s="95"/>
      <c r="G99" s="95"/>
      <c r="H99" s="9"/>
    </row>
    <row r="100" spans="1:8" x14ac:dyDescent="0.25">
      <c r="A100" s="12" t="s">
        <v>0</v>
      </c>
      <c r="B100" s="12" t="s">
        <v>32</v>
      </c>
      <c r="C100" s="12" t="s">
        <v>52</v>
      </c>
      <c r="D100" s="22" t="s">
        <v>55</v>
      </c>
      <c r="E100" s="21" t="s">
        <v>1</v>
      </c>
      <c r="F100" s="22" t="s">
        <v>10</v>
      </c>
      <c r="G100" s="21" t="s">
        <v>3</v>
      </c>
      <c r="H100" s="13" t="s">
        <v>13</v>
      </c>
    </row>
    <row r="101" spans="1:8" x14ac:dyDescent="0.25">
      <c r="A101" s="43" t="s">
        <v>317</v>
      </c>
      <c r="B101" s="120">
        <v>1</v>
      </c>
      <c r="C101" s="116"/>
      <c r="D101" s="43"/>
      <c r="E101" s="47">
        <v>4500</v>
      </c>
      <c r="F101" s="47">
        <f>D101+E101</f>
        <v>4500</v>
      </c>
      <c r="G101" s="149">
        <v>4500</v>
      </c>
      <c r="H101" s="129">
        <f>F101-G101</f>
        <v>0</v>
      </c>
    </row>
    <row r="102" spans="1:8" x14ac:dyDescent="0.25">
      <c r="A102" s="88" t="s">
        <v>240</v>
      </c>
      <c r="B102" s="120">
        <v>2</v>
      </c>
      <c r="C102" s="117"/>
      <c r="D102" s="2"/>
      <c r="E102" s="46">
        <v>4500</v>
      </c>
      <c r="F102" s="47">
        <f t="shared" ref="F102:F112" si="4">D102+E102</f>
        <v>4500</v>
      </c>
      <c r="G102" s="56">
        <v>4500</v>
      </c>
      <c r="H102" s="129">
        <f t="shared" ref="H102:H120" si="5">F102-G102</f>
        <v>0</v>
      </c>
    </row>
    <row r="103" spans="1:8" x14ac:dyDescent="0.25">
      <c r="A103" s="88" t="s">
        <v>241</v>
      </c>
      <c r="B103" s="120">
        <v>3</v>
      </c>
      <c r="C103" s="117"/>
      <c r="D103" s="43"/>
      <c r="E103" s="46">
        <v>4500</v>
      </c>
      <c r="F103" s="47">
        <f t="shared" si="4"/>
        <v>4500</v>
      </c>
      <c r="G103" s="56">
        <v>4500</v>
      </c>
      <c r="H103" s="129">
        <f t="shared" si="5"/>
        <v>0</v>
      </c>
    </row>
    <row r="104" spans="1:8" x14ac:dyDescent="0.25">
      <c r="A104" s="88" t="s">
        <v>242</v>
      </c>
      <c r="B104" s="120">
        <v>4</v>
      </c>
      <c r="C104" s="117"/>
      <c r="D104" s="43"/>
      <c r="E104" s="46">
        <v>2500</v>
      </c>
      <c r="F104" s="47">
        <f t="shared" si="4"/>
        <v>2500</v>
      </c>
      <c r="G104" s="56">
        <v>2700</v>
      </c>
      <c r="H104" s="129">
        <f t="shared" si="5"/>
        <v>-200</v>
      </c>
    </row>
    <row r="105" spans="1:8" x14ac:dyDescent="0.25">
      <c r="A105" s="43" t="s">
        <v>243</v>
      </c>
      <c r="B105" s="120">
        <v>5</v>
      </c>
      <c r="C105" s="117"/>
      <c r="D105" s="44"/>
      <c r="E105" s="46">
        <v>2500</v>
      </c>
      <c r="F105" s="47">
        <f t="shared" si="4"/>
        <v>2500</v>
      </c>
      <c r="G105" s="46">
        <v>2500</v>
      </c>
      <c r="H105" s="129">
        <f t="shared" si="5"/>
        <v>0</v>
      </c>
    </row>
    <row r="106" spans="1:8" x14ac:dyDescent="0.25">
      <c r="A106" s="43" t="s">
        <v>386</v>
      </c>
      <c r="B106" s="120">
        <v>6</v>
      </c>
      <c r="C106" s="117"/>
      <c r="D106" s="44"/>
      <c r="E106" s="46">
        <v>2500</v>
      </c>
      <c r="F106" s="47">
        <f t="shared" si="4"/>
        <v>2500</v>
      </c>
      <c r="G106" s="46">
        <v>2000</v>
      </c>
      <c r="H106" s="129">
        <f t="shared" si="5"/>
        <v>500</v>
      </c>
    </row>
    <row r="107" spans="1:8" x14ac:dyDescent="0.25">
      <c r="A107" s="43" t="s">
        <v>245</v>
      </c>
      <c r="B107" s="120">
        <v>7</v>
      </c>
      <c r="C107" s="117"/>
      <c r="D107" s="44"/>
      <c r="E107" s="73">
        <v>2500</v>
      </c>
      <c r="F107" s="47">
        <f t="shared" si="4"/>
        <v>2500</v>
      </c>
      <c r="G107" s="68">
        <v>2500</v>
      </c>
      <c r="H107" s="129">
        <f t="shared" si="5"/>
        <v>0</v>
      </c>
    </row>
    <row r="108" spans="1:8" x14ac:dyDescent="0.25">
      <c r="A108" s="47" t="s">
        <v>326</v>
      </c>
      <c r="B108" s="120">
        <v>8</v>
      </c>
      <c r="C108" s="118"/>
      <c r="D108" s="46">
        <v>500</v>
      </c>
      <c r="E108" s="46">
        <v>2500</v>
      </c>
      <c r="F108" s="47">
        <f t="shared" si="4"/>
        <v>3000</v>
      </c>
      <c r="G108" s="46">
        <v>2500</v>
      </c>
      <c r="H108" s="129">
        <f t="shared" si="5"/>
        <v>500</v>
      </c>
    </row>
    <row r="109" spans="1:8" x14ac:dyDescent="0.25">
      <c r="A109" s="44" t="s">
        <v>78</v>
      </c>
      <c r="B109" s="120">
        <v>9</v>
      </c>
      <c r="C109" s="117"/>
      <c r="D109" s="44"/>
      <c r="E109" s="44">
        <v>2500</v>
      </c>
      <c r="F109" s="47">
        <f t="shared" si="4"/>
        <v>2500</v>
      </c>
      <c r="G109" s="150">
        <v>2500</v>
      </c>
      <c r="H109" s="129">
        <f t="shared" si="5"/>
        <v>0</v>
      </c>
    </row>
    <row r="110" spans="1:8" x14ac:dyDescent="0.25">
      <c r="A110" s="184" t="s">
        <v>504</v>
      </c>
      <c r="B110" s="120">
        <v>10</v>
      </c>
      <c r="C110" s="9"/>
      <c r="D110" s="44"/>
      <c r="E110" s="115">
        <v>2500</v>
      </c>
      <c r="F110" s="47">
        <v>2500</v>
      </c>
      <c r="G110" s="150">
        <v>2500</v>
      </c>
      <c r="H110" s="129">
        <f t="shared" si="5"/>
        <v>0</v>
      </c>
    </row>
    <row r="111" spans="1:8" x14ac:dyDescent="0.25">
      <c r="A111" s="45" t="s">
        <v>327</v>
      </c>
      <c r="B111" s="120">
        <v>11</v>
      </c>
      <c r="C111" s="119"/>
      <c r="D111" s="44"/>
      <c r="E111" s="105">
        <v>2700</v>
      </c>
      <c r="F111" s="47">
        <f t="shared" si="4"/>
        <v>2700</v>
      </c>
      <c r="G111" s="150">
        <v>2100</v>
      </c>
      <c r="H111" s="129">
        <f t="shared" si="5"/>
        <v>600</v>
      </c>
    </row>
    <row r="112" spans="1:8" x14ac:dyDescent="0.25">
      <c r="A112" s="44" t="s">
        <v>328</v>
      </c>
      <c r="B112" s="120">
        <v>12</v>
      </c>
      <c r="C112" s="119"/>
      <c r="D112" s="44"/>
      <c r="E112" s="44">
        <v>2500</v>
      </c>
      <c r="F112" s="47">
        <f t="shared" si="4"/>
        <v>2500</v>
      </c>
      <c r="G112" s="150">
        <v>2300</v>
      </c>
      <c r="H112" s="129">
        <f t="shared" si="5"/>
        <v>200</v>
      </c>
    </row>
    <row r="113" spans="1:8" x14ac:dyDescent="0.25">
      <c r="A113" s="44" t="s">
        <v>374</v>
      </c>
      <c r="B113" s="120">
        <v>13</v>
      </c>
      <c r="C113" s="117"/>
      <c r="D113" s="125"/>
      <c r="E113" s="44">
        <v>2500</v>
      </c>
      <c r="F113" s="47">
        <f>D113+E113</f>
        <v>2500</v>
      </c>
      <c r="G113" s="150">
        <v>3000</v>
      </c>
      <c r="H113" s="129">
        <f t="shared" si="5"/>
        <v>-500</v>
      </c>
    </row>
    <row r="114" spans="1:8" x14ac:dyDescent="0.25">
      <c r="A114" s="44" t="s">
        <v>505</v>
      </c>
      <c r="B114" s="120">
        <v>14</v>
      </c>
      <c r="C114" s="117"/>
      <c r="D114" s="44"/>
      <c r="E114" s="44">
        <v>0</v>
      </c>
      <c r="F114" s="47">
        <f t="shared" ref="F114:F121" si="6">D114+E114</f>
        <v>0</v>
      </c>
      <c r="G114" s="150"/>
      <c r="H114" s="129">
        <f t="shared" si="5"/>
        <v>0</v>
      </c>
    </row>
    <row r="115" spans="1:8" x14ac:dyDescent="0.25">
      <c r="A115" s="125" t="s">
        <v>486</v>
      </c>
      <c r="B115" s="120">
        <v>15</v>
      </c>
      <c r="C115" s="117">
        <v>1000</v>
      </c>
      <c r="D115" s="44"/>
      <c r="E115" s="44">
        <v>2500</v>
      </c>
      <c r="F115" s="47">
        <f t="shared" si="6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251</v>
      </c>
      <c r="B116" s="148">
        <v>16</v>
      </c>
      <c r="C116" s="9"/>
      <c r="D116" s="125"/>
      <c r="E116" s="125">
        <v>2500</v>
      </c>
      <c r="F116" s="47">
        <f t="shared" si="6"/>
        <v>2500</v>
      </c>
      <c r="G116" s="150">
        <v>2500</v>
      </c>
      <c r="H116" s="129">
        <f t="shared" si="5"/>
        <v>0</v>
      </c>
    </row>
    <row r="117" spans="1:8" x14ac:dyDescent="0.25">
      <c r="A117" s="44" t="s">
        <v>330</v>
      </c>
      <c r="B117" s="120">
        <v>17</v>
      </c>
      <c r="C117" s="117"/>
      <c r="D117" s="44">
        <v>2000</v>
      </c>
      <c r="E117" s="44">
        <v>1600</v>
      </c>
      <c r="F117" s="47">
        <f t="shared" si="6"/>
        <v>3600</v>
      </c>
      <c r="G117" s="150">
        <v>1000</v>
      </c>
      <c r="H117" s="129">
        <f t="shared" si="5"/>
        <v>2600</v>
      </c>
    </row>
    <row r="118" spans="1:8" x14ac:dyDescent="0.25">
      <c r="A118" s="125" t="s">
        <v>331</v>
      </c>
      <c r="B118" s="120">
        <v>18</v>
      </c>
      <c r="C118" s="117" t="s">
        <v>248</v>
      </c>
      <c r="D118" s="44"/>
      <c r="E118" s="44">
        <v>1600</v>
      </c>
      <c r="F118" s="47">
        <f t="shared" si="6"/>
        <v>1600</v>
      </c>
      <c r="G118" s="150"/>
      <c r="H118" s="129">
        <f t="shared" si="5"/>
        <v>1600</v>
      </c>
    </row>
    <row r="119" spans="1:8" x14ac:dyDescent="0.25">
      <c r="A119" s="44" t="s">
        <v>123</v>
      </c>
      <c r="B119" s="141">
        <v>19</v>
      </c>
      <c r="C119" s="142"/>
      <c r="D119" s="58"/>
      <c r="E119" s="58"/>
      <c r="F119" s="47">
        <f t="shared" si="6"/>
        <v>0</v>
      </c>
      <c r="G119" s="58"/>
      <c r="H119" s="129">
        <f t="shared" si="5"/>
        <v>0</v>
      </c>
    </row>
    <row r="120" spans="1:8" x14ac:dyDescent="0.25">
      <c r="A120" s="44" t="s">
        <v>123</v>
      </c>
      <c r="B120" s="44">
        <v>21</v>
      </c>
      <c r="C120" s="44"/>
      <c r="D120" s="44"/>
      <c r="E120" s="44"/>
      <c r="F120" s="47">
        <f t="shared" si="6"/>
        <v>0</v>
      </c>
      <c r="G120" s="44"/>
      <c r="H120" s="129">
        <f t="shared" si="5"/>
        <v>0</v>
      </c>
    </row>
    <row r="121" spans="1:8" x14ac:dyDescent="0.25">
      <c r="A121" s="138"/>
      <c r="B121" s="138"/>
      <c r="C121" s="138"/>
      <c r="D121" s="138">
        <f>SUM(D114:D120)</f>
        <v>2000</v>
      </c>
      <c r="E121" s="139">
        <f>SUM(E101:E120)</f>
        <v>46900</v>
      </c>
      <c r="F121" s="47">
        <f t="shared" si="6"/>
        <v>48900</v>
      </c>
      <c r="G121" s="139">
        <f>SUM(G101:G120)</f>
        <v>44100</v>
      </c>
      <c r="H121" s="139">
        <f>SUM(H101:H120)</f>
        <v>5300</v>
      </c>
    </row>
    <row r="122" spans="1:8" x14ac:dyDescent="0.25">
      <c r="A122" s="100" t="s">
        <v>60</v>
      </c>
      <c r="B122" s="101"/>
      <c r="C122" s="97"/>
      <c r="D122" s="102">
        <f>E121</f>
        <v>46900</v>
      </c>
      <c r="E122" s="100" t="s">
        <v>60</v>
      </c>
      <c r="F122" s="101"/>
      <c r="G122" s="97"/>
      <c r="H122" s="102">
        <f>G121</f>
        <v>44100</v>
      </c>
    </row>
    <row r="123" spans="1:8" x14ac:dyDescent="0.25">
      <c r="A123" s="103" t="s">
        <v>347</v>
      </c>
      <c r="B123" s="101"/>
      <c r="C123" s="97"/>
      <c r="D123" s="104"/>
      <c r="E123" s="103" t="s">
        <v>343</v>
      </c>
      <c r="F123" s="101"/>
      <c r="G123" s="97"/>
      <c r="H123" s="104"/>
    </row>
    <row r="124" spans="1:8" x14ac:dyDescent="0.25">
      <c r="A124" s="103" t="s">
        <v>333</v>
      </c>
      <c r="B124" s="101"/>
      <c r="C124" s="97"/>
      <c r="D124" s="104"/>
      <c r="E124" s="103"/>
      <c r="F124" s="101"/>
      <c r="G124" s="97"/>
      <c r="H124" s="104"/>
    </row>
    <row r="125" spans="1:8" x14ac:dyDescent="0.25">
      <c r="A125" s="67" t="s">
        <v>58</v>
      </c>
      <c r="B125" s="9"/>
      <c r="C125" s="9"/>
      <c r="D125" s="72">
        <f>SUM(D122:D124)</f>
        <v>46900</v>
      </c>
      <c r="E125" s="67" t="s">
        <v>58</v>
      </c>
      <c r="F125" s="9"/>
      <c r="G125" s="9"/>
      <c r="H125" s="72">
        <f>SUM(H122:H124)</f>
        <v>44100</v>
      </c>
    </row>
    <row r="126" spans="1:8" x14ac:dyDescent="0.25">
      <c r="A126" s="36" t="s">
        <v>22</v>
      </c>
      <c r="B126" s="17"/>
      <c r="C126" s="9"/>
      <c r="D126" s="34">
        <f>SUM(D122*10%)</f>
        <v>4690</v>
      </c>
      <c r="E126" s="36" t="s">
        <v>22</v>
      </c>
      <c r="F126" s="17"/>
      <c r="G126" s="9"/>
      <c r="H126" s="34">
        <f>SUM(H122*10%)</f>
        <v>4410</v>
      </c>
    </row>
    <row r="127" spans="1:8" x14ac:dyDescent="0.25">
      <c r="A127" s="36" t="s">
        <v>487</v>
      </c>
      <c r="B127" s="17"/>
      <c r="C127" s="9"/>
      <c r="D127" s="34">
        <v>15000</v>
      </c>
      <c r="E127" s="36" t="s">
        <v>506</v>
      </c>
      <c r="F127" s="17"/>
      <c r="G127" s="9"/>
      <c r="H127" s="34">
        <v>15000</v>
      </c>
    </row>
    <row r="128" spans="1:8" x14ac:dyDescent="0.25">
      <c r="A128" s="36" t="s">
        <v>489</v>
      </c>
      <c r="B128" s="9"/>
      <c r="C128" s="9"/>
      <c r="D128" s="9">
        <v>10110</v>
      </c>
      <c r="E128" s="36" t="s">
        <v>507</v>
      </c>
      <c r="F128" s="9"/>
      <c r="G128" s="9"/>
      <c r="H128" s="9">
        <v>10110</v>
      </c>
    </row>
    <row r="129" spans="1:9" x14ac:dyDescent="0.25">
      <c r="A129" s="36"/>
      <c r="B129" s="9"/>
      <c r="C129" s="9"/>
      <c r="D129" s="9">
        <v>7850</v>
      </c>
      <c r="E129" s="36" t="s">
        <v>508</v>
      </c>
      <c r="F129" s="9"/>
      <c r="G129" s="9"/>
      <c r="H129" s="9">
        <v>7850</v>
      </c>
    </row>
    <row r="130" spans="1:9" s="9" customFormat="1" x14ac:dyDescent="0.25">
      <c r="A130" s="36"/>
      <c r="D130" s="72">
        <f>SUM(D126:D129)</f>
        <v>37650</v>
      </c>
      <c r="E130" s="36" t="s">
        <v>509</v>
      </c>
      <c r="H130" s="72">
        <f>SUM(H126:H129)</f>
        <v>37370</v>
      </c>
    </row>
    <row r="131" spans="1:9" x14ac:dyDescent="0.25">
      <c r="A131" s="36"/>
      <c r="B131" s="9"/>
      <c r="C131" s="9"/>
      <c r="D131" s="72">
        <f>D125-D130</f>
        <v>9250</v>
      </c>
      <c r="E131" s="36" t="s">
        <v>2</v>
      </c>
      <c r="F131" s="9"/>
      <c r="G131" s="9"/>
      <c r="H131" s="72">
        <f>H125-H130</f>
        <v>6730</v>
      </c>
      <c r="I131" s="72">
        <f>D131-H131</f>
        <v>2520</v>
      </c>
    </row>
    <row r="132" spans="1:9" x14ac:dyDescent="0.25">
      <c r="E132" s="36" t="s">
        <v>26</v>
      </c>
      <c r="F132" s="9"/>
      <c r="G132" s="9"/>
    </row>
    <row r="133" spans="1:9" x14ac:dyDescent="0.25">
      <c r="A133" s="9"/>
      <c r="B133" s="9"/>
      <c r="C133" s="9"/>
      <c r="D133" s="9"/>
      <c r="E133" s="9"/>
      <c r="F133" s="9"/>
      <c r="G133" s="9"/>
      <c r="H133" s="9"/>
    </row>
    <row r="134" spans="1:9" x14ac:dyDescent="0.25">
      <c r="A134" s="9"/>
      <c r="B134" s="9"/>
      <c r="C134" s="9"/>
      <c r="D134" s="9"/>
      <c r="E134" s="9"/>
      <c r="F134" s="9"/>
      <c r="G134" s="9"/>
      <c r="H134" s="9"/>
    </row>
    <row r="135" spans="1:9" x14ac:dyDescent="0.25">
      <c r="A135" s="9"/>
      <c r="B135" s="9"/>
      <c r="C135" s="9"/>
      <c r="D135" s="9"/>
      <c r="E135" s="9"/>
      <c r="F135" s="9"/>
      <c r="G135" s="9"/>
      <c r="H135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82" t="s">
        <v>490</v>
      </c>
      <c r="B142" s="182"/>
      <c r="C142" s="182"/>
      <c r="D142" s="182"/>
      <c r="E142" s="182"/>
      <c r="F142" s="182"/>
      <c r="G142" s="182"/>
      <c r="H142" s="182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496</v>
      </c>
      <c r="B144" s="120"/>
      <c r="C144" s="116"/>
      <c r="D144" s="43"/>
      <c r="E144" s="47"/>
      <c r="F144" s="47"/>
      <c r="G144" s="131"/>
      <c r="H144" s="129"/>
    </row>
    <row r="145" spans="1:12" x14ac:dyDescent="0.25">
      <c r="A145" s="43" t="s">
        <v>496</v>
      </c>
      <c r="B145" s="120"/>
      <c r="C145" s="117"/>
      <c r="D145" s="2"/>
      <c r="E145" s="46"/>
      <c r="F145" s="47"/>
      <c r="G145" s="131"/>
      <c r="H145" s="129"/>
    </row>
    <row r="146" spans="1:12" x14ac:dyDescent="0.25">
      <c r="A146" s="43" t="s">
        <v>496</v>
      </c>
      <c r="B146" s="120"/>
      <c r="C146" s="117"/>
      <c r="D146" s="43"/>
      <c r="E146" s="46"/>
      <c r="F146" s="47"/>
      <c r="G146" s="56"/>
      <c r="H146" s="129"/>
    </row>
    <row r="147" spans="1:12" x14ac:dyDescent="0.25">
      <c r="A147" s="9" t="s">
        <v>494</v>
      </c>
      <c r="B147" s="120">
        <v>4</v>
      </c>
      <c r="C147" s="117"/>
      <c r="D147" s="43"/>
      <c r="E147" s="46">
        <v>4000</v>
      </c>
      <c r="F147" s="47">
        <f>D147+E147</f>
        <v>4000</v>
      </c>
      <c r="G147" s="53">
        <v>4000</v>
      </c>
      <c r="H147" s="129"/>
    </row>
    <row r="148" spans="1:12" x14ac:dyDescent="0.25">
      <c r="A148" s="43" t="s">
        <v>260</v>
      </c>
      <c r="B148" s="120">
        <v>5</v>
      </c>
      <c r="C148" s="117"/>
      <c r="D148" s="44"/>
      <c r="E148" s="46">
        <v>4000</v>
      </c>
      <c r="F148" s="47">
        <f t="shared" ref="F148:F166" si="7">SUM(D148:E148)</f>
        <v>4000</v>
      </c>
      <c r="G148" s="46"/>
      <c r="H148" s="129">
        <f>F148-G148</f>
        <v>4000</v>
      </c>
    </row>
    <row r="149" spans="1:12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7"/>
        <v>4000</v>
      </c>
      <c r="G149" s="46">
        <v>4000</v>
      </c>
      <c r="H149" s="129">
        <f>F149-G149</f>
        <v>0</v>
      </c>
    </row>
    <row r="150" spans="1:12" x14ac:dyDescent="0.25">
      <c r="A150" s="43" t="s">
        <v>21</v>
      </c>
      <c r="B150" s="120">
        <v>7</v>
      </c>
      <c r="C150" s="117"/>
      <c r="D150" s="44" t="s">
        <v>497</v>
      </c>
      <c r="E150" s="73"/>
      <c r="F150" s="47">
        <f t="shared" si="7"/>
        <v>0</v>
      </c>
      <c r="G150" s="132"/>
      <c r="H150" s="129">
        <f>F150-G150</f>
        <v>0</v>
      </c>
    </row>
    <row r="151" spans="1:12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7"/>
        <v>4000</v>
      </c>
      <c r="G151" s="46">
        <v>4000</v>
      </c>
      <c r="H151" s="129"/>
    </row>
    <row r="152" spans="1:12" x14ac:dyDescent="0.25">
      <c r="A152" s="127" t="s">
        <v>495</v>
      </c>
      <c r="B152" s="120">
        <v>9</v>
      </c>
      <c r="C152" s="117"/>
      <c r="D152" s="44"/>
      <c r="E152" s="44">
        <v>4000</v>
      </c>
      <c r="F152" s="47">
        <f t="shared" si="7"/>
        <v>4000</v>
      </c>
      <c r="G152" s="44">
        <v>4000</v>
      </c>
      <c r="H152" s="129">
        <f>F152-G152</f>
        <v>0</v>
      </c>
    </row>
    <row r="153" spans="1:12" x14ac:dyDescent="0.25">
      <c r="A153" s="44" t="s">
        <v>302</v>
      </c>
      <c r="B153" s="120">
        <v>10</v>
      </c>
      <c r="C153" s="119"/>
      <c r="D153" s="44"/>
      <c r="E153" s="105">
        <v>4000</v>
      </c>
      <c r="F153" s="47">
        <f t="shared" si="7"/>
        <v>4000</v>
      </c>
      <c r="G153" s="44">
        <v>4000</v>
      </c>
      <c r="H153" s="129">
        <f>F153-G153</f>
        <v>0</v>
      </c>
      <c r="I153" t="s">
        <v>376</v>
      </c>
    </row>
    <row r="154" spans="1:12" x14ac:dyDescent="0.25">
      <c r="A154" s="44" t="s">
        <v>264</v>
      </c>
      <c r="B154" s="120">
        <v>11</v>
      </c>
      <c r="C154" s="119"/>
      <c r="D154" s="44"/>
      <c r="E154" s="44">
        <v>4000</v>
      </c>
      <c r="F154" s="47">
        <f t="shared" si="7"/>
        <v>4000</v>
      </c>
      <c r="G154" s="44">
        <v>4000</v>
      </c>
      <c r="H154" s="129">
        <f>F154-G154</f>
        <v>0</v>
      </c>
    </row>
    <row r="155" spans="1:12" x14ac:dyDescent="0.25">
      <c r="A155" s="125" t="s">
        <v>21</v>
      </c>
      <c r="B155" s="120">
        <v>12</v>
      </c>
      <c r="C155" s="117"/>
      <c r="D155" s="44"/>
      <c r="E155" s="44"/>
      <c r="F155" s="47"/>
      <c r="G155" s="44"/>
      <c r="H155" s="129">
        <f>F155-G155</f>
        <v>0</v>
      </c>
    </row>
    <row r="156" spans="1:12" x14ac:dyDescent="0.25">
      <c r="A156" s="44" t="s">
        <v>254</v>
      </c>
      <c r="B156" s="120">
        <v>13</v>
      </c>
      <c r="C156" s="44"/>
      <c r="D156" s="44"/>
      <c r="E156" s="44">
        <v>4000</v>
      </c>
      <c r="F156" s="47">
        <f t="shared" si="7"/>
        <v>4000</v>
      </c>
      <c r="G156" s="113">
        <v>4000</v>
      </c>
      <c r="H156" s="129">
        <f>F156-G156</f>
        <v>0</v>
      </c>
      <c r="I156" t="s">
        <v>107</v>
      </c>
    </row>
    <row r="157" spans="1:12" x14ac:dyDescent="0.25">
      <c r="A157" s="44" t="s">
        <v>21</v>
      </c>
      <c r="B157" s="120">
        <v>14</v>
      </c>
      <c r="C157" s="44"/>
      <c r="D157" s="44"/>
      <c r="E157" s="44"/>
      <c r="F157" s="47">
        <f t="shared" si="7"/>
        <v>0</v>
      </c>
      <c r="G157" s="44"/>
      <c r="H157" s="129">
        <f t="shared" ref="H157:H167" si="8">F157-G157</f>
        <v>0</v>
      </c>
      <c r="L157">
        <v>29500</v>
      </c>
    </row>
    <row r="158" spans="1:12" x14ac:dyDescent="0.25">
      <c r="A158" s="125" t="s">
        <v>255</v>
      </c>
      <c r="B158" s="120">
        <v>15</v>
      </c>
      <c r="C158" s="44"/>
      <c r="D158" s="44"/>
      <c r="E158" s="125">
        <v>4000</v>
      </c>
      <c r="F158" s="47">
        <f t="shared" si="7"/>
        <v>4000</v>
      </c>
      <c r="G158" s="44">
        <v>4000</v>
      </c>
      <c r="H158" s="129">
        <f t="shared" si="8"/>
        <v>0</v>
      </c>
      <c r="I158" t="s">
        <v>498</v>
      </c>
      <c r="L158">
        <v>11000</v>
      </c>
    </row>
    <row r="159" spans="1:12" x14ac:dyDescent="0.25">
      <c r="A159" s="44" t="s">
        <v>266</v>
      </c>
      <c r="B159" s="120">
        <v>16</v>
      </c>
      <c r="C159" s="44"/>
      <c r="D159" s="44"/>
      <c r="E159" s="44">
        <v>2000</v>
      </c>
      <c r="F159" s="47">
        <f t="shared" si="7"/>
        <v>2000</v>
      </c>
      <c r="G159" s="44">
        <v>2000</v>
      </c>
      <c r="H159" s="129">
        <f t="shared" si="8"/>
        <v>0</v>
      </c>
      <c r="L159">
        <f>L157-L158</f>
        <v>18500</v>
      </c>
    </row>
    <row r="160" spans="1:12" x14ac:dyDescent="0.25">
      <c r="A160" s="44" t="s">
        <v>313</v>
      </c>
      <c r="B160" s="120">
        <v>17</v>
      </c>
      <c r="C160" s="117"/>
      <c r="D160" s="44"/>
      <c r="E160" s="44">
        <v>2000</v>
      </c>
      <c r="F160" s="47">
        <f t="shared" si="7"/>
        <v>2000</v>
      </c>
      <c r="G160" s="44">
        <v>2000</v>
      </c>
      <c r="H160" s="129">
        <f t="shared" si="8"/>
        <v>0</v>
      </c>
    </row>
    <row r="161" spans="1:9" x14ac:dyDescent="0.25">
      <c r="A161" s="44" t="s">
        <v>387</v>
      </c>
      <c r="B161" s="120">
        <v>18</v>
      </c>
      <c r="C161" s="117"/>
      <c r="D161" s="44"/>
      <c r="E161" s="44">
        <v>2000</v>
      </c>
      <c r="F161" s="47">
        <f t="shared" si="7"/>
        <v>2000</v>
      </c>
      <c r="G161" s="44">
        <v>2000</v>
      </c>
      <c r="H161" s="129">
        <f t="shared" si="8"/>
        <v>0</v>
      </c>
    </row>
    <row r="162" spans="1:9" x14ac:dyDescent="0.25">
      <c r="A162" s="124" t="s">
        <v>256</v>
      </c>
      <c r="B162" s="120">
        <v>19</v>
      </c>
      <c r="C162" s="117"/>
      <c r="D162" s="44"/>
      <c r="E162" s="44">
        <v>2000</v>
      </c>
      <c r="F162" s="47">
        <f t="shared" si="7"/>
        <v>2000</v>
      </c>
      <c r="G162" s="44">
        <v>2000</v>
      </c>
      <c r="H162" s="129"/>
    </row>
    <row r="163" spans="1:9" x14ac:dyDescent="0.25">
      <c r="A163" s="127" t="s">
        <v>269</v>
      </c>
      <c r="B163" s="120">
        <v>20</v>
      </c>
      <c r="C163" s="44"/>
      <c r="D163" s="44"/>
      <c r="E163" s="44">
        <v>2000</v>
      </c>
      <c r="F163" s="47">
        <f t="shared" si="7"/>
        <v>2000</v>
      </c>
      <c r="G163" s="44">
        <v>2000</v>
      </c>
      <c r="H163" s="129">
        <f t="shared" si="8"/>
        <v>0</v>
      </c>
    </row>
    <row r="164" spans="1:9" x14ac:dyDescent="0.25">
      <c r="A164" s="127" t="s">
        <v>270</v>
      </c>
      <c r="B164" s="120">
        <v>21</v>
      </c>
      <c r="C164" s="44"/>
      <c r="D164" s="44"/>
      <c r="E164" s="44">
        <v>2000</v>
      </c>
      <c r="F164" s="47">
        <f t="shared" si="7"/>
        <v>2000</v>
      </c>
      <c r="G164" s="44">
        <v>2000</v>
      </c>
      <c r="H164" s="129">
        <f t="shared" si="8"/>
        <v>0</v>
      </c>
      <c r="I164" t="s">
        <v>376</v>
      </c>
    </row>
    <row r="165" spans="1:9" x14ac:dyDescent="0.25">
      <c r="A165" s="169" t="s">
        <v>21</v>
      </c>
      <c r="B165" s="120">
        <v>22</v>
      </c>
      <c r="C165" s="44"/>
      <c r="D165" s="44"/>
      <c r="E165" s="44"/>
      <c r="F165" s="47">
        <f t="shared" si="7"/>
        <v>0</v>
      </c>
      <c r="G165" s="44"/>
      <c r="H165" s="129"/>
      <c r="I165" t="s">
        <v>376</v>
      </c>
    </row>
    <row r="166" spans="1:9" x14ac:dyDescent="0.25">
      <c r="A166" s="127" t="s">
        <v>272</v>
      </c>
      <c r="B166" s="120">
        <v>23</v>
      </c>
      <c r="C166" s="44"/>
      <c r="D166" s="44"/>
      <c r="E166" s="44">
        <v>4500</v>
      </c>
      <c r="F166" s="47">
        <f t="shared" si="7"/>
        <v>4500</v>
      </c>
      <c r="G166" s="113">
        <v>4500</v>
      </c>
      <c r="H166" s="129">
        <f t="shared" si="8"/>
        <v>0</v>
      </c>
      <c r="I166" s="72" t="s">
        <v>107</v>
      </c>
    </row>
    <row r="167" spans="1:9" x14ac:dyDescent="0.25">
      <c r="A167" s="177"/>
      <c r="B167" s="120"/>
      <c r="C167" s="44"/>
      <c r="D167" s="44"/>
      <c r="E167" s="44"/>
      <c r="F167" s="47"/>
      <c r="G167" s="44"/>
      <c r="H167" s="129">
        <f t="shared" si="8"/>
        <v>0</v>
      </c>
    </row>
    <row r="168" spans="1:9" x14ac:dyDescent="0.25">
      <c r="A168" s="44"/>
      <c r="B168" s="120"/>
      <c r="C168" s="44"/>
      <c r="D168" s="44"/>
      <c r="E168" s="105">
        <f>SUM(E144:E167)</f>
        <v>52500</v>
      </c>
      <c r="F168" s="105"/>
      <c r="G168" s="105">
        <f>SUM(G144:G167)</f>
        <v>48500</v>
      </c>
      <c r="H168" s="129">
        <f>SUM(H144:H167)</f>
        <v>4000</v>
      </c>
    </row>
    <row r="169" spans="1:9" x14ac:dyDescent="0.25">
      <c r="A169" s="44"/>
      <c r="B169" s="120"/>
      <c r="C169" s="44"/>
      <c r="D169" s="44"/>
      <c r="E169" s="44"/>
      <c r="F169" s="44"/>
      <c r="G169" s="44"/>
      <c r="H169" s="105"/>
    </row>
    <row r="170" spans="1:9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9" x14ac:dyDescent="0.25">
      <c r="A171" s="100" t="s">
        <v>60</v>
      </c>
      <c r="B171" s="97"/>
      <c r="C171" s="102">
        <f>E168</f>
        <v>52500</v>
      </c>
      <c r="D171" s="9"/>
      <c r="E171" s="9"/>
      <c r="F171" s="100" t="s">
        <v>60</v>
      </c>
      <c r="G171" s="101"/>
      <c r="H171" s="121">
        <f>G168</f>
        <v>48500</v>
      </c>
    </row>
    <row r="172" spans="1:9" x14ac:dyDescent="0.25">
      <c r="A172" s="9"/>
      <c r="B172" s="128">
        <v>0.1</v>
      </c>
      <c r="C172" s="104">
        <f>C171*B172</f>
        <v>5250</v>
      </c>
      <c r="D172" s="9"/>
      <c r="E172" s="9"/>
      <c r="F172" s="9"/>
      <c r="G172" s="128">
        <v>0.1</v>
      </c>
    </row>
    <row r="173" spans="1:9" x14ac:dyDescent="0.25">
      <c r="A173" s="103" t="s">
        <v>347</v>
      </c>
      <c r="B173" s="97"/>
      <c r="C173" s="72">
        <v>6900</v>
      </c>
      <c r="D173" s="9"/>
      <c r="E173" s="9"/>
      <c r="F173" s="103"/>
      <c r="G173" s="97" t="s">
        <v>347</v>
      </c>
      <c r="H173" s="72">
        <v>6900</v>
      </c>
    </row>
    <row r="174" spans="1:9" x14ac:dyDescent="0.25">
      <c r="A174" s="103"/>
      <c r="B174" s="97"/>
      <c r="C174" s="72">
        <f>C171+C173</f>
        <v>59400</v>
      </c>
      <c r="D174" s="9"/>
      <c r="E174" s="9"/>
      <c r="F174" s="103"/>
      <c r="G174" s="97"/>
      <c r="H174" s="72">
        <f>SUM(H171:H173)</f>
        <v>55400</v>
      </c>
    </row>
    <row r="175" spans="1:9" x14ac:dyDescent="0.25">
      <c r="A175" s="67" t="s">
        <v>58</v>
      </c>
      <c r="B175" s="9"/>
      <c r="C175" s="9"/>
      <c r="D175" s="9"/>
      <c r="E175" s="9"/>
      <c r="F175" s="67" t="s">
        <v>58</v>
      </c>
      <c r="G175" s="9"/>
      <c r="H175" s="9"/>
    </row>
    <row r="176" spans="1:9" x14ac:dyDescent="0.25">
      <c r="A176" s="103" t="s">
        <v>196</v>
      </c>
      <c r="B176" s="9"/>
      <c r="C176" s="104" t="s">
        <v>544</v>
      </c>
      <c r="D176" s="9"/>
      <c r="E176" s="9"/>
      <c r="F176" t="s">
        <v>512</v>
      </c>
      <c r="H176" s="104">
        <f>H171*G172</f>
        <v>4850</v>
      </c>
    </row>
    <row r="177" spans="1:8" x14ac:dyDescent="0.25">
      <c r="A177" s="103"/>
      <c r="B177" s="9"/>
      <c r="C177" s="104"/>
      <c r="D177" s="9"/>
      <c r="E177" s="9"/>
      <c r="F177" s="103"/>
      <c r="G177" s="9"/>
      <c r="H177" s="104"/>
    </row>
    <row r="178" spans="1:8" x14ac:dyDescent="0.25">
      <c r="A178" s="93" t="s">
        <v>510</v>
      </c>
      <c r="B178" s="9"/>
      <c r="C178" s="9">
        <v>4600</v>
      </c>
      <c r="D178" s="9"/>
      <c r="E178" s="9"/>
      <c r="F178" s="93" t="s">
        <v>510</v>
      </c>
      <c r="G178" s="9"/>
      <c r="H178" s="9">
        <v>4600</v>
      </c>
    </row>
    <row r="179" spans="1:8" x14ac:dyDescent="0.25">
      <c r="A179" s="136" t="s">
        <v>511</v>
      </c>
      <c r="B179" s="9"/>
      <c r="C179" s="9">
        <v>5000</v>
      </c>
      <c r="D179" s="72"/>
      <c r="E179" s="9"/>
      <c r="F179" s="136" t="s">
        <v>511</v>
      </c>
      <c r="G179" s="9"/>
      <c r="H179" s="9">
        <v>5000</v>
      </c>
    </row>
    <row r="180" spans="1:8" x14ac:dyDescent="0.25">
      <c r="A180" s="36" t="s">
        <v>509</v>
      </c>
      <c r="B180" s="9"/>
      <c r="C180" s="34">
        <v>5100</v>
      </c>
      <c r="D180" s="9"/>
      <c r="E180" s="9"/>
      <c r="F180" s="36" t="s">
        <v>509</v>
      </c>
      <c r="G180" s="9"/>
      <c r="H180" s="34">
        <v>5100</v>
      </c>
    </row>
    <row r="181" spans="1:8" s="9" customFormat="1" x14ac:dyDescent="0.25">
      <c r="A181" s="136">
        <v>42988</v>
      </c>
      <c r="C181" s="34">
        <v>30000</v>
      </c>
      <c r="F181" s="136">
        <v>42988</v>
      </c>
      <c r="H181" s="34">
        <v>30000</v>
      </c>
    </row>
    <row r="182" spans="1:8" s="9" customFormat="1" x14ac:dyDescent="0.25">
      <c r="A182" s="136" t="s">
        <v>514</v>
      </c>
      <c r="C182" s="34">
        <f>E153+E156+E158+E166</f>
        <v>16500</v>
      </c>
      <c r="F182" s="136" t="s">
        <v>514</v>
      </c>
      <c r="H182" s="34">
        <f>C182</f>
        <v>16500</v>
      </c>
    </row>
    <row r="183" spans="1:8" s="9" customFormat="1" x14ac:dyDescent="0.25">
      <c r="A183" s="9" t="s">
        <v>2</v>
      </c>
      <c r="C183" s="72">
        <f>SUM(C176:C182)</f>
        <v>61200</v>
      </c>
      <c r="F183" s="9" t="s">
        <v>2</v>
      </c>
      <c r="G183" s="86"/>
      <c r="H183" s="87">
        <f>SUM(H176:H182)</f>
        <v>66050</v>
      </c>
    </row>
    <row r="184" spans="1:8" s="9" customFormat="1" x14ac:dyDescent="0.25">
      <c r="A184" s="9" t="s">
        <v>355</v>
      </c>
      <c r="C184" s="72">
        <f>C174-C183</f>
        <v>-1800</v>
      </c>
    </row>
    <row r="185" spans="1:8" x14ac:dyDescent="0.25">
      <c r="A185" s="9"/>
      <c r="B185" s="9"/>
      <c r="C185" s="72"/>
      <c r="D185" s="9"/>
      <c r="E185" s="9"/>
      <c r="F185" s="9" t="s">
        <v>355</v>
      </c>
      <c r="G185" s="9"/>
      <c r="H185" s="72">
        <f>H174-H183</f>
        <v>-10650</v>
      </c>
    </row>
    <row r="186" spans="1:8" x14ac:dyDescent="0.25">
      <c r="A186" s="9"/>
      <c r="B186" s="9"/>
      <c r="C186" s="72"/>
      <c r="D186" s="9"/>
      <c r="E186" s="9"/>
      <c r="F186" s="9"/>
      <c r="G186" s="9"/>
      <c r="H186" s="72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8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8" ht="23.25" x14ac:dyDescent="0.35">
      <c r="A190" s="4"/>
      <c r="B190" s="52"/>
      <c r="C190" s="9"/>
      <c r="D190" s="183" t="s">
        <v>278</v>
      </c>
      <c r="E190" s="183"/>
      <c r="F190" s="183"/>
      <c r="G190" s="183"/>
      <c r="H190" s="9"/>
    </row>
    <row r="191" spans="1:8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8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 t="s">
        <v>1</v>
      </c>
      <c r="F192" s="22" t="s">
        <v>10</v>
      </c>
      <c r="G192" s="21" t="s">
        <v>3</v>
      </c>
      <c r="H192" s="13" t="s">
        <v>13</v>
      </c>
    </row>
    <row r="193" spans="1:8" x14ac:dyDescent="0.25">
      <c r="A193" s="43" t="s">
        <v>279</v>
      </c>
      <c r="B193" s="120">
        <v>1</v>
      </c>
      <c r="C193" s="116"/>
      <c r="D193" s="43"/>
      <c r="E193" s="47">
        <v>3500</v>
      </c>
      <c r="F193" s="47">
        <f>E193+D193</f>
        <v>3500</v>
      </c>
      <c r="G193" s="133">
        <v>3500</v>
      </c>
      <c r="H193" s="129">
        <f>F193-G193</f>
        <v>0</v>
      </c>
    </row>
    <row r="194" spans="1:8" x14ac:dyDescent="0.25">
      <c r="A194" s="88" t="s">
        <v>280</v>
      </c>
      <c r="B194" s="120">
        <v>2</v>
      </c>
      <c r="C194" s="117"/>
      <c r="D194" s="2">
        <v>21000</v>
      </c>
      <c r="E194" s="46">
        <v>3500</v>
      </c>
      <c r="F194" s="47">
        <f t="shared" ref="F194:F202" si="9">E194+D194</f>
        <v>24500</v>
      </c>
      <c r="G194" s="56"/>
      <c r="H194" s="129">
        <f>F194-G194</f>
        <v>24500</v>
      </c>
    </row>
    <row r="195" spans="1:8" x14ac:dyDescent="0.25">
      <c r="A195" s="88" t="s">
        <v>21</v>
      </c>
      <c r="B195" s="120">
        <v>3</v>
      </c>
      <c r="C195" s="44"/>
      <c r="D195" s="43"/>
      <c r="E195" s="46"/>
      <c r="F195" s="47">
        <f t="shared" si="9"/>
        <v>0</v>
      </c>
      <c r="G195" s="56"/>
      <c r="H195" s="129">
        <f t="shared" ref="H195:H202" si="10">F195-G195</f>
        <v>0</v>
      </c>
    </row>
    <row r="196" spans="1:8" x14ac:dyDescent="0.25">
      <c r="A196" s="88" t="s">
        <v>515</v>
      </c>
      <c r="B196" s="120">
        <v>4</v>
      </c>
      <c r="C196" s="44"/>
      <c r="D196" s="43">
        <v>4000</v>
      </c>
      <c r="E196" s="46">
        <v>2000</v>
      </c>
      <c r="F196" s="47">
        <f t="shared" si="9"/>
        <v>6000</v>
      </c>
      <c r="G196" s="56"/>
      <c r="H196" s="129">
        <f t="shared" si="10"/>
        <v>6000</v>
      </c>
    </row>
    <row r="197" spans="1:8" x14ac:dyDescent="0.25">
      <c r="A197" s="43" t="s">
        <v>21</v>
      </c>
      <c r="B197" s="120">
        <v>5</v>
      </c>
      <c r="C197" s="44"/>
      <c r="D197" s="44"/>
      <c r="E197" s="46">
        <v>0</v>
      </c>
      <c r="F197" s="47">
        <f t="shared" si="9"/>
        <v>0</v>
      </c>
      <c r="G197" s="46"/>
      <c r="H197" s="129">
        <f>F197-G197</f>
        <v>0</v>
      </c>
    </row>
    <row r="198" spans="1:8" x14ac:dyDescent="0.25">
      <c r="A198" s="43" t="s">
        <v>284</v>
      </c>
      <c r="B198" s="120">
        <v>6</v>
      </c>
      <c r="C198" s="189"/>
      <c r="D198" s="44">
        <v>10500</v>
      </c>
      <c r="E198" s="46">
        <v>3500</v>
      </c>
      <c r="F198" s="47">
        <f>E198+D198</f>
        <v>14000</v>
      </c>
      <c r="G198" s="46">
        <v>3500</v>
      </c>
      <c r="H198" s="129">
        <f>F198-G198</f>
        <v>10500</v>
      </c>
    </row>
    <row r="199" spans="1:8" x14ac:dyDescent="0.25">
      <c r="A199" s="45" t="s">
        <v>21</v>
      </c>
      <c r="B199" s="148">
        <v>7</v>
      </c>
      <c r="D199" s="44"/>
      <c r="E199" s="44"/>
      <c r="F199" s="44"/>
      <c r="G199" s="44"/>
      <c r="H199" s="44"/>
    </row>
    <row r="200" spans="1:8" x14ac:dyDescent="0.25">
      <c r="A200" s="43" t="s">
        <v>516</v>
      </c>
      <c r="B200" s="120">
        <v>8</v>
      </c>
      <c r="C200" s="44"/>
      <c r="D200" s="44"/>
      <c r="E200" s="73">
        <v>2000</v>
      </c>
      <c r="F200" s="47">
        <v>2000</v>
      </c>
      <c r="G200" s="68"/>
      <c r="H200" s="129">
        <f t="shared" si="10"/>
        <v>2000</v>
      </c>
    </row>
    <row r="201" spans="1:8" x14ac:dyDescent="0.25">
      <c r="A201" s="47" t="s">
        <v>21</v>
      </c>
      <c r="B201" s="120">
        <v>9</v>
      </c>
      <c r="C201" s="48"/>
      <c r="D201" s="46"/>
      <c r="E201" s="46">
        <v>0</v>
      </c>
      <c r="F201" s="47">
        <f t="shared" si="9"/>
        <v>0</v>
      </c>
      <c r="G201" s="46"/>
      <c r="H201" s="129">
        <f t="shared" si="10"/>
        <v>0</v>
      </c>
    </row>
    <row r="202" spans="1:8" x14ac:dyDescent="0.25">
      <c r="A202" s="44"/>
      <c r="B202" s="120">
        <v>10</v>
      </c>
      <c r="C202" s="44"/>
      <c r="D202" s="44"/>
      <c r="E202" s="44"/>
      <c r="F202" s="47">
        <f t="shared" si="9"/>
        <v>0</v>
      </c>
      <c r="G202" s="44"/>
      <c r="H202" s="129">
        <f t="shared" si="10"/>
        <v>0</v>
      </c>
    </row>
    <row r="203" spans="1:8" x14ac:dyDescent="0.25">
      <c r="A203" s="45" t="s">
        <v>137</v>
      </c>
      <c r="B203" s="9"/>
      <c r="C203" s="44"/>
      <c r="D203" s="44"/>
      <c r="E203" s="115">
        <f>SUM(E193:E202)</f>
        <v>14500</v>
      </c>
      <c r="F203" s="47"/>
      <c r="G203" s="150">
        <f>SUM(G193:G202)</f>
        <v>7000</v>
      </c>
      <c r="H203" s="129">
        <f>SUM(H194:H202)</f>
        <v>43000</v>
      </c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100" t="s">
        <v>60</v>
      </c>
      <c r="C205" s="101"/>
      <c r="D205" s="121">
        <f>E203</f>
        <v>14500</v>
      </c>
      <c r="E205" s="102"/>
      <c r="F205" s="100" t="s">
        <v>60</v>
      </c>
      <c r="G205" s="101"/>
      <c r="H205" s="97">
        <f>G203</f>
        <v>7000</v>
      </c>
    </row>
    <row r="206" spans="1:8" x14ac:dyDescent="0.25">
      <c r="A206" s="9"/>
      <c r="B206" s="9"/>
      <c r="C206" s="101"/>
      <c r="D206" s="128">
        <v>0.1</v>
      </c>
      <c r="E206" s="104"/>
      <c r="F206" s="9"/>
      <c r="G206" s="186">
        <v>0.1</v>
      </c>
      <c r="H206" s="170"/>
    </row>
    <row r="207" spans="1:8" x14ac:dyDescent="0.25">
      <c r="A207" s="9"/>
      <c r="B207" s="103" t="s">
        <v>347</v>
      </c>
      <c r="C207" s="101"/>
      <c r="D207" s="97"/>
      <c r="E207" s="72"/>
      <c r="F207" s="103" t="s">
        <v>343</v>
      </c>
      <c r="G207" s="101"/>
      <c r="H207" s="72">
        <v>-6699.9</v>
      </c>
    </row>
    <row r="208" spans="1:8" x14ac:dyDescent="0.25">
      <c r="A208" s="9"/>
      <c r="B208" s="103" t="s">
        <v>229</v>
      </c>
      <c r="C208" s="101"/>
      <c r="D208" s="97"/>
      <c r="E208" s="72"/>
      <c r="F208" s="103"/>
      <c r="G208" s="101"/>
      <c r="H208" s="72">
        <f>H205+H207</f>
        <v>300.10000000000036</v>
      </c>
    </row>
    <row r="209" spans="1:8" x14ac:dyDescent="0.25">
      <c r="A209" s="9"/>
      <c r="B209" s="67" t="s">
        <v>58</v>
      </c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67" t="s">
        <v>58</v>
      </c>
      <c r="G210" s="9"/>
      <c r="H210" s="9"/>
    </row>
    <row r="211" spans="1:8" x14ac:dyDescent="0.25">
      <c r="A211" s="9"/>
      <c r="B211" s="103" t="s">
        <v>196</v>
      </c>
      <c r="C211" s="9"/>
      <c r="D211" s="72">
        <f>D205*D206</f>
        <v>1450</v>
      </c>
      <c r="E211" s="104">
        <f>E205*D206</f>
        <v>0</v>
      </c>
      <c r="F211" s="9" t="s">
        <v>68</v>
      </c>
      <c r="G211" s="9"/>
      <c r="H211" s="104">
        <f>H205*G206</f>
        <v>700</v>
      </c>
    </row>
    <row r="212" spans="1:8" x14ac:dyDescent="0.25">
      <c r="A212" s="9"/>
      <c r="B212" s="136" t="s">
        <v>513</v>
      </c>
      <c r="C212" s="17"/>
      <c r="D212" s="34">
        <v>3000</v>
      </c>
      <c r="E212" s="34"/>
      <c r="F212" s="136" t="s">
        <v>513</v>
      </c>
      <c r="G212" s="17"/>
      <c r="H212" s="34">
        <v>3000</v>
      </c>
    </row>
    <row r="213" spans="1:8" x14ac:dyDescent="0.25">
      <c r="A213" s="9"/>
      <c r="B213" s="9" t="s">
        <v>2</v>
      </c>
      <c r="C213" s="9"/>
      <c r="D213" s="72">
        <f>SUM(D211:D212)</f>
        <v>4450</v>
      </c>
      <c r="E213" s="9"/>
      <c r="F213" s="9" t="s">
        <v>2</v>
      </c>
      <c r="G213" s="9"/>
      <c r="H213" s="147">
        <f>SUM(H211:H212)</f>
        <v>3700</v>
      </c>
    </row>
    <row r="214" spans="1:8" x14ac:dyDescent="0.25">
      <c r="A214" s="9"/>
      <c r="B214" s="9"/>
      <c r="C214" s="9"/>
      <c r="D214" s="9"/>
      <c r="E214" s="9"/>
      <c r="F214" s="9"/>
      <c r="G214" s="9"/>
      <c r="H214" s="72"/>
    </row>
    <row r="215" spans="1:8" x14ac:dyDescent="0.25">
      <c r="A215" s="9"/>
      <c r="B215" s="36" t="s">
        <v>355</v>
      </c>
      <c r="C215" s="9"/>
      <c r="D215" s="72">
        <f>D205-D213</f>
        <v>10050</v>
      </c>
      <c r="E215" s="72"/>
      <c r="F215" s="36" t="s">
        <v>355</v>
      </c>
      <c r="G215" s="9"/>
      <c r="H215" s="72">
        <f>H208-H213</f>
        <v>-3399.8999999999996</v>
      </c>
    </row>
    <row r="216" spans="1:8" x14ac:dyDescent="0.25">
      <c r="A216" s="9"/>
      <c r="B216" s="36"/>
      <c r="C216" s="9"/>
      <c r="D216" s="9"/>
      <c r="E216" s="72"/>
      <c r="F216" s="36"/>
      <c r="G216" s="9"/>
      <c r="H216" s="72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</sheetData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B82" workbookViewId="0">
      <selection activeCell="H40" sqref="H40"/>
    </sheetView>
  </sheetViews>
  <sheetFormatPr defaultRowHeight="15" x14ac:dyDescent="0.25"/>
  <cols>
    <col min="1" max="1" width="1.42578125" style="9" hidden="1" customWidth="1"/>
    <col min="2" max="2" width="12.5703125" style="9" customWidth="1"/>
    <col min="3" max="3" width="7.5703125" style="9" customWidth="1"/>
    <col min="4" max="4" width="10.7109375" style="9" customWidth="1"/>
    <col min="5" max="5" width="12" style="9" customWidth="1"/>
    <col min="6" max="6" width="10.28515625" style="9" customWidth="1"/>
    <col min="7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499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46">
        <v>2000</v>
      </c>
      <c r="I8" s="68">
        <f>G8-H8</f>
        <v>4500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46">
        <v>2000</v>
      </c>
      <c r="I9" s="68">
        <f t="shared" ref="I9:I19" si="1">G9-H9</f>
        <v>0</v>
      </c>
    </row>
    <row r="10" spans="2:9" x14ac:dyDescent="0.25">
      <c r="B10" s="43" t="s">
        <v>204</v>
      </c>
      <c r="C10" s="3">
        <v>3</v>
      </c>
      <c r="D10" s="43"/>
      <c r="E10" s="43"/>
      <c r="F10" s="47"/>
      <c r="G10" s="46">
        <f t="shared" si="0"/>
        <v>0</v>
      </c>
      <c r="H10" s="46"/>
      <c r="I10" s="68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46"/>
      <c r="I11" s="68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6000</v>
      </c>
      <c r="F12" s="46">
        <v>2000</v>
      </c>
      <c r="G12" s="46">
        <f t="shared" si="0"/>
        <v>8000</v>
      </c>
      <c r="H12" s="46"/>
      <c r="I12" s="68">
        <f t="shared" si="1"/>
        <v>8000</v>
      </c>
    </row>
    <row r="13" spans="2:9" x14ac:dyDescent="0.25">
      <c r="B13" s="43" t="s">
        <v>137</v>
      </c>
      <c r="C13" s="3">
        <v>6</v>
      </c>
      <c r="D13" s="44"/>
      <c r="E13" s="43"/>
      <c r="F13" s="46">
        <v>2000</v>
      </c>
      <c r="G13" s="46">
        <f t="shared" si="0"/>
        <v>2000</v>
      </c>
      <c r="H13" s="46"/>
      <c r="I13" s="68">
        <f t="shared" si="1"/>
        <v>2000</v>
      </c>
    </row>
    <row r="14" spans="2:9" x14ac:dyDescent="0.25">
      <c r="B14" s="43" t="s">
        <v>21</v>
      </c>
      <c r="C14" s="3">
        <v>7</v>
      </c>
      <c r="D14" s="44"/>
      <c r="E14" s="44"/>
      <c r="F14" s="46"/>
      <c r="G14" s="46">
        <f t="shared" si="0"/>
        <v>0</v>
      </c>
      <c r="H14" s="46">
        <v>0</v>
      </c>
      <c r="I14" s="68">
        <f t="shared" si="1"/>
        <v>0</v>
      </c>
    </row>
    <row r="15" spans="2:9" x14ac:dyDescent="0.25">
      <c r="B15" s="45" t="s">
        <v>115</v>
      </c>
      <c r="C15" s="57">
        <v>8</v>
      </c>
      <c r="D15" s="58"/>
      <c r="E15" s="58">
        <v>4300</v>
      </c>
      <c r="F15" s="59">
        <v>2000</v>
      </c>
      <c r="G15" s="46">
        <f t="shared" si="0"/>
        <v>6300</v>
      </c>
      <c r="H15" s="59">
        <v>0</v>
      </c>
      <c r="I15" s="174">
        <f t="shared" si="1"/>
        <v>6300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 t="shared" si="0"/>
        <v>0</v>
      </c>
      <c r="H16" s="44"/>
      <c r="I16" s="44"/>
    </row>
    <row r="17" spans="2:14" x14ac:dyDescent="0.25">
      <c r="B17" s="88" t="s">
        <v>526</v>
      </c>
      <c r="C17" s="3">
        <v>10</v>
      </c>
      <c r="D17" s="44"/>
      <c r="E17" s="2"/>
      <c r="F17" s="46">
        <v>2000</v>
      </c>
      <c r="G17" s="46">
        <f t="shared" si="0"/>
        <v>2000</v>
      </c>
      <c r="H17" s="46"/>
      <c r="I17" s="68">
        <f>G17-H17</f>
        <v>2000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46">
        <v>2000</v>
      </c>
      <c r="I18" s="68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6000</v>
      </c>
      <c r="F19" s="73">
        <v>2000</v>
      </c>
      <c r="G19" s="46">
        <f t="shared" si="0"/>
        <v>8000</v>
      </c>
      <c r="H19" s="46"/>
      <c r="I19" s="68">
        <f t="shared" si="1"/>
        <v>8000</v>
      </c>
    </row>
    <row r="20" spans="2:14" x14ac:dyDescent="0.25">
      <c r="B20" s="47"/>
      <c r="C20" s="16"/>
      <c r="D20" s="48"/>
      <c r="E20" s="46">
        <f>SUM(E8:E19)</f>
        <v>27000</v>
      </c>
      <c r="F20" s="46">
        <f>SUM(F8:F19)</f>
        <v>16000</v>
      </c>
      <c r="G20" s="46">
        <f>E20+F20</f>
        <v>43000</v>
      </c>
      <c r="H20" s="46">
        <f>SUM(H8:H19)</f>
        <v>6000</v>
      </c>
      <c r="I20" s="68">
        <f>SUM(I8:I19)</f>
        <v>37000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342</v>
      </c>
      <c r="H22" s="72">
        <f>H20</f>
        <v>6000</v>
      </c>
    </row>
    <row r="23" spans="2:14" ht="15.75" x14ac:dyDescent="0.25">
      <c r="B23" s="70"/>
      <c r="C23" s="17"/>
      <c r="D23" s="90"/>
      <c r="E23" s="66"/>
      <c r="F23" s="51" t="s">
        <v>63</v>
      </c>
      <c r="G23" s="40"/>
    </row>
    <row r="24" spans="2:14" ht="15.75" x14ac:dyDescent="0.25">
      <c r="B24" s="70"/>
      <c r="C24" s="17"/>
      <c r="D24" s="90"/>
      <c r="E24" s="66">
        <f>E22+E23</f>
        <v>16000</v>
      </c>
      <c r="F24" s="51"/>
      <c r="G24" s="40"/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527</v>
      </c>
      <c r="E27" s="72">
        <v>10000</v>
      </c>
      <c r="F27" s="100" t="s">
        <v>527</v>
      </c>
      <c r="H27" s="72">
        <v>10000</v>
      </c>
    </row>
    <row r="28" spans="2:14" x14ac:dyDescent="0.25">
      <c r="B28" s="196">
        <v>43052</v>
      </c>
      <c r="E28" s="72">
        <v>4400</v>
      </c>
      <c r="F28" s="196">
        <v>43052</v>
      </c>
      <c r="H28" s="72">
        <v>4400</v>
      </c>
    </row>
    <row r="29" spans="2:14" x14ac:dyDescent="0.25">
      <c r="B29" s="196" t="s">
        <v>204</v>
      </c>
      <c r="E29" s="72">
        <v>6000</v>
      </c>
      <c r="F29" s="196" t="s">
        <v>204</v>
      </c>
      <c r="H29" s="72">
        <v>6000</v>
      </c>
    </row>
    <row r="30" spans="2:14" x14ac:dyDescent="0.25">
      <c r="B30" s="9" t="s">
        <v>154</v>
      </c>
      <c r="E30" s="72">
        <f>SUM(E26:E29)</f>
        <v>22000</v>
      </c>
      <c r="F30" s="9" t="s">
        <v>154</v>
      </c>
      <c r="H30" s="72">
        <f>SUM(H26:H29)</f>
        <v>22000</v>
      </c>
    </row>
    <row r="31" spans="2:14" x14ac:dyDescent="0.25">
      <c r="B31" s="122" t="s">
        <v>165</v>
      </c>
      <c r="E31" s="72">
        <f>E24-E30</f>
        <v>-6000</v>
      </c>
      <c r="H31" s="72">
        <f>H22-H30</f>
        <v>-16000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188" t="s">
        <v>97</v>
      </c>
      <c r="D42" s="188"/>
      <c r="E42" s="188"/>
      <c r="F42" s="188"/>
      <c r="G42" s="188"/>
      <c r="H42" s="188"/>
    </row>
    <row r="43" spans="2:10" x14ac:dyDescent="0.25">
      <c r="D43" s="95"/>
      <c r="E43" s="95"/>
      <c r="F43" s="96" t="s">
        <v>517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3000</v>
      </c>
      <c r="G47" s="46">
        <f t="shared" ref="G47:G57" si="2">E47+F47</f>
        <v>3000</v>
      </c>
      <c r="H47" s="56">
        <v>4500</v>
      </c>
      <c r="I47" s="105">
        <f t="shared" ref="I47:I57" si="3">G47-H47</f>
        <v>-1500</v>
      </c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si="3"/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3000</v>
      </c>
      <c r="I51" s="105">
        <f t="shared" si="3"/>
        <v>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16500</v>
      </c>
      <c r="G58" s="105">
        <f>SUM(G46:G57)</f>
        <v>16500</v>
      </c>
      <c r="H58" s="105">
        <f>SUM(H46:H57)</f>
        <v>12500</v>
      </c>
      <c r="I58" s="105">
        <f>SUM(I46:I57)</f>
        <v>4000</v>
      </c>
    </row>
    <row r="59" spans="2:9" x14ac:dyDescent="0.25">
      <c r="B59" s="100" t="s">
        <v>60</v>
      </c>
      <c r="C59" s="101"/>
      <c r="D59" s="97"/>
      <c r="E59" s="102">
        <f>F58</f>
        <v>16500</v>
      </c>
      <c r="F59" s="100" t="s">
        <v>60</v>
      </c>
      <c r="G59" s="101"/>
      <c r="H59" s="97"/>
      <c r="I59" s="102">
        <f>H58</f>
        <v>12500</v>
      </c>
    </row>
    <row r="60" spans="2:9" x14ac:dyDescent="0.25">
      <c r="B60" s="103" t="s">
        <v>347</v>
      </c>
      <c r="C60" s="101"/>
      <c r="D60" s="97"/>
      <c r="E60" s="104">
        <f>OCTOMBER!D65</f>
        <v>6040</v>
      </c>
      <c r="F60" s="103" t="s">
        <v>347</v>
      </c>
      <c r="G60" s="101"/>
      <c r="H60" s="97"/>
      <c r="I60" s="104">
        <f>OCTOMBER!H66</f>
        <v>910</v>
      </c>
    </row>
    <row r="61" spans="2:9" x14ac:dyDescent="0.25">
      <c r="B61" s="103"/>
      <c r="C61" s="101"/>
      <c r="D61" s="97"/>
      <c r="E61" s="104">
        <f>SUM(E59:E60)</f>
        <v>22540</v>
      </c>
      <c r="F61" s="103"/>
      <c r="G61" s="101"/>
      <c r="H61" s="97"/>
      <c r="I61" s="104">
        <f>SUM(I59:I60)</f>
        <v>13410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2254</v>
      </c>
      <c r="F63" s="36" t="s">
        <v>22</v>
      </c>
      <c r="G63" s="146">
        <v>0.1</v>
      </c>
      <c r="I63" s="34">
        <f>I61*G63</f>
        <v>1341</v>
      </c>
    </row>
    <row r="64" spans="2:9" x14ac:dyDescent="0.25">
      <c r="B64" s="36" t="s">
        <v>524</v>
      </c>
      <c r="E64" s="72">
        <v>7000</v>
      </c>
      <c r="F64" s="36" t="s">
        <v>524</v>
      </c>
      <c r="I64" s="72">
        <v>7000</v>
      </c>
    </row>
    <row r="66" spans="2:12" x14ac:dyDescent="0.25">
      <c r="B66" s="36"/>
      <c r="E66" s="72"/>
      <c r="F66" s="36"/>
      <c r="I66" s="72"/>
    </row>
    <row r="67" spans="2:12" x14ac:dyDescent="0.25">
      <c r="B67" s="36"/>
      <c r="E67" s="72">
        <f>SUM(E63:E66)</f>
        <v>9254</v>
      </c>
      <c r="F67" s="36"/>
      <c r="I67" s="72">
        <f>SUM(I63:I66)</f>
        <v>8341</v>
      </c>
    </row>
    <row r="68" spans="2:12" x14ac:dyDescent="0.25">
      <c r="B68" s="36" t="s">
        <v>355</v>
      </c>
      <c r="E68" s="135">
        <f>E61-E67</f>
        <v>13286</v>
      </c>
      <c r="I68" s="72"/>
    </row>
    <row r="69" spans="2:12" x14ac:dyDescent="0.25">
      <c r="D69" s="86"/>
      <c r="E69" s="72"/>
      <c r="F69" s="38" t="s">
        <v>24</v>
      </c>
      <c r="G69" s="39"/>
      <c r="I69" s="135">
        <f>I61-I67</f>
        <v>5069</v>
      </c>
    </row>
    <row r="70" spans="2:12" x14ac:dyDescent="0.25">
      <c r="B70" s="36"/>
      <c r="E70" s="72"/>
    </row>
    <row r="71" spans="2:12" x14ac:dyDescent="0.25">
      <c r="I71" s="72">
        <f>I69+L72</f>
        <v>11569</v>
      </c>
    </row>
    <row r="72" spans="2:12" x14ac:dyDescent="0.25">
      <c r="B72" s="5" t="s">
        <v>92</v>
      </c>
      <c r="C72" s="19"/>
      <c r="D72" s="19"/>
      <c r="E72" s="81" t="s">
        <v>4</v>
      </c>
      <c r="F72" s="81"/>
      <c r="G72" s="19"/>
      <c r="J72" s="9">
        <v>9000</v>
      </c>
      <c r="K72" s="9">
        <v>2500</v>
      </c>
      <c r="L72" s="9">
        <f>J72-K72</f>
        <v>6500</v>
      </c>
    </row>
    <row r="73" spans="2:12" x14ac:dyDescent="0.25">
      <c r="B73" s="5"/>
      <c r="C73" s="19"/>
      <c r="D73" s="81" t="s">
        <v>87</v>
      </c>
      <c r="E73" s="81"/>
      <c r="F73" s="19"/>
      <c r="G73" s="19"/>
    </row>
    <row r="74" spans="2:12" x14ac:dyDescent="0.25">
      <c r="B74" s="24"/>
      <c r="C74" s="79"/>
      <c r="D74" s="82" t="s">
        <v>88</v>
      </c>
      <c r="E74" s="80"/>
      <c r="F74" s="80"/>
      <c r="G74" s="79"/>
    </row>
    <row r="75" spans="2:12" x14ac:dyDescent="0.25">
      <c r="B75" s="4"/>
      <c r="C75" s="5"/>
      <c r="D75" s="6" t="s">
        <v>5</v>
      </c>
      <c r="E75" s="6"/>
      <c r="F75" s="5"/>
      <c r="G75" s="4"/>
    </row>
    <row r="76" spans="2:12" ht="15.75" x14ac:dyDescent="0.25">
      <c r="C76" s="4"/>
      <c r="D76" s="52"/>
      <c r="E76" s="4" t="s">
        <v>171</v>
      </c>
      <c r="F76" s="4"/>
      <c r="G76" s="4"/>
      <c r="H76" s="5"/>
    </row>
    <row r="77" spans="2:12" x14ac:dyDescent="0.25">
      <c r="C77" s="95"/>
      <c r="D77" s="95"/>
      <c r="E77" s="96" t="s">
        <v>518</v>
      </c>
      <c r="F77" s="95"/>
      <c r="G77" s="95"/>
      <c r="H77" s="95"/>
    </row>
    <row r="78" spans="2:12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12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12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</row>
    <row r="89" spans="2:9" x14ac:dyDescent="0.25">
      <c r="B89" s="9" t="s">
        <v>196</v>
      </c>
      <c r="D89" s="83">
        <v>0.1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H87-H94</f>
        <v>-850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188" t="s">
        <v>292</v>
      </c>
      <c r="F101" s="188"/>
      <c r="G101" s="188"/>
    </row>
    <row r="102" spans="2:9" x14ac:dyDescent="0.25">
      <c r="D102" s="95"/>
      <c r="E102" s="95"/>
      <c r="F102" s="96" t="s">
        <v>349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>
        <v>4500</v>
      </c>
      <c r="I104" s="204">
        <f>G104-H104</f>
        <v>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2400</v>
      </c>
      <c r="I108" s="204">
        <f t="shared" si="5"/>
        <v>100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>
        <v>2500</v>
      </c>
      <c r="I109" s="204">
        <f t="shared" si="5"/>
        <v>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3800</v>
      </c>
      <c r="I110" s="204">
        <f t="shared" si="5"/>
        <v>-1300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1500</v>
      </c>
      <c r="I112" s="204">
        <f>G112-H112</f>
        <v>1000</v>
      </c>
    </row>
    <row r="113" spans="2:9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9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9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2500</v>
      </c>
      <c r="I115" s="204">
        <f t="shared" si="5"/>
        <v>0</v>
      </c>
    </row>
    <row r="116" spans="2:9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9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9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9" x14ac:dyDescent="0.25">
      <c r="B119" s="44" t="s">
        <v>251</v>
      </c>
      <c r="C119" s="148">
        <v>16</v>
      </c>
      <c r="E119" s="199">
        <v>500</v>
      </c>
      <c r="F119" s="199">
        <v>2500</v>
      </c>
      <c r="G119" s="202">
        <f t="shared" si="6"/>
        <v>3000</v>
      </c>
      <c r="H119" s="210">
        <v>2300</v>
      </c>
      <c r="I119" s="204">
        <f t="shared" si="5"/>
        <v>700</v>
      </c>
    </row>
    <row r="120" spans="2:9" x14ac:dyDescent="0.25">
      <c r="B120" s="44" t="s">
        <v>330</v>
      </c>
      <c r="C120" s="120">
        <v>17</v>
      </c>
      <c r="D120" s="117"/>
      <c r="E120" s="198"/>
      <c r="F120" s="198">
        <v>1600</v>
      </c>
      <c r="G120" s="202">
        <f t="shared" si="6"/>
        <v>1600</v>
      </c>
      <c r="H120" s="210">
        <v>1000</v>
      </c>
      <c r="I120" s="204">
        <f t="shared" si="5"/>
        <v>600</v>
      </c>
    </row>
    <row r="121" spans="2:9" x14ac:dyDescent="0.25">
      <c r="B121" s="125" t="s">
        <v>331</v>
      </c>
      <c r="C121" s="120">
        <v>18</v>
      </c>
      <c r="D121" s="117" t="s">
        <v>248</v>
      </c>
      <c r="E121" s="198"/>
      <c r="F121" s="198">
        <v>1600</v>
      </c>
      <c r="G121" s="202">
        <f t="shared" si="6"/>
        <v>1600</v>
      </c>
      <c r="H121" s="210">
        <v>1000</v>
      </c>
      <c r="I121" s="204">
        <f t="shared" si="5"/>
        <v>600</v>
      </c>
    </row>
    <row r="122" spans="2:9" x14ac:dyDescent="0.25">
      <c r="B122" s="44" t="s">
        <v>540</v>
      </c>
      <c r="C122" s="141">
        <v>19</v>
      </c>
      <c r="D122" s="142">
        <v>1600</v>
      </c>
      <c r="E122" s="200"/>
      <c r="F122" s="200"/>
      <c r="G122" s="202">
        <f t="shared" si="6"/>
        <v>0</v>
      </c>
      <c r="H122" s="200"/>
      <c r="I122" s="204">
        <f t="shared" si="5"/>
        <v>0</v>
      </c>
    </row>
    <row r="123" spans="2:9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9" x14ac:dyDescent="0.25">
      <c r="B124" s="138"/>
      <c r="C124" s="138"/>
      <c r="D124" s="138">
        <f>SUM(D122:D123)</f>
        <v>1600</v>
      </c>
      <c r="E124" s="138">
        <f>SUM(E104:E123)</f>
        <v>500</v>
      </c>
      <c r="F124" s="139">
        <f>SUM(F104:F123)</f>
        <v>43400</v>
      </c>
      <c r="G124" s="47">
        <f>E124+F124</f>
        <v>43900</v>
      </c>
      <c r="H124" s="139">
        <f>SUM(H104:H123)</f>
        <v>42200</v>
      </c>
      <c r="I124" s="139">
        <f>SUM(I104:I123)</f>
        <v>1700</v>
      </c>
    </row>
    <row r="125" spans="2:9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9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42200</v>
      </c>
    </row>
    <row r="127" spans="2:9" x14ac:dyDescent="0.25">
      <c r="B127" s="214" t="s">
        <v>347</v>
      </c>
      <c r="C127" s="215"/>
      <c r="D127" s="216"/>
      <c r="E127" s="66">
        <f>OCTOMBER!D131</f>
        <v>9250</v>
      </c>
      <c r="F127" s="214" t="s">
        <v>343</v>
      </c>
      <c r="G127" s="215"/>
      <c r="H127" s="216"/>
      <c r="I127" s="66">
        <f>OCTOMBER!H131</f>
        <v>6730</v>
      </c>
    </row>
    <row r="128" spans="2:9" x14ac:dyDescent="0.25">
      <c r="B128" s="214" t="s">
        <v>347</v>
      </c>
      <c r="C128" s="215"/>
      <c r="D128" s="216"/>
      <c r="E128" s="66">
        <v>5000</v>
      </c>
      <c r="F128" s="214"/>
      <c r="G128" s="215"/>
      <c r="H128" s="216"/>
      <c r="I128" s="66"/>
    </row>
    <row r="129" spans="2:10" x14ac:dyDescent="0.25">
      <c r="B129" s="67" t="s">
        <v>58</v>
      </c>
      <c r="E129" s="72">
        <f>SUM(E126:E128)</f>
        <v>57650</v>
      </c>
      <c r="F129" s="67" t="s">
        <v>58</v>
      </c>
      <c r="I129" s="72">
        <f>SUM(I126:I128)</f>
        <v>48930</v>
      </c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36" t="s">
        <v>529</v>
      </c>
      <c r="C131" s="17"/>
      <c r="E131" s="34">
        <v>15000</v>
      </c>
      <c r="F131" s="36" t="s">
        <v>529</v>
      </c>
      <c r="G131" s="17"/>
      <c r="I131" s="34">
        <v>15000</v>
      </c>
    </row>
    <row r="132" spans="2:10" x14ac:dyDescent="0.25">
      <c r="B132" s="136">
        <v>43045</v>
      </c>
      <c r="E132" s="9">
        <v>5000</v>
      </c>
      <c r="F132" s="136">
        <v>43045</v>
      </c>
      <c r="I132" s="9">
        <v>5000</v>
      </c>
    </row>
    <row r="133" spans="2:10" x14ac:dyDescent="0.25">
      <c r="B133" s="136">
        <v>43052</v>
      </c>
      <c r="E133" s="9">
        <v>10000</v>
      </c>
      <c r="F133" s="136">
        <v>43052</v>
      </c>
      <c r="I133" s="9">
        <v>10000</v>
      </c>
    </row>
    <row r="134" spans="2:10" x14ac:dyDescent="0.25">
      <c r="B134" s="136">
        <v>43053</v>
      </c>
      <c r="E134" s="9">
        <v>8000</v>
      </c>
      <c r="F134" s="136">
        <v>43053</v>
      </c>
      <c r="I134" s="9">
        <v>8000</v>
      </c>
    </row>
    <row r="135" spans="2:10" x14ac:dyDescent="0.25">
      <c r="B135" s="136">
        <v>43060</v>
      </c>
      <c r="E135" s="9">
        <v>14860</v>
      </c>
      <c r="F135" s="136">
        <v>43060</v>
      </c>
      <c r="I135" s="9">
        <v>14860</v>
      </c>
    </row>
    <row r="136" spans="2:10" x14ac:dyDescent="0.25">
      <c r="B136" s="36"/>
      <c r="E136" s="72">
        <f>SUM(E130:E135)</f>
        <v>57200</v>
      </c>
      <c r="F136" s="36"/>
      <c r="I136" s="72">
        <f>SUM(I130:I135)</f>
        <v>57200</v>
      </c>
    </row>
    <row r="137" spans="2:10" x14ac:dyDescent="0.25">
      <c r="B137" s="36"/>
      <c r="E137" s="72">
        <f>E129-E136</f>
        <v>450</v>
      </c>
      <c r="F137" s="36" t="s">
        <v>2</v>
      </c>
      <c r="I137" s="72">
        <f>I129-I136</f>
        <v>-8270</v>
      </c>
      <c r="J137" s="72">
        <f>E137-I137</f>
        <v>8720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3" ht="28.5" x14ac:dyDescent="0.45">
      <c r="B145" s="187" t="s">
        <v>545</v>
      </c>
      <c r="C145" s="187"/>
      <c r="D145" s="187"/>
      <c r="E145" s="187"/>
      <c r="F145" s="187"/>
      <c r="G145" s="187"/>
      <c r="H145" s="187"/>
      <c r="I145" s="187"/>
    </row>
    <row r="146" spans="2:13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3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3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69" si="7">E148+F148</f>
        <v>2500</v>
      </c>
      <c r="H148" s="131"/>
      <c r="I148" s="129">
        <f t="shared" ref="I148:I169" si="8">G148-H148</f>
        <v>2500</v>
      </c>
    </row>
    <row r="149" spans="2:13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3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3">
        <v>2000</v>
      </c>
      <c r="I150" s="129">
        <f t="shared" si="8"/>
        <v>0</v>
      </c>
    </row>
    <row r="151" spans="2:13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3" x14ac:dyDescent="0.25">
      <c r="B152" s="43" t="s">
        <v>261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3" x14ac:dyDescent="0.25">
      <c r="B153" s="43" t="s">
        <v>21</v>
      </c>
      <c r="C153" s="120">
        <v>7</v>
      </c>
      <c r="D153" s="117"/>
      <c r="E153" s="44"/>
      <c r="F153" s="224"/>
      <c r="G153" s="47"/>
      <c r="H153" s="132"/>
      <c r="I153" s="129"/>
    </row>
    <row r="154" spans="2:13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6500</v>
      </c>
      <c r="I154" s="129">
        <f t="shared" si="8"/>
        <v>-2500</v>
      </c>
    </row>
    <row r="155" spans="2:13" x14ac:dyDescent="0.25">
      <c r="B155" s="127" t="s">
        <v>541</v>
      </c>
      <c r="C155" s="120">
        <v>9</v>
      </c>
      <c r="D155" s="117"/>
      <c r="E155" s="44"/>
      <c r="F155" s="225">
        <v>4000</v>
      </c>
      <c r="G155" s="47">
        <f t="shared" si="7"/>
        <v>4000</v>
      </c>
      <c r="H155" s="44">
        <v>4000</v>
      </c>
      <c r="I155" s="129">
        <f t="shared" si="8"/>
        <v>0</v>
      </c>
    </row>
    <row r="156" spans="2:13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3400</v>
      </c>
      <c r="I156" s="129">
        <f t="shared" si="8"/>
        <v>600</v>
      </c>
      <c r="J156" s="9" t="s">
        <v>376</v>
      </c>
    </row>
    <row r="157" spans="2:13" x14ac:dyDescent="0.25">
      <c r="B157" s="44" t="s">
        <v>264</v>
      </c>
      <c r="C157" s="120">
        <v>11</v>
      </c>
      <c r="D157" s="119"/>
      <c r="E157" s="44"/>
      <c r="F157" s="225">
        <v>4000</v>
      </c>
      <c r="G157" s="47">
        <f t="shared" si="7"/>
        <v>4000</v>
      </c>
      <c r="H157" s="44">
        <v>4000</v>
      </c>
      <c r="I157" s="129">
        <f t="shared" si="8"/>
        <v>0</v>
      </c>
    </row>
    <row r="158" spans="2:13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3" x14ac:dyDescent="0.25">
      <c r="B159" s="44" t="s">
        <v>137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3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  <c r="M160" s="9">
        <v>29500</v>
      </c>
    </row>
    <row r="161" spans="2:13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  <c r="M161" s="9">
        <v>11000</v>
      </c>
    </row>
    <row r="162" spans="2:13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  <c r="M162" s="9">
        <f>M160-M161</f>
        <v>18500</v>
      </c>
    </row>
    <row r="163" spans="2:13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3" x14ac:dyDescent="0.25">
      <c r="B164" s="44" t="s">
        <v>137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/>
      <c r="I164" s="129">
        <f t="shared" si="8"/>
        <v>2000</v>
      </c>
    </row>
    <row r="165" spans="2:13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3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>
        <v>2000</v>
      </c>
      <c r="I166" s="129">
        <f t="shared" si="8"/>
        <v>0</v>
      </c>
    </row>
    <row r="167" spans="2:13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4000</v>
      </c>
      <c r="I167" s="129">
        <f t="shared" si="8"/>
        <v>-2000</v>
      </c>
    </row>
    <row r="168" spans="2:13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/>
      <c r="I168" s="129">
        <f t="shared" si="8"/>
        <v>2000</v>
      </c>
    </row>
    <row r="169" spans="2:13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3" x14ac:dyDescent="0.25">
      <c r="B170" s="177" t="s">
        <v>273</v>
      </c>
      <c r="C170" s="120">
        <v>24</v>
      </c>
      <c r="D170" s="44"/>
      <c r="E170" s="44"/>
      <c r="F170" s="44"/>
      <c r="G170" s="47"/>
      <c r="H170" s="44"/>
      <c r="I170" s="129"/>
    </row>
    <row r="171" spans="2:13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3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3" x14ac:dyDescent="0.25">
      <c r="B173" s="44"/>
      <c r="C173" s="120"/>
      <c r="D173" s="44"/>
      <c r="E173" s="44">
        <f>SUM(E147:E172)</f>
        <v>0</v>
      </c>
      <c r="F173" s="228">
        <f>SUM(F147:F172)</f>
        <v>55000</v>
      </c>
      <c r="G173" s="49">
        <f>SUM(G147:G172)</f>
        <v>55000</v>
      </c>
      <c r="H173" s="228">
        <f>SUM(H147:H172)</f>
        <v>44400</v>
      </c>
      <c r="I173" s="228">
        <f>SUM(I147:I172)</f>
        <v>10600</v>
      </c>
    </row>
    <row r="174" spans="2:13" x14ac:dyDescent="0.25">
      <c r="B174" s="100" t="s">
        <v>60</v>
      </c>
      <c r="C174" s="97"/>
      <c r="D174" s="102">
        <f>F173</f>
        <v>55000</v>
      </c>
      <c r="G174" s="100" t="s">
        <v>60</v>
      </c>
      <c r="H174" s="101"/>
      <c r="I174" s="121">
        <f>H173</f>
        <v>44400</v>
      </c>
    </row>
    <row r="175" spans="2:13" x14ac:dyDescent="0.25">
      <c r="C175" s="128">
        <v>0.1</v>
      </c>
      <c r="D175" s="104"/>
      <c r="H175" s="128">
        <v>0.1</v>
      </c>
      <c r="I175" s="72">
        <f>I174*H175</f>
        <v>4440</v>
      </c>
    </row>
    <row r="176" spans="2:13" x14ac:dyDescent="0.25">
      <c r="B176" s="103" t="s">
        <v>347</v>
      </c>
      <c r="C176" s="97"/>
      <c r="D176" s="72">
        <f>OCTOMBER!C184</f>
        <v>-1800</v>
      </c>
      <c r="G176" s="103"/>
      <c r="H176" s="97" t="s">
        <v>347</v>
      </c>
      <c r="I176" s="72">
        <f>OCTOMBER!H185</f>
        <v>-10650</v>
      </c>
    </row>
    <row r="177" spans="2:9" x14ac:dyDescent="0.25">
      <c r="B177" s="103"/>
      <c r="C177" s="97"/>
      <c r="D177" s="72">
        <f>D174+D176</f>
        <v>53200</v>
      </c>
      <c r="G177" s="103"/>
      <c r="H177" s="97"/>
      <c r="I177" s="72">
        <f>SUM(I174:I176)</f>
        <v>38190</v>
      </c>
    </row>
    <row r="178" spans="2:9" x14ac:dyDescent="0.25">
      <c r="B178" s="67" t="s">
        <v>58</v>
      </c>
      <c r="G178" s="67" t="s">
        <v>58</v>
      </c>
    </row>
    <row r="179" spans="2:9" x14ac:dyDescent="0.25">
      <c r="B179" s="103" t="s">
        <v>196</v>
      </c>
      <c r="D179" s="104">
        <f>D174*C175</f>
        <v>5500</v>
      </c>
      <c r="G179" s="9" t="s">
        <v>512</v>
      </c>
      <c r="I179" s="104">
        <f>I174*H175</f>
        <v>4440</v>
      </c>
    </row>
    <row r="180" spans="2:9" x14ac:dyDescent="0.25">
      <c r="B180" s="103" t="s">
        <v>537</v>
      </c>
      <c r="D180" s="104">
        <v>20000</v>
      </c>
      <c r="G180" s="103" t="s">
        <v>537</v>
      </c>
      <c r="I180" s="104">
        <v>20000</v>
      </c>
    </row>
    <row r="181" spans="2:9" x14ac:dyDescent="0.25">
      <c r="B181" s="93">
        <v>43052</v>
      </c>
      <c r="D181" s="9">
        <v>10000</v>
      </c>
      <c r="G181" s="93">
        <v>43052</v>
      </c>
      <c r="I181" s="9">
        <v>10000</v>
      </c>
    </row>
    <row r="182" spans="2:9" x14ac:dyDescent="0.25">
      <c r="B182" s="136" t="s">
        <v>543</v>
      </c>
      <c r="D182" s="9">
        <v>10000</v>
      </c>
      <c r="E182" s="72"/>
      <c r="G182" s="136"/>
    </row>
    <row r="183" spans="2:9" x14ac:dyDescent="0.25">
      <c r="B183" s="36" t="s">
        <v>275</v>
      </c>
      <c r="D183" s="34">
        <f>F156+F160</f>
        <v>8000</v>
      </c>
      <c r="G183" s="36"/>
      <c r="I183" s="34"/>
    </row>
    <row r="184" spans="2:9" x14ac:dyDescent="0.25">
      <c r="B184" s="9" t="s">
        <v>2</v>
      </c>
      <c r="D184" s="72">
        <f>SUM(D179:D183)</f>
        <v>53500</v>
      </c>
      <c r="G184" s="9" t="s">
        <v>2</v>
      </c>
      <c r="H184" s="86"/>
      <c r="I184" s="87">
        <f>SUM(I179:I183)</f>
        <v>34440</v>
      </c>
    </row>
    <row r="185" spans="2:9" x14ac:dyDescent="0.25">
      <c r="B185" s="9" t="s">
        <v>355</v>
      </c>
      <c r="D185" s="72">
        <f>D177-D184</f>
        <v>-300</v>
      </c>
    </row>
    <row r="186" spans="2:9" x14ac:dyDescent="0.25">
      <c r="D186" s="72"/>
      <c r="G186" s="9" t="s">
        <v>355</v>
      </c>
      <c r="I186" s="72">
        <f>I177-I184</f>
        <v>3750</v>
      </c>
    </row>
    <row r="187" spans="2:9" x14ac:dyDescent="0.25">
      <c r="D187" s="72"/>
      <c r="I187" s="72"/>
    </row>
    <row r="189" spans="2:9" x14ac:dyDescent="0.25">
      <c r="B189" s="24"/>
      <c r="C189" s="79"/>
      <c r="D189" s="82" t="s">
        <v>88</v>
      </c>
      <c r="E189" s="80"/>
      <c r="F189" s="80"/>
      <c r="G189" s="79"/>
    </row>
    <row r="190" spans="2:9" x14ac:dyDescent="0.25">
      <c r="B190" s="4"/>
      <c r="C190" s="5"/>
      <c r="D190" s="6" t="s">
        <v>5</v>
      </c>
      <c r="E190" s="6"/>
      <c r="F190" s="5"/>
      <c r="G190" s="4"/>
    </row>
    <row r="191" spans="2:9" ht="23.25" x14ac:dyDescent="0.35">
      <c r="B191" s="4"/>
      <c r="C191" s="52"/>
      <c r="E191" s="188" t="s">
        <v>278</v>
      </c>
      <c r="F191" s="188"/>
      <c r="G191" s="188"/>
      <c r="H191" s="188"/>
    </row>
    <row r="192" spans="2:9" x14ac:dyDescent="0.25">
      <c r="D192" s="95"/>
      <c r="E192" s="95"/>
      <c r="F192" s="96" t="s">
        <v>350</v>
      </c>
      <c r="G192" s="95"/>
      <c r="H192" s="95"/>
    </row>
    <row r="193" spans="2:9" x14ac:dyDescent="0.25">
      <c r="B193" s="12" t="s">
        <v>0</v>
      </c>
      <c r="C193" s="12" t="s">
        <v>32</v>
      </c>
      <c r="D193" s="12" t="s">
        <v>52</v>
      </c>
      <c r="E193" s="22" t="s">
        <v>55</v>
      </c>
      <c r="F193" s="21" t="s">
        <v>1</v>
      </c>
      <c r="G193" s="22" t="s">
        <v>10</v>
      </c>
      <c r="H193" s="21" t="s">
        <v>3</v>
      </c>
      <c r="I193" s="13" t="s">
        <v>13</v>
      </c>
    </row>
    <row r="194" spans="2:9" x14ac:dyDescent="0.25">
      <c r="B194" s="43" t="s">
        <v>279</v>
      </c>
      <c r="C194" s="120">
        <v>1</v>
      </c>
      <c r="D194" s="116"/>
      <c r="E194" s="43"/>
      <c r="F194" s="47">
        <v>3500</v>
      </c>
      <c r="G194" s="47">
        <f t="shared" ref="G194:G203" si="9">F194+E194</f>
        <v>3500</v>
      </c>
      <c r="H194" s="133"/>
      <c r="I194" s="129">
        <f t="shared" ref="I194:I203" si="10">G194-H194</f>
        <v>3500</v>
      </c>
    </row>
    <row r="195" spans="2:9" x14ac:dyDescent="0.25">
      <c r="B195" s="88" t="s">
        <v>280</v>
      </c>
      <c r="C195" s="120">
        <v>2</v>
      </c>
      <c r="D195" s="117"/>
      <c r="E195" s="2"/>
      <c r="F195" s="46">
        <v>3500</v>
      </c>
      <c r="G195" s="47">
        <f t="shared" si="9"/>
        <v>3500</v>
      </c>
      <c r="H195" s="56"/>
      <c r="I195" s="129">
        <f t="shared" si="10"/>
        <v>3500</v>
      </c>
    </row>
    <row r="196" spans="2:9" x14ac:dyDescent="0.25">
      <c r="B196" s="88" t="s">
        <v>21</v>
      </c>
      <c r="C196" s="120">
        <v>3</v>
      </c>
      <c r="D196" s="44"/>
      <c r="E196" s="43"/>
      <c r="F196" s="46"/>
      <c r="G196" s="47">
        <f t="shared" si="9"/>
        <v>0</v>
      </c>
      <c r="H196" s="56"/>
      <c r="I196" s="129">
        <f t="shared" si="10"/>
        <v>0</v>
      </c>
    </row>
    <row r="197" spans="2:9" x14ac:dyDescent="0.25">
      <c r="B197" s="88" t="s">
        <v>515</v>
      </c>
      <c r="C197" s="120">
        <v>4</v>
      </c>
      <c r="D197" s="44"/>
      <c r="E197" s="43"/>
      <c r="F197" s="46">
        <v>2000</v>
      </c>
      <c r="G197" s="47">
        <f t="shared" si="9"/>
        <v>2000</v>
      </c>
      <c r="H197" s="56"/>
      <c r="I197" s="129">
        <f t="shared" si="10"/>
        <v>2000</v>
      </c>
    </row>
    <row r="198" spans="2:9" x14ac:dyDescent="0.25">
      <c r="B198" s="43" t="s">
        <v>21</v>
      </c>
      <c r="C198" s="120">
        <v>5</v>
      </c>
      <c r="D198" s="44"/>
      <c r="E198" s="44"/>
      <c r="F198" s="46">
        <v>0</v>
      </c>
      <c r="G198" s="47">
        <f t="shared" si="9"/>
        <v>0</v>
      </c>
      <c r="H198" s="46"/>
      <c r="I198" s="129">
        <f t="shared" si="10"/>
        <v>0</v>
      </c>
    </row>
    <row r="199" spans="2:9" x14ac:dyDescent="0.25">
      <c r="B199" s="43" t="s">
        <v>284</v>
      </c>
      <c r="C199" s="120">
        <v>6</v>
      </c>
      <c r="D199" s="189"/>
      <c r="E199" s="44"/>
      <c r="F199" s="46">
        <v>3500</v>
      </c>
      <c r="G199" s="47">
        <f t="shared" si="9"/>
        <v>3500</v>
      </c>
      <c r="H199" s="46">
        <v>3500</v>
      </c>
      <c r="I199" s="129">
        <f t="shared" si="10"/>
        <v>0</v>
      </c>
    </row>
    <row r="200" spans="2:9" x14ac:dyDescent="0.25">
      <c r="B200" s="45" t="s">
        <v>538</v>
      </c>
      <c r="C200" s="148">
        <v>7</v>
      </c>
      <c r="E200" s="44"/>
      <c r="F200" s="44">
        <v>3500</v>
      </c>
      <c r="G200" s="44">
        <f t="shared" si="9"/>
        <v>3500</v>
      </c>
      <c r="H200" s="44">
        <v>3500</v>
      </c>
      <c r="I200" s="129">
        <f t="shared" si="10"/>
        <v>0</v>
      </c>
    </row>
    <row r="201" spans="2:9" x14ac:dyDescent="0.25">
      <c r="B201" s="43" t="s">
        <v>539</v>
      </c>
      <c r="C201" s="120">
        <v>8</v>
      </c>
      <c r="D201" s="44"/>
      <c r="E201" s="44"/>
      <c r="F201" s="73">
        <v>3500</v>
      </c>
      <c r="G201" s="44">
        <f t="shared" si="9"/>
        <v>3500</v>
      </c>
      <c r="H201" s="68"/>
      <c r="I201" s="129">
        <f t="shared" si="10"/>
        <v>3500</v>
      </c>
    </row>
    <row r="202" spans="2:9" x14ac:dyDescent="0.25">
      <c r="B202" s="47" t="s">
        <v>21</v>
      </c>
      <c r="C202" s="120">
        <v>9</v>
      </c>
      <c r="D202" s="48"/>
      <c r="E202" s="46"/>
      <c r="F202" s="46">
        <v>0</v>
      </c>
      <c r="G202" s="105">
        <f t="shared" si="9"/>
        <v>0</v>
      </c>
      <c r="H202" s="46"/>
      <c r="I202" s="129">
        <f t="shared" si="10"/>
        <v>0</v>
      </c>
    </row>
    <row r="203" spans="2:9" x14ac:dyDescent="0.25">
      <c r="B203" s="44"/>
      <c r="C203" s="120">
        <v>10</v>
      </c>
      <c r="D203" s="44"/>
      <c r="E203" s="44"/>
      <c r="F203" s="44"/>
      <c r="G203" s="44">
        <f t="shared" si="9"/>
        <v>0</v>
      </c>
      <c r="H203" s="44"/>
      <c r="I203" s="129">
        <f t="shared" si="10"/>
        <v>0</v>
      </c>
    </row>
    <row r="204" spans="2:9" x14ac:dyDescent="0.25">
      <c r="B204" s="45" t="s">
        <v>137</v>
      </c>
      <c r="D204" s="44"/>
      <c r="E204" s="44"/>
      <c r="F204" s="115">
        <f>SUM(F194:F203)</f>
        <v>19500</v>
      </c>
      <c r="G204" s="47"/>
      <c r="H204" s="150">
        <f>SUM(H194:H203)</f>
        <v>7000</v>
      </c>
      <c r="I204" s="129">
        <f>SUM(I194:I203)</f>
        <v>12500</v>
      </c>
    </row>
    <row r="206" spans="2:9" x14ac:dyDescent="0.25">
      <c r="C206" s="100" t="s">
        <v>60</v>
      </c>
      <c r="D206" s="101"/>
      <c r="E206" s="121">
        <f>F204</f>
        <v>19500</v>
      </c>
      <c r="F206" s="102"/>
      <c r="G206" s="100" t="s">
        <v>60</v>
      </c>
      <c r="H206" s="101"/>
      <c r="I206" s="97">
        <f>H204</f>
        <v>7000</v>
      </c>
    </row>
    <row r="207" spans="2:9" x14ac:dyDescent="0.25">
      <c r="D207" s="101"/>
      <c r="E207" s="128">
        <v>0.1</v>
      </c>
      <c r="F207" s="104"/>
      <c r="H207" s="186">
        <v>0.1</v>
      </c>
      <c r="I207" s="170"/>
    </row>
    <row r="208" spans="2:9" x14ac:dyDescent="0.25">
      <c r="C208" s="103" t="s">
        <v>347</v>
      </c>
      <c r="D208" s="101"/>
      <c r="E208" s="97"/>
      <c r="F208" s="72"/>
      <c r="G208" s="103" t="s">
        <v>343</v>
      </c>
      <c r="H208" s="101"/>
      <c r="I208" s="72"/>
    </row>
    <row r="209" spans="3:9" x14ac:dyDescent="0.25">
      <c r="C209" s="103" t="s">
        <v>229</v>
      </c>
      <c r="D209" s="101"/>
      <c r="E209" s="97"/>
      <c r="F209" s="72"/>
      <c r="G209" s="103"/>
      <c r="H209" s="101"/>
      <c r="I209" s="72">
        <f>I206+I208</f>
        <v>7000</v>
      </c>
    </row>
    <row r="210" spans="3:9" x14ac:dyDescent="0.25">
      <c r="C210" s="67" t="s">
        <v>58</v>
      </c>
    </row>
    <row r="211" spans="3:9" x14ac:dyDescent="0.25">
      <c r="G211" s="67" t="s">
        <v>58</v>
      </c>
    </row>
    <row r="212" spans="3:9" x14ac:dyDescent="0.25">
      <c r="C212" s="103" t="s">
        <v>196</v>
      </c>
      <c r="E212" s="72">
        <f>E206*E207</f>
        <v>1950</v>
      </c>
      <c r="F212" s="104">
        <f>F206*E207</f>
        <v>0</v>
      </c>
      <c r="G212" s="9" t="s">
        <v>68</v>
      </c>
      <c r="I212" s="104">
        <f>I206*H207</f>
        <v>700</v>
      </c>
    </row>
    <row r="213" spans="3:9" x14ac:dyDescent="0.25">
      <c r="C213" s="136" t="s">
        <v>524</v>
      </c>
      <c r="D213" s="17"/>
      <c r="E213" s="34">
        <v>3000</v>
      </c>
      <c r="F213" s="34"/>
      <c r="G213" s="136" t="s">
        <v>524</v>
      </c>
      <c r="H213" s="17"/>
      <c r="I213" s="34">
        <v>3000</v>
      </c>
    </row>
    <row r="214" spans="3:9" x14ac:dyDescent="0.25">
      <c r="C214" s="9" t="s">
        <v>2</v>
      </c>
      <c r="E214" s="72">
        <f>SUM(E212:E213)</f>
        <v>4950</v>
      </c>
      <c r="G214" s="9" t="s">
        <v>2</v>
      </c>
      <c r="I214" s="147">
        <f>SUM(I212:I213)</f>
        <v>3700</v>
      </c>
    </row>
    <row r="215" spans="3:9" x14ac:dyDescent="0.25">
      <c r="I215" s="72"/>
    </row>
    <row r="216" spans="3:9" x14ac:dyDescent="0.25">
      <c r="C216" s="36" t="s">
        <v>355</v>
      </c>
      <c r="E216" s="72">
        <f>E206-E214</f>
        <v>14550</v>
      </c>
      <c r="F216" s="72"/>
      <c r="G216" s="36" t="s">
        <v>355</v>
      </c>
      <c r="I216" s="72">
        <f>I209-I214</f>
        <v>3300</v>
      </c>
    </row>
    <row r="217" spans="3:9" x14ac:dyDescent="0.25">
      <c r="C217" s="36"/>
      <c r="F217" s="72"/>
      <c r="G217" s="36"/>
      <c r="I217" s="7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B97" workbookViewId="0">
      <selection activeCell="H125" sqref="H125"/>
    </sheetView>
  </sheetViews>
  <sheetFormatPr defaultRowHeight="15" x14ac:dyDescent="0.25"/>
  <cols>
    <col min="1" max="1" width="1.42578125" style="9" hidden="1" customWidth="1"/>
    <col min="2" max="2" width="18" style="9" customWidth="1"/>
    <col min="3" max="3" width="7.5703125" style="9" customWidth="1"/>
    <col min="4" max="4" width="12.140625" style="9" customWidth="1"/>
    <col min="5" max="5" width="12" style="9" customWidth="1"/>
    <col min="6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1" width="9.140625" style="9"/>
    <col min="12" max="13" width="10.5703125" style="9" bestFit="1" customWidth="1"/>
    <col min="14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546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396"/>
      <c r="I8" s="397">
        <f>G8-H8</f>
        <v>6500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396">
        <v>2000</v>
      </c>
      <c r="I9" s="397">
        <f t="shared" ref="I9:I19" si="1">G9-H9</f>
        <v>0</v>
      </c>
    </row>
    <row r="10" spans="2:9" x14ac:dyDescent="0.25">
      <c r="B10" s="43" t="s">
        <v>21</v>
      </c>
      <c r="C10" s="3">
        <v>3</v>
      </c>
      <c r="D10" s="43"/>
      <c r="E10" s="43"/>
      <c r="F10" s="47"/>
      <c r="G10" s="46">
        <f t="shared" si="0"/>
        <v>0</v>
      </c>
      <c r="H10" s="396"/>
      <c r="I10" s="397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396"/>
      <c r="I11" s="397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8000</v>
      </c>
      <c r="F12" s="46">
        <v>2000</v>
      </c>
      <c r="G12" s="46">
        <f t="shared" si="0"/>
        <v>10000</v>
      </c>
      <c r="H12" s="396"/>
      <c r="I12" s="397">
        <f t="shared" si="1"/>
        <v>10000</v>
      </c>
    </row>
    <row r="13" spans="2:9" x14ac:dyDescent="0.25">
      <c r="B13" s="43" t="s">
        <v>551</v>
      </c>
      <c r="C13" s="3">
        <v>6</v>
      </c>
      <c r="D13" s="44"/>
      <c r="E13" s="43">
        <v>2000</v>
      </c>
      <c r="F13" s="46">
        <v>2000</v>
      </c>
      <c r="G13" s="46">
        <f t="shared" si="0"/>
        <v>4000</v>
      </c>
      <c r="H13" s="396">
        <v>2000</v>
      </c>
      <c r="I13" s="397">
        <f t="shared" si="1"/>
        <v>2000</v>
      </c>
    </row>
    <row r="14" spans="2:9" x14ac:dyDescent="0.25">
      <c r="B14" s="43" t="s">
        <v>552</v>
      </c>
      <c r="C14" s="3">
        <v>7</v>
      </c>
      <c r="D14" s="44"/>
      <c r="E14" s="44"/>
      <c r="F14" s="46">
        <v>2000</v>
      </c>
      <c r="G14" s="46">
        <f t="shared" si="0"/>
        <v>2000</v>
      </c>
      <c r="H14" s="396">
        <v>2000</v>
      </c>
      <c r="I14" s="397">
        <f t="shared" si="1"/>
        <v>0</v>
      </c>
    </row>
    <row r="15" spans="2:9" x14ac:dyDescent="0.25">
      <c r="B15" s="45" t="s">
        <v>21</v>
      </c>
      <c r="C15" s="57">
        <v>8</v>
      </c>
      <c r="D15" s="58"/>
      <c r="E15" s="58"/>
      <c r="F15" s="59"/>
      <c r="G15" s="46">
        <f t="shared" si="0"/>
        <v>0</v>
      </c>
      <c r="H15" s="398">
        <v>0</v>
      </c>
      <c r="I15" s="399">
        <f t="shared" si="1"/>
        <v>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>E16+F16</f>
        <v>0</v>
      </c>
      <c r="H16" s="400"/>
      <c r="I16" s="400"/>
    </row>
    <row r="17" spans="2:14" x14ac:dyDescent="0.25">
      <c r="B17" s="88" t="s">
        <v>526</v>
      </c>
      <c r="C17" s="3">
        <v>10</v>
      </c>
      <c r="D17" s="44"/>
      <c r="E17" s="2">
        <v>2000</v>
      </c>
      <c r="F17" s="46">
        <v>2000</v>
      </c>
      <c r="G17" s="46">
        <f>E17+F17</f>
        <v>4000</v>
      </c>
      <c r="H17" s="396"/>
      <c r="I17" s="397">
        <f>G17-H17</f>
        <v>4000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396">
        <v>2000</v>
      </c>
      <c r="I18" s="397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8000</v>
      </c>
      <c r="F19" s="73">
        <v>2000</v>
      </c>
      <c r="G19" s="46">
        <f t="shared" si="0"/>
        <v>10000</v>
      </c>
      <c r="H19" s="396">
        <v>2000</v>
      </c>
      <c r="I19" s="397">
        <f t="shared" si="1"/>
        <v>8000</v>
      </c>
    </row>
    <row r="20" spans="2:14" x14ac:dyDescent="0.25">
      <c r="B20" s="47"/>
      <c r="C20" s="16"/>
      <c r="D20" s="48"/>
      <c r="E20" s="46">
        <f>SUM(E8:E19)</f>
        <v>30700</v>
      </c>
      <c r="F20" s="46">
        <f>SUM(F8:F19)</f>
        <v>16000</v>
      </c>
      <c r="G20" s="46">
        <f>E20+F20</f>
        <v>46700</v>
      </c>
      <c r="H20" s="396">
        <f>SUM(H8:H19)</f>
        <v>10000</v>
      </c>
      <c r="I20" s="397">
        <f>SUM(I8:I19)</f>
        <v>36700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554</v>
      </c>
      <c r="H22" s="72">
        <f>H20</f>
        <v>10000</v>
      </c>
    </row>
    <row r="23" spans="2:14" ht="15.75" x14ac:dyDescent="0.25">
      <c r="B23" s="70"/>
      <c r="C23" s="17"/>
      <c r="D23" s="90"/>
      <c r="E23" s="66"/>
      <c r="G23" s="40" t="s">
        <v>347</v>
      </c>
      <c r="H23" s="72">
        <f>'NOV 2017'!H31</f>
        <v>-16000</v>
      </c>
    </row>
    <row r="24" spans="2:14" x14ac:dyDescent="0.25">
      <c r="B24" s="70"/>
      <c r="C24" s="17"/>
      <c r="D24" s="90"/>
      <c r="E24" s="66">
        <f>E22+E23</f>
        <v>16000</v>
      </c>
      <c r="G24" s="51" t="s">
        <v>63</v>
      </c>
      <c r="H24" s="72">
        <f>SUM(H22:H23)</f>
        <v>-6000</v>
      </c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553</v>
      </c>
      <c r="E27" s="72">
        <v>10400</v>
      </c>
      <c r="F27" s="100" t="s">
        <v>553</v>
      </c>
      <c r="H27" s="72">
        <v>10400</v>
      </c>
    </row>
    <row r="28" spans="2:14" x14ac:dyDescent="0.25">
      <c r="B28" s="196">
        <v>43052</v>
      </c>
      <c r="E28" s="72">
        <v>4000</v>
      </c>
      <c r="F28" s="196">
        <v>43052</v>
      </c>
      <c r="H28" s="72">
        <v>4000</v>
      </c>
    </row>
    <row r="29" spans="2:14" x14ac:dyDescent="0.25">
      <c r="B29" s="196" t="s">
        <v>204</v>
      </c>
      <c r="E29" s="72">
        <v>5400</v>
      </c>
      <c r="F29" s="196" t="s">
        <v>204</v>
      </c>
      <c r="H29" s="72">
        <v>5400</v>
      </c>
    </row>
    <row r="30" spans="2:14" x14ac:dyDescent="0.25">
      <c r="B30" s="9" t="s">
        <v>154</v>
      </c>
      <c r="E30" s="72">
        <f>SUM(E26:E29)</f>
        <v>21400</v>
      </c>
      <c r="F30" s="9" t="s">
        <v>154</v>
      </c>
      <c r="H30" s="72">
        <f>SUM(H26:H29)</f>
        <v>21400</v>
      </c>
    </row>
    <row r="31" spans="2:14" x14ac:dyDescent="0.25">
      <c r="B31" s="122" t="s">
        <v>165</v>
      </c>
      <c r="E31" s="72">
        <f>E24-E30</f>
        <v>-5400</v>
      </c>
      <c r="F31" s="9" t="s">
        <v>165</v>
      </c>
      <c r="H31" s="72">
        <f>H24-H30</f>
        <v>-27400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230" t="s">
        <v>97</v>
      </c>
      <c r="D42" s="230"/>
      <c r="E42" s="230"/>
      <c r="F42" s="230"/>
      <c r="G42" s="230"/>
      <c r="H42" s="230"/>
    </row>
    <row r="43" spans="2:10" x14ac:dyDescent="0.25">
      <c r="D43" s="95"/>
      <c r="E43" s="95"/>
      <c r="F43" s="96" t="s">
        <v>547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4500</v>
      </c>
      <c r="G47" s="46">
        <f t="shared" ref="G47:G57" si="2">E47+F47</f>
        <v>4500</v>
      </c>
      <c r="H47" s="56">
        <v>4500</v>
      </c>
      <c r="I47" s="105"/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ref="I48:I57" si="3">G48-H48</f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1500</v>
      </c>
      <c r="I51" s="105">
        <f t="shared" si="3"/>
        <v>1500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18000</v>
      </c>
      <c r="G58" s="105">
        <f>SUM(G46:G57)</f>
        <v>18000</v>
      </c>
      <c r="H58" s="105">
        <f>SUM(H46:H57)</f>
        <v>11000</v>
      </c>
      <c r="I58" s="105">
        <f>SUM(I46:I57)</f>
        <v>7000</v>
      </c>
    </row>
    <row r="59" spans="2:9" x14ac:dyDescent="0.25">
      <c r="B59" s="100" t="s">
        <v>60</v>
      </c>
      <c r="C59" s="101"/>
      <c r="D59" s="97"/>
      <c r="E59" s="102">
        <f>F58</f>
        <v>18000</v>
      </c>
      <c r="F59" s="100" t="s">
        <v>60</v>
      </c>
      <c r="G59" s="101"/>
      <c r="H59" s="97"/>
      <c r="I59" s="102">
        <f>H58</f>
        <v>11000</v>
      </c>
    </row>
    <row r="60" spans="2:9" x14ac:dyDescent="0.25">
      <c r="B60" s="103" t="s">
        <v>347</v>
      </c>
      <c r="C60" s="101"/>
      <c r="D60" s="97"/>
      <c r="E60" s="104"/>
      <c r="F60" s="103" t="s">
        <v>347</v>
      </c>
      <c r="G60" s="101"/>
      <c r="H60" s="97"/>
      <c r="I60" s="104"/>
    </row>
    <row r="61" spans="2:9" x14ac:dyDescent="0.25">
      <c r="B61" s="103"/>
      <c r="C61" s="101"/>
      <c r="D61" s="97"/>
      <c r="E61" s="104">
        <f>SUM(E59:E60)</f>
        <v>18000</v>
      </c>
      <c r="F61" s="103"/>
      <c r="G61" s="101"/>
      <c r="H61" s="97"/>
      <c r="I61" s="104">
        <f>SUM(I59:I60)</f>
        <v>11000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1800</v>
      </c>
      <c r="F63" s="36" t="s">
        <v>22</v>
      </c>
      <c r="G63" s="146">
        <v>0.1</v>
      </c>
      <c r="I63" s="34">
        <f>C63*E59</f>
        <v>1800</v>
      </c>
    </row>
    <row r="64" spans="2:9" x14ac:dyDescent="0.25">
      <c r="B64" s="136"/>
      <c r="E64" s="72">
        <v>1815</v>
      </c>
      <c r="F64" s="136">
        <v>43087</v>
      </c>
      <c r="I64" s="72">
        <v>1815</v>
      </c>
    </row>
    <row r="65" spans="2:9" x14ac:dyDescent="0.25">
      <c r="B65" s="9" t="s">
        <v>107</v>
      </c>
      <c r="E65" s="9">
        <v>6000</v>
      </c>
      <c r="F65" s="93">
        <v>43112</v>
      </c>
      <c r="I65" s="9">
        <v>7385</v>
      </c>
    </row>
    <row r="66" spans="2:9" x14ac:dyDescent="0.25">
      <c r="B66" s="36"/>
      <c r="E66" s="72"/>
      <c r="F66" s="36"/>
      <c r="I66" s="72"/>
    </row>
    <row r="67" spans="2:9" x14ac:dyDescent="0.25">
      <c r="B67" s="36"/>
      <c r="E67" s="72">
        <f>SUM(E63:E66)</f>
        <v>9615</v>
      </c>
      <c r="F67" s="36"/>
      <c r="I67" s="72">
        <f>SUM(I63:I66)</f>
        <v>11000</v>
      </c>
    </row>
    <row r="68" spans="2:9" x14ac:dyDescent="0.25">
      <c r="B68" s="36" t="s">
        <v>355</v>
      </c>
      <c r="E68" s="135">
        <f>E61-E67</f>
        <v>8385</v>
      </c>
      <c r="I68" s="72"/>
    </row>
    <row r="69" spans="2:9" x14ac:dyDescent="0.25">
      <c r="D69" s="86"/>
      <c r="E69" s="72"/>
      <c r="F69" s="38" t="s">
        <v>355</v>
      </c>
      <c r="G69" s="39"/>
      <c r="I69" s="135">
        <f>I61-I67</f>
        <v>0</v>
      </c>
    </row>
    <row r="70" spans="2:9" x14ac:dyDescent="0.25">
      <c r="B70" s="36"/>
      <c r="E70" s="72"/>
    </row>
    <row r="71" spans="2:9" x14ac:dyDescent="0.25">
      <c r="I71" s="72"/>
    </row>
    <row r="72" spans="2:9" x14ac:dyDescent="0.25">
      <c r="B72" s="5" t="s">
        <v>92</v>
      </c>
      <c r="C72" s="19"/>
      <c r="D72" s="19"/>
      <c r="E72" s="81" t="s">
        <v>4</v>
      </c>
      <c r="F72" s="81"/>
      <c r="G72" s="19"/>
    </row>
    <row r="73" spans="2:9" x14ac:dyDescent="0.25">
      <c r="B73" s="5"/>
      <c r="C73" s="19"/>
      <c r="D73" s="81" t="s">
        <v>87</v>
      </c>
      <c r="E73" s="81"/>
      <c r="F73" s="19"/>
      <c r="G73" s="19"/>
    </row>
    <row r="74" spans="2:9" x14ac:dyDescent="0.25">
      <c r="B74" s="24"/>
      <c r="C74" s="79"/>
      <c r="D74" s="82" t="s">
        <v>88</v>
      </c>
      <c r="E74" s="80"/>
      <c r="F74" s="80"/>
      <c r="G74" s="79"/>
    </row>
    <row r="75" spans="2:9" x14ac:dyDescent="0.25">
      <c r="B75" s="4"/>
      <c r="C75" s="5"/>
      <c r="D75" s="6" t="s">
        <v>5</v>
      </c>
      <c r="E75" s="6"/>
      <c r="F75" s="5"/>
      <c r="G75" s="4"/>
    </row>
    <row r="76" spans="2:9" ht="15.75" x14ac:dyDescent="0.25">
      <c r="C76" s="4"/>
      <c r="D76" s="52"/>
      <c r="E76" s="4" t="s">
        <v>171</v>
      </c>
      <c r="F76" s="4"/>
      <c r="G76" s="4"/>
      <c r="H76" s="5"/>
    </row>
    <row r="77" spans="2:9" x14ac:dyDescent="0.25">
      <c r="C77" s="95"/>
      <c r="D77" s="95"/>
      <c r="E77" s="96" t="s">
        <v>547</v>
      </c>
      <c r="F77" s="95"/>
      <c r="G77" s="95"/>
      <c r="H77" s="95"/>
    </row>
    <row r="78" spans="2:9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9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9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  <c r="H88" s="133">
        <f>'NOV 2017'!H95</f>
        <v>-850</v>
      </c>
    </row>
    <row r="89" spans="2:9" x14ac:dyDescent="0.25">
      <c r="B89" s="9" t="s">
        <v>196</v>
      </c>
      <c r="D89" s="83">
        <v>0.1</v>
      </c>
      <c r="H89" s="9">
        <f>SUM(H87:H88)</f>
        <v>2650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H89-H94</f>
        <v>-1700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230" t="s">
        <v>292</v>
      </c>
      <c r="F101" s="230"/>
      <c r="G101" s="230"/>
    </row>
    <row r="102" spans="2:9" x14ac:dyDescent="0.25">
      <c r="D102" s="95"/>
      <c r="E102" s="95"/>
      <c r="F102" s="96" t="s">
        <v>547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/>
      <c r="I104" s="204">
        <f>G104-H104</f>
        <v>4500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2000</v>
      </c>
      <c r="I108" s="204">
        <f t="shared" si="5"/>
        <v>500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/>
      <c r="I109" s="204">
        <f t="shared" si="5"/>
        <v>2500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2500</v>
      </c>
      <c r="I110" s="204">
        <f t="shared" si="5"/>
        <v>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2500</v>
      </c>
      <c r="I112" s="204">
        <f>G112-H112</f>
        <v>0</v>
      </c>
    </row>
    <row r="113" spans="2:10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10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10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1500</v>
      </c>
      <c r="I115" s="204">
        <f t="shared" si="5"/>
        <v>1000</v>
      </c>
    </row>
    <row r="116" spans="2:10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10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10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10" x14ac:dyDescent="0.25">
      <c r="B119" s="44" t="s">
        <v>137</v>
      </c>
      <c r="C119" s="148">
        <v>16</v>
      </c>
      <c r="E119" s="199"/>
      <c r="F119" s="199">
        <v>2500</v>
      </c>
      <c r="G119" s="202"/>
      <c r="H119" s="210"/>
      <c r="I119" s="204">
        <f t="shared" si="5"/>
        <v>0</v>
      </c>
    </row>
    <row r="120" spans="2:10" x14ac:dyDescent="0.25">
      <c r="B120" s="44" t="s">
        <v>330</v>
      </c>
      <c r="C120" s="120">
        <v>17</v>
      </c>
      <c r="D120" s="117"/>
      <c r="E120" s="198"/>
      <c r="F120" s="198"/>
      <c r="G120" s="202">
        <f t="shared" si="6"/>
        <v>0</v>
      </c>
      <c r="H120" s="210"/>
      <c r="I120" s="204">
        <f t="shared" si="5"/>
        <v>0</v>
      </c>
      <c r="J120" s="9" t="s">
        <v>549</v>
      </c>
    </row>
    <row r="121" spans="2:10" x14ac:dyDescent="0.25">
      <c r="B121" s="125" t="s">
        <v>331</v>
      </c>
      <c r="C121" s="120">
        <v>18</v>
      </c>
      <c r="D121" s="117"/>
      <c r="E121" s="198"/>
      <c r="F121" s="198">
        <v>1600</v>
      </c>
      <c r="G121" s="202">
        <f t="shared" si="6"/>
        <v>1600</v>
      </c>
      <c r="H121" s="210"/>
      <c r="I121" s="204">
        <f t="shared" si="5"/>
        <v>1600</v>
      </c>
    </row>
    <row r="122" spans="2:10" x14ac:dyDescent="0.25">
      <c r="B122" s="44" t="s">
        <v>540</v>
      </c>
      <c r="C122" s="141">
        <v>19</v>
      </c>
      <c r="D122" s="142"/>
      <c r="E122" s="200"/>
      <c r="F122" s="200">
        <v>1600</v>
      </c>
      <c r="G122" s="202">
        <f t="shared" si="6"/>
        <v>1600</v>
      </c>
      <c r="H122" s="200"/>
      <c r="I122" s="204">
        <f t="shared" si="5"/>
        <v>1600</v>
      </c>
    </row>
    <row r="123" spans="2:10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10" x14ac:dyDescent="0.25">
      <c r="B124" s="138"/>
      <c r="C124" s="138"/>
      <c r="D124" s="138"/>
      <c r="E124" s="138"/>
      <c r="F124" s="139">
        <f>SUM(F104:F123)</f>
        <v>43400</v>
      </c>
      <c r="G124" s="47">
        <f>E124+F124</f>
        <v>43400</v>
      </c>
      <c r="H124" s="139">
        <f>SUM(H104:H123)</f>
        <v>29200</v>
      </c>
      <c r="I124" s="139">
        <f>SUM(I104:I123)</f>
        <v>11700</v>
      </c>
    </row>
    <row r="125" spans="2:10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10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29200</v>
      </c>
    </row>
    <row r="127" spans="2:10" x14ac:dyDescent="0.25">
      <c r="B127" s="214" t="s">
        <v>347</v>
      </c>
      <c r="C127" s="215"/>
      <c r="D127" s="216"/>
      <c r="E127" s="66">
        <f>'NOV 2017'!E137</f>
        <v>450</v>
      </c>
      <c r="F127" s="214" t="s">
        <v>343</v>
      </c>
      <c r="G127" s="215"/>
      <c r="H127" s="216"/>
      <c r="I127" s="66">
        <f>'NOV 2017'!I137</f>
        <v>-8270</v>
      </c>
    </row>
    <row r="128" spans="2:10" x14ac:dyDescent="0.25">
      <c r="B128" s="214" t="s">
        <v>347</v>
      </c>
      <c r="C128" s="215"/>
      <c r="D128" s="216"/>
      <c r="E128" s="66"/>
      <c r="F128" s="214"/>
      <c r="G128" s="215"/>
      <c r="H128" s="216"/>
      <c r="I128" s="66">
        <f>SUM(I126:I127)</f>
        <v>20930</v>
      </c>
    </row>
    <row r="129" spans="2:10" x14ac:dyDescent="0.25">
      <c r="B129" s="67" t="s">
        <v>58</v>
      </c>
      <c r="E129" s="72">
        <f>SUM(E126:E128)</f>
        <v>43850</v>
      </c>
      <c r="F129" s="67" t="s">
        <v>58</v>
      </c>
      <c r="I129" s="72"/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136">
        <v>43076</v>
      </c>
      <c r="C131" s="17"/>
      <c r="E131" s="34">
        <v>10000</v>
      </c>
      <c r="F131" s="136">
        <v>43076</v>
      </c>
      <c r="G131" s="17"/>
      <c r="I131" s="34">
        <v>10000</v>
      </c>
    </row>
    <row r="132" spans="2:10" x14ac:dyDescent="0.25">
      <c r="B132" s="136">
        <v>43082</v>
      </c>
      <c r="E132" s="9">
        <v>15000</v>
      </c>
      <c r="F132" s="136">
        <v>43082</v>
      </c>
      <c r="I132" s="9">
        <v>15000</v>
      </c>
    </row>
    <row r="133" spans="2:10" x14ac:dyDescent="0.25">
      <c r="B133" s="235" t="s">
        <v>550</v>
      </c>
      <c r="E133" s="9">
        <v>14575</v>
      </c>
      <c r="F133" s="136">
        <v>43087</v>
      </c>
      <c r="I133" s="9">
        <v>14575</v>
      </c>
    </row>
    <row r="134" spans="2:10" x14ac:dyDescent="0.25">
      <c r="B134" s="136"/>
      <c r="F134" s="136"/>
    </row>
    <row r="135" spans="2:10" x14ac:dyDescent="0.25">
      <c r="B135" s="36"/>
      <c r="F135" s="36"/>
    </row>
    <row r="136" spans="2:10" x14ac:dyDescent="0.25">
      <c r="B136" s="36"/>
      <c r="E136" s="72">
        <f>SUM(E130:E135)</f>
        <v>43915</v>
      </c>
      <c r="F136" s="36"/>
      <c r="I136" s="72">
        <f>SUM(I130:I135)</f>
        <v>43915</v>
      </c>
    </row>
    <row r="137" spans="2:10" x14ac:dyDescent="0.25">
      <c r="B137" s="36"/>
      <c r="E137" s="72">
        <f>E129-E136</f>
        <v>-65</v>
      </c>
      <c r="F137" s="36" t="s">
        <v>2</v>
      </c>
      <c r="I137" s="72">
        <f>I128-I136</f>
        <v>-22985</v>
      </c>
      <c r="J137" s="72">
        <f>E137-I137</f>
        <v>22920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0" ht="28.5" x14ac:dyDescent="0.45">
      <c r="B145" s="229" t="s">
        <v>558</v>
      </c>
      <c r="C145" s="229"/>
      <c r="D145" s="229"/>
      <c r="E145" s="229"/>
      <c r="F145" s="229"/>
      <c r="G145" s="229"/>
      <c r="H145" s="229"/>
      <c r="I145" s="229"/>
    </row>
    <row r="146" spans="2:10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0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0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70" si="7">E148+F148</f>
        <v>2500</v>
      </c>
      <c r="H148" s="149">
        <v>2500</v>
      </c>
      <c r="I148" s="129">
        <f t="shared" ref="I148:I170" si="8">G148-H148</f>
        <v>0</v>
      </c>
    </row>
    <row r="149" spans="2:10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0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6">
        <v>2000</v>
      </c>
      <c r="I150" s="129">
        <f t="shared" si="8"/>
        <v>0</v>
      </c>
    </row>
    <row r="151" spans="2:10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0" x14ac:dyDescent="0.25">
      <c r="B152" s="43" t="s">
        <v>555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0" x14ac:dyDescent="0.25">
      <c r="B153" s="43" t="s">
        <v>541</v>
      </c>
      <c r="C153" s="120">
        <v>7</v>
      </c>
      <c r="D153" s="117"/>
      <c r="E153" s="44"/>
      <c r="F153" s="224">
        <v>4000</v>
      </c>
      <c r="G153" s="47"/>
      <c r="H153" s="190">
        <v>4000</v>
      </c>
      <c r="I153" s="129"/>
    </row>
    <row r="154" spans="2:10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4000</v>
      </c>
      <c r="I154" s="129">
        <f t="shared" si="8"/>
        <v>0</v>
      </c>
    </row>
    <row r="155" spans="2:10" x14ac:dyDescent="0.25">
      <c r="B155" s="127" t="s">
        <v>548</v>
      </c>
      <c r="C155" s="120">
        <v>9</v>
      </c>
      <c r="D155" s="117"/>
      <c r="E155" s="44"/>
      <c r="F155" s="225"/>
      <c r="G155" s="47">
        <f t="shared" si="7"/>
        <v>0</v>
      </c>
      <c r="H155" s="44"/>
      <c r="I155" s="129">
        <f t="shared" si="8"/>
        <v>0</v>
      </c>
    </row>
    <row r="156" spans="2:10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4000</v>
      </c>
      <c r="I156" s="129">
        <f t="shared" si="8"/>
        <v>0</v>
      </c>
      <c r="J156" s="9" t="s">
        <v>107</v>
      </c>
    </row>
    <row r="157" spans="2:10" x14ac:dyDescent="0.25">
      <c r="B157" s="44" t="s">
        <v>21</v>
      </c>
      <c r="C157" s="120">
        <v>11</v>
      </c>
      <c r="D157" s="119"/>
      <c r="E157" s="44"/>
      <c r="F157" s="225"/>
      <c r="G157" s="47">
        <f t="shared" si="7"/>
        <v>0</v>
      </c>
      <c r="H157" s="44"/>
      <c r="I157" s="129">
        <f t="shared" si="8"/>
        <v>0</v>
      </c>
    </row>
    <row r="158" spans="2:10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0" x14ac:dyDescent="0.25">
      <c r="B159" s="44" t="s">
        <v>548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0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</row>
    <row r="161" spans="2:10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</row>
    <row r="162" spans="2:10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</row>
    <row r="163" spans="2:10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0" x14ac:dyDescent="0.25">
      <c r="B164" s="44" t="s">
        <v>434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>
        <v>2000</v>
      </c>
      <c r="I164" s="129">
        <f t="shared" si="8"/>
        <v>0</v>
      </c>
    </row>
    <row r="165" spans="2:10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0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/>
      <c r="I166" s="129">
        <f t="shared" si="8"/>
        <v>2000</v>
      </c>
    </row>
    <row r="167" spans="2:10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2000</v>
      </c>
      <c r="I167" s="129">
        <f t="shared" si="8"/>
        <v>0</v>
      </c>
    </row>
    <row r="168" spans="2:10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>
        <v>2000</v>
      </c>
      <c r="I168" s="129">
        <f t="shared" si="8"/>
        <v>0</v>
      </c>
    </row>
    <row r="169" spans="2:10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0" x14ac:dyDescent="0.25">
      <c r="B170" s="177" t="s">
        <v>273</v>
      </c>
      <c r="C170" s="120">
        <v>24</v>
      </c>
      <c r="D170" s="44"/>
      <c r="E170" s="44"/>
      <c r="F170" s="44">
        <v>4500</v>
      </c>
      <c r="G170" s="47">
        <f t="shared" si="7"/>
        <v>4500</v>
      </c>
      <c r="H170" s="44">
        <v>4000</v>
      </c>
      <c r="I170" s="129">
        <f t="shared" si="8"/>
        <v>500</v>
      </c>
    </row>
    <row r="171" spans="2:10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0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0" x14ac:dyDescent="0.25">
      <c r="B173" s="44"/>
      <c r="C173" s="120"/>
      <c r="D173" s="44"/>
      <c r="E173" s="44">
        <f>SUM(E147:E172)</f>
        <v>0</v>
      </c>
      <c r="F173" s="232">
        <f>SUM(F147:F172)</f>
        <v>55500</v>
      </c>
      <c r="G173" s="49">
        <f>SUM(G147:G172)</f>
        <v>51500</v>
      </c>
      <c r="H173" s="228">
        <f>SUM(H147:H172)</f>
        <v>45000</v>
      </c>
      <c r="I173" s="228">
        <f>SUM(I147:I172)</f>
        <v>10500</v>
      </c>
    </row>
    <row r="174" spans="2:10" x14ac:dyDescent="0.25">
      <c r="B174" s="100" t="s">
        <v>60</v>
      </c>
      <c r="C174" s="97"/>
      <c r="D174" s="102">
        <f>F173</f>
        <v>55500</v>
      </c>
      <c r="G174" s="100" t="s">
        <v>60</v>
      </c>
      <c r="H174" s="101"/>
      <c r="I174" s="121">
        <f>H173</f>
        <v>45000</v>
      </c>
    </row>
    <row r="175" spans="2:10" x14ac:dyDescent="0.25">
      <c r="C175" s="128">
        <v>0.1</v>
      </c>
      <c r="D175" s="104">
        <f>D174*C175</f>
        <v>5550</v>
      </c>
      <c r="H175" s="128">
        <v>0.1</v>
      </c>
      <c r="I175" s="72">
        <f>I174*H175</f>
        <v>4500</v>
      </c>
    </row>
    <row r="176" spans="2:10" x14ac:dyDescent="0.25">
      <c r="B176" s="103" t="s">
        <v>347</v>
      </c>
      <c r="C176" s="97"/>
      <c r="D176" s="72"/>
      <c r="G176" s="103"/>
      <c r="H176" s="97" t="s">
        <v>347</v>
      </c>
      <c r="I176" s="72"/>
    </row>
    <row r="177" spans="2:13" x14ac:dyDescent="0.25">
      <c r="B177" s="103"/>
      <c r="C177" s="97"/>
      <c r="D177" s="72">
        <f>D174</f>
        <v>55500</v>
      </c>
      <c r="G177" s="103"/>
      <c r="H177" s="97"/>
      <c r="I177" s="72">
        <f>I174</f>
        <v>45000</v>
      </c>
    </row>
    <row r="178" spans="2:13" x14ac:dyDescent="0.25">
      <c r="B178" s="67" t="s">
        <v>58</v>
      </c>
      <c r="G178" s="67" t="s">
        <v>58</v>
      </c>
    </row>
    <row r="179" spans="2:13" x14ac:dyDescent="0.25">
      <c r="B179" s="103" t="s">
        <v>196</v>
      </c>
      <c r="D179" s="104">
        <f>D174*C175</f>
        <v>5550</v>
      </c>
      <c r="G179" s="9" t="s">
        <v>512</v>
      </c>
      <c r="I179" s="104">
        <f>C175*D177</f>
        <v>5550</v>
      </c>
    </row>
    <row r="180" spans="2:13" x14ac:dyDescent="0.25">
      <c r="B180" s="231">
        <v>43076</v>
      </c>
      <c r="D180" s="104">
        <v>10000</v>
      </c>
      <c r="G180" s="231">
        <v>43076</v>
      </c>
      <c r="I180" s="104">
        <v>10000</v>
      </c>
    </row>
    <row r="181" spans="2:13" x14ac:dyDescent="0.25">
      <c r="B181" s="93">
        <v>43082</v>
      </c>
      <c r="D181" s="9">
        <v>15000</v>
      </c>
      <c r="G181" s="93">
        <v>43082</v>
      </c>
      <c r="I181" s="9">
        <v>15000</v>
      </c>
    </row>
    <row r="182" spans="2:13" x14ac:dyDescent="0.25">
      <c r="B182" s="136">
        <v>43087</v>
      </c>
      <c r="D182" s="9">
        <v>6375</v>
      </c>
      <c r="E182" s="72"/>
      <c r="G182" s="136">
        <v>43087</v>
      </c>
      <c r="I182" s="9">
        <v>6375</v>
      </c>
    </row>
    <row r="183" spans="2:13" x14ac:dyDescent="0.25">
      <c r="B183" s="136" t="s">
        <v>556</v>
      </c>
      <c r="D183" s="9">
        <v>13610</v>
      </c>
      <c r="E183" s="72"/>
      <c r="G183" s="136" t="s">
        <v>556</v>
      </c>
      <c r="I183" s="9">
        <v>13610</v>
      </c>
    </row>
    <row r="184" spans="2:13" x14ac:dyDescent="0.25">
      <c r="B184" s="36" t="s">
        <v>275</v>
      </c>
      <c r="D184" s="34">
        <f>F160+F156</f>
        <v>8000</v>
      </c>
      <c r="G184" s="36" t="s">
        <v>275</v>
      </c>
      <c r="I184" s="34">
        <v>8000</v>
      </c>
    </row>
    <row r="185" spans="2:13" x14ac:dyDescent="0.25">
      <c r="B185" s="9" t="s">
        <v>2</v>
      </c>
      <c r="D185" s="72">
        <f>SUM(D179:D184)</f>
        <v>58535</v>
      </c>
      <c r="F185" s="9" t="s">
        <v>571</v>
      </c>
      <c r="G185" s="9" t="s">
        <v>2</v>
      </c>
      <c r="H185" s="86"/>
      <c r="I185" s="87">
        <f>SUM(I179:I184)</f>
        <v>58535</v>
      </c>
      <c r="M185" s="72">
        <f>D185+D186</f>
        <v>55500</v>
      </c>
    </row>
    <row r="186" spans="2:13" x14ac:dyDescent="0.25">
      <c r="B186" s="9" t="s">
        <v>355</v>
      </c>
      <c r="D186" s="135">
        <f>D177-D185</f>
        <v>-3035</v>
      </c>
    </row>
    <row r="187" spans="2:13" x14ac:dyDescent="0.25">
      <c r="D187" s="72"/>
      <c r="G187" s="9" t="s">
        <v>355</v>
      </c>
      <c r="I187" s="72">
        <f>I177-I185</f>
        <v>-13535</v>
      </c>
    </row>
    <row r="188" spans="2:13" x14ac:dyDescent="0.25">
      <c r="D188" s="72"/>
      <c r="I188" s="72"/>
    </row>
    <row r="189" spans="2:13" x14ac:dyDescent="0.25">
      <c r="L189" s="72">
        <f>E137+D186+I69</f>
        <v>-3100</v>
      </c>
    </row>
    <row r="190" spans="2:13" x14ac:dyDescent="0.25">
      <c r="B190" s="24"/>
      <c r="C190" s="79"/>
      <c r="D190" s="82" t="s">
        <v>88</v>
      </c>
      <c r="E190" s="80"/>
      <c r="F190" s="80"/>
      <c r="G190" s="79"/>
    </row>
    <row r="191" spans="2:13" x14ac:dyDescent="0.25">
      <c r="B191" s="4"/>
      <c r="C191" s="5"/>
      <c r="D191" s="6" t="s">
        <v>5</v>
      </c>
      <c r="E191" s="6"/>
      <c r="F191" s="5"/>
      <c r="G191" s="4"/>
    </row>
    <row r="192" spans="2:13" ht="23.25" x14ac:dyDescent="0.35">
      <c r="B192" s="4"/>
      <c r="C192" s="52"/>
      <c r="E192" s="230" t="s">
        <v>278</v>
      </c>
      <c r="F192" s="230"/>
      <c r="G192" s="230"/>
      <c r="H192" s="230"/>
    </row>
    <row r="193" spans="2:9" x14ac:dyDescent="0.25">
      <c r="D193" s="95"/>
      <c r="E193" s="95"/>
      <c r="F193" s="96" t="s">
        <v>547</v>
      </c>
      <c r="G193" s="95"/>
      <c r="H193" s="95"/>
    </row>
    <row r="194" spans="2:9" x14ac:dyDescent="0.25">
      <c r="B194" s="12" t="s">
        <v>0</v>
      </c>
      <c r="C194" s="12" t="s">
        <v>32</v>
      </c>
      <c r="D194" s="12" t="s">
        <v>52</v>
      </c>
      <c r="E194" s="22" t="s">
        <v>55</v>
      </c>
      <c r="F194" s="21" t="s">
        <v>1</v>
      </c>
      <c r="G194" s="22" t="s">
        <v>10</v>
      </c>
      <c r="H194" s="21" t="s">
        <v>3</v>
      </c>
      <c r="I194" s="13" t="s">
        <v>13</v>
      </c>
    </row>
    <row r="195" spans="2:9" x14ac:dyDescent="0.25">
      <c r="B195" s="43" t="s">
        <v>557</v>
      </c>
      <c r="C195" s="120">
        <v>1</v>
      </c>
      <c r="D195" s="116"/>
      <c r="E195" s="43"/>
      <c r="F195" s="47">
        <v>3500</v>
      </c>
      <c r="G195" s="47">
        <f t="shared" ref="G195:G204" si="9">F195+E195</f>
        <v>3500</v>
      </c>
      <c r="H195" s="133">
        <v>3500</v>
      </c>
      <c r="I195" s="129">
        <f t="shared" ref="I195:I204" si="10">G195-H195</f>
        <v>0</v>
      </c>
    </row>
    <row r="196" spans="2:9" x14ac:dyDescent="0.25">
      <c r="B196" s="88" t="s">
        <v>280</v>
      </c>
      <c r="C196" s="120">
        <v>2</v>
      </c>
      <c r="D196" s="117"/>
      <c r="E196" s="2">
        <v>24000</v>
      </c>
      <c r="F196" s="46">
        <v>3500</v>
      </c>
      <c r="G196" s="47">
        <f t="shared" si="9"/>
        <v>27500</v>
      </c>
      <c r="H196" s="56">
        <v>5000</v>
      </c>
      <c r="I196" s="129">
        <f t="shared" si="10"/>
        <v>22500</v>
      </c>
    </row>
    <row r="197" spans="2:9" x14ac:dyDescent="0.25">
      <c r="B197" s="88" t="s">
        <v>21</v>
      </c>
      <c r="C197" s="120">
        <v>3</v>
      </c>
      <c r="D197" s="44"/>
      <c r="E197" s="43"/>
      <c r="F197" s="46"/>
      <c r="G197" s="47">
        <f t="shared" si="9"/>
        <v>0</v>
      </c>
      <c r="H197" s="56"/>
      <c r="I197" s="129">
        <f t="shared" si="10"/>
        <v>0</v>
      </c>
    </row>
    <row r="198" spans="2:9" x14ac:dyDescent="0.25">
      <c r="B198" s="88" t="s">
        <v>515</v>
      </c>
      <c r="C198" s="120">
        <v>4</v>
      </c>
      <c r="D198" s="44"/>
      <c r="E198" s="43"/>
      <c r="F198" s="46">
        <v>2000</v>
      </c>
      <c r="G198" s="47">
        <f t="shared" si="9"/>
        <v>2000</v>
      </c>
      <c r="H198" s="56"/>
      <c r="I198" s="129">
        <f t="shared" si="10"/>
        <v>2000</v>
      </c>
    </row>
    <row r="199" spans="2:9" x14ac:dyDescent="0.25">
      <c r="B199" s="43" t="s">
        <v>21</v>
      </c>
      <c r="C199" s="120">
        <v>5</v>
      </c>
      <c r="D199" s="44"/>
      <c r="E199" s="44"/>
      <c r="F199" s="46">
        <v>0</v>
      </c>
      <c r="G199" s="47">
        <f t="shared" si="9"/>
        <v>0</v>
      </c>
      <c r="H199" s="46"/>
      <c r="I199" s="129">
        <f t="shared" si="10"/>
        <v>0</v>
      </c>
    </row>
    <row r="200" spans="2:9" x14ac:dyDescent="0.25">
      <c r="B200" s="43" t="s">
        <v>284</v>
      </c>
      <c r="C200" s="120">
        <v>6</v>
      </c>
      <c r="D200" s="189"/>
      <c r="E200" s="44"/>
      <c r="F200" s="46">
        <v>3500</v>
      </c>
      <c r="G200" s="47">
        <f t="shared" si="9"/>
        <v>3500</v>
      </c>
      <c r="H200" s="46">
        <v>3000</v>
      </c>
      <c r="I200" s="129">
        <f t="shared" si="10"/>
        <v>500</v>
      </c>
    </row>
    <row r="201" spans="2:9" x14ac:dyDescent="0.25">
      <c r="B201" s="45" t="s">
        <v>538</v>
      </c>
      <c r="C201" s="148">
        <v>7</v>
      </c>
      <c r="E201" s="44"/>
      <c r="F201" s="44">
        <v>3500</v>
      </c>
      <c r="G201" s="44">
        <f t="shared" si="9"/>
        <v>3500</v>
      </c>
      <c r="H201" s="44">
        <v>3500</v>
      </c>
      <c r="I201" s="129">
        <f t="shared" si="10"/>
        <v>0</v>
      </c>
    </row>
    <row r="202" spans="2:9" x14ac:dyDescent="0.25">
      <c r="B202" s="43" t="s">
        <v>539</v>
      </c>
      <c r="C202" s="120">
        <v>8</v>
      </c>
      <c r="D202" s="44"/>
      <c r="E202" s="44"/>
      <c r="F202" s="73">
        <v>3500</v>
      </c>
      <c r="G202" s="44">
        <f t="shared" si="9"/>
        <v>3500</v>
      </c>
      <c r="H202" s="68"/>
      <c r="I202" s="129">
        <f t="shared" si="10"/>
        <v>3500</v>
      </c>
    </row>
    <row r="203" spans="2:9" x14ac:dyDescent="0.25">
      <c r="B203" s="47" t="s">
        <v>21</v>
      </c>
      <c r="C203" s="120">
        <v>9</v>
      </c>
      <c r="D203" s="48"/>
      <c r="E203" s="46"/>
      <c r="F203" s="46">
        <v>0</v>
      </c>
      <c r="G203" s="105">
        <f t="shared" si="9"/>
        <v>0</v>
      </c>
      <c r="H203" s="46"/>
      <c r="I203" s="129">
        <f t="shared" si="10"/>
        <v>0</v>
      </c>
    </row>
    <row r="204" spans="2:9" x14ac:dyDescent="0.25">
      <c r="B204" s="44"/>
      <c r="C204" s="120">
        <v>10</v>
      </c>
      <c r="D204" s="44"/>
      <c r="E204" s="44"/>
      <c r="F204" s="44"/>
      <c r="G204" s="44">
        <f t="shared" si="9"/>
        <v>0</v>
      </c>
      <c r="H204" s="44"/>
      <c r="I204" s="129">
        <f t="shared" si="10"/>
        <v>0</v>
      </c>
    </row>
    <row r="205" spans="2:9" x14ac:dyDescent="0.25">
      <c r="B205" s="45" t="s">
        <v>137</v>
      </c>
      <c r="D205" s="44"/>
      <c r="E205" s="44"/>
      <c r="F205" s="115">
        <f>SUM(F195:F204)</f>
        <v>19500</v>
      </c>
      <c r="G205" s="47"/>
      <c r="H205" s="150">
        <f>SUM(H195:H204)</f>
        <v>15000</v>
      </c>
      <c r="I205" s="129">
        <f>SUM(I195:I204)</f>
        <v>28500</v>
      </c>
    </row>
    <row r="207" spans="2:9" x14ac:dyDescent="0.25">
      <c r="C207" s="100" t="s">
        <v>60</v>
      </c>
      <c r="D207" s="101"/>
      <c r="E207" s="121">
        <f>F205</f>
        <v>19500</v>
      </c>
      <c r="F207" s="102"/>
      <c r="G207" s="100" t="s">
        <v>60</v>
      </c>
      <c r="H207" s="101"/>
      <c r="I207" s="97">
        <f>H205</f>
        <v>15000</v>
      </c>
    </row>
    <row r="208" spans="2:9" x14ac:dyDescent="0.25">
      <c r="D208" s="101"/>
      <c r="E208" s="128">
        <v>0.1</v>
      </c>
      <c r="F208" s="104"/>
      <c r="H208" s="186">
        <v>0.1</v>
      </c>
      <c r="I208" s="170"/>
    </row>
    <row r="209" spans="3:9" x14ac:dyDescent="0.25">
      <c r="C209" s="103" t="s">
        <v>347</v>
      </c>
      <c r="D209" s="101"/>
      <c r="E209" s="97"/>
      <c r="F209" s="72"/>
      <c r="G209" s="103" t="s">
        <v>343</v>
      </c>
      <c r="H209" s="101"/>
      <c r="I209" s="72"/>
    </row>
    <row r="210" spans="3:9" x14ac:dyDescent="0.25">
      <c r="C210" s="103" t="s">
        <v>229</v>
      </c>
      <c r="D210" s="101"/>
      <c r="E210" s="97"/>
      <c r="F210" s="72"/>
      <c r="G210" s="103"/>
      <c r="H210" s="101"/>
      <c r="I210" s="72">
        <f>I207+I209</f>
        <v>15000</v>
      </c>
    </row>
    <row r="211" spans="3:9" x14ac:dyDescent="0.25">
      <c r="C211" s="67" t="s">
        <v>58</v>
      </c>
    </row>
    <row r="212" spans="3:9" x14ac:dyDescent="0.25">
      <c r="G212" s="67" t="s">
        <v>58</v>
      </c>
    </row>
    <row r="213" spans="3:9" x14ac:dyDescent="0.25">
      <c r="C213" s="103" t="s">
        <v>196</v>
      </c>
      <c r="E213" s="72">
        <f>E207*E208</f>
        <v>1950</v>
      </c>
      <c r="F213" s="104">
        <f>F207*E208</f>
        <v>0</v>
      </c>
      <c r="G213" s="9" t="s">
        <v>68</v>
      </c>
      <c r="I213" s="104">
        <f>E208*E207</f>
        <v>1950</v>
      </c>
    </row>
    <row r="214" spans="3:9" x14ac:dyDescent="0.25">
      <c r="C214" s="136">
        <v>43464</v>
      </c>
      <c r="D214" s="17"/>
      <c r="E214" s="34">
        <v>5060</v>
      </c>
      <c r="F214" s="34"/>
      <c r="G214" s="136">
        <v>43464</v>
      </c>
      <c r="H214" s="17"/>
      <c r="I214" s="34">
        <v>5060</v>
      </c>
    </row>
    <row r="215" spans="3:9" x14ac:dyDescent="0.25">
      <c r="C215" s="9" t="s">
        <v>2</v>
      </c>
      <c r="E215" s="72">
        <f>SUM(E213:E214)</f>
        <v>7010</v>
      </c>
      <c r="G215" s="93">
        <v>43112</v>
      </c>
      <c r="I215" s="9">
        <v>7990</v>
      </c>
    </row>
    <row r="216" spans="3:9" x14ac:dyDescent="0.25">
      <c r="G216" s="9" t="s">
        <v>2</v>
      </c>
      <c r="I216" s="147">
        <f>SUM(I213:I215)</f>
        <v>15000</v>
      </c>
    </row>
    <row r="217" spans="3:9" x14ac:dyDescent="0.25">
      <c r="C217" s="36" t="s">
        <v>355</v>
      </c>
      <c r="E217" s="72">
        <f>E207-E215</f>
        <v>12490</v>
      </c>
      <c r="F217" s="72"/>
      <c r="G217" s="36" t="s">
        <v>355</v>
      </c>
      <c r="I217" s="72">
        <f>I210-I216</f>
        <v>0</v>
      </c>
    </row>
    <row r="218" spans="3:9" x14ac:dyDescent="0.25">
      <c r="C218" s="36"/>
      <c r="F218" s="72"/>
      <c r="G218" s="36"/>
      <c r="I218" s="72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opLeftCell="A94" workbookViewId="0">
      <selection activeCell="C135" sqref="C135"/>
    </sheetView>
  </sheetViews>
  <sheetFormatPr defaultRowHeight="15" x14ac:dyDescent="0.25"/>
  <cols>
    <col min="1" max="1" width="18.85546875" customWidth="1"/>
    <col min="2" max="3" width="11" customWidth="1"/>
    <col min="4" max="4" width="12" customWidth="1"/>
    <col min="5" max="6" width="11" customWidth="1"/>
    <col min="7" max="7" width="10.5703125" customWidth="1"/>
    <col min="8" max="8" width="11" customWidth="1"/>
    <col min="9" max="9" width="10.5703125" bestFit="1" customWidth="1"/>
    <col min="11" max="11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563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561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110</v>
      </c>
      <c r="B8" s="3">
        <v>1</v>
      </c>
      <c r="C8" s="44"/>
      <c r="D8" s="2">
        <v>6500</v>
      </c>
      <c r="E8" s="46">
        <v>2000</v>
      </c>
      <c r="F8" s="46">
        <f>D8+E8</f>
        <v>8500</v>
      </c>
      <c r="G8" s="46">
        <v>1000</v>
      </c>
      <c r="H8" s="68">
        <f>F8-G8</f>
        <v>7500</v>
      </c>
    </row>
    <row r="9" spans="1:8" x14ac:dyDescent="0.25">
      <c r="A9" s="43" t="s">
        <v>525</v>
      </c>
      <c r="B9" s="3">
        <v>2</v>
      </c>
      <c r="C9" s="44"/>
      <c r="D9" s="44"/>
      <c r="E9" s="46">
        <v>2000</v>
      </c>
      <c r="F9" s="46">
        <f t="shared" ref="F9:F19" si="0">D9+E9</f>
        <v>2000</v>
      </c>
      <c r="G9" s="46"/>
      <c r="H9" s="68">
        <f t="shared" ref="H9:H19" si="1">F9-G9</f>
        <v>2000</v>
      </c>
    </row>
    <row r="10" spans="1:8" x14ac:dyDescent="0.25">
      <c r="A10" s="43" t="s">
        <v>21</v>
      </c>
      <c r="B10" s="3"/>
      <c r="C10" s="43"/>
      <c r="D10" s="43"/>
      <c r="E10" s="47"/>
      <c r="F10" s="46"/>
      <c r="G10" s="46"/>
      <c r="H10" s="68"/>
    </row>
    <row r="11" spans="1:8" x14ac:dyDescent="0.25">
      <c r="A11" s="43" t="s">
        <v>21</v>
      </c>
      <c r="B11" s="3">
        <v>4</v>
      </c>
      <c r="C11" s="44"/>
      <c r="D11" s="2"/>
      <c r="E11" s="46"/>
      <c r="F11" s="46">
        <f t="shared" si="0"/>
        <v>0</v>
      </c>
      <c r="G11" s="46"/>
      <c r="H11" s="68">
        <f t="shared" si="1"/>
        <v>0</v>
      </c>
    </row>
    <row r="12" spans="1:8" x14ac:dyDescent="0.25">
      <c r="A12" s="45" t="s">
        <v>366</v>
      </c>
      <c r="B12" s="3">
        <v>5</v>
      </c>
      <c r="C12" s="44"/>
      <c r="D12" s="43">
        <v>10000</v>
      </c>
      <c r="E12" s="46">
        <v>2000</v>
      </c>
      <c r="F12" s="46">
        <f t="shared" si="0"/>
        <v>12000</v>
      </c>
      <c r="G12" s="46">
        <v>1700</v>
      </c>
      <c r="H12" s="68">
        <f t="shared" si="1"/>
        <v>10300</v>
      </c>
    </row>
    <row r="13" spans="1:8" x14ac:dyDescent="0.25">
      <c r="A13" s="43" t="s">
        <v>551</v>
      </c>
      <c r="B13" s="3">
        <v>6</v>
      </c>
      <c r="C13" s="44"/>
      <c r="D13" s="43">
        <v>2000</v>
      </c>
      <c r="E13" s="46">
        <v>2000</v>
      </c>
      <c r="F13" s="46">
        <f t="shared" si="0"/>
        <v>4000</v>
      </c>
      <c r="G13" s="46">
        <v>2000</v>
      </c>
      <c r="H13" s="68">
        <f t="shared" si="1"/>
        <v>2000</v>
      </c>
    </row>
    <row r="14" spans="1:8" x14ac:dyDescent="0.25">
      <c r="A14" s="43" t="s">
        <v>211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/>
      <c r="H14" s="68">
        <f t="shared" si="1"/>
        <v>2000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/>
      <c r="G15" s="59"/>
      <c r="H15" s="174"/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9" x14ac:dyDescent="0.25">
      <c r="A17" s="88" t="s">
        <v>526</v>
      </c>
      <c r="B17" s="3">
        <v>10</v>
      </c>
      <c r="C17" s="44"/>
      <c r="D17" s="2">
        <v>4000</v>
      </c>
      <c r="E17" s="46">
        <v>2000</v>
      </c>
      <c r="F17" s="46">
        <f t="shared" si="0"/>
        <v>6000</v>
      </c>
      <c r="G17" s="46">
        <v>3500</v>
      </c>
      <c r="H17" s="68">
        <f>F17-G17</f>
        <v>2500</v>
      </c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46">
        <v>2000</v>
      </c>
      <c r="F18" s="46">
        <f t="shared" si="0"/>
        <v>8200</v>
      </c>
      <c r="G18" s="46">
        <v>2000</v>
      </c>
      <c r="H18" s="68">
        <f t="shared" si="1"/>
        <v>6200</v>
      </c>
    </row>
    <row r="19" spans="1:9" x14ac:dyDescent="0.25">
      <c r="A19" s="43" t="s">
        <v>37</v>
      </c>
      <c r="B19" s="185">
        <v>12</v>
      </c>
      <c r="C19" s="44"/>
      <c r="D19" s="44">
        <v>8000</v>
      </c>
      <c r="E19" s="73">
        <v>2000</v>
      </c>
      <c r="F19" s="46">
        <f t="shared" si="0"/>
        <v>10000</v>
      </c>
      <c r="G19" s="46"/>
      <c r="H19" s="68">
        <f t="shared" si="1"/>
        <v>10000</v>
      </c>
    </row>
    <row r="20" spans="1:9" x14ac:dyDescent="0.25">
      <c r="A20" s="47"/>
      <c r="B20" s="16"/>
      <c r="C20" s="48"/>
      <c r="D20" s="46">
        <f>SUM(D8:D19)</f>
        <v>36700</v>
      </c>
      <c r="E20" s="46">
        <f>SUM(E8:E19)</f>
        <v>16000</v>
      </c>
      <c r="F20" s="46">
        <f>D20+E20</f>
        <v>52700</v>
      </c>
      <c r="G20" s="46">
        <f>SUM(G8:G19)</f>
        <v>10200</v>
      </c>
      <c r="H20" s="68">
        <f>SUM(H8:H19)</f>
        <v>42500</v>
      </c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91"/>
      <c r="H21" s="195"/>
    </row>
    <row r="22" spans="1:9" x14ac:dyDescent="0.25">
      <c r="A22" s="344" t="s">
        <v>60</v>
      </c>
      <c r="B22" s="345"/>
      <c r="C22" s="44"/>
      <c r="D22" s="325">
        <f>SUM(E20)</f>
        <v>16000</v>
      </c>
      <c r="E22" s="44" t="s">
        <v>342</v>
      </c>
      <c r="F22" s="44"/>
      <c r="G22" s="105">
        <f>G20</f>
        <v>10200</v>
      </c>
      <c r="H22" s="9"/>
    </row>
    <row r="23" spans="1:9" ht="15.75" x14ac:dyDescent="0.25">
      <c r="A23" s="239" t="s">
        <v>347</v>
      </c>
      <c r="B23" s="345"/>
      <c r="C23" s="44"/>
      <c r="D23" s="328">
        <f>DECE!E31</f>
        <v>-5400</v>
      </c>
      <c r="E23" s="44"/>
      <c r="F23" s="126" t="s">
        <v>347</v>
      </c>
      <c r="G23" s="247">
        <f>DECE!H31</f>
        <v>-27400</v>
      </c>
      <c r="H23" s="9"/>
    </row>
    <row r="24" spans="1:9" x14ac:dyDescent="0.25">
      <c r="A24" s="239"/>
      <c r="B24" s="345"/>
      <c r="C24" s="44"/>
      <c r="D24" s="328">
        <f>D22+D23</f>
        <v>10600</v>
      </c>
      <c r="E24" s="49"/>
      <c r="F24" s="49" t="s">
        <v>63</v>
      </c>
      <c r="G24" s="247">
        <f>SUM(G22:G23)</f>
        <v>-17200</v>
      </c>
      <c r="H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</row>
    <row r="26" spans="1:9" x14ac:dyDescent="0.25">
      <c r="A26" s="344" t="s">
        <v>22</v>
      </c>
      <c r="B26" s="345"/>
      <c r="C26" s="44"/>
      <c r="D26" s="312">
        <f>SUM(D22*10%)</f>
        <v>1600</v>
      </c>
      <c r="E26" s="44" t="s">
        <v>613</v>
      </c>
      <c r="F26" s="344" t="s">
        <v>22</v>
      </c>
      <c r="G26" s="105">
        <f>D26</f>
        <v>1600</v>
      </c>
      <c r="H26" s="9"/>
      <c r="I26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</row>
    <row r="28" spans="1:9" x14ac:dyDescent="0.25">
      <c r="A28" s="348">
        <v>43112</v>
      </c>
      <c r="B28" s="44"/>
      <c r="C28" s="44"/>
      <c r="D28" s="105">
        <v>7400</v>
      </c>
      <c r="E28" s="348">
        <v>43112</v>
      </c>
      <c r="F28" s="44"/>
      <c r="G28" s="105">
        <v>7400</v>
      </c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348"/>
      <c r="G30" s="105">
        <f>SUM(G26:G29)</f>
        <v>13000</v>
      </c>
      <c r="H30" s="9"/>
    </row>
    <row r="31" spans="1:9" x14ac:dyDescent="0.25">
      <c r="A31" s="349" t="s">
        <v>165</v>
      </c>
      <c r="B31" s="44"/>
      <c r="C31" s="44"/>
      <c r="D31" s="105">
        <f>D24-D30</f>
        <v>-2400</v>
      </c>
      <c r="E31" s="44" t="s">
        <v>165</v>
      </c>
      <c r="F31" s="44"/>
      <c r="G31" s="247">
        <f>G24-G30</f>
        <v>-30200</v>
      </c>
      <c r="H31" s="9"/>
    </row>
    <row r="32" spans="1:9" x14ac:dyDescent="0.25">
      <c r="E32" s="9"/>
      <c r="F32" s="9"/>
      <c r="G32" s="72"/>
      <c r="H32" s="9"/>
    </row>
    <row r="33" spans="1:8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</row>
    <row r="34" spans="1:8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23.25" x14ac:dyDescent="0.35">
      <c r="A45" s="4"/>
      <c r="C45" s="234" t="s">
        <v>97</v>
      </c>
      <c r="D45" s="234"/>
      <c r="E45" s="234"/>
      <c r="F45" s="234"/>
      <c r="G45" s="234"/>
      <c r="H45" s="9"/>
    </row>
    <row r="46" spans="1:8" x14ac:dyDescent="0.25">
      <c r="A46" s="9"/>
      <c r="B46" s="95"/>
      <c r="D46" s="96" t="s">
        <v>561</v>
      </c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</row>
    <row r="48" spans="1:8" x14ac:dyDescent="0.25">
      <c r="A48" s="43"/>
      <c r="B48" s="10"/>
      <c r="C48" s="43"/>
      <c r="D48" s="43"/>
      <c r="E48" s="47"/>
      <c r="F48" s="47"/>
      <c r="G48" s="47"/>
      <c r="H48" s="43"/>
    </row>
    <row r="49" spans="1:9" x14ac:dyDescent="0.25">
      <c r="A49" s="88" t="s">
        <v>520</v>
      </c>
      <c r="B49" s="3"/>
      <c r="C49" s="44"/>
      <c r="D49" s="2"/>
      <c r="E49" s="46">
        <v>5000</v>
      </c>
      <c r="F49" s="46">
        <f>D49+E49</f>
        <v>5000</v>
      </c>
      <c r="G49" s="56">
        <v>5000</v>
      </c>
      <c r="H49" s="105">
        <f>F49-G49</f>
        <v>0</v>
      </c>
    </row>
    <row r="50" spans="1:9" x14ac:dyDescent="0.25">
      <c r="A50" s="88" t="s">
        <v>103</v>
      </c>
      <c r="B50" s="45" t="s">
        <v>101</v>
      </c>
      <c r="C50" s="44"/>
      <c r="D50" s="43"/>
      <c r="E50" s="46">
        <v>4500</v>
      </c>
      <c r="F50" s="46">
        <f t="shared" ref="F50:F60" si="2">D50+E50</f>
        <v>4500</v>
      </c>
      <c r="G50" s="56">
        <v>4500</v>
      </c>
      <c r="H50" s="105"/>
    </row>
    <row r="51" spans="1:9" x14ac:dyDescent="0.25">
      <c r="A51" s="88" t="s">
        <v>521</v>
      </c>
      <c r="B51" s="43" t="s">
        <v>102</v>
      </c>
      <c r="C51" s="44"/>
      <c r="D51" s="43"/>
      <c r="E51" s="46"/>
      <c r="F51" s="46">
        <f t="shared" si="2"/>
        <v>0</v>
      </c>
      <c r="G51" s="56"/>
      <c r="H51" s="105">
        <f t="shared" ref="H51:H60" si="3">F51-G51</f>
        <v>0</v>
      </c>
    </row>
    <row r="52" spans="1:9" x14ac:dyDescent="0.25">
      <c r="A52" s="43" t="s">
        <v>289</v>
      </c>
      <c r="B52" s="3"/>
      <c r="C52" s="44"/>
      <c r="D52" s="44"/>
      <c r="E52" s="46">
        <v>1500</v>
      </c>
      <c r="F52" s="46">
        <f t="shared" si="2"/>
        <v>1500</v>
      </c>
      <c r="G52" s="56"/>
      <c r="H52" s="105">
        <f>F52-G52</f>
        <v>1500</v>
      </c>
    </row>
    <row r="53" spans="1:9" x14ac:dyDescent="0.25">
      <c r="A53" s="43" t="s">
        <v>522</v>
      </c>
      <c r="B53" s="3"/>
      <c r="C53" s="44"/>
      <c r="D53" s="44"/>
      <c r="E53" s="46">
        <v>2500</v>
      </c>
      <c r="F53" s="46">
        <f t="shared" si="2"/>
        <v>2500</v>
      </c>
      <c r="G53" s="56"/>
      <c r="H53" s="105">
        <f t="shared" si="3"/>
        <v>2500</v>
      </c>
      <c r="I53" t="s">
        <v>169</v>
      </c>
    </row>
    <row r="54" spans="1:9" x14ac:dyDescent="0.25">
      <c r="A54" s="43" t="s">
        <v>523</v>
      </c>
      <c r="B54" s="3"/>
      <c r="C54" s="44"/>
      <c r="D54" s="44"/>
      <c r="E54" s="73">
        <v>3000</v>
      </c>
      <c r="F54" s="46">
        <f t="shared" si="2"/>
        <v>3000</v>
      </c>
      <c r="G54" s="190"/>
      <c r="H54" s="105">
        <f t="shared" si="3"/>
        <v>3000</v>
      </c>
      <c r="I54" t="s">
        <v>169</v>
      </c>
    </row>
    <row r="55" spans="1:9" x14ac:dyDescent="0.25">
      <c r="A55" s="47" t="s">
        <v>519</v>
      </c>
      <c r="B55" s="16"/>
      <c r="C55" s="48"/>
      <c r="D55" s="46"/>
      <c r="E55" s="46">
        <v>1500</v>
      </c>
      <c r="F55" s="46">
        <f t="shared" si="2"/>
        <v>1500</v>
      </c>
      <c r="G55" s="56"/>
      <c r="H55" s="105">
        <f t="shared" si="3"/>
        <v>1500</v>
      </c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</row>
    <row r="61" spans="1:9" x14ac:dyDescent="0.25">
      <c r="A61" s="44"/>
      <c r="B61" s="44"/>
      <c r="C61" s="44"/>
      <c r="D61" s="44">
        <f>SUM(D48:D60)</f>
        <v>0</v>
      </c>
      <c r="E61" s="105">
        <f>SUM(E48:E60)</f>
        <v>18000</v>
      </c>
      <c r="F61" s="105">
        <f>SUM(F49:F60)</f>
        <v>18000</v>
      </c>
      <c r="G61" s="105">
        <f>SUM(G48:G60)</f>
        <v>9500</v>
      </c>
      <c r="H61" s="105">
        <f>SUM(H49:H60)</f>
        <v>8500</v>
      </c>
    </row>
    <row r="62" spans="1:9" x14ac:dyDescent="0.25">
      <c r="A62" s="100" t="s">
        <v>60</v>
      </c>
      <c r="B62" s="101"/>
      <c r="C62" s="97"/>
      <c r="D62" s="102">
        <f>E61</f>
        <v>18000</v>
      </c>
      <c r="E62" s="100" t="s">
        <v>60</v>
      </c>
      <c r="F62" s="101"/>
      <c r="G62" s="97"/>
      <c r="H62" s="102">
        <f>G61</f>
        <v>9500</v>
      </c>
    </row>
    <row r="63" spans="1:9" x14ac:dyDescent="0.25">
      <c r="A63" s="103" t="s">
        <v>347</v>
      </c>
      <c r="B63" s="101"/>
      <c r="C63" s="97"/>
      <c r="D63" s="104"/>
      <c r="E63" s="103" t="s">
        <v>347</v>
      </c>
      <c r="F63" s="101"/>
      <c r="G63" s="97"/>
      <c r="H63" s="104"/>
    </row>
    <row r="64" spans="1:9" x14ac:dyDescent="0.25">
      <c r="A64" s="103"/>
      <c r="B64" s="101"/>
      <c r="C64" s="97"/>
      <c r="D64" s="104">
        <f>SUM(D62:D63)</f>
        <v>18000</v>
      </c>
      <c r="E64" s="103"/>
      <c r="F64" s="101"/>
      <c r="G64" s="97"/>
      <c r="H64" s="104">
        <f>SUM(H62:H63)</f>
        <v>9500</v>
      </c>
    </row>
    <row r="65" spans="1:11" x14ac:dyDescent="0.25">
      <c r="A65" s="67" t="s">
        <v>58</v>
      </c>
      <c r="B65" s="9"/>
      <c r="C65" s="9"/>
      <c r="D65" s="9"/>
      <c r="E65" s="67" t="s">
        <v>58</v>
      </c>
      <c r="F65" s="9"/>
      <c r="G65" s="9"/>
      <c r="H65" s="9"/>
    </row>
    <row r="66" spans="1:11" x14ac:dyDescent="0.25">
      <c r="A66" s="36" t="s">
        <v>22</v>
      </c>
      <c r="B66" s="146">
        <v>0.1</v>
      </c>
      <c r="C66" s="9"/>
      <c r="D66" s="34">
        <f>D64*B66</f>
        <v>1800</v>
      </c>
      <c r="E66" s="36" t="s">
        <v>22</v>
      </c>
      <c r="F66" s="146">
        <v>0.1</v>
      </c>
      <c r="G66" s="9"/>
      <c r="H66" s="34">
        <f>H64*F66</f>
        <v>950</v>
      </c>
    </row>
    <row r="67" spans="1:11" x14ac:dyDescent="0.25">
      <c r="A67" s="136"/>
      <c r="B67" s="9"/>
      <c r="C67" s="9"/>
      <c r="D67" s="72"/>
      <c r="E67" s="136"/>
      <c r="F67" s="9"/>
      <c r="G67" s="9"/>
      <c r="H67" s="72"/>
    </row>
    <row r="68" spans="1:11" x14ac:dyDescent="0.25">
      <c r="A68" s="9"/>
      <c r="B68" s="9"/>
      <c r="C68" s="9"/>
      <c r="D68" s="9"/>
      <c r="E68" s="93">
        <v>43115</v>
      </c>
      <c r="F68" s="9"/>
      <c r="G68" s="9"/>
      <c r="H68" s="9">
        <v>1800</v>
      </c>
      <c r="K68" s="72">
        <f>H68+H69</f>
        <v>8550</v>
      </c>
    </row>
    <row r="69" spans="1:11" s="9" customFormat="1" x14ac:dyDescent="0.25">
      <c r="A69" s="36"/>
      <c r="D69" s="72"/>
      <c r="E69" s="136">
        <v>43119</v>
      </c>
      <c r="H69" s="72">
        <v>6750</v>
      </c>
      <c r="I69"/>
    </row>
    <row r="70" spans="1:11" s="9" customFormat="1" x14ac:dyDescent="0.25">
      <c r="A70" s="36"/>
      <c r="D70" s="72">
        <f>SUM(D66:D69)</f>
        <v>1800</v>
      </c>
      <c r="E70" s="36"/>
      <c r="H70" s="72">
        <f>SUM(H66:H69)</f>
        <v>9500</v>
      </c>
      <c r="I70"/>
    </row>
    <row r="71" spans="1:11" s="9" customFormat="1" x14ac:dyDescent="0.25">
      <c r="A71" s="36" t="s">
        <v>355</v>
      </c>
      <c r="D71" s="135">
        <f>D64-D70</f>
        <v>16200</v>
      </c>
      <c r="E71" s="9" t="s">
        <v>355</v>
      </c>
      <c r="H71" s="72">
        <f>H64-H70</f>
        <v>0</v>
      </c>
      <c r="I71"/>
    </row>
    <row r="72" spans="1:11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11" x14ac:dyDescent="0.25">
      <c r="A73" s="36"/>
      <c r="B73" s="9"/>
      <c r="C73" s="9"/>
      <c r="D73" s="72"/>
      <c r="E73" s="9"/>
      <c r="F73" s="9"/>
      <c r="G73" s="9"/>
      <c r="H73" s="9"/>
    </row>
    <row r="74" spans="1:11" x14ac:dyDescent="0.25">
      <c r="A74" s="9"/>
      <c r="B74" s="9"/>
      <c r="C74" s="9"/>
      <c r="D74" s="9"/>
      <c r="E74" s="9"/>
      <c r="F74" s="9"/>
      <c r="G74" s="9"/>
      <c r="H74" s="72"/>
    </row>
    <row r="75" spans="1:11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</row>
    <row r="76" spans="1:11" x14ac:dyDescent="0.25">
      <c r="A76" s="5"/>
      <c r="B76" s="19"/>
      <c r="C76" s="81" t="s">
        <v>87</v>
      </c>
      <c r="D76" s="81"/>
      <c r="E76" s="19"/>
      <c r="F76" s="19"/>
      <c r="G76" s="9"/>
      <c r="H76" s="9"/>
    </row>
    <row r="77" spans="1:11" x14ac:dyDescent="0.25">
      <c r="A77" s="24"/>
      <c r="B77" s="79"/>
      <c r="C77" s="82" t="s">
        <v>88</v>
      </c>
      <c r="D77" s="80"/>
      <c r="E77" s="80"/>
      <c r="F77" s="79"/>
      <c r="G77" s="9"/>
      <c r="H77" s="9"/>
    </row>
    <row r="78" spans="1:11" x14ac:dyDescent="0.25">
      <c r="A78" s="4"/>
      <c r="B78" s="5"/>
      <c r="C78" s="6" t="s">
        <v>5</v>
      </c>
      <c r="D78" s="6"/>
      <c r="E78" s="5"/>
      <c r="F78" s="4"/>
      <c r="G78" s="9"/>
      <c r="H78" s="9"/>
    </row>
    <row r="79" spans="1:11" ht="15.75" x14ac:dyDescent="0.25">
      <c r="A79" s="9"/>
      <c r="B79" s="4"/>
      <c r="C79" s="52"/>
      <c r="D79" s="7" t="s">
        <v>171</v>
      </c>
      <c r="E79" s="4"/>
      <c r="F79" s="4"/>
      <c r="G79" s="5"/>
      <c r="H79" s="9"/>
    </row>
    <row r="80" spans="1:11" x14ac:dyDescent="0.25">
      <c r="A80" s="9"/>
      <c r="B80" s="95"/>
      <c r="C80" s="95"/>
      <c r="D80" s="96" t="s">
        <v>561</v>
      </c>
      <c r="E80" s="95"/>
      <c r="F80" s="95"/>
      <c r="G80" s="95"/>
      <c r="H80" s="9"/>
    </row>
    <row r="81" spans="1:8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</row>
    <row r="82" spans="1:8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</row>
    <row r="83" spans="1:8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</row>
    <row r="84" spans="1:8" x14ac:dyDescent="0.25">
      <c r="A84" s="43"/>
      <c r="B84" s="69"/>
      <c r="C84" s="217"/>
      <c r="D84" s="47"/>
      <c r="E84" s="105"/>
      <c r="F84" s="44"/>
      <c r="G84" s="107"/>
      <c r="H84" s="44"/>
    </row>
    <row r="85" spans="1:8" x14ac:dyDescent="0.25">
      <c r="A85" s="43"/>
      <c r="B85" s="3"/>
      <c r="C85" s="218"/>
      <c r="D85" s="46"/>
      <c r="E85" s="105"/>
      <c r="F85" s="44"/>
      <c r="G85" s="107"/>
      <c r="H85" s="44"/>
    </row>
    <row r="86" spans="1:8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</row>
    <row r="87" spans="1:8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</row>
    <row r="88" spans="1:8" x14ac:dyDescent="0.25">
      <c r="A88" s="43"/>
      <c r="B88" s="3"/>
      <c r="C88" s="44"/>
      <c r="D88" s="46"/>
      <c r="E88" s="44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</row>
    <row r="91" spans="1:8" x14ac:dyDescent="0.25">
      <c r="A91" s="103"/>
      <c r="B91" s="101"/>
      <c r="C91" s="97"/>
      <c r="D91" s="104"/>
      <c r="E91" s="51"/>
      <c r="F91" s="9"/>
      <c r="G91" s="133">
        <f>DECE!H95</f>
        <v>-1700</v>
      </c>
      <c r="H91" s="9"/>
    </row>
    <row r="92" spans="1:8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1800</v>
      </c>
      <c r="H92" s="9"/>
    </row>
    <row r="93" spans="1:8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</row>
    <row r="94" spans="1:8" x14ac:dyDescent="0.25">
      <c r="A94" s="36"/>
      <c r="B94" s="9"/>
      <c r="C94" s="9"/>
      <c r="D94" s="133"/>
      <c r="E94" s="9"/>
      <c r="F94" s="9" t="s">
        <v>227</v>
      </c>
      <c r="G94" s="133"/>
      <c r="H94" s="9"/>
    </row>
    <row r="95" spans="1:8" x14ac:dyDescent="0.25">
      <c r="A95" s="9"/>
      <c r="B95" s="9"/>
      <c r="C95" s="9"/>
      <c r="D95" s="72"/>
      <c r="E95" s="72"/>
      <c r="F95" s="83">
        <v>0.1</v>
      </c>
      <c r="G95" s="72">
        <f>F95*D90</f>
        <v>700</v>
      </c>
      <c r="H95" s="9"/>
    </row>
    <row r="96" spans="1:8" x14ac:dyDescent="0.25">
      <c r="A96" s="122"/>
      <c r="B96" s="97"/>
      <c r="C96" s="97"/>
      <c r="D96" s="121"/>
      <c r="E96" s="93">
        <v>43111</v>
      </c>
      <c r="F96" s="9"/>
      <c r="G96" s="133">
        <v>4100</v>
      </c>
      <c r="H96" s="9"/>
    </row>
    <row r="97" spans="1:12" x14ac:dyDescent="0.25">
      <c r="A97" s="9" t="s">
        <v>355</v>
      </c>
      <c r="B97" s="9"/>
      <c r="C97" s="9"/>
      <c r="D97" s="72">
        <f>D90-D96</f>
        <v>7000</v>
      </c>
      <c r="E97" s="91"/>
      <c r="F97" s="9"/>
      <c r="G97" s="133">
        <f>SUM(G95:G96)</f>
        <v>4800</v>
      </c>
      <c r="H97" s="9"/>
    </row>
    <row r="98" spans="1:12" x14ac:dyDescent="0.25">
      <c r="A98" s="9"/>
      <c r="B98" s="9"/>
      <c r="C98" s="9"/>
      <c r="D98" s="9"/>
      <c r="E98" s="91"/>
      <c r="F98" s="9"/>
      <c r="G98" s="133">
        <f>G92-G97</f>
        <v>-3000</v>
      </c>
      <c r="H98" s="9"/>
    </row>
    <row r="99" spans="1:12" x14ac:dyDescent="0.25">
      <c r="A99" s="9"/>
      <c r="B99" s="9"/>
      <c r="C99" s="9"/>
      <c r="D99" s="9"/>
      <c r="E99" s="9"/>
      <c r="F99" s="9"/>
      <c r="G99" s="9"/>
      <c r="H99" s="9"/>
    </row>
    <row r="100" spans="1:12" ht="18.75" x14ac:dyDescent="0.3">
      <c r="A100" s="5" t="s">
        <v>92</v>
      </c>
      <c r="B100" s="19"/>
      <c r="C100" s="236" t="s">
        <v>4</v>
      </c>
      <c r="E100" s="81"/>
      <c r="F100" s="19"/>
      <c r="G100" s="9"/>
      <c r="H100" s="9"/>
    </row>
    <row r="101" spans="1:12" ht="23.25" x14ac:dyDescent="0.35">
      <c r="A101" s="4"/>
      <c r="B101" s="237" t="s">
        <v>97</v>
      </c>
      <c r="D101" s="238" t="s">
        <v>292</v>
      </c>
      <c r="E101" s="234"/>
      <c r="F101" s="234"/>
      <c r="G101" s="9"/>
      <c r="H101" s="9"/>
    </row>
    <row r="102" spans="1:12" x14ac:dyDescent="0.25">
      <c r="A102" s="9"/>
      <c r="B102" s="9"/>
      <c r="C102" s="95"/>
      <c r="D102" s="96" t="s">
        <v>565</v>
      </c>
      <c r="F102" s="95"/>
      <c r="G102" s="95"/>
      <c r="H102" s="9"/>
    </row>
    <row r="103" spans="1:12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12" x14ac:dyDescent="0.25">
      <c r="A104" s="43" t="s">
        <v>317</v>
      </c>
      <c r="B104" s="120">
        <v>1</v>
      </c>
      <c r="C104" s="116"/>
      <c r="D104" s="201">
        <v>4500</v>
      </c>
      <c r="E104" s="202">
        <v>4500</v>
      </c>
      <c r="F104" s="202">
        <f>D104+E104</f>
        <v>9000</v>
      </c>
      <c r="G104" s="203"/>
      <c r="H104" s="204">
        <f>F104-G104</f>
        <v>9000</v>
      </c>
    </row>
    <row r="105" spans="1:12" x14ac:dyDescent="0.25">
      <c r="A105" s="88" t="s">
        <v>240</v>
      </c>
      <c r="B105" s="120">
        <v>2</v>
      </c>
      <c r="C105" s="117"/>
      <c r="D105" s="205"/>
      <c r="E105" s="206">
        <v>4500</v>
      </c>
      <c r="F105" s="202">
        <f t="shared" ref="F105:F115" si="4">D105+E105</f>
        <v>4500</v>
      </c>
      <c r="G105" s="207">
        <v>4500</v>
      </c>
      <c r="H105" s="204">
        <f t="shared" ref="H105:H123" si="5">F105-G105</f>
        <v>0</v>
      </c>
    </row>
    <row r="106" spans="1:12" x14ac:dyDescent="0.25">
      <c r="A106" s="88" t="s">
        <v>528</v>
      </c>
      <c r="B106" s="120">
        <v>3</v>
      </c>
      <c r="C106" s="117"/>
      <c r="D106" s="201"/>
      <c r="E106" s="206">
        <v>4500</v>
      </c>
      <c r="F106" s="202">
        <f t="shared" si="4"/>
        <v>4500</v>
      </c>
      <c r="G106" s="207">
        <v>4500</v>
      </c>
      <c r="H106" s="204">
        <f t="shared" si="5"/>
        <v>0</v>
      </c>
    </row>
    <row r="107" spans="1:12" x14ac:dyDescent="0.25">
      <c r="A107" s="88" t="s">
        <v>528</v>
      </c>
      <c r="B107" s="120">
        <v>4</v>
      </c>
      <c r="C107" s="117"/>
      <c r="D107" s="201"/>
      <c r="E107" s="206">
        <v>2500</v>
      </c>
      <c r="F107" s="202">
        <f t="shared" si="4"/>
        <v>2500</v>
      </c>
      <c r="G107" s="207">
        <v>2500</v>
      </c>
      <c r="H107" s="204">
        <f t="shared" si="5"/>
        <v>0</v>
      </c>
    </row>
    <row r="108" spans="1:12" x14ac:dyDescent="0.25">
      <c r="A108" s="43" t="s">
        <v>243</v>
      </c>
      <c r="B108" s="120">
        <v>5</v>
      </c>
      <c r="C108" s="117"/>
      <c r="D108" s="198">
        <v>500</v>
      </c>
      <c r="E108" s="206">
        <v>2500</v>
      </c>
      <c r="F108" s="202">
        <f t="shared" si="4"/>
        <v>3000</v>
      </c>
      <c r="G108" s="206">
        <v>2500</v>
      </c>
      <c r="H108" s="204">
        <f t="shared" si="5"/>
        <v>500</v>
      </c>
    </row>
    <row r="109" spans="1:12" x14ac:dyDescent="0.25">
      <c r="A109" s="43" t="s">
        <v>216</v>
      </c>
      <c r="B109" s="120">
        <v>6</v>
      </c>
      <c r="C109" s="117"/>
      <c r="D109" s="198">
        <v>2500</v>
      </c>
      <c r="E109" s="206">
        <v>2500</v>
      </c>
      <c r="F109" s="202">
        <f t="shared" si="4"/>
        <v>5000</v>
      </c>
      <c r="G109" s="206">
        <v>2500</v>
      </c>
      <c r="H109" s="204">
        <f t="shared" si="5"/>
        <v>2500</v>
      </c>
      <c r="I109" t="s">
        <v>566</v>
      </c>
    </row>
    <row r="110" spans="1:12" x14ac:dyDescent="0.25">
      <c r="A110" s="43" t="s">
        <v>245</v>
      </c>
      <c r="B110" s="120">
        <v>7</v>
      </c>
      <c r="C110" s="117"/>
      <c r="D110" s="198"/>
      <c r="E110" s="208">
        <v>2500</v>
      </c>
      <c r="F110" s="202">
        <f t="shared" si="4"/>
        <v>2500</v>
      </c>
      <c r="G110" s="209">
        <v>2500</v>
      </c>
      <c r="H110" s="204">
        <f t="shared" si="5"/>
        <v>0</v>
      </c>
    </row>
    <row r="111" spans="1:12" x14ac:dyDescent="0.25">
      <c r="A111" s="47" t="s">
        <v>559</v>
      </c>
      <c r="B111" s="120">
        <v>8</v>
      </c>
      <c r="C111" s="118"/>
      <c r="D111" s="206"/>
      <c r="E111" s="206">
        <v>2000</v>
      </c>
      <c r="F111" s="202">
        <f t="shared" si="4"/>
        <v>2000</v>
      </c>
      <c r="G111" s="206">
        <v>2000</v>
      </c>
      <c r="H111" s="204">
        <f t="shared" si="5"/>
        <v>0</v>
      </c>
    </row>
    <row r="112" spans="1:12" x14ac:dyDescent="0.25">
      <c r="A112" s="44" t="s">
        <v>78</v>
      </c>
      <c r="B112" s="120">
        <v>9</v>
      </c>
      <c r="C112" s="117"/>
      <c r="D112" s="198"/>
      <c r="E112" s="198">
        <v>2500</v>
      </c>
      <c r="F112" s="202">
        <f>D112+E112</f>
        <v>2500</v>
      </c>
      <c r="G112" s="210">
        <v>2500</v>
      </c>
      <c r="H112" s="204">
        <f>F112-G112</f>
        <v>0</v>
      </c>
      <c r="L112" s="72"/>
    </row>
    <row r="113" spans="1:11" x14ac:dyDescent="0.25">
      <c r="A113" s="197" t="s">
        <v>504</v>
      </c>
      <c r="B113" s="120">
        <v>10</v>
      </c>
      <c r="C113" s="9"/>
      <c r="D113" s="198"/>
      <c r="E113" s="211">
        <v>2500</v>
      </c>
      <c r="F113" s="202">
        <v>2500</v>
      </c>
      <c r="G113" s="210">
        <v>2300</v>
      </c>
      <c r="H113" s="204">
        <f>F113-G113</f>
        <v>200</v>
      </c>
      <c r="K113" s="72">
        <f>F104+F108+F110+F115</f>
        <v>18000</v>
      </c>
    </row>
    <row r="114" spans="1:11" x14ac:dyDescent="0.25">
      <c r="A114" s="45" t="s">
        <v>327</v>
      </c>
      <c r="B114" s="120">
        <v>11</v>
      </c>
      <c r="C114" s="119"/>
      <c r="D114" s="198"/>
      <c r="E114" s="212">
        <v>2700</v>
      </c>
      <c r="F114" s="202">
        <f t="shared" si="4"/>
        <v>2700</v>
      </c>
      <c r="G114" s="210">
        <v>2700</v>
      </c>
      <c r="H114" s="204">
        <f t="shared" si="5"/>
        <v>0</v>
      </c>
    </row>
    <row r="115" spans="1:11" x14ac:dyDescent="0.25">
      <c r="A115" s="44" t="s">
        <v>328</v>
      </c>
      <c r="B115" s="120">
        <v>12</v>
      </c>
      <c r="C115" s="119"/>
      <c r="D115" s="198">
        <v>1000</v>
      </c>
      <c r="E115" s="198">
        <v>2500</v>
      </c>
      <c r="F115" s="202">
        <f t="shared" si="4"/>
        <v>3500</v>
      </c>
      <c r="G115" s="210"/>
      <c r="H115" s="204">
        <f t="shared" si="5"/>
        <v>3500</v>
      </c>
      <c r="K115" s="72"/>
    </row>
    <row r="116" spans="1:11" x14ac:dyDescent="0.25">
      <c r="A116" s="44" t="s">
        <v>374</v>
      </c>
      <c r="B116" s="120">
        <v>13</v>
      </c>
      <c r="C116" s="117"/>
      <c r="D116" s="199"/>
      <c r="E116" s="198">
        <v>4000</v>
      </c>
      <c r="F116" s="202">
        <f>D116+E116</f>
        <v>4000</v>
      </c>
      <c r="G116" s="210">
        <v>3500</v>
      </c>
      <c r="H116" s="204">
        <f t="shared" si="5"/>
        <v>500</v>
      </c>
    </row>
    <row r="117" spans="1:11" x14ac:dyDescent="0.25">
      <c r="A117" s="44" t="s">
        <v>505</v>
      </c>
      <c r="B117" s="120">
        <v>14</v>
      </c>
      <c r="C117" s="117"/>
      <c r="D117" s="198"/>
      <c r="E117" s="198">
        <v>0</v>
      </c>
      <c r="F117" s="202">
        <f t="shared" ref="F117:F123" si="6">D117+E117</f>
        <v>0</v>
      </c>
      <c r="G117" s="210"/>
      <c r="H117" s="204">
        <f t="shared" si="5"/>
        <v>0</v>
      </c>
    </row>
    <row r="118" spans="1:11" x14ac:dyDescent="0.25">
      <c r="A118" s="125" t="s">
        <v>560</v>
      </c>
      <c r="B118" s="120">
        <v>15</v>
      </c>
      <c r="C118" s="117"/>
      <c r="D118" s="198">
        <v>1600</v>
      </c>
      <c r="E118" s="198">
        <v>1600</v>
      </c>
      <c r="F118" s="202">
        <f t="shared" si="6"/>
        <v>3200</v>
      </c>
      <c r="G118" s="210">
        <v>1600</v>
      </c>
      <c r="H118" s="204">
        <f t="shared" si="5"/>
        <v>1600</v>
      </c>
    </row>
    <row r="119" spans="1:11" x14ac:dyDescent="0.25">
      <c r="A119" s="44" t="s">
        <v>21</v>
      </c>
      <c r="B119" s="148">
        <v>16</v>
      </c>
      <c r="C119" s="9"/>
      <c r="D119" s="199"/>
      <c r="E119" s="199"/>
      <c r="F119" s="202"/>
      <c r="G119" s="210"/>
      <c r="H119" s="204">
        <f t="shared" si="5"/>
        <v>0</v>
      </c>
    </row>
    <row r="120" spans="1:11" x14ac:dyDescent="0.25">
      <c r="A120" s="44"/>
      <c r="B120" s="120">
        <v>17</v>
      </c>
      <c r="C120" s="117"/>
      <c r="D120" s="198"/>
      <c r="E120" s="198"/>
      <c r="F120" s="202">
        <f t="shared" si="6"/>
        <v>0</v>
      </c>
      <c r="G120" s="210"/>
      <c r="H120" s="204">
        <f t="shared" si="5"/>
        <v>0</v>
      </c>
    </row>
    <row r="121" spans="1:11" x14ac:dyDescent="0.25">
      <c r="A121" s="125" t="s">
        <v>521</v>
      </c>
      <c r="B121" s="120">
        <v>18</v>
      </c>
      <c r="C121" s="117"/>
      <c r="D121" s="198"/>
      <c r="E121" s="198"/>
      <c r="F121" s="202">
        <f t="shared" si="6"/>
        <v>0</v>
      </c>
      <c r="G121" s="210"/>
      <c r="H121" s="204">
        <f t="shared" si="5"/>
        <v>0</v>
      </c>
    </row>
    <row r="122" spans="1:11" x14ac:dyDescent="0.25">
      <c r="A122" s="44" t="s">
        <v>540</v>
      </c>
      <c r="B122" s="141">
        <v>19</v>
      </c>
      <c r="C122" s="142"/>
      <c r="D122" s="200"/>
      <c r="E122" s="200">
        <v>1600</v>
      </c>
      <c r="F122" s="202">
        <f t="shared" si="6"/>
        <v>1600</v>
      </c>
      <c r="G122" s="200">
        <v>1600</v>
      </c>
      <c r="H122" s="204">
        <f t="shared" si="5"/>
        <v>0</v>
      </c>
      <c r="I122" t="s">
        <v>566</v>
      </c>
      <c r="K122" s="72"/>
    </row>
    <row r="123" spans="1:11" x14ac:dyDescent="0.25">
      <c r="A123" s="44" t="s">
        <v>123</v>
      </c>
      <c r="B123" s="120">
        <v>21</v>
      </c>
      <c r="C123" s="44"/>
      <c r="D123" s="198"/>
      <c r="E123" s="198"/>
      <c r="F123" s="202">
        <f t="shared" si="6"/>
        <v>0</v>
      </c>
      <c r="G123" s="198"/>
      <c r="H123" s="204">
        <f t="shared" si="5"/>
        <v>0</v>
      </c>
    </row>
    <row r="124" spans="1:11" x14ac:dyDescent="0.25">
      <c r="A124" s="138"/>
      <c r="B124" s="138"/>
      <c r="C124" s="138"/>
      <c r="D124" s="138"/>
      <c r="E124" s="139">
        <f>SUM(E104:E123)</f>
        <v>42900</v>
      </c>
      <c r="F124" s="47">
        <f>D124+E124</f>
        <v>42900</v>
      </c>
      <c r="G124" s="139">
        <f>SUM(G104:G123)</f>
        <v>35200</v>
      </c>
      <c r="H124" s="139">
        <f>SUM(H104:H123)</f>
        <v>17800</v>
      </c>
    </row>
    <row r="125" spans="1:11" x14ac:dyDescent="0.25">
      <c r="A125" s="90"/>
      <c r="B125" s="90"/>
      <c r="C125" s="90"/>
      <c r="D125" s="90"/>
      <c r="E125" s="213"/>
      <c r="F125" s="75"/>
      <c r="G125" s="213"/>
      <c r="H125" s="213"/>
    </row>
    <row r="126" spans="1:11" x14ac:dyDescent="0.25">
      <c r="A126" s="100" t="s">
        <v>60</v>
      </c>
      <c r="B126" s="101"/>
      <c r="C126" s="97"/>
      <c r="D126" s="102">
        <f>E124</f>
        <v>42900</v>
      </c>
      <c r="E126" s="100" t="s">
        <v>60</v>
      </c>
      <c r="F126" s="101"/>
      <c r="G126" s="97"/>
      <c r="H126" s="102">
        <f>G124</f>
        <v>35200</v>
      </c>
    </row>
    <row r="127" spans="1:11" x14ac:dyDescent="0.25">
      <c r="A127" s="214"/>
      <c r="B127" s="215"/>
      <c r="C127" s="216"/>
      <c r="D127" s="66">
        <f>DECE!E137</f>
        <v>-65</v>
      </c>
      <c r="E127" s="214" t="s">
        <v>343</v>
      </c>
      <c r="F127" s="215"/>
      <c r="G127" s="216"/>
      <c r="H127" s="66">
        <f>DECE!I137</f>
        <v>-22985</v>
      </c>
    </row>
    <row r="128" spans="1:11" x14ac:dyDescent="0.25">
      <c r="A128" s="214" t="s">
        <v>2</v>
      </c>
      <c r="B128" s="215"/>
      <c r="C128" s="216"/>
      <c r="D128" s="72">
        <f ca="1">SUM(D126:D128)</f>
        <v>695027002365</v>
      </c>
      <c r="E128" s="214" t="s">
        <v>2</v>
      </c>
      <c r="F128" s="215"/>
      <c r="G128" s="216"/>
      <c r="H128" s="72">
        <f>SUM(H126:H127)</f>
        <v>12215</v>
      </c>
    </row>
    <row r="129" spans="1:11" x14ac:dyDescent="0.25">
      <c r="A129" s="67" t="s">
        <v>58</v>
      </c>
      <c r="B129" s="9"/>
      <c r="C129" s="9"/>
      <c r="E129" s="67" t="s">
        <v>58</v>
      </c>
      <c r="F129" s="9"/>
      <c r="G129" s="9"/>
    </row>
    <row r="130" spans="1:11" x14ac:dyDescent="0.25">
      <c r="A130" s="36" t="s">
        <v>22</v>
      </c>
      <c r="B130" s="17"/>
      <c r="C130" s="9"/>
      <c r="D130" s="34">
        <f>SUM(D126*10%)</f>
        <v>4290</v>
      </c>
      <c r="E130" s="36" t="s">
        <v>22</v>
      </c>
      <c r="F130" s="17"/>
      <c r="G130" s="9"/>
      <c r="H130" s="34">
        <f>D130</f>
        <v>4290</v>
      </c>
      <c r="K130" s="72">
        <f>SUM(D130:D137)</f>
        <v>85350</v>
      </c>
    </row>
    <row r="131" spans="1:11" x14ac:dyDescent="0.25">
      <c r="A131" s="136">
        <v>43115</v>
      </c>
      <c r="B131" s="17"/>
      <c r="C131" s="9"/>
      <c r="D131" s="34">
        <v>12320</v>
      </c>
      <c r="E131" s="136">
        <v>43115</v>
      </c>
      <c r="F131" s="17"/>
      <c r="G131" s="9"/>
      <c r="H131" s="34">
        <v>12320</v>
      </c>
      <c r="K131" s="72">
        <f ca="1">D128-K130</f>
        <v>695026917015</v>
      </c>
    </row>
    <row r="132" spans="1:11" x14ac:dyDescent="0.25">
      <c r="A132" s="136">
        <v>43105</v>
      </c>
      <c r="B132" s="9"/>
      <c r="C132" s="9"/>
      <c r="D132" s="9">
        <v>10000</v>
      </c>
      <c r="E132" s="136">
        <v>43105</v>
      </c>
      <c r="F132" s="9"/>
      <c r="G132" s="9"/>
      <c r="H132" s="9">
        <v>10000</v>
      </c>
    </row>
    <row r="133" spans="1:11" x14ac:dyDescent="0.25">
      <c r="A133" s="36" t="s">
        <v>567</v>
      </c>
      <c r="B133" s="9"/>
      <c r="C133" s="9"/>
      <c r="D133">
        <v>1500</v>
      </c>
      <c r="E133" t="s">
        <v>568</v>
      </c>
      <c r="H133">
        <v>1500</v>
      </c>
    </row>
    <row r="134" spans="1:11" x14ac:dyDescent="0.25">
      <c r="A134" t="s">
        <v>540</v>
      </c>
      <c r="D134">
        <v>1600</v>
      </c>
      <c r="E134" t="s">
        <v>540</v>
      </c>
      <c r="H134">
        <v>1600</v>
      </c>
    </row>
    <row r="135" spans="1:11" s="9" customFormat="1" x14ac:dyDescent="0.25">
      <c r="A135" s="93">
        <v>43119</v>
      </c>
      <c r="D135" s="9">
        <v>12740</v>
      </c>
      <c r="E135" s="93">
        <v>43239</v>
      </c>
      <c r="H135" s="9">
        <v>12740</v>
      </c>
    </row>
    <row r="136" spans="1:11" x14ac:dyDescent="0.25">
      <c r="A136" s="261" t="s">
        <v>2</v>
      </c>
      <c r="B136" s="135">
        <f>D131+D132+D133+D134+D135</f>
        <v>38160</v>
      </c>
      <c r="C136" s="86"/>
      <c r="D136" s="135">
        <f>SUM(D130:D135)</f>
        <v>42450</v>
      </c>
      <c r="E136" s="36" t="s">
        <v>2</v>
      </c>
      <c r="F136" s="9"/>
      <c r="G136" s="9"/>
      <c r="H136" s="72">
        <f>SUM(H130:H135)</f>
        <v>42450</v>
      </c>
    </row>
    <row r="137" spans="1:11" x14ac:dyDescent="0.25">
      <c r="A137" s="36" t="s">
        <v>165</v>
      </c>
      <c r="B137" s="9"/>
      <c r="D137" s="72">
        <f>D126-D136</f>
        <v>450</v>
      </c>
      <c r="E137" s="261" t="s">
        <v>26</v>
      </c>
      <c r="F137" s="86"/>
      <c r="G137" s="86"/>
      <c r="H137" s="135">
        <f>H128-H136</f>
        <v>-30235</v>
      </c>
    </row>
    <row r="138" spans="1:11" x14ac:dyDescent="0.25">
      <c r="D138" s="72">
        <f ca="1">D128-D136</f>
        <v>695026959915</v>
      </c>
    </row>
    <row r="139" spans="1:11" x14ac:dyDescent="0.25">
      <c r="A139" s="9"/>
      <c r="B139" s="9"/>
      <c r="C139" s="9"/>
      <c r="D139" s="9"/>
      <c r="F139" s="9"/>
      <c r="G139" s="9"/>
      <c r="H139" s="9"/>
    </row>
    <row r="140" spans="1:11" x14ac:dyDescent="0.25">
      <c r="A140" s="9"/>
      <c r="B140" s="9"/>
      <c r="C140" s="9"/>
      <c r="D140" s="9"/>
      <c r="E140" s="9"/>
      <c r="F140" s="9"/>
      <c r="G140" s="9"/>
      <c r="H140" s="9"/>
    </row>
    <row r="141" spans="1:11" x14ac:dyDescent="0.25">
      <c r="A141" s="9"/>
      <c r="B141" s="9"/>
      <c r="C141" s="9"/>
      <c r="D141" s="9"/>
      <c r="E141" s="9"/>
      <c r="F141" s="9"/>
      <c r="G141" s="9"/>
      <c r="H141" s="9"/>
    </row>
    <row r="142" spans="1:11" x14ac:dyDescent="0.25">
      <c r="A142" s="9"/>
      <c r="B142" s="19"/>
      <c r="C142" s="19"/>
      <c r="D142" s="81" t="s">
        <v>4</v>
      </c>
      <c r="E142" s="81"/>
      <c r="F142" s="19"/>
      <c r="G142" s="9"/>
      <c r="H142" s="9"/>
    </row>
    <row r="143" spans="1:11" x14ac:dyDescent="0.25">
      <c r="A143" s="9"/>
      <c r="B143" s="19"/>
      <c r="C143" s="81" t="s">
        <v>87</v>
      </c>
      <c r="D143" s="81"/>
      <c r="E143" s="19"/>
      <c r="F143" s="19"/>
      <c r="G143" s="9"/>
      <c r="H143" s="9"/>
    </row>
    <row r="144" spans="1:11" x14ac:dyDescent="0.25">
      <c r="A144" s="9"/>
      <c r="B144" s="79"/>
      <c r="C144" s="82" t="s">
        <v>88</v>
      </c>
      <c r="D144" s="80"/>
      <c r="E144" s="80"/>
      <c r="F144" s="79"/>
      <c r="G144" s="9"/>
      <c r="H144" s="9"/>
    </row>
    <row r="145" spans="1:12" x14ac:dyDescent="0.25">
      <c r="A145" s="9"/>
      <c r="B145" s="5"/>
      <c r="C145" s="6" t="s">
        <v>5</v>
      </c>
      <c r="D145" s="6"/>
      <c r="E145" s="5"/>
      <c r="F145" s="4"/>
      <c r="G145" s="9"/>
      <c r="H145" s="9"/>
    </row>
    <row r="146" spans="1:12" ht="28.5" x14ac:dyDescent="0.45">
      <c r="B146" s="233"/>
      <c r="D146" s="233" t="s">
        <v>564</v>
      </c>
      <c r="E146" s="233"/>
      <c r="F146" s="233"/>
      <c r="G146" s="233"/>
      <c r="H146" s="233"/>
    </row>
    <row r="147" spans="1:12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</row>
    <row r="148" spans="1:12" x14ac:dyDescent="0.25">
      <c r="A148" s="62" t="s">
        <v>532</v>
      </c>
      <c r="B148" s="120">
        <v>1</v>
      </c>
      <c r="C148" s="116"/>
      <c r="D148" s="43"/>
      <c r="E148" s="243"/>
      <c r="F148" s="47">
        <f>D148+E148</f>
        <v>0</v>
      </c>
      <c r="G148" s="131"/>
      <c r="H148" s="129">
        <f>F148-G148</f>
        <v>0</v>
      </c>
      <c r="I148" t="s">
        <v>274</v>
      </c>
    </row>
    <row r="149" spans="1:12" x14ac:dyDescent="0.25">
      <c r="A149" s="62" t="s">
        <v>533</v>
      </c>
      <c r="B149" s="120">
        <v>2</v>
      </c>
      <c r="C149" s="117"/>
      <c r="D149" s="2"/>
      <c r="E149" s="242">
        <v>2500</v>
      </c>
      <c r="F149" s="243">
        <f t="shared" ref="F149:F172" si="7">D149+E149</f>
        <v>2500</v>
      </c>
      <c r="G149" s="131"/>
      <c r="H149" s="245">
        <f t="shared" ref="H149:H171" si="8">F149-G149</f>
        <v>2500</v>
      </c>
      <c r="I149" t="s">
        <v>107</v>
      </c>
    </row>
    <row r="150" spans="1:12" x14ac:dyDescent="0.25">
      <c r="A150" s="62" t="s">
        <v>21</v>
      </c>
      <c r="B150" s="120">
        <v>3</v>
      </c>
      <c r="C150" s="117"/>
      <c r="D150" s="43"/>
      <c r="E150" s="242"/>
      <c r="F150" s="243">
        <f t="shared" si="7"/>
        <v>0</v>
      </c>
      <c r="G150" s="56"/>
      <c r="H150" s="129">
        <f t="shared" si="8"/>
        <v>0</v>
      </c>
    </row>
    <row r="151" spans="1:12" x14ac:dyDescent="0.25">
      <c r="A151" s="18" t="s">
        <v>570</v>
      </c>
      <c r="B151" s="120">
        <v>4</v>
      </c>
      <c r="C151" s="117"/>
      <c r="D151" s="43"/>
      <c r="E151" s="242">
        <v>2000</v>
      </c>
      <c r="F151" s="243">
        <f t="shared" si="7"/>
        <v>2000</v>
      </c>
      <c r="G151" s="281">
        <v>2000</v>
      </c>
      <c r="H151" s="129">
        <f t="shared" si="8"/>
        <v>0</v>
      </c>
    </row>
    <row r="152" spans="1:12" x14ac:dyDescent="0.25">
      <c r="A152" s="62" t="s">
        <v>260</v>
      </c>
      <c r="B152" s="120">
        <v>5</v>
      </c>
      <c r="C152" s="117"/>
      <c r="D152" s="44"/>
      <c r="E152" s="242">
        <v>4000</v>
      </c>
      <c r="F152" s="243">
        <f t="shared" si="7"/>
        <v>4000</v>
      </c>
      <c r="G152" s="244">
        <v>4000</v>
      </c>
      <c r="H152" s="129">
        <f t="shared" si="8"/>
        <v>0</v>
      </c>
    </row>
    <row r="153" spans="1:12" x14ac:dyDescent="0.25">
      <c r="A153" s="62" t="s">
        <v>424</v>
      </c>
      <c r="B153" s="120">
        <v>6</v>
      </c>
      <c r="C153" s="117"/>
      <c r="D153" s="44"/>
      <c r="E153" s="242">
        <v>4000</v>
      </c>
      <c r="F153" s="243">
        <f t="shared" si="7"/>
        <v>4000</v>
      </c>
      <c r="G153" s="244">
        <v>4000</v>
      </c>
      <c r="H153" s="129">
        <f t="shared" si="8"/>
        <v>0</v>
      </c>
    </row>
    <row r="154" spans="1:12" x14ac:dyDescent="0.25">
      <c r="A154" s="62" t="s">
        <v>21</v>
      </c>
      <c r="B154" s="120">
        <v>7</v>
      </c>
      <c r="C154" s="117"/>
      <c r="D154" s="44"/>
      <c r="E154" s="224"/>
      <c r="F154" s="243"/>
      <c r="G154" s="299"/>
      <c r="H154" s="129"/>
    </row>
    <row r="155" spans="1:12" x14ac:dyDescent="0.25">
      <c r="A155" s="49" t="s">
        <v>351</v>
      </c>
      <c r="B155" s="120">
        <v>8</v>
      </c>
      <c r="C155" s="118"/>
      <c r="D155" s="46"/>
      <c r="E155" s="242">
        <v>4000</v>
      </c>
      <c r="F155" s="243">
        <f t="shared" si="7"/>
        <v>4000</v>
      </c>
      <c r="G155" s="244">
        <v>4000</v>
      </c>
      <c r="H155" s="129">
        <f t="shared" si="8"/>
        <v>0</v>
      </c>
    </row>
    <row r="156" spans="1:12" x14ac:dyDescent="0.25">
      <c r="A156" s="239" t="s">
        <v>541</v>
      </c>
      <c r="B156" s="120">
        <v>9</v>
      </c>
      <c r="C156" s="117"/>
      <c r="D156" s="44"/>
      <c r="E156" s="298">
        <v>4000</v>
      </c>
      <c r="F156" s="243">
        <f t="shared" si="7"/>
        <v>4000</v>
      </c>
      <c r="G156" s="247">
        <v>4000</v>
      </c>
      <c r="H156" s="129">
        <f t="shared" si="8"/>
        <v>0</v>
      </c>
      <c r="K156" t="s">
        <v>562</v>
      </c>
      <c r="L156">
        <v>4000</v>
      </c>
    </row>
    <row r="157" spans="1:12" x14ac:dyDescent="0.25">
      <c r="A157" s="62" t="s">
        <v>302</v>
      </c>
      <c r="B157" s="120">
        <v>10</v>
      </c>
      <c r="C157" s="119"/>
      <c r="D157" s="44"/>
      <c r="E157" s="298">
        <v>4000</v>
      </c>
      <c r="F157" s="243">
        <f t="shared" si="7"/>
        <v>4000</v>
      </c>
      <c r="G157" s="247">
        <v>4000</v>
      </c>
      <c r="H157" s="129">
        <f t="shared" si="8"/>
        <v>0</v>
      </c>
    </row>
    <row r="158" spans="1:12" x14ac:dyDescent="0.25">
      <c r="A158" s="62" t="s">
        <v>442</v>
      </c>
      <c r="B158" s="120">
        <v>11</v>
      </c>
      <c r="C158" s="119"/>
      <c r="D158" s="44"/>
      <c r="E158" s="225">
        <v>4000</v>
      </c>
      <c r="F158" s="243">
        <f t="shared" si="7"/>
        <v>4000</v>
      </c>
      <c r="G158" s="247">
        <v>4000</v>
      </c>
      <c r="H158" s="129">
        <f t="shared" si="8"/>
        <v>0</v>
      </c>
    </row>
    <row r="159" spans="1:12" x14ac:dyDescent="0.25">
      <c r="A159" s="240" t="s">
        <v>21</v>
      </c>
      <c r="B159" s="120">
        <v>12</v>
      </c>
      <c r="C159" s="117"/>
      <c r="D159" s="44"/>
      <c r="E159" s="225"/>
      <c r="F159" s="243">
        <f t="shared" si="7"/>
        <v>0</v>
      </c>
      <c r="G159" s="247"/>
      <c r="H159" s="129">
        <f t="shared" si="8"/>
        <v>0</v>
      </c>
    </row>
    <row r="160" spans="1:12" x14ac:dyDescent="0.25">
      <c r="A160" s="62" t="s">
        <v>21</v>
      </c>
      <c r="B160" s="120">
        <v>13</v>
      </c>
      <c r="C160" s="44"/>
      <c r="D160" s="44"/>
      <c r="E160" s="225"/>
      <c r="F160" s="243"/>
      <c r="G160" s="300"/>
      <c r="H160" s="129"/>
    </row>
    <row r="161" spans="1:9" x14ac:dyDescent="0.25">
      <c r="A161" s="62" t="s">
        <v>534</v>
      </c>
      <c r="B161" s="120">
        <v>14</v>
      </c>
      <c r="C161" s="44"/>
      <c r="D161" s="44"/>
      <c r="E161" s="225">
        <v>4000</v>
      </c>
      <c r="F161" s="243">
        <f t="shared" si="7"/>
        <v>4000</v>
      </c>
      <c r="G161" s="247">
        <v>4000</v>
      </c>
      <c r="H161" s="129">
        <f t="shared" si="8"/>
        <v>0</v>
      </c>
    </row>
    <row r="162" spans="1:9" x14ac:dyDescent="0.25">
      <c r="A162" s="240" t="s">
        <v>535</v>
      </c>
      <c r="B162" s="120">
        <v>15</v>
      </c>
      <c r="C162" s="44"/>
      <c r="D162" s="44"/>
      <c r="E162" s="227"/>
      <c r="F162" s="243">
        <f t="shared" si="7"/>
        <v>0</v>
      </c>
      <c r="G162" s="247"/>
      <c r="H162" s="129">
        <f t="shared" si="8"/>
        <v>0</v>
      </c>
    </row>
    <row r="163" spans="1:9" x14ac:dyDescent="0.25">
      <c r="A163" s="62" t="s">
        <v>266</v>
      </c>
      <c r="B163" s="120">
        <v>16</v>
      </c>
      <c r="C163" s="44"/>
      <c r="D163" s="44"/>
      <c r="E163" s="225">
        <v>2000</v>
      </c>
      <c r="F163" s="243">
        <f t="shared" si="7"/>
        <v>2000</v>
      </c>
      <c r="G163" s="247">
        <v>2000</v>
      </c>
      <c r="H163" s="129">
        <f t="shared" si="8"/>
        <v>0</v>
      </c>
    </row>
    <row r="164" spans="1:9" x14ac:dyDescent="0.25">
      <c r="A164" s="62" t="s">
        <v>313</v>
      </c>
      <c r="B164" s="120">
        <v>17</v>
      </c>
      <c r="C164" s="117"/>
      <c r="D164" s="44"/>
      <c r="E164" s="225">
        <v>2000</v>
      </c>
      <c r="F164" s="243">
        <f t="shared" si="7"/>
        <v>2000</v>
      </c>
      <c r="G164" s="247">
        <v>2000</v>
      </c>
      <c r="H164" s="129">
        <f t="shared" si="8"/>
        <v>0</v>
      </c>
    </row>
    <row r="165" spans="1:9" x14ac:dyDescent="0.25">
      <c r="A165" s="62" t="s">
        <v>434</v>
      </c>
      <c r="B165" s="120">
        <v>18</v>
      </c>
      <c r="C165" s="117"/>
      <c r="D165" s="44"/>
      <c r="E165" s="225">
        <v>2000</v>
      </c>
      <c r="F165" s="243">
        <f t="shared" si="7"/>
        <v>2000</v>
      </c>
      <c r="G165" s="247">
        <v>2000</v>
      </c>
      <c r="H165" s="129">
        <f t="shared" si="8"/>
        <v>0</v>
      </c>
    </row>
    <row r="166" spans="1:9" x14ac:dyDescent="0.25">
      <c r="A166" s="62" t="s">
        <v>256</v>
      </c>
      <c r="B166" s="120">
        <v>19</v>
      </c>
      <c r="C166" s="117"/>
      <c r="D166" s="44"/>
      <c r="E166" s="225">
        <v>2000</v>
      </c>
      <c r="F166" s="243">
        <f t="shared" si="7"/>
        <v>2000</v>
      </c>
      <c r="G166" s="247">
        <v>2000</v>
      </c>
      <c r="H166" s="129">
        <f t="shared" si="8"/>
        <v>0</v>
      </c>
    </row>
    <row r="167" spans="1:9" x14ac:dyDescent="0.25">
      <c r="A167" s="239" t="s">
        <v>569</v>
      </c>
      <c r="B167" s="120">
        <v>20</v>
      </c>
      <c r="C167" s="44"/>
      <c r="D167" s="44"/>
      <c r="E167" s="225">
        <v>2000</v>
      </c>
      <c r="F167" s="243">
        <f t="shared" si="7"/>
        <v>2000</v>
      </c>
      <c r="G167" s="247">
        <v>2000</v>
      </c>
      <c r="H167" s="129">
        <f t="shared" si="8"/>
        <v>0</v>
      </c>
    </row>
    <row r="168" spans="1:9" x14ac:dyDescent="0.25">
      <c r="A168" s="239" t="s">
        <v>536</v>
      </c>
      <c r="B168" s="120">
        <v>21</v>
      </c>
      <c r="C168" s="44"/>
      <c r="D168" s="44"/>
      <c r="E168" s="225">
        <v>2000</v>
      </c>
      <c r="F168" s="243">
        <f t="shared" si="7"/>
        <v>2000</v>
      </c>
      <c r="G168" s="247">
        <v>2000</v>
      </c>
      <c r="H168" s="129">
        <f t="shared" si="8"/>
        <v>0</v>
      </c>
    </row>
    <row r="169" spans="1:9" x14ac:dyDescent="0.25">
      <c r="A169" s="240" t="s">
        <v>542</v>
      </c>
      <c r="B169" s="120">
        <v>22</v>
      </c>
      <c r="C169" s="44"/>
      <c r="D169" s="44"/>
      <c r="E169" s="225">
        <v>2000</v>
      </c>
      <c r="F169" s="243">
        <f t="shared" si="7"/>
        <v>2000</v>
      </c>
      <c r="G169" s="247"/>
      <c r="H169" s="245">
        <f t="shared" si="8"/>
        <v>2000</v>
      </c>
      <c r="I169" t="s">
        <v>582</v>
      </c>
    </row>
    <row r="170" spans="1:9" x14ac:dyDescent="0.25">
      <c r="A170" s="239" t="s">
        <v>272</v>
      </c>
      <c r="B170" s="120">
        <v>23</v>
      </c>
      <c r="C170" s="44"/>
      <c r="D170" s="44"/>
      <c r="E170" s="225">
        <v>4500</v>
      </c>
      <c r="F170" s="243">
        <f t="shared" si="7"/>
        <v>4500</v>
      </c>
      <c r="G170" s="301">
        <v>4500</v>
      </c>
      <c r="H170" s="129">
        <f t="shared" si="8"/>
        <v>0</v>
      </c>
    </row>
    <row r="171" spans="1:9" x14ac:dyDescent="0.25">
      <c r="A171" s="241" t="s">
        <v>273</v>
      </c>
      <c r="B171" s="120">
        <v>24</v>
      </c>
      <c r="C171" s="44"/>
      <c r="D171" s="44"/>
      <c r="E171" s="44">
        <v>4500</v>
      </c>
      <c r="F171" s="243">
        <f t="shared" si="7"/>
        <v>4500</v>
      </c>
      <c r="G171" s="247">
        <v>4000</v>
      </c>
      <c r="H171" s="129">
        <f t="shared" si="8"/>
        <v>500</v>
      </c>
    </row>
    <row r="172" spans="1:9" x14ac:dyDescent="0.25">
      <c r="A172" s="62" t="s">
        <v>272</v>
      </c>
      <c r="B172" s="120">
        <v>25</v>
      </c>
      <c r="C172" s="44"/>
      <c r="D172" s="44"/>
      <c r="E172" s="247">
        <v>2000</v>
      </c>
      <c r="F172" s="243">
        <f t="shared" si="7"/>
        <v>2000</v>
      </c>
      <c r="G172" s="247">
        <v>2000</v>
      </c>
      <c r="H172" s="129"/>
    </row>
    <row r="173" spans="1:9" x14ac:dyDescent="0.25">
      <c r="A173" s="44"/>
      <c r="B173" s="120"/>
      <c r="C173" s="44"/>
      <c r="D173" s="44"/>
      <c r="E173" s="44"/>
      <c r="F173" s="47"/>
      <c r="G173" s="44"/>
      <c r="H173" s="129"/>
    </row>
    <row r="174" spans="1:9" x14ac:dyDescent="0.25">
      <c r="A174" s="44"/>
      <c r="B174" s="120"/>
      <c r="C174" s="44"/>
      <c r="D174" s="44">
        <f>SUM(D148:D173)</f>
        <v>0</v>
      </c>
      <c r="E174" s="263">
        <f>SUM(E148:E173)</f>
        <v>57500</v>
      </c>
      <c r="F174" s="262">
        <f>SUM(F148:F173)</f>
        <v>57500</v>
      </c>
      <c r="G174" s="264">
        <f>SUM(G148:G173)</f>
        <v>52500</v>
      </c>
      <c r="H174" s="264">
        <f>SUM(H148:H173)</f>
        <v>5000</v>
      </c>
    </row>
    <row r="175" spans="1:9" x14ac:dyDescent="0.25">
      <c r="A175" s="100" t="s">
        <v>60</v>
      </c>
      <c r="B175" s="97"/>
      <c r="C175" s="267">
        <f>E174</f>
        <v>57500</v>
      </c>
      <c r="D175" s="9"/>
      <c r="E175" s="9"/>
      <c r="F175" s="100" t="s">
        <v>60</v>
      </c>
      <c r="G175" s="101"/>
      <c r="H175" s="253">
        <f>G174</f>
        <v>52500</v>
      </c>
    </row>
    <row r="176" spans="1:9" x14ac:dyDescent="0.25">
      <c r="A176" s="9"/>
      <c r="B176" s="128">
        <v>0.1</v>
      </c>
      <c r="C176" s="302">
        <f>C175*B176</f>
        <v>5750</v>
      </c>
      <c r="D176" s="9"/>
      <c r="E176" s="9"/>
      <c r="F176" s="9"/>
      <c r="G176" s="128">
        <v>0.1</v>
      </c>
      <c r="H176" s="252">
        <f>H175*G176</f>
        <v>5250</v>
      </c>
    </row>
    <row r="177" spans="1:9" x14ac:dyDescent="0.25">
      <c r="A177" s="103" t="s">
        <v>347</v>
      </c>
      <c r="B177" s="97"/>
      <c r="C177" s="252"/>
      <c r="D177" s="9"/>
      <c r="E177" s="9"/>
      <c r="F177" s="103"/>
      <c r="G177" s="97" t="s">
        <v>347</v>
      </c>
      <c r="H177" s="252"/>
    </row>
    <row r="178" spans="1:9" x14ac:dyDescent="0.25">
      <c r="A178" s="103"/>
      <c r="B178" s="97"/>
      <c r="C178" s="252">
        <f>C175</f>
        <v>57500</v>
      </c>
      <c r="D178" s="9"/>
      <c r="E178" s="9"/>
      <c r="F178" s="103"/>
      <c r="G178" s="97"/>
      <c r="H178" s="252">
        <f>H175</f>
        <v>52500</v>
      </c>
    </row>
    <row r="179" spans="1:9" x14ac:dyDescent="0.25">
      <c r="A179" s="67" t="s">
        <v>58</v>
      </c>
      <c r="B179" s="9"/>
      <c r="C179" s="252"/>
      <c r="D179" s="9"/>
      <c r="E179" s="9"/>
      <c r="F179" s="67" t="s">
        <v>58</v>
      </c>
      <c r="G179" s="9"/>
      <c r="H179" s="252"/>
    </row>
    <row r="180" spans="1:9" x14ac:dyDescent="0.25">
      <c r="A180" s="103" t="s">
        <v>196</v>
      </c>
      <c r="B180" s="9"/>
      <c r="C180" s="302">
        <f>C175*B176</f>
        <v>5750</v>
      </c>
      <c r="D180" s="9"/>
      <c r="E180" s="9"/>
      <c r="F180" s="9" t="s">
        <v>512</v>
      </c>
      <c r="G180" s="9"/>
      <c r="H180" s="302">
        <f>H175*G176</f>
        <v>5250</v>
      </c>
    </row>
    <row r="181" spans="1:9" x14ac:dyDescent="0.25">
      <c r="A181" s="231">
        <v>43115</v>
      </c>
      <c r="B181" s="9"/>
      <c r="C181" s="302">
        <v>21450</v>
      </c>
      <c r="D181" s="9"/>
      <c r="E181" s="9"/>
      <c r="F181" s="231">
        <v>43115</v>
      </c>
      <c r="G181" s="9"/>
      <c r="H181" s="302">
        <v>21450</v>
      </c>
    </row>
    <row r="182" spans="1:9" x14ac:dyDescent="0.25">
      <c r="A182" s="93">
        <v>43105</v>
      </c>
      <c r="B182" s="9"/>
      <c r="C182" s="252">
        <v>15000</v>
      </c>
      <c r="D182" s="9"/>
      <c r="E182" s="9"/>
      <c r="F182" s="93">
        <v>43105</v>
      </c>
      <c r="G182" s="9"/>
      <c r="H182" s="252">
        <v>15000</v>
      </c>
      <c r="I182" s="252">
        <f>H181+H182</f>
        <v>36450</v>
      </c>
    </row>
    <row r="183" spans="1:9" x14ac:dyDescent="0.25">
      <c r="A183" s="136">
        <v>43119</v>
      </c>
      <c r="B183" s="9"/>
      <c r="C183" s="252">
        <v>11300</v>
      </c>
      <c r="D183" s="72"/>
      <c r="E183" s="9"/>
      <c r="G183" s="9"/>
      <c r="H183" s="252"/>
    </row>
    <row r="184" spans="1:9" x14ac:dyDescent="0.25">
      <c r="A184" s="136" t="s">
        <v>579</v>
      </c>
      <c r="B184" s="9"/>
      <c r="C184" s="252">
        <v>2000</v>
      </c>
      <c r="D184" s="72"/>
      <c r="E184" s="9"/>
      <c r="F184" s="136"/>
      <c r="G184" s="9"/>
      <c r="H184" s="252"/>
    </row>
    <row r="185" spans="1:9" x14ac:dyDescent="0.25">
      <c r="A185" s="36" t="s">
        <v>275</v>
      </c>
      <c r="B185" s="9"/>
      <c r="C185" s="254">
        <v>4000</v>
      </c>
      <c r="D185" s="252">
        <f>C181+C182+C183+C185</f>
        <v>51750</v>
      </c>
      <c r="E185" s="9"/>
      <c r="F185" s="36" t="s">
        <v>275</v>
      </c>
      <c r="G185" s="9"/>
      <c r="H185" s="254">
        <v>4000</v>
      </c>
    </row>
    <row r="186" spans="1:9" x14ac:dyDescent="0.25">
      <c r="A186" s="9" t="s">
        <v>2</v>
      </c>
      <c r="B186" s="9"/>
      <c r="C186" s="252">
        <f>SUM(C180:C185)</f>
        <v>59500</v>
      </c>
      <c r="D186" s="9"/>
      <c r="E186" s="9"/>
      <c r="F186" s="9" t="s">
        <v>2</v>
      </c>
      <c r="G186" s="86"/>
      <c r="H186" s="304">
        <f>SUM(H180:H185)</f>
        <v>45700</v>
      </c>
    </row>
    <row r="187" spans="1:9" x14ac:dyDescent="0.25">
      <c r="A187" s="9" t="s">
        <v>355</v>
      </c>
      <c r="B187" s="9"/>
      <c r="C187" s="303">
        <f>C178-C186</f>
        <v>-2000</v>
      </c>
      <c r="D187" s="9"/>
      <c r="E187" s="9"/>
      <c r="F187" s="9"/>
      <c r="G187" s="9"/>
      <c r="H187" s="252"/>
    </row>
    <row r="188" spans="1:9" x14ac:dyDescent="0.25">
      <c r="A188" s="9"/>
      <c r="B188" s="9"/>
      <c r="C188" s="72"/>
      <c r="D188" s="9"/>
      <c r="E188" s="9"/>
      <c r="F188" s="9" t="s">
        <v>355</v>
      </c>
      <c r="G188" s="9"/>
      <c r="H188" s="252">
        <f>H178-H186</f>
        <v>6800</v>
      </c>
    </row>
    <row r="189" spans="1:9" x14ac:dyDescent="0.25">
      <c r="A189" s="9"/>
      <c r="B189" s="9"/>
      <c r="C189" s="72"/>
      <c r="D189" s="9"/>
      <c r="E189" s="9"/>
      <c r="F189" s="9"/>
      <c r="G189" s="9"/>
      <c r="H189" s="72"/>
    </row>
    <row r="190" spans="1:9" x14ac:dyDescent="0.25">
      <c r="A190" s="9"/>
      <c r="B190" s="9"/>
      <c r="C190" s="9"/>
      <c r="D190" s="9"/>
      <c r="E190" s="9"/>
      <c r="F190" s="9"/>
      <c r="G190" s="9"/>
      <c r="H190" s="9"/>
    </row>
    <row r="191" spans="1:9" x14ac:dyDescent="0.25">
      <c r="A191" s="24"/>
      <c r="B191" s="79"/>
      <c r="C191" s="82" t="s">
        <v>88</v>
      </c>
      <c r="D191" s="80"/>
      <c r="E191" s="80"/>
      <c r="F191" s="79"/>
      <c r="G191" s="9"/>
      <c r="H191" s="9"/>
    </row>
    <row r="192" spans="1:9" x14ac:dyDescent="0.25">
      <c r="A192" s="4"/>
      <c r="B192" s="5"/>
      <c r="C192" s="6" t="s">
        <v>5</v>
      </c>
      <c r="D192" s="6"/>
      <c r="E192" s="5"/>
      <c r="F192" s="4"/>
      <c r="G192" s="9"/>
      <c r="H192" s="9"/>
    </row>
    <row r="193" spans="1:15" ht="23.25" x14ac:dyDescent="0.35">
      <c r="A193" s="4"/>
      <c r="B193" s="52"/>
      <c r="C193" s="9"/>
      <c r="D193" s="234" t="s">
        <v>278</v>
      </c>
      <c r="E193" s="234"/>
      <c r="F193" s="234"/>
      <c r="G193" s="234"/>
      <c r="H193" s="9"/>
    </row>
    <row r="194" spans="1:15" x14ac:dyDescent="0.25">
      <c r="A194" s="9"/>
      <c r="B194" s="9"/>
      <c r="C194" s="95"/>
      <c r="D194" s="95"/>
      <c r="E194" s="96" t="s">
        <v>561</v>
      </c>
      <c r="F194" s="95"/>
      <c r="G194" s="95"/>
      <c r="H194" s="9"/>
    </row>
    <row r="195" spans="1:15" x14ac:dyDescent="0.25">
      <c r="A195" s="12" t="s">
        <v>0</v>
      </c>
      <c r="B195" s="12" t="s">
        <v>32</v>
      </c>
      <c r="C195" s="12" t="s">
        <v>52</v>
      </c>
      <c r="D195" s="22" t="s">
        <v>55</v>
      </c>
      <c r="E195" s="21" t="s">
        <v>1</v>
      </c>
      <c r="F195" s="22" t="s">
        <v>10</v>
      </c>
      <c r="G195" s="21" t="s">
        <v>3</v>
      </c>
      <c r="H195" s="13" t="s">
        <v>13</v>
      </c>
    </row>
    <row r="196" spans="1:15" x14ac:dyDescent="0.25">
      <c r="A196" s="43"/>
      <c r="B196" s="120">
        <v>1</v>
      </c>
      <c r="C196" s="116"/>
      <c r="D196" s="43"/>
      <c r="E196" s="251">
        <v>3500</v>
      </c>
      <c r="F196" s="243">
        <f t="shared" ref="F196:F205" si="9">E196+D196</f>
        <v>3500</v>
      </c>
      <c r="G196" s="252">
        <v>3500</v>
      </c>
      <c r="H196" s="129">
        <f t="shared" ref="H196:H205" si="10">F196-G196</f>
        <v>0</v>
      </c>
      <c r="I196" t="s">
        <v>107</v>
      </c>
    </row>
    <row r="197" spans="1:15" x14ac:dyDescent="0.25">
      <c r="A197" s="88" t="s">
        <v>280</v>
      </c>
      <c r="B197" s="120">
        <v>2</v>
      </c>
      <c r="C197" s="117"/>
      <c r="D197" s="2"/>
      <c r="E197" s="242"/>
      <c r="F197" s="243">
        <f t="shared" si="9"/>
        <v>0</v>
      </c>
      <c r="G197" s="250"/>
      <c r="H197" s="245">
        <f t="shared" si="10"/>
        <v>0</v>
      </c>
    </row>
    <row r="198" spans="1:15" x14ac:dyDescent="0.25">
      <c r="A198" s="88" t="s">
        <v>21</v>
      </c>
      <c r="B198" s="120">
        <v>3</v>
      </c>
      <c r="C198" s="44"/>
      <c r="D198" s="43"/>
      <c r="E198" s="223"/>
      <c r="F198" s="47">
        <f t="shared" si="9"/>
        <v>0</v>
      </c>
      <c r="G198" s="56"/>
      <c r="H198" s="129">
        <f t="shared" si="10"/>
        <v>0</v>
      </c>
    </row>
    <row r="199" spans="1:15" x14ac:dyDescent="0.25">
      <c r="A199" s="88" t="s">
        <v>515</v>
      </c>
      <c r="B199" s="120">
        <v>4</v>
      </c>
      <c r="C199" s="44"/>
      <c r="D199" s="43"/>
      <c r="E199" s="242">
        <v>2000</v>
      </c>
      <c r="F199" s="243">
        <f t="shared" si="9"/>
        <v>2000</v>
      </c>
      <c r="G199" s="250">
        <v>2000</v>
      </c>
      <c r="H199" s="129">
        <f t="shared" si="10"/>
        <v>0</v>
      </c>
      <c r="I199" t="s">
        <v>107</v>
      </c>
    </row>
    <row r="200" spans="1:15" x14ac:dyDescent="0.25">
      <c r="A200" s="43" t="s">
        <v>21</v>
      </c>
      <c r="B200" s="120">
        <v>5</v>
      </c>
      <c r="C200" s="44"/>
      <c r="D200" s="44"/>
      <c r="E200" s="223">
        <v>0</v>
      </c>
      <c r="F200" s="47">
        <f t="shared" si="9"/>
        <v>0</v>
      </c>
      <c r="G200" s="46"/>
      <c r="H200" s="129">
        <f t="shared" si="10"/>
        <v>0</v>
      </c>
      <c r="L200">
        <v>29500</v>
      </c>
      <c r="M200">
        <v>3000</v>
      </c>
      <c r="N200">
        <f>L200+M200</f>
        <v>32500</v>
      </c>
    </row>
    <row r="201" spans="1:15" x14ac:dyDescent="0.25">
      <c r="A201" s="43" t="s">
        <v>284</v>
      </c>
      <c r="B201" s="120">
        <v>6</v>
      </c>
      <c r="C201" s="189"/>
      <c r="D201" s="44"/>
      <c r="E201" s="242">
        <v>3500</v>
      </c>
      <c r="F201" s="243">
        <f t="shared" si="9"/>
        <v>3500</v>
      </c>
      <c r="G201" s="244">
        <v>3000</v>
      </c>
      <c r="H201" s="245">
        <f t="shared" si="10"/>
        <v>500</v>
      </c>
      <c r="I201" t="s">
        <v>107</v>
      </c>
      <c r="O201">
        <v>31840</v>
      </c>
    </row>
    <row r="202" spans="1:15" x14ac:dyDescent="0.25">
      <c r="A202" s="45" t="s">
        <v>538</v>
      </c>
      <c r="B202" s="148">
        <v>7</v>
      </c>
      <c r="C202" s="9"/>
      <c r="D202" s="44"/>
      <c r="E202" s="258">
        <v>3500</v>
      </c>
      <c r="F202" s="43">
        <f t="shared" si="9"/>
        <v>3500</v>
      </c>
      <c r="G202" s="43">
        <v>3000</v>
      </c>
      <c r="H202" s="245">
        <f t="shared" si="10"/>
        <v>500</v>
      </c>
      <c r="O202">
        <f>N200-O201</f>
        <v>660</v>
      </c>
    </row>
    <row r="203" spans="1:15" x14ac:dyDescent="0.25">
      <c r="A203" s="43" t="s">
        <v>539</v>
      </c>
      <c r="B203" s="120">
        <v>8</v>
      </c>
      <c r="C203" s="44"/>
      <c r="D203" s="44"/>
      <c r="E203" s="248">
        <v>3500</v>
      </c>
      <c r="F203" s="247">
        <f t="shared" si="9"/>
        <v>3500</v>
      </c>
      <c r="G203" s="249">
        <v>3500</v>
      </c>
      <c r="H203" s="129">
        <f t="shared" si="10"/>
        <v>0</v>
      </c>
      <c r="I203" t="s">
        <v>107</v>
      </c>
    </row>
    <row r="204" spans="1:15" x14ac:dyDescent="0.25">
      <c r="A204" s="47" t="s">
        <v>21</v>
      </c>
      <c r="B204" s="120">
        <v>9</v>
      </c>
      <c r="C204" s="48"/>
      <c r="D204" s="46"/>
      <c r="E204" s="223">
        <v>0</v>
      </c>
      <c r="F204" s="105">
        <f t="shared" si="9"/>
        <v>0</v>
      </c>
      <c r="G204" s="46"/>
      <c r="H204" s="129">
        <f t="shared" si="10"/>
        <v>0</v>
      </c>
    </row>
    <row r="205" spans="1:15" x14ac:dyDescent="0.25">
      <c r="A205" s="44"/>
      <c r="B205" s="120">
        <v>10</v>
      </c>
      <c r="C205" s="44"/>
      <c r="D205" s="44"/>
      <c r="E205" s="225"/>
      <c r="F205" s="44">
        <f t="shared" si="9"/>
        <v>0</v>
      </c>
      <c r="G205" s="44"/>
      <c r="H205" s="129">
        <f t="shared" si="10"/>
        <v>0</v>
      </c>
    </row>
    <row r="206" spans="1:15" x14ac:dyDescent="0.25">
      <c r="A206" s="45" t="s">
        <v>137</v>
      </c>
      <c r="B206" s="9"/>
      <c r="C206" s="44"/>
      <c r="D206" s="44"/>
      <c r="E206" s="246">
        <f>SUM(E196:E205)</f>
        <v>16000</v>
      </c>
      <c r="F206" s="243"/>
      <c r="G206" s="247">
        <f>SUM(G196:G205)</f>
        <v>15000</v>
      </c>
      <c r="H206" s="245">
        <f>SUM(H196:H205)</f>
        <v>1000</v>
      </c>
    </row>
    <row r="207" spans="1:15" x14ac:dyDescent="0.25">
      <c r="A207" s="9"/>
      <c r="B207" s="9"/>
      <c r="C207" s="9"/>
      <c r="D207" s="9"/>
      <c r="E207" s="9"/>
      <c r="F207" s="9"/>
      <c r="G207" s="9"/>
      <c r="H207" s="9"/>
      <c r="J207" s="170"/>
    </row>
    <row r="208" spans="1:15" x14ac:dyDescent="0.25">
      <c r="A208" s="9"/>
      <c r="B208" s="100" t="s">
        <v>60</v>
      </c>
      <c r="C208" s="101"/>
      <c r="D208" s="253">
        <f>E206</f>
        <v>16000</v>
      </c>
      <c r="E208" s="102"/>
      <c r="F208" s="100" t="s">
        <v>60</v>
      </c>
      <c r="G208" s="101"/>
      <c r="H208" s="255">
        <f>G206</f>
        <v>15000</v>
      </c>
      <c r="J208" s="72"/>
    </row>
    <row r="209" spans="1:9" x14ac:dyDescent="0.25">
      <c r="A209" s="9"/>
      <c r="B209" s="9"/>
      <c r="C209" s="101"/>
      <c r="D209" s="128">
        <v>0.1</v>
      </c>
      <c r="E209" s="104"/>
      <c r="F209" s="9"/>
      <c r="G209" s="186">
        <v>0.1</v>
      </c>
      <c r="H209" s="256"/>
    </row>
    <row r="210" spans="1:9" x14ac:dyDescent="0.25">
      <c r="A210" s="9"/>
      <c r="B210" s="103" t="s">
        <v>347</v>
      </c>
      <c r="C210" s="101"/>
      <c r="D210" s="253">
        <f>D208*D209</f>
        <v>1600</v>
      </c>
      <c r="E210" s="72"/>
      <c r="F210" s="103" t="s">
        <v>343</v>
      </c>
      <c r="G210" s="101"/>
      <c r="H210" s="147"/>
    </row>
    <row r="211" spans="1:9" x14ac:dyDescent="0.25">
      <c r="A211" s="9"/>
      <c r="B211" s="103" t="s">
        <v>229</v>
      </c>
      <c r="C211" s="101"/>
      <c r="D211" s="97"/>
      <c r="E211" s="72"/>
      <c r="F211" s="103"/>
      <c r="G211" s="101"/>
      <c r="H211" s="147">
        <f>SUM(H208:H210)</f>
        <v>15000</v>
      </c>
    </row>
    <row r="212" spans="1:9" x14ac:dyDescent="0.25">
      <c r="A212" s="9"/>
      <c r="B212" s="67" t="s">
        <v>58</v>
      </c>
      <c r="C212" s="9"/>
      <c r="D212" s="9"/>
      <c r="E212" s="9"/>
      <c r="F212" s="9"/>
      <c r="G212" s="9"/>
      <c r="H212" s="147"/>
    </row>
    <row r="213" spans="1:9" x14ac:dyDescent="0.25">
      <c r="A213" s="9"/>
      <c r="B213" s="9"/>
      <c r="C213" s="9"/>
      <c r="D213" s="9"/>
      <c r="E213" s="9"/>
      <c r="F213" s="67" t="s">
        <v>58</v>
      </c>
      <c r="G213" s="9"/>
      <c r="H213" s="147"/>
    </row>
    <row r="214" spans="1:9" x14ac:dyDescent="0.25">
      <c r="A214" s="9"/>
      <c r="B214" s="103" t="s">
        <v>196</v>
      </c>
      <c r="C214" s="9"/>
      <c r="D214" s="252">
        <f>D208*D209</f>
        <v>1600</v>
      </c>
      <c r="E214" s="104">
        <f>E208*D209</f>
        <v>0</v>
      </c>
      <c r="F214" s="9" t="s">
        <v>68</v>
      </c>
      <c r="G214" s="9"/>
      <c r="H214" s="256">
        <f>D210</f>
        <v>1600</v>
      </c>
    </row>
    <row r="215" spans="1:9" x14ac:dyDescent="0.25">
      <c r="A215" s="9"/>
      <c r="B215" s="136"/>
      <c r="C215" s="17"/>
      <c r="D215" s="254">
        <v>12000</v>
      </c>
      <c r="E215" s="34"/>
      <c r="F215" s="136" t="s">
        <v>378</v>
      </c>
      <c r="G215" s="17"/>
      <c r="H215" s="257">
        <f>G196+G199+G201+G203</f>
        <v>12000</v>
      </c>
    </row>
    <row r="216" spans="1:9" s="9" customFormat="1" x14ac:dyDescent="0.25">
      <c r="B216" s="136"/>
      <c r="C216" s="17"/>
      <c r="D216" s="254">
        <v>1050</v>
      </c>
      <c r="E216" s="34"/>
      <c r="F216" s="136">
        <v>43119</v>
      </c>
      <c r="G216" s="17"/>
      <c r="H216" s="257">
        <v>1050</v>
      </c>
      <c r="I216" s="147">
        <f>H215+H216</f>
        <v>13050</v>
      </c>
    </row>
    <row r="217" spans="1:9" x14ac:dyDescent="0.25">
      <c r="A217" s="9"/>
      <c r="B217" s="9" t="s">
        <v>2</v>
      </c>
      <c r="C217" s="9"/>
      <c r="D217" s="252">
        <f>SUM(D214:D216)</f>
        <v>14650</v>
      </c>
      <c r="E217" s="9"/>
      <c r="F217" s="9" t="s">
        <v>2</v>
      </c>
      <c r="G217" s="9"/>
      <c r="H217" s="147">
        <f>SUM(H214:H216)</f>
        <v>14650</v>
      </c>
    </row>
    <row r="218" spans="1:9" x14ac:dyDescent="0.25">
      <c r="A218" s="9"/>
      <c r="B218" s="9"/>
      <c r="C218" s="9"/>
      <c r="D218" s="252"/>
      <c r="E218" s="9"/>
      <c r="F218" s="9"/>
      <c r="G218" s="9"/>
      <c r="H218" s="72"/>
    </row>
    <row r="219" spans="1:9" x14ac:dyDescent="0.25">
      <c r="A219" s="9"/>
      <c r="B219" s="36" t="s">
        <v>355</v>
      </c>
      <c r="C219" s="9"/>
      <c r="D219" s="252">
        <f>D208-D217</f>
        <v>1350</v>
      </c>
      <c r="E219" s="72"/>
      <c r="F219" s="36" t="s">
        <v>355</v>
      </c>
      <c r="G219" s="9"/>
      <c r="H219" s="72">
        <f>H211-H217</f>
        <v>350</v>
      </c>
    </row>
    <row r="220" spans="1:9" x14ac:dyDescent="0.25">
      <c r="A220" s="9"/>
      <c r="B220" s="36"/>
      <c r="C220" s="9"/>
      <c r="D220" s="9"/>
      <c r="E220" s="72"/>
      <c r="F220" s="36"/>
      <c r="G220" s="9"/>
      <c r="H220" s="72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A103" workbookViewId="0">
      <selection activeCell="G19" sqref="G19"/>
    </sheetView>
  </sheetViews>
  <sheetFormatPr defaultRowHeight="15" x14ac:dyDescent="0.25"/>
  <cols>
    <col min="1" max="1" width="15.85546875" customWidth="1"/>
    <col min="3" max="4" width="10.5703125" customWidth="1"/>
    <col min="5" max="5" width="10.7109375" customWidth="1"/>
    <col min="6" max="6" width="11" customWidth="1"/>
    <col min="7" max="7" width="12" customWidth="1"/>
    <col min="8" max="8" width="10.42578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563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575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110</v>
      </c>
      <c r="B8" s="3">
        <v>1</v>
      </c>
      <c r="C8" s="44"/>
      <c r="D8" s="2">
        <v>7500</v>
      </c>
      <c r="E8" s="244">
        <v>2000</v>
      </c>
      <c r="F8" s="244">
        <f>D8+E8</f>
        <v>9500</v>
      </c>
      <c r="G8" s="244">
        <v>2000</v>
      </c>
      <c r="H8" s="249">
        <f>F8-G8</f>
        <v>7500</v>
      </c>
      <c r="I8" s="9"/>
    </row>
    <row r="9" spans="1:9" x14ac:dyDescent="0.25">
      <c r="A9" s="43" t="s">
        <v>525</v>
      </c>
      <c r="B9" s="3">
        <v>2</v>
      </c>
      <c r="C9" s="44"/>
      <c r="D9" s="44">
        <v>2000</v>
      </c>
      <c r="E9" s="244">
        <v>2000</v>
      </c>
      <c r="F9" s="244">
        <f t="shared" ref="F9:F19" si="0">D9+E9</f>
        <v>4000</v>
      </c>
      <c r="G9" s="244">
        <v>3500</v>
      </c>
      <c r="H9" s="249">
        <f t="shared" ref="H9:H19" si="1">F9-G9</f>
        <v>500</v>
      </c>
      <c r="I9" s="9"/>
    </row>
    <row r="10" spans="1:9" x14ac:dyDescent="0.25">
      <c r="A10" s="43" t="s">
        <v>21</v>
      </c>
      <c r="B10" s="3"/>
      <c r="C10" s="43"/>
      <c r="D10" s="43"/>
      <c r="E10" s="243"/>
      <c r="F10" s="244"/>
      <c r="G10" s="244"/>
      <c r="H10" s="249"/>
      <c r="I10" s="9"/>
    </row>
    <row r="11" spans="1:9" x14ac:dyDescent="0.25">
      <c r="A11" s="43" t="s">
        <v>21</v>
      </c>
      <c r="B11" s="3">
        <v>4</v>
      </c>
      <c r="C11" s="44"/>
      <c r="D11" s="2"/>
      <c r="E11" s="244"/>
      <c r="F11" s="244">
        <f t="shared" si="0"/>
        <v>0</v>
      </c>
      <c r="G11" s="244"/>
      <c r="H11" s="249">
        <f t="shared" si="1"/>
        <v>0</v>
      </c>
      <c r="I11" s="9"/>
    </row>
    <row r="12" spans="1:9" x14ac:dyDescent="0.25">
      <c r="A12" s="45" t="s">
        <v>366</v>
      </c>
      <c r="B12" s="3">
        <v>5</v>
      </c>
      <c r="C12" s="44"/>
      <c r="D12" s="43">
        <v>10300</v>
      </c>
      <c r="E12" s="244">
        <v>2000</v>
      </c>
      <c r="F12" s="244">
        <f t="shared" si="0"/>
        <v>12300</v>
      </c>
      <c r="G12" s="244">
        <v>2000</v>
      </c>
      <c r="H12" s="249">
        <f t="shared" si="1"/>
        <v>10300</v>
      </c>
      <c r="I12" s="9"/>
    </row>
    <row r="13" spans="1:9" x14ac:dyDescent="0.25">
      <c r="A13" s="43" t="s">
        <v>551</v>
      </c>
      <c r="B13" s="3">
        <v>6</v>
      </c>
      <c r="C13" s="44"/>
      <c r="D13" s="43">
        <v>2000</v>
      </c>
      <c r="E13" s="244">
        <v>2000</v>
      </c>
      <c r="F13" s="244">
        <f t="shared" si="0"/>
        <v>4000</v>
      </c>
      <c r="G13" s="244">
        <v>1500</v>
      </c>
      <c r="H13" s="249">
        <f t="shared" si="1"/>
        <v>2500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244"/>
      <c r="F14" s="244"/>
      <c r="G14" s="244"/>
      <c r="H14" s="249"/>
      <c r="I14" s="9"/>
    </row>
    <row r="15" spans="1:9" x14ac:dyDescent="0.25">
      <c r="A15" s="45" t="s">
        <v>21</v>
      </c>
      <c r="B15" s="57">
        <v>8</v>
      </c>
      <c r="C15" s="58"/>
      <c r="D15" s="58"/>
      <c r="E15" s="282"/>
      <c r="F15" s="244"/>
      <c r="G15" s="282"/>
      <c r="H15" s="293"/>
      <c r="I15" s="9"/>
    </row>
    <row r="16" spans="1:9" x14ac:dyDescent="0.25">
      <c r="A16" s="44" t="s">
        <v>21</v>
      </c>
      <c r="B16" s="3">
        <v>9</v>
      </c>
      <c r="C16" s="44"/>
      <c r="D16" s="44"/>
      <c r="E16" s="247"/>
      <c r="F16" s="244">
        <f t="shared" si="0"/>
        <v>0</v>
      </c>
      <c r="G16" s="247"/>
      <c r="H16" s="247"/>
      <c r="I16" s="9"/>
    </row>
    <row r="17" spans="1:9" x14ac:dyDescent="0.25">
      <c r="A17" s="88" t="s">
        <v>526</v>
      </c>
      <c r="B17" s="3">
        <v>10</v>
      </c>
      <c r="C17" s="44"/>
      <c r="D17" s="2">
        <v>2500</v>
      </c>
      <c r="E17" s="244">
        <v>2000</v>
      </c>
      <c r="F17" s="244">
        <f t="shared" si="0"/>
        <v>4500</v>
      </c>
      <c r="G17" s="244">
        <v>2000</v>
      </c>
      <c r="H17" s="249">
        <f>F17-G17</f>
        <v>2500</v>
      </c>
      <c r="I17" s="9"/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244">
        <v>2000</v>
      </c>
      <c r="F18" s="244">
        <f t="shared" si="0"/>
        <v>8200</v>
      </c>
      <c r="G18" s="244">
        <v>2000</v>
      </c>
      <c r="H18" s="249">
        <f t="shared" si="1"/>
        <v>6200</v>
      </c>
      <c r="I18" s="9"/>
    </row>
    <row r="19" spans="1:9" x14ac:dyDescent="0.25">
      <c r="A19" s="43" t="s">
        <v>37</v>
      </c>
      <c r="B19" s="185">
        <v>12</v>
      </c>
      <c r="C19" s="44"/>
      <c r="D19" s="44">
        <v>10000</v>
      </c>
      <c r="E19" s="265">
        <v>2000</v>
      </c>
      <c r="F19" s="244">
        <f t="shared" si="0"/>
        <v>12000</v>
      </c>
      <c r="G19" s="244">
        <v>4000</v>
      </c>
      <c r="H19" s="249">
        <f t="shared" si="1"/>
        <v>8000</v>
      </c>
      <c r="I19" s="9"/>
    </row>
    <row r="20" spans="1:9" x14ac:dyDescent="0.25">
      <c r="A20" s="47"/>
      <c r="B20" s="16"/>
      <c r="C20" s="48"/>
      <c r="D20" s="46">
        <f>SUM(D8:D19)</f>
        <v>40500</v>
      </c>
      <c r="E20" s="244">
        <f>SUM(E8:E19)</f>
        <v>14000</v>
      </c>
      <c r="F20" s="244">
        <f>D20+E20</f>
        <v>54500</v>
      </c>
      <c r="G20" s="244">
        <f>SUM(G8:G19)</f>
        <v>17000</v>
      </c>
      <c r="H20" s="249">
        <f>SUM(H8:H19)</f>
        <v>37500</v>
      </c>
      <c r="I20" s="9"/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283"/>
      <c r="H21" s="195"/>
      <c r="I21" s="9"/>
    </row>
    <row r="22" spans="1:9" x14ac:dyDescent="0.25">
      <c r="A22" s="344" t="s">
        <v>60</v>
      </c>
      <c r="B22" s="345"/>
      <c r="C22" s="44"/>
      <c r="D22" s="325">
        <f>SUM(E20)</f>
        <v>14000</v>
      </c>
      <c r="E22" s="44" t="s">
        <v>342</v>
      </c>
      <c r="F22" s="44"/>
      <c r="G22" s="247">
        <f>G20</f>
        <v>17000</v>
      </c>
      <c r="H22" s="9"/>
      <c r="I22" s="9"/>
    </row>
    <row r="23" spans="1:9" ht="15.75" x14ac:dyDescent="0.25">
      <c r="A23" s="239" t="s">
        <v>347</v>
      </c>
      <c r="B23" s="345"/>
      <c r="C23" s="44"/>
      <c r="D23" s="328">
        <f>'JAN 18'!D31</f>
        <v>-2400</v>
      </c>
      <c r="E23" s="44"/>
      <c r="F23" s="126" t="s">
        <v>347</v>
      </c>
      <c r="G23" s="44">
        <f>'JAN 18'!G31</f>
        <v>-30200</v>
      </c>
      <c r="H23" s="9"/>
      <c r="I23" s="9"/>
    </row>
    <row r="24" spans="1:9" x14ac:dyDescent="0.25">
      <c r="A24" s="239"/>
      <c r="B24" s="345"/>
      <c r="C24" s="44"/>
      <c r="D24" s="328">
        <f>D22+D23</f>
        <v>11600</v>
      </c>
      <c r="E24" s="49"/>
      <c r="F24" s="49" t="s">
        <v>63</v>
      </c>
      <c r="G24" s="247">
        <f>SUM(G22:G23)</f>
        <v>-13200</v>
      </c>
      <c r="H24" s="9"/>
      <c r="I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  <c r="I25" s="9"/>
    </row>
    <row r="26" spans="1:9" x14ac:dyDescent="0.25">
      <c r="A26" s="344" t="s">
        <v>22</v>
      </c>
      <c r="B26" s="345"/>
      <c r="C26" s="44"/>
      <c r="D26" s="312">
        <f>SUM(D22*10%)</f>
        <v>1400</v>
      </c>
      <c r="E26" s="44" t="s">
        <v>613</v>
      </c>
      <c r="F26" s="344" t="s">
        <v>22</v>
      </c>
      <c r="G26" s="105">
        <f>D26</f>
        <v>1400</v>
      </c>
      <c r="H26" s="9"/>
      <c r="I26" s="9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  <c r="I27" s="9"/>
    </row>
    <row r="28" spans="1:9" x14ac:dyDescent="0.25">
      <c r="A28" s="348">
        <v>43143</v>
      </c>
      <c r="B28" s="44"/>
      <c r="C28" s="44"/>
      <c r="D28" s="105">
        <v>7600</v>
      </c>
      <c r="E28" s="348">
        <v>43143</v>
      </c>
      <c r="F28" s="44"/>
      <c r="G28" s="105">
        <v>7600</v>
      </c>
      <c r="I28" s="9"/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  <c r="I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44"/>
      <c r="G30" s="105">
        <f>SUM(G26:G29)</f>
        <v>13000</v>
      </c>
      <c r="I30" s="9"/>
    </row>
    <row r="31" spans="1:9" x14ac:dyDescent="0.25">
      <c r="A31" s="349" t="s">
        <v>165</v>
      </c>
      <c r="B31" s="44"/>
      <c r="C31" s="44"/>
      <c r="D31" s="105">
        <f>D24-D30</f>
        <v>-1400</v>
      </c>
      <c r="E31" s="44" t="s">
        <v>165</v>
      </c>
      <c r="F31" s="44"/>
      <c r="G31" s="105">
        <f>G24-G30</f>
        <v>-26200</v>
      </c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72"/>
      <c r="H32" s="9"/>
      <c r="I32" s="9"/>
    </row>
    <row r="33" spans="1:9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  <c r="I33" s="9"/>
    </row>
    <row r="34" spans="1:9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  <c r="I34" s="9"/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  <c r="I41" s="9"/>
    </row>
    <row r="42" spans="1:9" x14ac:dyDescent="0.25">
      <c r="A42" s="5"/>
      <c r="B42" s="19"/>
      <c r="C42" s="81" t="s">
        <v>87</v>
      </c>
      <c r="D42" s="81"/>
      <c r="E42" s="19"/>
      <c r="F42" s="19"/>
      <c r="G42" s="9"/>
      <c r="H42" s="9"/>
      <c r="I42" s="9"/>
    </row>
    <row r="43" spans="1:9" x14ac:dyDescent="0.25">
      <c r="A43" s="24"/>
      <c r="B43" s="79"/>
      <c r="C43" s="82" t="s">
        <v>88</v>
      </c>
      <c r="D43" s="80"/>
      <c r="E43" s="80"/>
      <c r="F43" s="79"/>
      <c r="G43" s="9"/>
      <c r="H43" s="9"/>
      <c r="I43" s="9"/>
    </row>
    <row r="44" spans="1:9" x14ac:dyDescent="0.25">
      <c r="A44" s="4"/>
      <c r="B44" s="5"/>
      <c r="C44" s="6" t="s">
        <v>5</v>
      </c>
      <c r="D44" s="6"/>
      <c r="E44" s="5"/>
      <c r="F44" s="4"/>
      <c r="G44" s="9"/>
      <c r="H44" s="9"/>
      <c r="I44" s="9"/>
    </row>
    <row r="45" spans="1:9" ht="23.25" x14ac:dyDescent="0.35">
      <c r="A45" s="4"/>
      <c r="B45" s="9"/>
      <c r="C45" s="260" t="s">
        <v>97</v>
      </c>
      <c r="D45" s="260"/>
      <c r="E45" s="260"/>
      <c r="F45" s="260"/>
      <c r="G45" s="260"/>
      <c r="H45" s="9"/>
      <c r="I45" s="9"/>
    </row>
    <row r="46" spans="1:9" x14ac:dyDescent="0.25">
      <c r="A46" s="9"/>
      <c r="B46" s="95"/>
      <c r="C46" s="9"/>
      <c r="D46" s="96" t="s">
        <v>575</v>
      </c>
      <c r="E46" s="9"/>
      <c r="F46" s="95"/>
      <c r="G46" s="95"/>
      <c r="H46" s="9"/>
      <c r="I46" s="9"/>
    </row>
    <row r="47" spans="1:9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  <c r="I47" s="9"/>
    </row>
    <row r="48" spans="1:9" x14ac:dyDescent="0.25">
      <c r="A48" s="43"/>
      <c r="B48" s="10"/>
      <c r="C48" s="43"/>
      <c r="D48" s="43"/>
      <c r="E48" s="47"/>
      <c r="F48" s="47"/>
      <c r="G48" s="47"/>
      <c r="H48" s="43"/>
      <c r="I48" s="9"/>
    </row>
    <row r="49" spans="1:9" x14ac:dyDescent="0.25">
      <c r="A49" s="88" t="s">
        <v>520</v>
      </c>
      <c r="B49" s="3"/>
      <c r="C49" s="44"/>
      <c r="D49" s="2"/>
      <c r="E49" s="244">
        <v>5000</v>
      </c>
      <c r="F49" s="244">
        <f>D49+E49</f>
        <v>5000</v>
      </c>
      <c r="G49" s="250"/>
      <c r="H49" s="105">
        <f>F49-G49</f>
        <v>5000</v>
      </c>
      <c r="I49" s="9"/>
    </row>
    <row r="50" spans="1:9" x14ac:dyDescent="0.25">
      <c r="A50" s="88" t="s">
        <v>521</v>
      </c>
      <c r="B50" s="45" t="s">
        <v>101</v>
      </c>
      <c r="C50" s="44"/>
      <c r="D50" s="43"/>
      <c r="E50" s="244"/>
      <c r="F50" s="244"/>
      <c r="G50" s="250"/>
      <c r="H50" s="105"/>
      <c r="I50" s="9"/>
    </row>
    <row r="51" spans="1:9" x14ac:dyDescent="0.25">
      <c r="A51" s="88" t="s">
        <v>521</v>
      </c>
      <c r="B51" s="43" t="s">
        <v>102</v>
      </c>
      <c r="C51" s="44"/>
      <c r="D51" s="43"/>
      <c r="E51" s="244"/>
      <c r="F51" s="244">
        <f t="shared" ref="F51:F60" si="2">D51+E51</f>
        <v>0</v>
      </c>
      <c r="G51" s="250"/>
      <c r="H51" s="105">
        <f t="shared" ref="H51:H60" si="3">F51-G51</f>
        <v>0</v>
      </c>
      <c r="I51" s="9"/>
    </row>
    <row r="52" spans="1:9" x14ac:dyDescent="0.25">
      <c r="A52" s="43" t="s">
        <v>521</v>
      </c>
      <c r="B52" s="3"/>
      <c r="C52" s="44"/>
      <c r="D52" s="44"/>
      <c r="E52" s="244"/>
      <c r="F52" s="244"/>
      <c r="G52" s="250"/>
      <c r="H52" s="247">
        <f>F52-G52</f>
        <v>0</v>
      </c>
      <c r="I52" s="9"/>
    </row>
    <row r="53" spans="1:9" x14ac:dyDescent="0.25">
      <c r="A53" s="43" t="s">
        <v>521</v>
      </c>
      <c r="B53" s="3"/>
      <c r="C53" s="44"/>
      <c r="D53" s="44"/>
      <c r="E53" s="244"/>
      <c r="F53" s="244"/>
      <c r="G53" s="250"/>
      <c r="H53" s="247">
        <f t="shared" si="3"/>
        <v>0</v>
      </c>
      <c r="I53" s="9"/>
    </row>
    <row r="54" spans="1:9" x14ac:dyDescent="0.25">
      <c r="A54" s="43" t="s">
        <v>523</v>
      </c>
      <c r="B54" s="3"/>
      <c r="C54" s="44"/>
      <c r="D54" s="44">
        <v>8100</v>
      </c>
      <c r="E54" s="265">
        <v>3000</v>
      </c>
      <c r="F54" s="244">
        <f t="shared" si="2"/>
        <v>11100</v>
      </c>
      <c r="G54" s="266">
        <v>4100</v>
      </c>
      <c r="H54" s="247">
        <f t="shared" si="3"/>
        <v>7000</v>
      </c>
      <c r="I54" s="9"/>
    </row>
    <row r="55" spans="1:9" x14ac:dyDescent="0.25">
      <c r="A55" s="47" t="s">
        <v>521</v>
      </c>
      <c r="B55" s="16"/>
      <c r="C55" s="48"/>
      <c r="D55" s="46"/>
      <c r="E55" s="244"/>
      <c r="F55" s="244"/>
      <c r="G55" s="250"/>
      <c r="H55" s="247">
        <f t="shared" si="3"/>
        <v>0</v>
      </c>
      <c r="I55" s="9"/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  <c r="I56" s="9"/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  <c r="I57" s="9"/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  <c r="I58" s="9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  <c r="I59" s="9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  <c r="I60" s="9"/>
    </row>
    <row r="61" spans="1:9" x14ac:dyDescent="0.25">
      <c r="A61" s="44"/>
      <c r="B61" s="44"/>
      <c r="C61" s="44"/>
      <c r="D61" s="44">
        <f>SUM(D48:D60)</f>
        <v>8100</v>
      </c>
      <c r="E61" s="247">
        <f>SUM(E48:E60)</f>
        <v>8000</v>
      </c>
      <c r="F61" s="247">
        <f>SUM(F49:F60)</f>
        <v>16100</v>
      </c>
      <c r="G61" s="247">
        <f>SUM(G48:G60)</f>
        <v>4100</v>
      </c>
      <c r="H61" s="247">
        <f>SUM(H49:H60)</f>
        <v>12000</v>
      </c>
      <c r="I61" s="9"/>
    </row>
    <row r="62" spans="1:9" x14ac:dyDescent="0.25">
      <c r="A62" s="100"/>
      <c r="B62" s="101"/>
      <c r="C62" s="97"/>
      <c r="D62" s="102"/>
      <c r="E62" s="100" t="s">
        <v>60</v>
      </c>
      <c r="F62" s="101"/>
      <c r="G62" s="97"/>
      <c r="H62" s="102">
        <f>G61</f>
        <v>4100</v>
      </c>
      <c r="I62" s="9"/>
    </row>
    <row r="63" spans="1:9" x14ac:dyDescent="0.25">
      <c r="A63" s="103"/>
      <c r="B63" s="101"/>
      <c r="C63" s="97"/>
      <c r="D63" s="104"/>
      <c r="E63" s="103" t="s">
        <v>347</v>
      </c>
      <c r="F63" s="101"/>
      <c r="G63" s="97"/>
      <c r="H63" s="104"/>
      <c r="I63" s="9"/>
    </row>
    <row r="64" spans="1:9" x14ac:dyDescent="0.25">
      <c r="A64" s="103"/>
      <c r="B64" s="101"/>
      <c r="C64" s="97"/>
      <c r="D64" s="104"/>
      <c r="E64" s="103"/>
      <c r="F64" s="101"/>
      <c r="G64" s="97"/>
      <c r="H64" s="104">
        <f>SUM(H62:H63)</f>
        <v>4100</v>
      </c>
      <c r="I64" s="9"/>
    </row>
    <row r="65" spans="1:9" x14ac:dyDescent="0.25">
      <c r="A65" s="67"/>
      <c r="B65" s="9"/>
      <c r="C65" s="9"/>
      <c r="D65" s="9"/>
      <c r="E65" s="67" t="s">
        <v>58</v>
      </c>
      <c r="F65" s="9"/>
      <c r="G65" s="9"/>
      <c r="H65" s="9"/>
      <c r="I65" s="9"/>
    </row>
    <row r="66" spans="1:9" x14ac:dyDescent="0.25">
      <c r="A66" s="36"/>
      <c r="B66" s="146"/>
      <c r="C66" s="9"/>
      <c r="D66" s="34"/>
      <c r="E66" s="36" t="s">
        <v>22</v>
      </c>
      <c r="F66" s="146">
        <v>0.1</v>
      </c>
      <c r="G66" s="9"/>
      <c r="H66" s="34">
        <f>F66*H62</f>
        <v>410</v>
      </c>
      <c r="I66" s="9"/>
    </row>
    <row r="67" spans="1:9" x14ac:dyDescent="0.25">
      <c r="A67" s="136"/>
      <c r="B67" s="9"/>
      <c r="C67" s="9"/>
      <c r="D67" s="72"/>
      <c r="E67" s="136"/>
      <c r="F67" s="93">
        <v>43146</v>
      </c>
      <c r="G67" s="9"/>
      <c r="H67" s="72">
        <v>2790</v>
      </c>
      <c r="I67" s="9"/>
    </row>
    <row r="68" spans="1:9" x14ac:dyDescent="0.25">
      <c r="A68" s="9"/>
      <c r="B68" s="9"/>
      <c r="C68" s="9"/>
      <c r="D68" s="9"/>
      <c r="E68" s="93"/>
      <c r="F68" s="93">
        <v>43161</v>
      </c>
      <c r="G68" s="9"/>
      <c r="H68" s="9">
        <v>900</v>
      </c>
      <c r="I68" s="9"/>
    </row>
    <row r="69" spans="1:9" x14ac:dyDescent="0.25">
      <c r="A69" s="36"/>
      <c r="B69" s="9"/>
      <c r="C69" s="9"/>
      <c r="D69" s="72"/>
      <c r="E69" s="136"/>
      <c r="F69" s="9"/>
      <c r="G69" s="9"/>
      <c r="H69" s="72"/>
      <c r="I69" s="9"/>
    </row>
    <row r="70" spans="1:9" ht="15.75" x14ac:dyDescent="0.25">
      <c r="A70" s="36"/>
      <c r="B70" s="9"/>
      <c r="C70" s="9"/>
      <c r="D70" s="72"/>
      <c r="E70" s="289" t="s">
        <v>2</v>
      </c>
      <c r="F70" s="9"/>
      <c r="G70" s="9"/>
      <c r="H70" s="72">
        <f>SUM(H66:H69)</f>
        <v>4100</v>
      </c>
      <c r="I70" s="9"/>
    </row>
    <row r="71" spans="1:9" x14ac:dyDescent="0.25">
      <c r="A71" s="36"/>
      <c r="B71" s="9"/>
      <c r="C71" s="9"/>
      <c r="D71" s="135"/>
      <c r="E71" s="9"/>
      <c r="F71" s="9"/>
      <c r="G71" s="9"/>
      <c r="H71" s="72">
        <f>H64-H70</f>
        <v>0</v>
      </c>
      <c r="I71" s="9"/>
    </row>
    <row r="72" spans="1:9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9" x14ac:dyDescent="0.25">
      <c r="A73" s="36"/>
      <c r="B73" s="9"/>
      <c r="C73" s="9"/>
      <c r="D73" s="72"/>
      <c r="E73" s="9"/>
      <c r="F73" s="9"/>
      <c r="G73" s="9"/>
      <c r="H73" s="9"/>
      <c r="I73" s="9"/>
    </row>
    <row r="74" spans="1:9" x14ac:dyDescent="0.25">
      <c r="A74" s="9"/>
      <c r="B74" s="9"/>
      <c r="C74" s="9"/>
      <c r="D74" s="9"/>
      <c r="E74" s="9"/>
      <c r="F74" s="9"/>
      <c r="G74" s="9"/>
      <c r="H74" s="72"/>
      <c r="I74" s="9"/>
    </row>
    <row r="75" spans="1:9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  <c r="I75" s="9"/>
    </row>
    <row r="76" spans="1:9" x14ac:dyDescent="0.25">
      <c r="A76" s="5"/>
      <c r="B76" s="19"/>
      <c r="C76" s="81" t="s">
        <v>87</v>
      </c>
      <c r="D76" s="81"/>
      <c r="E76" s="19"/>
      <c r="F76" s="19"/>
      <c r="G76" s="9"/>
      <c r="H76" s="9"/>
      <c r="I76" s="9"/>
    </row>
    <row r="77" spans="1:9" x14ac:dyDescent="0.25">
      <c r="A77" s="24"/>
      <c r="B77" s="79"/>
      <c r="C77" s="82" t="s">
        <v>88</v>
      </c>
      <c r="D77" s="80"/>
      <c r="E77" s="80"/>
      <c r="F77" s="79"/>
      <c r="G77" s="9"/>
      <c r="H77" s="9"/>
      <c r="I77" s="9"/>
    </row>
    <row r="78" spans="1:9" x14ac:dyDescent="0.25">
      <c r="A78" s="4"/>
      <c r="B78" s="5"/>
      <c r="C78" s="6" t="s">
        <v>5</v>
      </c>
      <c r="D78" s="6"/>
      <c r="E78" s="5"/>
      <c r="F78" s="4"/>
      <c r="G78" s="9"/>
      <c r="H78" s="9"/>
      <c r="I78" s="9"/>
    </row>
    <row r="79" spans="1:9" ht="15.75" x14ac:dyDescent="0.25">
      <c r="A79" s="9"/>
      <c r="B79" s="4"/>
      <c r="C79" s="52"/>
      <c r="D79" s="7" t="s">
        <v>171</v>
      </c>
      <c r="E79" s="4"/>
      <c r="F79" s="4"/>
      <c r="G79" s="5"/>
      <c r="H79" s="9"/>
      <c r="I79" s="9"/>
    </row>
    <row r="80" spans="1:9" x14ac:dyDescent="0.25">
      <c r="A80" s="9"/>
      <c r="B80" s="95"/>
      <c r="C80" s="95"/>
      <c r="D80" s="96" t="s">
        <v>575</v>
      </c>
      <c r="E80" s="95"/>
      <c r="F80" s="95"/>
      <c r="G80" s="95"/>
      <c r="H80" s="9"/>
      <c r="I80" s="9"/>
    </row>
    <row r="81" spans="1:9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  <c r="I81" s="9"/>
    </row>
    <row r="82" spans="1:9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  <c r="I82" s="9"/>
    </row>
    <row r="83" spans="1:9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  <c r="I83" s="9"/>
    </row>
    <row r="84" spans="1:9" x14ac:dyDescent="0.25">
      <c r="A84" s="43"/>
      <c r="B84" s="69"/>
      <c r="C84" s="217"/>
      <c r="D84" s="47"/>
      <c r="E84" s="105"/>
      <c r="F84" s="44"/>
      <c r="G84" s="107"/>
      <c r="H84" s="44"/>
      <c r="I84" s="9"/>
    </row>
    <row r="85" spans="1:9" x14ac:dyDescent="0.25">
      <c r="A85" s="43"/>
      <c r="B85" s="3"/>
      <c r="C85" s="218"/>
      <c r="D85" s="46"/>
      <c r="E85" s="105"/>
      <c r="F85" s="44"/>
      <c r="G85" s="107"/>
      <c r="H85" s="44"/>
      <c r="I85" s="9"/>
    </row>
    <row r="86" spans="1:9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  <c r="I86" s="9"/>
    </row>
    <row r="87" spans="1:9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  <c r="I87" s="9"/>
    </row>
    <row r="88" spans="1:9" x14ac:dyDescent="0.25">
      <c r="A88" s="43"/>
      <c r="B88" s="3"/>
      <c r="C88" s="44"/>
      <c r="D88" s="46"/>
      <c r="E88" s="44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  <c r="I90" s="9"/>
    </row>
    <row r="91" spans="1:9" x14ac:dyDescent="0.25">
      <c r="A91" s="103"/>
      <c r="B91" s="101"/>
      <c r="C91" s="97"/>
      <c r="D91" s="104"/>
      <c r="E91" s="51"/>
      <c r="F91" s="9" t="s">
        <v>347</v>
      </c>
      <c r="G91" s="133">
        <f>'JAN 18'!G98</f>
        <v>-3000</v>
      </c>
      <c r="H91" s="9"/>
      <c r="I91" s="9"/>
    </row>
    <row r="92" spans="1:9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500</v>
      </c>
      <c r="H92" s="9"/>
      <c r="I92" s="9"/>
    </row>
    <row r="93" spans="1:9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  <c r="I93" s="9"/>
    </row>
    <row r="94" spans="1:9" x14ac:dyDescent="0.25">
      <c r="A94" s="36"/>
      <c r="B94" s="9"/>
      <c r="C94" s="9"/>
      <c r="D94" s="133"/>
      <c r="E94" s="9"/>
      <c r="F94" s="9" t="s">
        <v>227</v>
      </c>
      <c r="G94" s="133"/>
      <c r="H94" s="9"/>
      <c r="I94" s="9"/>
    </row>
    <row r="95" spans="1:9" x14ac:dyDescent="0.25">
      <c r="A95" s="9" t="s">
        <v>531</v>
      </c>
      <c r="B95" s="9"/>
      <c r="C95" s="9"/>
      <c r="D95" s="72">
        <v>4000</v>
      </c>
      <c r="E95" s="72"/>
      <c r="F95" s="83">
        <v>0.1</v>
      </c>
      <c r="G95" s="72">
        <f>F95*D90</f>
        <v>700</v>
      </c>
      <c r="H95" s="9"/>
      <c r="I95" s="9"/>
    </row>
    <row r="96" spans="1:9" x14ac:dyDescent="0.25">
      <c r="A96" s="122"/>
      <c r="B96" s="97"/>
      <c r="C96" s="97"/>
      <c r="D96" s="121"/>
      <c r="E96" s="9"/>
      <c r="F96" s="93">
        <v>43140</v>
      </c>
      <c r="G96" s="133">
        <v>3150</v>
      </c>
      <c r="H96" s="9"/>
      <c r="I96" s="9"/>
    </row>
    <row r="97" spans="1:9" x14ac:dyDescent="0.25">
      <c r="A97" s="9" t="s">
        <v>355</v>
      </c>
      <c r="B97" s="9"/>
      <c r="C97" s="9"/>
      <c r="D97" s="72">
        <f>D90-D96</f>
        <v>7000</v>
      </c>
      <c r="E97" s="91"/>
      <c r="G97" s="133">
        <f>SUM(G95:G96)</f>
        <v>3850</v>
      </c>
      <c r="H97" s="9"/>
      <c r="I97" s="9"/>
    </row>
    <row r="98" spans="1:9" x14ac:dyDescent="0.25">
      <c r="A98" s="9"/>
      <c r="B98" s="9"/>
      <c r="C98" s="9"/>
      <c r="D98" s="9"/>
      <c r="E98" s="91"/>
      <c r="F98" s="9"/>
      <c r="G98" s="133">
        <f>G92-G97</f>
        <v>-3350</v>
      </c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ht="18.75" x14ac:dyDescent="0.3">
      <c r="A100" s="5" t="s">
        <v>92</v>
      </c>
      <c r="B100" s="19"/>
      <c r="C100" s="236" t="s">
        <v>4</v>
      </c>
      <c r="D100" s="9"/>
      <c r="E100" s="81"/>
      <c r="F100" s="19"/>
      <c r="G100" s="9"/>
      <c r="H100" s="9"/>
      <c r="I100" s="9"/>
    </row>
    <row r="101" spans="1:9" ht="23.25" x14ac:dyDescent="0.35">
      <c r="A101" s="4"/>
      <c r="B101" s="237" t="s">
        <v>97</v>
      </c>
      <c r="C101" s="9"/>
      <c r="D101" s="238" t="s">
        <v>292</v>
      </c>
      <c r="E101" s="260"/>
      <c r="F101" s="260"/>
      <c r="G101" s="9"/>
      <c r="H101" s="9"/>
      <c r="I101" s="9"/>
    </row>
    <row r="102" spans="1:9" x14ac:dyDescent="0.25">
      <c r="A102" s="9"/>
      <c r="B102" s="9"/>
      <c r="C102" s="95"/>
      <c r="D102" s="96" t="s">
        <v>576</v>
      </c>
      <c r="E102" s="9"/>
      <c r="F102" s="95"/>
      <c r="G102" s="95"/>
      <c r="H102" s="9"/>
      <c r="I102" s="9"/>
    </row>
    <row r="103" spans="1:9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  <c r="I103" s="9"/>
    </row>
    <row r="104" spans="1:9" x14ac:dyDescent="0.25">
      <c r="A104" s="43" t="s">
        <v>317</v>
      </c>
      <c r="B104" s="120">
        <v>1</v>
      </c>
      <c r="C104" s="116"/>
      <c r="D104" s="201">
        <v>9000</v>
      </c>
      <c r="E104" s="269">
        <v>4500</v>
      </c>
      <c r="F104" s="269">
        <f>D104+E104</f>
        <v>13500</v>
      </c>
      <c r="G104" s="270"/>
      <c r="H104" s="271">
        <f>F104-G104</f>
        <v>13500</v>
      </c>
      <c r="I104" s="9"/>
    </row>
    <row r="105" spans="1:9" x14ac:dyDescent="0.25">
      <c r="A105" s="88" t="s">
        <v>240</v>
      </c>
      <c r="B105" s="120">
        <v>2</v>
      </c>
      <c r="C105" s="117"/>
      <c r="D105" s="205"/>
      <c r="E105" s="272">
        <v>4500</v>
      </c>
      <c r="F105" s="269">
        <f t="shared" ref="F105:F118" si="4">D105+E105</f>
        <v>4500</v>
      </c>
      <c r="G105" s="273">
        <v>4500</v>
      </c>
      <c r="H105" s="271">
        <f t="shared" ref="H105:H123" si="5">F105-G105</f>
        <v>0</v>
      </c>
      <c r="I105" s="9"/>
    </row>
    <row r="106" spans="1:9" x14ac:dyDescent="0.25">
      <c r="A106" s="88" t="s">
        <v>528</v>
      </c>
      <c r="B106" s="120">
        <v>3</v>
      </c>
      <c r="C106" s="117"/>
      <c r="D106" s="201"/>
      <c r="E106" s="272">
        <v>4500</v>
      </c>
      <c r="F106" s="269">
        <f t="shared" si="4"/>
        <v>4500</v>
      </c>
      <c r="G106" s="273">
        <v>4500</v>
      </c>
      <c r="H106" s="271">
        <f t="shared" si="5"/>
        <v>0</v>
      </c>
      <c r="I106" s="9"/>
    </row>
    <row r="107" spans="1:9" x14ac:dyDescent="0.25">
      <c r="A107" s="88" t="s">
        <v>528</v>
      </c>
      <c r="B107" s="120">
        <v>4</v>
      </c>
      <c r="C107" s="117"/>
      <c r="D107" s="201"/>
      <c r="E107" s="272">
        <v>2500</v>
      </c>
      <c r="F107" s="269">
        <f t="shared" si="4"/>
        <v>2500</v>
      </c>
      <c r="G107" s="273">
        <v>2500</v>
      </c>
      <c r="H107" s="271">
        <f t="shared" si="5"/>
        <v>0</v>
      </c>
      <c r="I107" s="9"/>
    </row>
    <row r="108" spans="1:9" x14ac:dyDescent="0.25">
      <c r="A108" s="43" t="s">
        <v>243</v>
      </c>
      <c r="B108" s="120">
        <v>5</v>
      </c>
      <c r="C108" s="117"/>
      <c r="D108" s="198">
        <v>500</v>
      </c>
      <c r="E108" s="272">
        <v>2500</v>
      </c>
      <c r="F108" s="269">
        <f t="shared" si="4"/>
        <v>3000</v>
      </c>
      <c r="G108" s="272">
        <v>2100</v>
      </c>
      <c r="H108" s="271">
        <f t="shared" si="5"/>
        <v>900</v>
      </c>
      <c r="I108" s="9"/>
    </row>
    <row r="109" spans="1:9" x14ac:dyDescent="0.25">
      <c r="A109" s="43" t="s">
        <v>216</v>
      </c>
      <c r="B109" s="120">
        <v>6</v>
      </c>
      <c r="C109" s="117"/>
      <c r="D109" s="198">
        <v>2500</v>
      </c>
      <c r="E109" s="272">
        <v>2500</v>
      </c>
      <c r="F109" s="269">
        <f t="shared" si="4"/>
        <v>5000</v>
      </c>
      <c r="G109" s="272">
        <v>2500</v>
      </c>
      <c r="H109" s="271">
        <f t="shared" si="5"/>
        <v>2500</v>
      </c>
      <c r="I109" s="9" t="s">
        <v>566</v>
      </c>
    </row>
    <row r="110" spans="1:9" x14ac:dyDescent="0.25">
      <c r="A110" s="43" t="s">
        <v>245</v>
      </c>
      <c r="B110" s="120">
        <v>7</v>
      </c>
      <c r="C110" s="117"/>
      <c r="D110" s="198"/>
      <c r="E110" s="274">
        <v>2500</v>
      </c>
      <c r="F110" s="269">
        <f t="shared" si="4"/>
        <v>2500</v>
      </c>
      <c r="G110" s="275">
        <v>2500</v>
      </c>
      <c r="H110" s="271">
        <f t="shared" si="5"/>
        <v>0</v>
      </c>
      <c r="I110" s="9"/>
    </row>
    <row r="111" spans="1:9" x14ac:dyDescent="0.25">
      <c r="A111" s="47" t="s">
        <v>559</v>
      </c>
      <c r="B111" s="120">
        <v>8</v>
      </c>
      <c r="C111" s="118"/>
      <c r="D111" s="206"/>
      <c r="E111" s="272">
        <v>2000</v>
      </c>
      <c r="F111" s="269">
        <f t="shared" si="4"/>
        <v>2000</v>
      </c>
      <c r="G111" s="272">
        <v>2000</v>
      </c>
      <c r="H111" s="271">
        <f t="shared" si="5"/>
        <v>0</v>
      </c>
      <c r="I111" s="9"/>
    </row>
    <row r="112" spans="1:9" x14ac:dyDescent="0.25">
      <c r="A112" s="44" t="s">
        <v>78</v>
      </c>
      <c r="B112" s="120">
        <v>9</v>
      </c>
      <c r="C112" s="117"/>
      <c r="D112" s="198"/>
      <c r="E112" s="276"/>
      <c r="F112" s="269">
        <f t="shared" si="4"/>
        <v>0</v>
      </c>
      <c r="G112" s="276"/>
      <c r="H112" s="271">
        <f>F112-G112</f>
        <v>0</v>
      </c>
      <c r="I112" s="9" t="s">
        <v>581</v>
      </c>
    </row>
    <row r="113" spans="1:13" x14ac:dyDescent="0.25">
      <c r="A113" s="197" t="s">
        <v>504</v>
      </c>
      <c r="B113" s="120">
        <v>10</v>
      </c>
      <c r="C113" s="9"/>
      <c r="D113" s="198">
        <v>200</v>
      </c>
      <c r="E113" s="277">
        <v>2500</v>
      </c>
      <c r="F113" s="269">
        <f t="shared" si="4"/>
        <v>2700</v>
      </c>
      <c r="G113" s="276">
        <v>2500</v>
      </c>
      <c r="H113" s="271">
        <f>F113-G113</f>
        <v>200</v>
      </c>
      <c r="I113" s="9"/>
    </row>
    <row r="114" spans="1:13" x14ac:dyDescent="0.25">
      <c r="A114" s="45" t="s">
        <v>327</v>
      </c>
      <c r="B114" s="120">
        <v>11</v>
      </c>
      <c r="C114" s="119"/>
      <c r="D114" s="198"/>
      <c r="E114" s="276">
        <v>2700</v>
      </c>
      <c r="F114" s="269">
        <f t="shared" si="4"/>
        <v>2700</v>
      </c>
      <c r="G114" s="276">
        <v>2700</v>
      </c>
      <c r="H114" s="271">
        <f t="shared" si="5"/>
        <v>0</v>
      </c>
      <c r="I114" s="9"/>
    </row>
    <row r="115" spans="1:13" x14ac:dyDescent="0.25">
      <c r="A115" s="44" t="s">
        <v>328</v>
      </c>
      <c r="B115" s="120">
        <v>12</v>
      </c>
      <c r="C115" s="119"/>
      <c r="D115" s="198">
        <v>3500</v>
      </c>
      <c r="E115" s="276">
        <v>2500</v>
      </c>
      <c r="F115" s="269">
        <f t="shared" si="4"/>
        <v>6000</v>
      </c>
      <c r="G115" s="276">
        <v>2500</v>
      </c>
      <c r="H115" s="271">
        <f t="shared" si="5"/>
        <v>3500</v>
      </c>
      <c r="I115" s="9"/>
    </row>
    <row r="116" spans="1:13" x14ac:dyDescent="0.25">
      <c r="A116" s="44" t="s">
        <v>374</v>
      </c>
      <c r="B116" s="120">
        <v>13</v>
      </c>
      <c r="C116" s="117"/>
      <c r="D116" s="199">
        <v>500</v>
      </c>
      <c r="E116" s="276">
        <v>4000</v>
      </c>
      <c r="F116" s="269">
        <f t="shared" si="4"/>
        <v>4500</v>
      </c>
      <c r="G116" s="276">
        <v>4000</v>
      </c>
      <c r="H116" s="271">
        <f t="shared" si="5"/>
        <v>500</v>
      </c>
      <c r="I116" s="9" t="s">
        <v>566</v>
      </c>
    </row>
    <row r="117" spans="1:13" x14ac:dyDescent="0.25">
      <c r="A117" s="44" t="s">
        <v>505</v>
      </c>
      <c r="B117" s="120">
        <v>14</v>
      </c>
      <c r="C117" s="117"/>
      <c r="D117" s="198"/>
      <c r="E117" s="276">
        <v>0</v>
      </c>
      <c r="F117" s="269">
        <f t="shared" si="4"/>
        <v>0</v>
      </c>
      <c r="G117" s="276"/>
      <c r="H117" s="271">
        <f t="shared" si="5"/>
        <v>0</v>
      </c>
      <c r="I117" s="9"/>
    </row>
    <row r="118" spans="1:13" x14ac:dyDescent="0.25">
      <c r="A118" s="125" t="s">
        <v>560</v>
      </c>
      <c r="B118" s="120">
        <v>15</v>
      </c>
      <c r="C118" s="117"/>
      <c r="D118" s="198"/>
      <c r="E118" s="276">
        <v>1600</v>
      </c>
      <c r="F118" s="269">
        <f t="shared" si="4"/>
        <v>1600</v>
      </c>
      <c r="G118" s="276"/>
      <c r="H118" s="271">
        <f t="shared" si="5"/>
        <v>1600</v>
      </c>
      <c r="I118" s="9"/>
    </row>
    <row r="119" spans="1:13" x14ac:dyDescent="0.25">
      <c r="A119" s="44" t="s">
        <v>21</v>
      </c>
      <c r="B119" s="148">
        <v>16</v>
      </c>
      <c r="C119" s="9">
        <v>0</v>
      </c>
      <c r="D119" s="199"/>
      <c r="E119" s="278"/>
      <c r="F119" s="269"/>
      <c r="G119" s="276"/>
      <c r="H119" s="271">
        <f t="shared" si="5"/>
        <v>0</v>
      </c>
      <c r="I119" s="9"/>
    </row>
    <row r="120" spans="1:13" x14ac:dyDescent="0.25">
      <c r="A120" s="44" t="s">
        <v>521</v>
      </c>
      <c r="B120" s="120">
        <v>17</v>
      </c>
      <c r="C120" s="117"/>
      <c r="D120" s="198"/>
      <c r="E120" s="276"/>
      <c r="F120" s="269">
        <f>D120+E120</f>
        <v>0</v>
      </c>
      <c r="G120" s="276"/>
      <c r="H120" s="271">
        <f t="shared" si="5"/>
        <v>0</v>
      </c>
      <c r="I120" s="9"/>
    </row>
    <row r="121" spans="1:13" x14ac:dyDescent="0.25">
      <c r="A121" s="125" t="s">
        <v>521</v>
      </c>
      <c r="B121" s="120">
        <v>18</v>
      </c>
      <c r="C121" s="117"/>
      <c r="D121" s="198"/>
      <c r="E121" s="276"/>
      <c r="F121" s="269">
        <f>D121+E121</f>
        <v>0</v>
      </c>
      <c r="G121" s="276"/>
      <c r="H121" s="271">
        <f t="shared" si="5"/>
        <v>0</v>
      </c>
      <c r="I121" s="9"/>
    </row>
    <row r="122" spans="1:13" x14ac:dyDescent="0.25">
      <c r="A122" s="44" t="s">
        <v>521</v>
      </c>
      <c r="B122" s="141">
        <v>19</v>
      </c>
      <c r="C122" s="142"/>
      <c r="D122" s="200"/>
      <c r="E122" s="279"/>
      <c r="F122" s="269"/>
      <c r="G122" s="279"/>
      <c r="H122" s="271">
        <f t="shared" si="5"/>
        <v>0</v>
      </c>
      <c r="I122" s="9"/>
    </row>
    <row r="123" spans="1:13" x14ac:dyDescent="0.25">
      <c r="A123" s="44" t="s">
        <v>123</v>
      </c>
      <c r="B123" s="120">
        <v>21</v>
      </c>
      <c r="C123" s="44"/>
      <c r="D123" s="198"/>
      <c r="E123" s="198"/>
      <c r="F123" s="202">
        <f>D123+E123</f>
        <v>0</v>
      </c>
      <c r="G123" s="198"/>
      <c r="H123" s="204">
        <f t="shared" si="5"/>
        <v>0</v>
      </c>
      <c r="I123" s="9"/>
    </row>
    <row r="124" spans="1:13" x14ac:dyDescent="0.25">
      <c r="A124" s="138"/>
      <c r="B124" s="138"/>
      <c r="C124" s="138"/>
      <c r="D124" s="138"/>
      <c r="E124" s="280">
        <f>SUM(E104:E123)</f>
        <v>38800</v>
      </c>
      <c r="F124" s="243">
        <f>D124+E124</f>
        <v>38800</v>
      </c>
      <c r="G124" s="280">
        <f>SUM(G104:G123)</f>
        <v>32300</v>
      </c>
      <c r="H124" s="280">
        <f>SUM(H104:H123)</f>
        <v>22700</v>
      </c>
      <c r="I124" s="9"/>
    </row>
    <row r="125" spans="1:13" x14ac:dyDescent="0.25">
      <c r="A125" s="90"/>
      <c r="B125" s="90"/>
      <c r="C125" s="90"/>
      <c r="D125" s="90"/>
      <c r="E125" s="213"/>
      <c r="F125" s="75"/>
      <c r="G125" s="213"/>
      <c r="H125" s="213"/>
      <c r="I125" s="9"/>
    </row>
    <row r="126" spans="1:13" x14ac:dyDescent="0.25">
      <c r="A126" s="100" t="s">
        <v>60</v>
      </c>
      <c r="B126" s="101"/>
      <c r="C126" s="97"/>
      <c r="D126" s="267">
        <f>E124</f>
        <v>38800</v>
      </c>
      <c r="E126" s="100"/>
      <c r="F126" s="100" t="s">
        <v>60</v>
      </c>
      <c r="G126" s="253">
        <f>G124</f>
        <v>32300</v>
      </c>
      <c r="H126" s="267"/>
      <c r="I126" s="9"/>
    </row>
    <row r="127" spans="1:13" x14ac:dyDescent="0.25">
      <c r="A127" s="214"/>
      <c r="B127" s="215"/>
      <c r="C127" s="216"/>
      <c r="D127" s="268"/>
      <c r="E127" s="214"/>
      <c r="F127" s="214" t="s">
        <v>347</v>
      </c>
      <c r="G127" s="371">
        <f>'JAN 18'!H137</f>
        <v>-30235</v>
      </c>
      <c r="H127" s="268"/>
      <c r="I127" s="9"/>
      <c r="M127" s="252">
        <f>SUM(D126:D128)</f>
        <v>77600</v>
      </c>
    </row>
    <row r="128" spans="1:13" x14ac:dyDescent="0.25">
      <c r="A128" s="214" t="s">
        <v>2</v>
      </c>
      <c r="B128" s="215"/>
      <c r="C128" s="216"/>
      <c r="D128" s="252">
        <f>SUM(D126:D127)</f>
        <v>38800</v>
      </c>
      <c r="E128" s="214"/>
      <c r="F128" s="214" t="s">
        <v>2</v>
      </c>
      <c r="G128" s="292">
        <f>SUM(G126:G127)</f>
        <v>2065</v>
      </c>
      <c r="H128" s="252"/>
      <c r="I128" s="9"/>
    </row>
    <row r="129" spans="1:14" x14ac:dyDescent="0.25">
      <c r="A129" s="67" t="s">
        <v>58</v>
      </c>
      <c r="B129" s="9"/>
      <c r="C129" s="9"/>
      <c r="D129" s="252"/>
      <c r="E129" s="67"/>
      <c r="F129" s="67" t="s">
        <v>58</v>
      </c>
      <c r="G129" s="9"/>
      <c r="H129" s="252"/>
      <c r="I129" s="9"/>
    </row>
    <row r="130" spans="1:14" x14ac:dyDescent="0.25">
      <c r="A130" s="36" t="s">
        <v>22</v>
      </c>
      <c r="B130" s="17"/>
      <c r="C130" s="9"/>
      <c r="D130" s="254">
        <f>SUM(D126*10%)</f>
        <v>3880</v>
      </c>
      <c r="E130" s="36"/>
      <c r="F130" s="36" t="s">
        <v>22</v>
      </c>
      <c r="G130" s="252">
        <f>D130</f>
        <v>3880</v>
      </c>
      <c r="H130" s="254"/>
      <c r="I130" s="9"/>
    </row>
    <row r="131" spans="1:14" x14ac:dyDescent="0.25">
      <c r="A131" s="136">
        <v>43136</v>
      </c>
      <c r="B131" s="17"/>
      <c r="C131" s="9"/>
      <c r="D131" s="254">
        <v>10000</v>
      </c>
      <c r="E131" s="136"/>
      <c r="F131" s="136">
        <v>43136</v>
      </c>
      <c r="G131" s="9">
        <v>10000</v>
      </c>
      <c r="H131" s="254"/>
      <c r="I131" s="9"/>
      <c r="N131" s="72">
        <f>M127-D136</f>
        <v>42400</v>
      </c>
    </row>
    <row r="132" spans="1:14" x14ac:dyDescent="0.25">
      <c r="A132" s="136">
        <v>43146</v>
      </c>
      <c r="B132" s="9"/>
      <c r="C132" s="9"/>
      <c r="D132" s="252">
        <v>21320</v>
      </c>
      <c r="E132" s="136"/>
      <c r="F132" s="136">
        <v>43146</v>
      </c>
      <c r="G132" s="9">
        <v>21320</v>
      </c>
      <c r="H132" s="252"/>
      <c r="I132" s="9"/>
    </row>
    <row r="133" spans="1:14" x14ac:dyDescent="0.25">
      <c r="A133" s="36"/>
      <c r="B133" s="9"/>
      <c r="C133" s="9"/>
      <c r="D133" s="252"/>
      <c r="E133" s="9"/>
      <c r="F133" s="36"/>
      <c r="G133" s="9"/>
      <c r="H133" s="252"/>
      <c r="I133" s="9"/>
    </row>
    <row r="134" spans="1:14" x14ac:dyDescent="0.25">
      <c r="A134" s="9"/>
      <c r="B134" s="9"/>
      <c r="C134" s="9"/>
      <c r="D134" s="252"/>
      <c r="F134" s="9"/>
      <c r="I134" s="9"/>
    </row>
    <row r="135" spans="1:14" x14ac:dyDescent="0.25">
      <c r="A135" s="9"/>
      <c r="B135" s="9"/>
      <c r="C135" s="9"/>
      <c r="D135" s="252"/>
      <c r="E135" s="36"/>
      <c r="F135" s="9"/>
      <c r="G135" s="9"/>
      <c r="H135" s="252"/>
      <c r="I135" s="9"/>
    </row>
    <row r="136" spans="1:14" x14ac:dyDescent="0.25">
      <c r="A136" s="36" t="s">
        <v>2</v>
      </c>
      <c r="B136" s="9"/>
      <c r="C136" s="9"/>
      <c r="D136" s="252">
        <f>SUM(D130:D135)</f>
        <v>35200</v>
      </c>
      <c r="E136" s="36"/>
      <c r="F136" s="36" t="s">
        <v>2</v>
      </c>
      <c r="G136" s="252">
        <f>SUM(G130:G135)</f>
        <v>35200</v>
      </c>
      <c r="H136" s="252"/>
      <c r="I136" s="9"/>
    </row>
    <row r="137" spans="1:14" x14ac:dyDescent="0.25">
      <c r="A137" s="36" t="s">
        <v>165</v>
      </c>
      <c r="B137" s="9"/>
      <c r="C137" s="9"/>
      <c r="D137" s="252">
        <f>D126-D136</f>
        <v>3600</v>
      </c>
      <c r="E137" s="36"/>
      <c r="F137" s="36" t="s">
        <v>165</v>
      </c>
      <c r="G137" s="252">
        <f>G128-G136</f>
        <v>-33135</v>
      </c>
      <c r="H137" s="252"/>
      <c r="I137" s="9"/>
    </row>
    <row r="138" spans="1:14" x14ac:dyDescent="0.25">
      <c r="A138" s="9"/>
      <c r="B138" s="19"/>
      <c r="C138" s="19"/>
      <c r="D138" s="81" t="s">
        <v>4</v>
      </c>
      <c r="E138" s="81"/>
      <c r="F138" s="19"/>
      <c r="G138" s="9"/>
      <c r="H138" s="9"/>
      <c r="I138" s="9"/>
    </row>
    <row r="139" spans="1:14" x14ac:dyDescent="0.25">
      <c r="A139" s="9"/>
      <c r="B139" s="19"/>
      <c r="C139" s="81" t="s">
        <v>87</v>
      </c>
      <c r="D139" s="81"/>
      <c r="E139" s="19"/>
      <c r="F139" s="19"/>
      <c r="G139" s="9"/>
      <c r="H139" s="9"/>
      <c r="I139" s="9"/>
    </row>
    <row r="140" spans="1:14" x14ac:dyDescent="0.25">
      <c r="A140" s="9"/>
      <c r="B140" s="79"/>
      <c r="C140" s="82"/>
      <c r="D140" s="80"/>
      <c r="E140" s="80"/>
      <c r="F140" s="79"/>
      <c r="G140" s="9"/>
      <c r="H140" s="9"/>
      <c r="I140" s="9"/>
    </row>
    <row r="141" spans="1:14" ht="20.25" x14ac:dyDescent="0.3">
      <c r="A141" s="9"/>
      <c r="B141" s="5"/>
      <c r="C141" s="290" t="s">
        <v>97</v>
      </c>
      <c r="D141" s="6"/>
      <c r="E141" s="5"/>
      <c r="F141" s="4"/>
      <c r="G141" s="9"/>
      <c r="H141" s="9"/>
      <c r="I141" s="9"/>
    </row>
    <row r="142" spans="1:14" ht="28.5" x14ac:dyDescent="0.45">
      <c r="A142" s="9"/>
      <c r="B142" s="259"/>
      <c r="C142" s="9"/>
      <c r="D142" s="259" t="s">
        <v>577</v>
      </c>
      <c r="E142" s="259"/>
      <c r="F142" s="259"/>
      <c r="G142" s="259"/>
      <c r="H142" s="259"/>
      <c r="I142" s="9"/>
    </row>
    <row r="143" spans="1:14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I143" s="9"/>
    </row>
    <row r="144" spans="1:14" x14ac:dyDescent="0.25">
      <c r="A144" s="62" t="s">
        <v>532</v>
      </c>
      <c r="B144" s="120">
        <v>1</v>
      </c>
      <c r="C144" s="116"/>
      <c r="D144" s="43"/>
      <c r="E144" s="47"/>
      <c r="F144" s="47">
        <f>D144+E144</f>
        <v>0</v>
      </c>
      <c r="G144" s="131"/>
      <c r="H144" s="245">
        <f>F144-G144</f>
        <v>0</v>
      </c>
      <c r="I144" s="9" t="s">
        <v>107</v>
      </c>
    </row>
    <row r="145" spans="1:9" x14ac:dyDescent="0.25">
      <c r="A145" s="62" t="s">
        <v>137</v>
      </c>
      <c r="B145" s="120">
        <v>2</v>
      </c>
      <c r="C145" s="117"/>
      <c r="D145" s="2"/>
      <c r="E145" s="242"/>
      <c r="F145" s="243">
        <f t="shared" ref="F145:F168" si="6">D145+E145</f>
        <v>0</v>
      </c>
      <c r="G145" s="131"/>
      <c r="H145" s="245">
        <f t="shared" ref="H145:H167" si="7">F145-G145</f>
        <v>0</v>
      </c>
      <c r="I145" s="9" t="s">
        <v>107</v>
      </c>
    </row>
    <row r="146" spans="1:9" x14ac:dyDescent="0.25">
      <c r="A146" s="62" t="s">
        <v>533</v>
      </c>
      <c r="B146" s="120">
        <v>3</v>
      </c>
      <c r="C146" s="117"/>
      <c r="D146" s="43"/>
      <c r="E146" s="242">
        <v>2500</v>
      </c>
      <c r="F146" s="243">
        <f t="shared" si="6"/>
        <v>2500</v>
      </c>
      <c r="G146" s="56">
        <v>2500</v>
      </c>
      <c r="H146" s="245">
        <f t="shared" si="7"/>
        <v>0</v>
      </c>
      <c r="I146" s="9" t="s">
        <v>107</v>
      </c>
    </row>
    <row r="147" spans="1:9" x14ac:dyDescent="0.25">
      <c r="A147" s="18" t="s">
        <v>570</v>
      </c>
      <c r="B147" s="120">
        <v>4</v>
      </c>
      <c r="C147" s="117"/>
      <c r="D147" s="43"/>
      <c r="E147" s="242">
        <v>2000</v>
      </c>
      <c r="F147" s="243">
        <f t="shared" si="6"/>
        <v>2000</v>
      </c>
      <c r="G147" s="281">
        <v>2000</v>
      </c>
      <c r="H147" s="245">
        <f t="shared" si="7"/>
        <v>0</v>
      </c>
      <c r="I147" s="9"/>
    </row>
    <row r="148" spans="1:9" x14ac:dyDescent="0.25">
      <c r="A148" s="62" t="s">
        <v>260</v>
      </c>
      <c r="B148" s="120">
        <v>5</v>
      </c>
      <c r="C148" s="117"/>
      <c r="D148" s="44"/>
      <c r="E148" s="242">
        <v>4000</v>
      </c>
      <c r="F148" s="243">
        <f t="shared" si="6"/>
        <v>4000</v>
      </c>
      <c r="G148" s="46">
        <v>4000</v>
      </c>
      <c r="H148" s="245">
        <f t="shared" si="7"/>
        <v>0</v>
      </c>
      <c r="I148" s="9"/>
    </row>
    <row r="149" spans="1:9" x14ac:dyDescent="0.25">
      <c r="A149" s="62" t="s">
        <v>424</v>
      </c>
      <c r="B149" s="120">
        <v>6</v>
      </c>
      <c r="C149" s="117"/>
      <c r="D149" s="44"/>
      <c r="E149" s="242">
        <v>4000</v>
      </c>
      <c r="F149" s="243">
        <f t="shared" si="6"/>
        <v>4000</v>
      </c>
      <c r="G149" s="46">
        <v>4000</v>
      </c>
      <c r="H149" s="245">
        <f t="shared" si="7"/>
        <v>0</v>
      </c>
      <c r="I149" s="9"/>
    </row>
    <row r="150" spans="1:9" x14ac:dyDescent="0.25">
      <c r="A150" s="239" t="s">
        <v>541</v>
      </c>
      <c r="B150" s="120">
        <v>7</v>
      </c>
      <c r="C150" s="117"/>
      <c r="D150" s="44"/>
      <c r="E150" s="248">
        <v>4000</v>
      </c>
      <c r="F150" s="243">
        <f t="shared" si="6"/>
        <v>4000</v>
      </c>
      <c r="G150" s="132">
        <v>4000</v>
      </c>
      <c r="H150" s="245"/>
      <c r="I150" s="9"/>
    </row>
    <row r="151" spans="1:9" x14ac:dyDescent="0.25">
      <c r="A151" s="49" t="s">
        <v>588</v>
      </c>
      <c r="B151" s="120">
        <v>8</v>
      </c>
      <c r="C151" s="118"/>
      <c r="D151" s="46"/>
      <c r="E151" s="242">
        <v>4000</v>
      </c>
      <c r="F151" s="243">
        <f t="shared" si="6"/>
        <v>4000</v>
      </c>
      <c r="G151" s="244"/>
      <c r="H151" s="245">
        <f t="shared" si="7"/>
        <v>4000</v>
      </c>
      <c r="I151" s="9" t="s">
        <v>580</v>
      </c>
    </row>
    <row r="152" spans="1:9" x14ac:dyDescent="0.25">
      <c r="A152" s="241" t="s">
        <v>137</v>
      </c>
      <c r="B152" s="120">
        <v>9</v>
      </c>
      <c r="C152" s="117"/>
      <c r="D152" s="44"/>
      <c r="E152" s="225">
        <v>4000</v>
      </c>
      <c r="F152" s="243">
        <f t="shared" si="6"/>
        <v>4000</v>
      </c>
      <c r="G152" s="44"/>
      <c r="H152" s="245">
        <f t="shared" si="7"/>
        <v>4000</v>
      </c>
      <c r="I152" s="9" t="s">
        <v>580</v>
      </c>
    </row>
    <row r="153" spans="1:9" x14ac:dyDescent="0.25">
      <c r="A153" s="62" t="s">
        <v>21</v>
      </c>
      <c r="B153" s="120">
        <v>10</v>
      </c>
      <c r="C153" s="119"/>
      <c r="D153" s="44"/>
      <c r="E153" s="226"/>
      <c r="F153" s="243"/>
      <c r="G153" s="44"/>
      <c r="H153" s="245">
        <f t="shared" si="7"/>
        <v>0</v>
      </c>
      <c r="I153" s="9"/>
    </row>
    <row r="154" spans="1:9" x14ac:dyDescent="0.25">
      <c r="A154" s="62" t="s">
        <v>434</v>
      </c>
      <c r="B154" s="120">
        <v>11</v>
      </c>
      <c r="C154" s="119"/>
      <c r="D154" s="44"/>
      <c r="E154" s="225">
        <v>2000</v>
      </c>
      <c r="F154" s="243">
        <f t="shared" si="6"/>
        <v>2000</v>
      </c>
      <c r="G154" s="44">
        <v>2000</v>
      </c>
      <c r="H154" s="245">
        <f t="shared" si="7"/>
        <v>0</v>
      </c>
      <c r="I154" s="9"/>
    </row>
    <row r="155" spans="1:9" x14ac:dyDescent="0.25">
      <c r="A155" s="240" t="s">
        <v>302</v>
      </c>
      <c r="B155" s="120">
        <v>12</v>
      </c>
      <c r="C155" s="117"/>
      <c r="D155" s="44"/>
      <c r="E155" s="225">
        <v>4000</v>
      </c>
      <c r="F155" s="243">
        <f t="shared" si="6"/>
        <v>4000</v>
      </c>
      <c r="G155" s="44"/>
      <c r="H155" s="245">
        <f t="shared" si="7"/>
        <v>4000</v>
      </c>
      <c r="I155" s="9"/>
    </row>
    <row r="156" spans="1:9" x14ac:dyDescent="0.25">
      <c r="A156" s="62" t="s">
        <v>442</v>
      </c>
      <c r="B156" s="120">
        <v>13</v>
      </c>
      <c r="C156" s="44"/>
      <c r="D156" s="44"/>
      <c r="E156" s="225">
        <v>4000</v>
      </c>
      <c r="F156" s="243">
        <f t="shared" si="6"/>
        <v>4000</v>
      </c>
      <c r="G156" s="113">
        <v>4000</v>
      </c>
      <c r="H156" s="245">
        <f t="shared" si="7"/>
        <v>0</v>
      </c>
      <c r="I156" s="9"/>
    </row>
    <row r="157" spans="1:9" x14ac:dyDescent="0.25">
      <c r="A157" s="62" t="s">
        <v>534</v>
      </c>
      <c r="B157" s="120">
        <v>14</v>
      </c>
      <c r="C157" s="44"/>
      <c r="D157" s="44"/>
      <c r="E157" s="225">
        <v>4000</v>
      </c>
      <c r="F157" s="243">
        <f t="shared" si="6"/>
        <v>4000</v>
      </c>
      <c r="G157" s="44">
        <v>4000</v>
      </c>
      <c r="H157" s="245">
        <f t="shared" si="7"/>
        <v>0</v>
      </c>
      <c r="I157" s="9" t="s">
        <v>107</v>
      </c>
    </row>
    <row r="158" spans="1:9" x14ac:dyDescent="0.25">
      <c r="A158" s="240" t="s">
        <v>535</v>
      </c>
      <c r="B158" s="120">
        <v>15</v>
      </c>
      <c r="C158" s="44"/>
      <c r="D158" s="44"/>
      <c r="E158" s="227"/>
      <c r="F158" s="243">
        <f t="shared" si="6"/>
        <v>0</v>
      </c>
      <c r="G158" s="44"/>
      <c r="H158" s="245">
        <f t="shared" si="7"/>
        <v>0</v>
      </c>
      <c r="I158" s="9"/>
    </row>
    <row r="159" spans="1:9" x14ac:dyDescent="0.25">
      <c r="A159" s="62" t="s">
        <v>572</v>
      </c>
      <c r="B159" s="120">
        <v>16</v>
      </c>
      <c r="C159" s="44"/>
      <c r="D159" s="44"/>
      <c r="E159" s="225">
        <v>2000</v>
      </c>
      <c r="F159" s="243">
        <f t="shared" si="6"/>
        <v>2000</v>
      </c>
      <c r="G159" s="44">
        <v>2000</v>
      </c>
      <c r="H159" s="245">
        <f t="shared" si="7"/>
        <v>0</v>
      </c>
      <c r="I159" s="9" t="s">
        <v>107</v>
      </c>
    </row>
    <row r="160" spans="1:9" x14ac:dyDescent="0.25">
      <c r="A160" s="62" t="s">
        <v>573</v>
      </c>
      <c r="B160" s="120">
        <v>17</v>
      </c>
      <c r="C160" s="117"/>
      <c r="D160" s="44"/>
      <c r="E160" s="225">
        <v>2000</v>
      </c>
      <c r="F160" s="243">
        <f t="shared" si="6"/>
        <v>2000</v>
      </c>
      <c r="G160" s="44">
        <v>2000</v>
      </c>
      <c r="H160" s="245">
        <f t="shared" si="7"/>
        <v>0</v>
      </c>
      <c r="I160" s="9"/>
    </row>
    <row r="161" spans="1:9" x14ac:dyDescent="0.25">
      <c r="A161" s="62" t="s">
        <v>574</v>
      </c>
      <c r="B161" s="120">
        <v>18</v>
      </c>
      <c r="C161" s="117"/>
      <c r="D161" s="44"/>
      <c r="E161" s="225">
        <v>2000</v>
      </c>
      <c r="F161" s="243">
        <f t="shared" si="6"/>
        <v>2000</v>
      </c>
      <c r="G161" s="44">
        <v>2000</v>
      </c>
      <c r="H161" s="245">
        <f t="shared" si="7"/>
        <v>0</v>
      </c>
      <c r="I161" s="9"/>
    </row>
    <row r="162" spans="1:9" x14ac:dyDescent="0.25">
      <c r="A162" s="62" t="s">
        <v>256</v>
      </c>
      <c r="B162" s="120">
        <v>19</v>
      </c>
      <c r="C162" s="117"/>
      <c r="D162" s="44"/>
      <c r="E162" s="225">
        <v>2000</v>
      </c>
      <c r="F162" s="243">
        <f t="shared" si="6"/>
        <v>2000</v>
      </c>
      <c r="G162" s="44">
        <v>2000</v>
      </c>
      <c r="H162" s="245">
        <f t="shared" si="7"/>
        <v>0</v>
      </c>
      <c r="I162" s="9"/>
    </row>
    <row r="163" spans="1:9" x14ac:dyDescent="0.25">
      <c r="A163" s="239" t="s">
        <v>569</v>
      </c>
      <c r="B163" s="120">
        <v>20</v>
      </c>
      <c r="C163" s="44"/>
      <c r="D163" s="44"/>
      <c r="E163" s="225">
        <v>2000</v>
      </c>
      <c r="F163" s="243">
        <f t="shared" si="6"/>
        <v>2000</v>
      </c>
      <c r="G163" s="44">
        <v>2000</v>
      </c>
      <c r="H163" s="245">
        <f t="shared" si="7"/>
        <v>0</v>
      </c>
      <c r="I163" s="9"/>
    </row>
    <row r="164" spans="1:9" x14ac:dyDescent="0.25">
      <c r="A164" s="239" t="s">
        <v>536</v>
      </c>
      <c r="B164" s="120">
        <v>21</v>
      </c>
      <c r="C164" s="44"/>
      <c r="D164" s="44"/>
      <c r="E164" s="225">
        <v>2000</v>
      </c>
      <c r="F164" s="243">
        <f t="shared" si="6"/>
        <v>2000</v>
      </c>
      <c r="G164" s="44">
        <v>2000</v>
      </c>
      <c r="H164" s="245">
        <f t="shared" si="7"/>
        <v>0</v>
      </c>
      <c r="I164" s="9"/>
    </row>
    <row r="165" spans="1:9" x14ac:dyDescent="0.25">
      <c r="A165" s="284" t="s">
        <v>542</v>
      </c>
      <c r="B165" s="285">
        <v>22</v>
      </c>
      <c r="C165" s="113"/>
      <c r="D165" s="113"/>
      <c r="E165" s="286">
        <v>2000</v>
      </c>
      <c r="F165" s="287">
        <f t="shared" si="6"/>
        <v>2000</v>
      </c>
      <c r="G165" s="113"/>
      <c r="H165" s="288">
        <f t="shared" si="7"/>
        <v>2000</v>
      </c>
      <c r="I165" s="9" t="s">
        <v>578</v>
      </c>
    </row>
    <row r="166" spans="1:9" x14ac:dyDescent="0.25">
      <c r="A166" s="239" t="s">
        <v>272</v>
      </c>
      <c r="B166" s="120">
        <v>23</v>
      </c>
      <c r="C166" s="44"/>
      <c r="D166" s="44"/>
      <c r="E166" s="225">
        <v>4500</v>
      </c>
      <c r="F166" s="243">
        <f t="shared" si="6"/>
        <v>4500</v>
      </c>
      <c r="G166" s="191">
        <v>4500</v>
      </c>
      <c r="H166" s="245">
        <f t="shared" si="7"/>
        <v>0</v>
      </c>
      <c r="I166" s="9"/>
    </row>
    <row r="167" spans="1:9" x14ac:dyDescent="0.25">
      <c r="A167" s="241" t="s">
        <v>273</v>
      </c>
      <c r="B167" s="120">
        <v>24</v>
      </c>
      <c r="C167" s="44"/>
      <c r="D167" s="44"/>
      <c r="E167" s="44">
        <v>4500</v>
      </c>
      <c r="F167" s="243">
        <f t="shared" si="6"/>
        <v>4500</v>
      </c>
      <c r="G167" s="44">
        <v>4000</v>
      </c>
      <c r="H167" s="245">
        <f t="shared" si="7"/>
        <v>500</v>
      </c>
      <c r="I167" s="9"/>
    </row>
    <row r="168" spans="1:9" x14ac:dyDescent="0.25">
      <c r="A168" s="62" t="s">
        <v>586</v>
      </c>
      <c r="B168" s="120">
        <v>25</v>
      </c>
      <c r="C168" s="44"/>
      <c r="D168" s="44"/>
      <c r="E168" s="247">
        <v>2000</v>
      </c>
      <c r="F168" s="243">
        <f t="shared" si="6"/>
        <v>2000</v>
      </c>
      <c r="G168" s="105"/>
      <c r="H168" s="245"/>
      <c r="I168" s="9"/>
    </row>
    <row r="169" spans="1:9" x14ac:dyDescent="0.25">
      <c r="A169" s="44"/>
      <c r="B169" s="120"/>
      <c r="C169" s="44"/>
      <c r="D169" s="44"/>
      <c r="E169" s="44"/>
      <c r="F169" s="243"/>
      <c r="G169" s="44"/>
      <c r="H169" s="129"/>
      <c r="I169" s="9"/>
    </row>
    <row r="170" spans="1:9" x14ac:dyDescent="0.25">
      <c r="A170" s="44"/>
      <c r="B170" s="120"/>
      <c r="C170" s="44"/>
      <c r="D170" s="44">
        <f>SUM(D144:D169)</f>
        <v>0</v>
      </c>
      <c r="E170" s="263">
        <f>SUM(E144:E169)</f>
        <v>63500</v>
      </c>
      <c r="F170" s="262">
        <f>SUM(F144:F169)</f>
        <v>63500</v>
      </c>
      <c r="G170" s="264">
        <f>SUM(G144:G169)</f>
        <v>47000</v>
      </c>
      <c r="H170" s="264">
        <f>SUM(H144:H169)</f>
        <v>14500</v>
      </c>
      <c r="I170" s="9"/>
    </row>
    <row r="171" spans="1:9" x14ac:dyDescent="0.25">
      <c r="A171" s="100" t="s">
        <v>60</v>
      </c>
      <c r="B171" s="97"/>
      <c r="C171" s="102">
        <f>E170</f>
        <v>63500</v>
      </c>
      <c r="D171" s="9"/>
      <c r="E171" s="100" t="s">
        <v>60</v>
      </c>
      <c r="F171" s="100"/>
      <c r="G171" s="291">
        <f>G170</f>
        <v>47000</v>
      </c>
      <c r="H171" s="121"/>
      <c r="I171" s="9"/>
    </row>
    <row r="172" spans="1:9" x14ac:dyDescent="0.25">
      <c r="A172" s="9"/>
      <c r="B172" s="128">
        <v>0.1</v>
      </c>
      <c r="C172" s="104">
        <f>C171*B172</f>
        <v>6350</v>
      </c>
      <c r="D172" s="9"/>
      <c r="E172" s="9"/>
      <c r="F172" s="83">
        <v>0.1</v>
      </c>
      <c r="G172" s="253">
        <f>C172</f>
        <v>6350</v>
      </c>
      <c r="H172" s="72"/>
      <c r="I172" s="9"/>
    </row>
    <row r="173" spans="1:9" x14ac:dyDescent="0.25">
      <c r="A173" s="103" t="s">
        <v>347</v>
      </c>
      <c r="B173" s="97"/>
      <c r="C173" s="72"/>
      <c r="D173" s="9"/>
      <c r="E173" s="103" t="s">
        <v>347</v>
      </c>
      <c r="F173" s="103"/>
      <c r="G173" s="253"/>
      <c r="H173" s="72"/>
      <c r="I173" s="9"/>
    </row>
    <row r="174" spans="1:9" x14ac:dyDescent="0.25">
      <c r="A174" s="103"/>
      <c r="B174" s="97"/>
      <c r="C174" s="72">
        <f>C171</f>
        <v>63500</v>
      </c>
      <c r="D174" s="9"/>
      <c r="E174" s="103"/>
      <c r="F174" s="103"/>
      <c r="G174" s="253">
        <f>G171</f>
        <v>47000</v>
      </c>
      <c r="H174" s="72"/>
      <c r="I174" s="9"/>
    </row>
    <row r="175" spans="1:9" x14ac:dyDescent="0.25">
      <c r="A175" s="67" t="s">
        <v>58</v>
      </c>
      <c r="B175" s="9"/>
      <c r="C175" s="9"/>
      <c r="D175" s="9"/>
      <c r="E175" s="67" t="s">
        <v>58</v>
      </c>
      <c r="F175" s="67"/>
      <c r="G175" s="252"/>
      <c r="H175" s="9"/>
      <c r="I175" s="9"/>
    </row>
    <row r="176" spans="1:9" x14ac:dyDescent="0.25">
      <c r="A176" s="103" t="s">
        <v>196</v>
      </c>
      <c r="B176" s="9"/>
      <c r="C176" s="104">
        <f>C171*B172</f>
        <v>6350</v>
      </c>
      <c r="D176" s="9"/>
      <c r="E176" s="103" t="s">
        <v>196</v>
      </c>
      <c r="F176" s="9"/>
      <c r="G176" s="72">
        <f>F172*C171</f>
        <v>6350</v>
      </c>
      <c r="H176" s="104"/>
      <c r="I176" s="9"/>
    </row>
    <row r="177" spans="1:9" x14ac:dyDescent="0.25">
      <c r="A177" s="231">
        <v>43136</v>
      </c>
      <c r="B177" s="9"/>
      <c r="C177" s="104">
        <v>15000</v>
      </c>
      <c r="D177" s="9"/>
      <c r="E177" s="231">
        <v>43136</v>
      </c>
      <c r="F177" s="231"/>
      <c r="G177" s="9">
        <v>15000</v>
      </c>
      <c r="H177" s="104"/>
      <c r="I177" s="9"/>
    </row>
    <row r="178" spans="1:9" x14ac:dyDescent="0.25">
      <c r="A178" s="93" t="s">
        <v>378</v>
      </c>
      <c r="B178" s="9"/>
      <c r="C178" s="252">
        <f>E146+E157+E159</f>
        <v>8500</v>
      </c>
      <c r="D178" s="9"/>
      <c r="E178" s="93" t="s">
        <v>378</v>
      </c>
      <c r="F178" s="93"/>
      <c r="G178" s="9">
        <v>8500</v>
      </c>
      <c r="H178" s="252"/>
      <c r="I178" s="9"/>
    </row>
    <row r="179" spans="1:9" x14ac:dyDescent="0.25">
      <c r="A179" s="136" t="s">
        <v>579</v>
      </c>
      <c r="B179" s="9"/>
      <c r="C179" s="216">
        <v>2000</v>
      </c>
      <c r="D179" s="72"/>
      <c r="E179" s="136" t="s">
        <v>579</v>
      </c>
      <c r="F179" s="136"/>
      <c r="G179" s="9">
        <v>2000</v>
      </c>
      <c r="H179" s="9"/>
      <c r="I179" s="9"/>
    </row>
    <row r="180" spans="1:9" x14ac:dyDescent="0.25">
      <c r="A180" s="136">
        <v>43146</v>
      </c>
      <c r="B180" s="9"/>
      <c r="C180" s="9">
        <v>31650</v>
      </c>
      <c r="D180" s="72"/>
      <c r="E180" s="136">
        <v>43146</v>
      </c>
      <c r="F180" s="136"/>
      <c r="G180" s="9">
        <v>31650</v>
      </c>
      <c r="H180" s="9"/>
      <c r="I180" s="9"/>
    </row>
    <row r="181" spans="1:9" x14ac:dyDescent="0.25">
      <c r="A181" s="36"/>
      <c r="B181" s="9"/>
      <c r="C181" s="297">
        <v>8000</v>
      </c>
      <c r="D181" s="9"/>
      <c r="E181" s="36"/>
      <c r="F181" s="36"/>
      <c r="G181" s="9">
        <v>8000</v>
      </c>
      <c r="H181" s="34"/>
      <c r="I181" s="9"/>
    </row>
    <row r="182" spans="1:9" x14ac:dyDescent="0.25">
      <c r="A182" s="9" t="s">
        <v>2</v>
      </c>
      <c r="B182" s="9"/>
      <c r="C182" s="72">
        <f>SUM(C176:C181)</f>
        <v>71500</v>
      </c>
      <c r="D182" s="9"/>
      <c r="E182" s="9" t="s">
        <v>2</v>
      </c>
      <c r="F182" s="9"/>
      <c r="G182" s="295">
        <f>SUM(G176:G181)</f>
        <v>71500</v>
      </c>
      <c r="H182" s="87"/>
      <c r="I182" s="9"/>
    </row>
    <row r="183" spans="1:9" x14ac:dyDescent="0.25">
      <c r="A183" s="9" t="s">
        <v>355</v>
      </c>
      <c r="B183" s="9"/>
      <c r="C183" s="135">
        <f>C174-C182</f>
        <v>-8000</v>
      </c>
      <c r="D183" s="9"/>
      <c r="E183" s="9" t="s">
        <v>355</v>
      </c>
      <c r="F183" s="9"/>
      <c r="G183" s="252">
        <f>G174-G182</f>
        <v>-24500</v>
      </c>
      <c r="H183" s="72"/>
      <c r="I183" s="9"/>
    </row>
    <row r="184" spans="1:9" x14ac:dyDescent="0.25">
      <c r="A184" s="9"/>
      <c r="B184" s="9"/>
      <c r="C184" s="72"/>
      <c r="D184" s="9"/>
      <c r="E184" s="9"/>
      <c r="I184" s="9"/>
    </row>
    <row r="185" spans="1:9" x14ac:dyDescent="0.25">
      <c r="A185" s="9"/>
      <c r="B185" s="9"/>
      <c r="C185" s="72"/>
      <c r="D185" s="9"/>
      <c r="E185" s="9"/>
      <c r="F185" s="9"/>
      <c r="G185" s="9"/>
      <c r="H185" s="72"/>
      <c r="I185" s="9"/>
    </row>
    <row r="186" spans="1:9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5">
      <c r="A187" s="24"/>
      <c r="B187" s="79"/>
      <c r="C187" s="82" t="s">
        <v>88</v>
      </c>
      <c r="D187" s="80"/>
      <c r="E187" s="80"/>
      <c r="F187" s="79"/>
      <c r="G187" s="9"/>
      <c r="H187" s="9"/>
      <c r="I187" s="9"/>
    </row>
    <row r="188" spans="1:9" x14ac:dyDescent="0.25">
      <c r="A188" s="4"/>
      <c r="B188" s="5"/>
      <c r="C188" s="6" t="s">
        <v>5</v>
      </c>
      <c r="D188" s="6"/>
      <c r="E188" s="5"/>
      <c r="F188" s="4"/>
      <c r="G188" s="9"/>
      <c r="H188" s="9"/>
      <c r="I188" s="9"/>
    </row>
    <row r="189" spans="1:9" ht="23.25" x14ac:dyDescent="0.35">
      <c r="A189" s="4"/>
      <c r="B189" s="52"/>
      <c r="C189" s="9"/>
      <c r="D189" s="260" t="s">
        <v>278</v>
      </c>
      <c r="E189" s="260"/>
      <c r="F189" s="260"/>
      <c r="G189" s="260"/>
      <c r="H189" s="9"/>
      <c r="I189" s="9"/>
    </row>
    <row r="190" spans="1:9" x14ac:dyDescent="0.25">
      <c r="A190" s="9"/>
      <c r="B190" s="9"/>
      <c r="C190" s="95"/>
      <c r="D190" s="95"/>
      <c r="E190" s="96" t="s">
        <v>575</v>
      </c>
      <c r="F190" s="95"/>
      <c r="G190" s="95"/>
      <c r="H190" s="9"/>
      <c r="I190" s="9"/>
    </row>
    <row r="191" spans="1:9" x14ac:dyDescent="0.25">
      <c r="A191" s="12" t="s">
        <v>0</v>
      </c>
      <c r="B191" s="12" t="s">
        <v>32</v>
      </c>
      <c r="C191" s="12" t="s">
        <v>52</v>
      </c>
      <c r="D191" s="22" t="s">
        <v>55</v>
      </c>
      <c r="E191" s="21" t="s">
        <v>1</v>
      </c>
      <c r="F191" s="22" t="s">
        <v>10</v>
      </c>
      <c r="G191" s="21" t="s">
        <v>3</v>
      </c>
      <c r="H191" s="13" t="s">
        <v>13</v>
      </c>
      <c r="I191" s="9"/>
    </row>
    <row r="192" spans="1:9" x14ac:dyDescent="0.25">
      <c r="A192" s="43"/>
      <c r="B192" s="120">
        <v>1</v>
      </c>
      <c r="C192" s="116"/>
      <c r="D192" s="43"/>
      <c r="E192" s="251">
        <v>3500</v>
      </c>
      <c r="F192" s="243">
        <f t="shared" ref="F192:F201" si="8">E192+D192</f>
        <v>3500</v>
      </c>
      <c r="G192" s="252">
        <v>3500</v>
      </c>
      <c r="H192" s="129">
        <f t="shared" ref="H192:H201" si="9">F192-G192</f>
        <v>0</v>
      </c>
      <c r="I192" s="9" t="s">
        <v>107</v>
      </c>
    </row>
    <row r="193" spans="1:9" x14ac:dyDescent="0.25">
      <c r="A193" s="88" t="s">
        <v>280</v>
      </c>
      <c r="B193" s="120">
        <v>2</v>
      </c>
      <c r="C193" s="117"/>
      <c r="D193" s="2"/>
      <c r="E193" s="242">
        <v>3500</v>
      </c>
      <c r="F193" s="243">
        <f t="shared" si="8"/>
        <v>3500</v>
      </c>
      <c r="G193" s="250"/>
      <c r="H193" s="245">
        <f t="shared" si="9"/>
        <v>3500</v>
      </c>
      <c r="I193" s="9"/>
    </row>
    <row r="194" spans="1:9" x14ac:dyDescent="0.25">
      <c r="A194" s="88" t="s">
        <v>21</v>
      </c>
      <c r="B194" s="120">
        <v>3</v>
      </c>
      <c r="C194" s="44"/>
      <c r="D194" s="43"/>
      <c r="E194" s="223"/>
      <c r="F194" s="47">
        <f t="shared" si="8"/>
        <v>0</v>
      </c>
      <c r="G194" s="56"/>
      <c r="H194" s="129">
        <f t="shared" si="9"/>
        <v>0</v>
      </c>
      <c r="I194" s="9"/>
    </row>
    <row r="195" spans="1:9" x14ac:dyDescent="0.25">
      <c r="A195" s="88" t="s">
        <v>515</v>
      </c>
      <c r="B195" s="120">
        <v>4</v>
      </c>
      <c r="C195" s="44"/>
      <c r="D195" s="43"/>
      <c r="E195" s="242">
        <v>2000</v>
      </c>
      <c r="F195" s="243">
        <f t="shared" si="8"/>
        <v>2000</v>
      </c>
      <c r="G195" s="250">
        <v>2000</v>
      </c>
      <c r="H195" s="129">
        <f t="shared" si="9"/>
        <v>0</v>
      </c>
      <c r="I195" s="9" t="s">
        <v>107</v>
      </c>
    </row>
    <row r="196" spans="1:9" x14ac:dyDescent="0.25">
      <c r="A196" s="43" t="s">
        <v>21</v>
      </c>
      <c r="B196" s="120">
        <v>5</v>
      </c>
      <c r="C196" s="44"/>
      <c r="D196" s="44"/>
      <c r="E196" s="223">
        <v>0</v>
      </c>
      <c r="F196" s="47">
        <f t="shared" si="8"/>
        <v>0</v>
      </c>
      <c r="G196" s="46"/>
      <c r="H196" s="129">
        <f t="shared" si="9"/>
        <v>0</v>
      </c>
      <c r="I196" s="9"/>
    </row>
    <row r="197" spans="1:9" x14ac:dyDescent="0.25">
      <c r="A197" s="43" t="s">
        <v>284</v>
      </c>
      <c r="B197" s="120">
        <v>6</v>
      </c>
      <c r="C197" s="189"/>
      <c r="D197" s="44"/>
      <c r="E197" s="242">
        <v>3500</v>
      </c>
      <c r="F197" s="243">
        <f t="shared" si="8"/>
        <v>3500</v>
      </c>
      <c r="G197" s="244">
        <v>3000</v>
      </c>
      <c r="H197" s="245">
        <f t="shared" si="9"/>
        <v>500</v>
      </c>
      <c r="I197" s="9" t="s">
        <v>107</v>
      </c>
    </row>
    <row r="198" spans="1:9" x14ac:dyDescent="0.25">
      <c r="A198" s="45" t="s">
        <v>538</v>
      </c>
      <c r="B198" s="148">
        <v>7</v>
      </c>
      <c r="C198" s="9"/>
      <c r="D198" s="44"/>
      <c r="E198" s="258">
        <v>3500</v>
      </c>
      <c r="F198" s="43">
        <f t="shared" si="8"/>
        <v>3500</v>
      </c>
      <c r="G198" s="43">
        <v>3000</v>
      </c>
      <c r="H198" s="245">
        <f t="shared" si="9"/>
        <v>500</v>
      </c>
      <c r="I198" s="9"/>
    </row>
    <row r="199" spans="1:9" x14ac:dyDescent="0.25">
      <c r="A199" s="43" t="s">
        <v>539</v>
      </c>
      <c r="B199" s="120">
        <v>8</v>
      </c>
      <c r="C199" s="44"/>
      <c r="D199" s="44"/>
      <c r="E199" s="248">
        <v>3500</v>
      </c>
      <c r="F199" s="247">
        <f t="shared" si="8"/>
        <v>3500</v>
      </c>
      <c r="G199" s="249">
        <v>3500</v>
      </c>
      <c r="H199" s="129">
        <f t="shared" si="9"/>
        <v>0</v>
      </c>
      <c r="I199" s="9" t="s">
        <v>107</v>
      </c>
    </row>
    <row r="200" spans="1:9" x14ac:dyDescent="0.25">
      <c r="A200" s="47" t="s">
        <v>21</v>
      </c>
      <c r="B200" s="120">
        <v>9</v>
      </c>
      <c r="C200" s="48"/>
      <c r="D200" s="46"/>
      <c r="E200" s="223">
        <v>0</v>
      </c>
      <c r="F200" s="105">
        <f t="shared" si="8"/>
        <v>0</v>
      </c>
      <c r="G200" s="46"/>
      <c r="H200" s="129">
        <f t="shared" si="9"/>
        <v>0</v>
      </c>
      <c r="I200" s="9"/>
    </row>
    <row r="201" spans="1:9" x14ac:dyDescent="0.25">
      <c r="A201" s="44"/>
      <c r="B201" s="120">
        <v>10</v>
      </c>
      <c r="C201" s="44"/>
      <c r="D201" s="44"/>
      <c r="E201" s="225"/>
      <c r="F201" s="44">
        <f t="shared" si="8"/>
        <v>0</v>
      </c>
      <c r="G201" s="44"/>
      <c r="H201" s="129">
        <f t="shared" si="9"/>
        <v>0</v>
      </c>
      <c r="I201" s="9"/>
    </row>
    <row r="202" spans="1:9" x14ac:dyDescent="0.25">
      <c r="A202" s="45" t="s">
        <v>137</v>
      </c>
      <c r="B202" s="9"/>
      <c r="C202" s="44"/>
      <c r="D202" s="44"/>
      <c r="E202" s="246">
        <f>SUM(E192:E201)</f>
        <v>19500</v>
      </c>
      <c r="F202" s="243"/>
      <c r="G202" s="247">
        <f>SUM(G192:G201)</f>
        <v>15000</v>
      </c>
      <c r="H202" s="245">
        <f>SUM(H192:H201)</f>
        <v>4500</v>
      </c>
      <c r="I202" s="9"/>
    </row>
    <row r="203" spans="1:9" x14ac:dyDescent="0.25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100" t="s">
        <v>60</v>
      </c>
      <c r="C204" s="101"/>
      <c r="D204" s="253">
        <f>E202</f>
        <v>19500</v>
      </c>
      <c r="E204" s="102"/>
      <c r="F204" s="100" t="s">
        <v>60</v>
      </c>
      <c r="G204" s="101"/>
      <c r="H204" s="255">
        <f>G202</f>
        <v>15000</v>
      </c>
      <c r="I204" s="9"/>
    </row>
    <row r="205" spans="1:9" x14ac:dyDescent="0.25">
      <c r="A205" s="9"/>
      <c r="B205" s="9"/>
      <c r="C205" s="101"/>
      <c r="D205" s="128">
        <v>0.1</v>
      </c>
      <c r="E205" s="104"/>
      <c r="F205" s="9"/>
      <c r="G205" s="186">
        <v>0.1</v>
      </c>
      <c r="H205" s="256"/>
      <c r="I205" s="9"/>
    </row>
    <row r="206" spans="1:9" x14ac:dyDescent="0.25">
      <c r="A206" s="9"/>
      <c r="B206" s="103" t="s">
        <v>347</v>
      </c>
      <c r="C206" s="101"/>
      <c r="D206" s="253">
        <f>D204*D205</f>
        <v>1950</v>
      </c>
      <c r="E206" s="72"/>
      <c r="F206" s="103" t="s">
        <v>343</v>
      </c>
      <c r="G206" s="101"/>
      <c r="H206" s="147"/>
      <c r="I206" s="9"/>
    </row>
    <row r="207" spans="1:9" x14ac:dyDescent="0.25">
      <c r="A207" s="9"/>
      <c r="B207" s="103" t="s">
        <v>229</v>
      </c>
      <c r="C207" s="101"/>
      <c r="D207" s="97"/>
      <c r="E207" s="72"/>
      <c r="F207" s="103"/>
      <c r="G207" s="101"/>
      <c r="H207" s="147">
        <f>SUM(H204:H206)</f>
        <v>15000</v>
      </c>
      <c r="I207" s="9"/>
    </row>
    <row r="208" spans="1:9" x14ac:dyDescent="0.25">
      <c r="A208" s="9"/>
      <c r="B208" s="67" t="s">
        <v>58</v>
      </c>
      <c r="C208" s="9"/>
      <c r="D208" s="9"/>
      <c r="E208" s="9"/>
      <c r="F208" s="9"/>
      <c r="G208" s="9"/>
      <c r="H208" s="147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147"/>
      <c r="I209" s="9"/>
    </row>
    <row r="210" spans="1:9" x14ac:dyDescent="0.25">
      <c r="A210" s="9"/>
      <c r="B210" s="103" t="s">
        <v>196</v>
      </c>
      <c r="C210" s="9"/>
      <c r="D210" s="252">
        <f>D204*D205</f>
        <v>1950</v>
      </c>
      <c r="E210" s="104">
        <f>E204*D205</f>
        <v>0</v>
      </c>
      <c r="F210" s="9" t="s">
        <v>68</v>
      </c>
      <c r="G210" s="9"/>
      <c r="H210" s="256">
        <f>D206</f>
        <v>1950</v>
      </c>
      <c r="I210" s="9"/>
    </row>
    <row r="211" spans="1:9" x14ac:dyDescent="0.25">
      <c r="A211" s="9"/>
      <c r="B211" s="136"/>
      <c r="C211" s="17"/>
      <c r="D211" s="254">
        <v>12000</v>
      </c>
      <c r="E211" s="34"/>
      <c r="F211" s="136" t="s">
        <v>378</v>
      </c>
      <c r="G211" s="17"/>
      <c r="H211" s="257">
        <f>G192+G195+G197+G199</f>
        <v>12000</v>
      </c>
      <c r="I211" s="9"/>
    </row>
    <row r="212" spans="1:9" x14ac:dyDescent="0.25">
      <c r="A212" s="9"/>
      <c r="B212" s="136"/>
      <c r="C212" s="17"/>
      <c r="D212" s="254">
        <v>1050</v>
      </c>
      <c r="E212" s="34"/>
      <c r="F212" s="136">
        <v>43119</v>
      </c>
      <c r="G212" s="17"/>
      <c r="H212" s="257">
        <v>1050</v>
      </c>
      <c r="I212" s="9"/>
    </row>
    <row r="213" spans="1:9" x14ac:dyDescent="0.25">
      <c r="A213" s="9"/>
      <c r="B213" s="9" t="s">
        <v>2</v>
      </c>
      <c r="C213" s="9"/>
      <c r="D213" s="252">
        <f>SUM(D210:D212)</f>
        <v>15000</v>
      </c>
      <c r="E213" s="9"/>
      <c r="F213" s="9" t="s">
        <v>2</v>
      </c>
      <c r="G213" s="9"/>
      <c r="H213" s="147">
        <f>SUM(H210:H212)</f>
        <v>15000</v>
      </c>
      <c r="I213" s="9"/>
    </row>
    <row r="214" spans="1:9" x14ac:dyDescent="0.25">
      <c r="A214" s="9"/>
      <c r="B214" s="9"/>
      <c r="C214" s="9"/>
      <c r="D214" s="252"/>
      <c r="E214" s="9"/>
      <c r="F214" s="9"/>
      <c r="G214" s="9"/>
      <c r="H214" s="72"/>
      <c r="I214" s="9"/>
    </row>
    <row r="215" spans="1:9" x14ac:dyDescent="0.25">
      <c r="A215" s="9"/>
      <c r="B215" s="36" t="s">
        <v>355</v>
      </c>
      <c r="C215" s="9"/>
      <c r="D215" s="252">
        <f>D204-D213</f>
        <v>4500</v>
      </c>
      <c r="E215" s="72"/>
      <c r="F215" s="36" t="s">
        <v>355</v>
      </c>
      <c r="G215" s="9"/>
      <c r="H215" s="72">
        <f>H207-H213</f>
        <v>0</v>
      </c>
      <c r="I215" s="9"/>
    </row>
    <row r="216" spans="1:9" x14ac:dyDescent="0.25">
      <c r="A216" s="9"/>
      <c r="B216" s="36"/>
      <c r="C216" s="9"/>
      <c r="D216" s="9"/>
      <c r="E216" s="72"/>
      <c r="F216" s="36"/>
      <c r="G216" s="9"/>
      <c r="H216" s="72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73" workbookViewId="0">
      <selection activeCell="B173" sqref="B173"/>
    </sheetView>
  </sheetViews>
  <sheetFormatPr defaultRowHeight="15" x14ac:dyDescent="0.25"/>
  <cols>
    <col min="1" max="1" width="16.42578125" style="9" customWidth="1"/>
    <col min="2" max="2" width="9.140625" style="9"/>
    <col min="3" max="3" width="10.5703125" style="9" customWidth="1"/>
    <col min="4" max="4" width="9.85546875" style="9" customWidth="1"/>
    <col min="5" max="5" width="11.7109375" style="9" customWidth="1"/>
    <col min="6" max="6" width="12.85546875" style="9" customWidth="1"/>
    <col min="7" max="7" width="11" style="9" customWidth="1"/>
    <col min="8" max="8" width="10.42578125" style="9" customWidth="1"/>
    <col min="9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583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2000</v>
      </c>
      <c r="H4" s="249">
        <f>F4-G4</f>
        <v>7500</v>
      </c>
    </row>
    <row r="5" spans="1:8" x14ac:dyDescent="0.25">
      <c r="A5" s="43" t="s">
        <v>525</v>
      </c>
      <c r="B5" s="3">
        <v>2</v>
      </c>
      <c r="C5" s="44"/>
      <c r="D5" s="44">
        <v>500</v>
      </c>
      <c r="E5" s="244">
        <v>2000</v>
      </c>
      <c r="F5" s="244">
        <f t="shared" ref="F5:F15" si="0">D5+E5</f>
        <v>2500</v>
      </c>
      <c r="G5" s="244">
        <v>2500</v>
      </c>
      <c r="H5" s="249">
        <f t="shared" ref="H5:H15" si="1">F5-G5</f>
        <v>0</v>
      </c>
    </row>
    <row r="6" spans="1:8" x14ac:dyDescent="0.25">
      <c r="A6" s="43" t="s">
        <v>21</v>
      </c>
      <c r="B6" s="3"/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</row>
    <row r="8" spans="1:8" x14ac:dyDescent="0.25">
      <c r="A8" s="45" t="s">
        <v>366</v>
      </c>
      <c r="B8" s="3">
        <v>5</v>
      </c>
      <c r="C8" s="44"/>
      <c r="D8" s="43">
        <v>10300</v>
      </c>
      <c r="E8" s="244">
        <v>2000</v>
      </c>
      <c r="F8" s="244">
        <f t="shared" si="0"/>
        <v>12300</v>
      </c>
      <c r="G8" s="244">
        <v>4100</v>
      </c>
      <c r="H8" s="249">
        <f t="shared" si="1"/>
        <v>8200</v>
      </c>
    </row>
    <row r="9" spans="1:8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</row>
    <row r="16" spans="1:8" x14ac:dyDescent="0.25">
      <c r="A16" s="47"/>
      <c r="B16" s="16"/>
      <c r="C16" s="48"/>
      <c r="D16" s="46">
        <f>SUM(D4:D15)</f>
        <v>37500</v>
      </c>
      <c r="E16" s="244">
        <f>SUM(E4:E15)</f>
        <v>14000</v>
      </c>
      <c r="F16" s="244">
        <f>D16+E16</f>
        <v>51500</v>
      </c>
      <c r="G16" s="244">
        <f>SUM(G4:G15)</f>
        <v>16100</v>
      </c>
      <c r="H16" s="249">
        <f>SUM(H4:H15)</f>
        <v>35400</v>
      </c>
    </row>
    <row r="17" spans="1:9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</row>
    <row r="18" spans="1:9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16100</v>
      </c>
    </row>
    <row r="19" spans="1:9" ht="15.75" x14ac:dyDescent="0.25">
      <c r="A19" s="239" t="s">
        <v>347</v>
      </c>
      <c r="B19" s="345"/>
      <c r="C19" s="44"/>
      <c r="D19" s="339">
        <f>'FEB18'!D31</f>
        <v>-1400</v>
      </c>
      <c r="E19" s="44"/>
      <c r="F19" s="126" t="s">
        <v>347</v>
      </c>
      <c r="G19" s="105">
        <f>'FEB18'!G31</f>
        <v>-26200</v>
      </c>
    </row>
    <row r="20" spans="1:9" x14ac:dyDescent="0.25">
      <c r="A20" s="239"/>
      <c r="B20" s="345"/>
      <c r="C20" s="44"/>
      <c r="D20" s="339">
        <f>D18+D19</f>
        <v>12600</v>
      </c>
      <c r="E20" s="49"/>
      <c r="F20" s="49" t="s">
        <v>63</v>
      </c>
      <c r="G20" s="247">
        <f>SUM(G18:G19)</f>
        <v>-10100</v>
      </c>
    </row>
    <row r="21" spans="1:9" x14ac:dyDescent="0.25">
      <c r="A21" s="346" t="s">
        <v>58</v>
      </c>
      <c r="B21" s="44"/>
      <c r="C21" s="44"/>
      <c r="D21" s="247"/>
      <c r="E21" s="346" t="s">
        <v>58</v>
      </c>
      <c r="G21" s="44"/>
    </row>
    <row r="22" spans="1:9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I22" s="9">
        <v>7</v>
      </c>
    </row>
    <row r="23" spans="1:9" x14ac:dyDescent="0.25">
      <c r="A23" s="350" t="s">
        <v>191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</row>
    <row r="24" spans="1:9" x14ac:dyDescent="0.25">
      <c r="A24" s="351">
        <v>43172</v>
      </c>
      <c r="B24" s="44"/>
      <c r="C24" s="44"/>
      <c r="D24" s="247">
        <v>7900</v>
      </c>
      <c r="E24" s="348">
        <v>43172</v>
      </c>
      <c r="F24" s="44"/>
      <c r="G24" s="105">
        <v>7900</v>
      </c>
    </row>
    <row r="25" spans="1:9" x14ac:dyDescent="0.25">
      <c r="A25" s="348"/>
      <c r="B25" s="44"/>
      <c r="C25" s="44"/>
      <c r="D25" s="247"/>
      <c r="E25" s="44"/>
      <c r="F25" s="347"/>
      <c r="G25" s="105"/>
    </row>
    <row r="26" spans="1:9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</row>
    <row r="27" spans="1:9" x14ac:dyDescent="0.25">
      <c r="A27" s="349" t="s">
        <v>165</v>
      </c>
      <c r="B27" s="44"/>
      <c r="C27" s="44"/>
      <c r="D27" s="247">
        <f>D20-D26</f>
        <v>-700</v>
      </c>
      <c r="E27" s="44" t="s">
        <v>165</v>
      </c>
      <c r="F27" s="44"/>
      <c r="G27" s="105">
        <f>G20-G26</f>
        <v>-23400</v>
      </c>
    </row>
    <row r="28" spans="1:9" x14ac:dyDescent="0.25">
      <c r="G28" s="72"/>
    </row>
    <row r="29" spans="1:9" x14ac:dyDescent="0.25">
      <c r="A29" s="18" t="s">
        <v>109</v>
      </c>
      <c r="B29" s="19"/>
      <c r="C29" s="18" t="s">
        <v>93</v>
      </c>
      <c r="D29" s="72"/>
    </row>
    <row r="30" spans="1:9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294" t="s">
        <v>97</v>
      </c>
      <c r="D33" s="294"/>
      <c r="E33" s="294"/>
      <c r="F33" s="294"/>
      <c r="G33" s="294"/>
    </row>
    <row r="34" spans="1:8" x14ac:dyDescent="0.25">
      <c r="B34" s="95"/>
      <c r="D34" s="96" t="s">
        <v>589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4000</v>
      </c>
      <c r="E42" s="265">
        <v>3000</v>
      </c>
      <c r="F42" s="244">
        <f t="shared" si="2"/>
        <v>7000</v>
      </c>
      <c r="G42" s="266">
        <v>5500</v>
      </c>
      <c r="H42" s="247">
        <f t="shared" si="3"/>
        <v>1500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4000</v>
      </c>
      <c r="E49" s="247">
        <f>SUM(E36:E48)</f>
        <v>8000</v>
      </c>
      <c r="F49" s="247">
        <f>SUM(F37:F48)</f>
        <v>12000</v>
      </c>
      <c r="G49" s="247">
        <f>SUM(G36:G48)</f>
        <v>5500</v>
      </c>
      <c r="H49" s="247">
        <f>SUM(H37:H48)</f>
        <v>6500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5500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/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5500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550</v>
      </c>
    </row>
    <row r="55" spans="1:8" x14ac:dyDescent="0.25">
      <c r="A55" s="136"/>
      <c r="D55" s="72"/>
      <c r="E55" s="136">
        <v>43175</v>
      </c>
      <c r="F55" s="93"/>
      <c r="H55" s="333">
        <v>1350</v>
      </c>
    </row>
    <row r="56" spans="1:8" x14ac:dyDescent="0.25">
      <c r="E56" s="93">
        <v>43181</v>
      </c>
      <c r="H56" s="252">
        <v>1800</v>
      </c>
    </row>
    <row r="57" spans="1:8" x14ac:dyDescent="0.25">
      <c r="A57" s="36"/>
      <c r="D57" s="72"/>
      <c r="E57" s="136">
        <v>43186</v>
      </c>
      <c r="H57" s="252">
        <v>1800</v>
      </c>
    </row>
    <row r="58" spans="1:8" ht="15.75" x14ac:dyDescent="0.25">
      <c r="A58" s="36"/>
      <c r="D58" s="72"/>
      <c r="E58" s="289" t="s">
        <v>2</v>
      </c>
      <c r="H58" s="252">
        <f>SUM(H54:H57)</f>
        <v>5500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583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3500</v>
      </c>
      <c r="D65" s="244">
        <v>3500</v>
      </c>
      <c r="E65" s="247">
        <f>C65+D65</f>
        <v>7000</v>
      </c>
      <c r="F65" s="44"/>
      <c r="G65" s="334">
        <f>E65-F65</f>
        <v>7000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3500</v>
      </c>
      <c r="D69" s="250">
        <f>SUM(D64:D68)</f>
        <v>7000</v>
      </c>
      <c r="E69" s="301">
        <f>SUM(E64:E68)</f>
        <v>10500</v>
      </c>
      <c r="F69" s="191">
        <f>SUM(F64:F68)</f>
        <v>0</v>
      </c>
      <c r="G69" s="335">
        <f>SUM(G64:G68)</f>
        <v>10500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'FEB18'!G98</f>
        <v>-3350</v>
      </c>
    </row>
    <row r="74" spans="1:8" x14ac:dyDescent="0.25">
      <c r="A74" s="9" t="s">
        <v>196</v>
      </c>
      <c r="C74" s="83">
        <v>0.1</v>
      </c>
      <c r="G74" s="9">
        <f>SUM(G72:G73)</f>
        <v>-3350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>
        <v>43168</v>
      </c>
      <c r="G78" s="147">
        <v>3100</v>
      </c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3800</v>
      </c>
    </row>
    <row r="80" spans="1:8" x14ac:dyDescent="0.25">
      <c r="E80" s="91"/>
      <c r="G80" s="147">
        <f>G74-G79</f>
        <v>-7150</v>
      </c>
    </row>
    <row r="82" spans="1:8" ht="18.75" x14ac:dyDescent="0.3">
      <c r="A82" s="5" t="s">
        <v>92</v>
      </c>
      <c r="B82" s="19"/>
      <c r="C82" s="236" t="s">
        <v>4</v>
      </c>
      <c r="E82" s="81"/>
      <c r="F82" s="19"/>
    </row>
    <row r="83" spans="1:8" ht="23.25" x14ac:dyDescent="0.35">
      <c r="A83" s="4"/>
      <c r="B83" s="237" t="s">
        <v>97</v>
      </c>
      <c r="D83" s="238" t="s">
        <v>292</v>
      </c>
      <c r="E83" s="294"/>
      <c r="F83" s="294"/>
    </row>
    <row r="84" spans="1:8" x14ac:dyDescent="0.25">
      <c r="C84" s="95"/>
      <c r="D84" s="96" t="s">
        <v>584</v>
      </c>
      <c r="F84" s="95"/>
      <c r="G84" s="95"/>
    </row>
    <row r="85" spans="1:8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</row>
    <row r="86" spans="1:8" x14ac:dyDescent="0.25">
      <c r="A86" s="62" t="s">
        <v>317</v>
      </c>
      <c r="B86" s="120">
        <v>1</v>
      </c>
      <c r="C86" s="116"/>
      <c r="D86" s="201">
        <v>13500</v>
      </c>
      <c r="E86" s="269">
        <v>4500</v>
      </c>
      <c r="F86" s="269">
        <f>D86+E86</f>
        <v>18000</v>
      </c>
      <c r="G86" s="270"/>
      <c r="H86" s="271">
        <f>F86-G86</f>
        <v>18000</v>
      </c>
    </row>
    <row r="87" spans="1:8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</row>
    <row r="88" spans="1:8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</row>
    <row r="89" spans="1:8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</row>
    <row r="90" spans="1:8" x14ac:dyDescent="0.25">
      <c r="A90" s="62" t="s">
        <v>607</v>
      </c>
      <c r="B90" s="120">
        <v>5</v>
      </c>
      <c r="C90" s="117"/>
      <c r="D90" s="198">
        <v>900</v>
      </c>
      <c r="E90" s="272">
        <v>2500</v>
      </c>
      <c r="F90" s="269">
        <f t="shared" si="4"/>
        <v>3400</v>
      </c>
      <c r="G90" s="272"/>
      <c r="H90" s="271">
        <f t="shared" si="5"/>
        <v>3400</v>
      </c>
    </row>
    <row r="91" spans="1:8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</row>
    <row r="92" spans="1:8" x14ac:dyDescent="0.25">
      <c r="A92" s="62" t="s">
        <v>245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</row>
    <row r="93" spans="1:8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</row>
    <row r="94" spans="1:8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</row>
    <row r="95" spans="1:8" x14ac:dyDescent="0.25">
      <c r="A95" s="296" t="s">
        <v>504</v>
      </c>
      <c r="B95" s="120">
        <v>10</v>
      </c>
      <c r="D95" s="198">
        <v>200</v>
      </c>
      <c r="E95" s="277">
        <v>2500</v>
      </c>
      <c r="F95" s="269">
        <f t="shared" si="4"/>
        <v>2700</v>
      </c>
      <c r="G95" s="276">
        <v>2500</v>
      </c>
      <c r="H95" s="271">
        <f>F95-G95</f>
        <v>200</v>
      </c>
    </row>
    <row r="96" spans="1:8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</row>
    <row r="97" spans="1:13" x14ac:dyDescent="0.25">
      <c r="A97" s="62" t="s">
        <v>328</v>
      </c>
      <c r="B97" s="120">
        <v>12</v>
      </c>
      <c r="C97" s="119"/>
      <c r="D97" s="198">
        <v>3500</v>
      </c>
      <c r="E97" s="276">
        <v>2500</v>
      </c>
      <c r="F97" s="269">
        <f t="shared" si="4"/>
        <v>6000</v>
      </c>
      <c r="G97" s="276"/>
      <c r="H97" s="271">
        <f t="shared" si="5"/>
        <v>6000</v>
      </c>
    </row>
    <row r="98" spans="1:13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</row>
    <row r="99" spans="1:13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</row>
    <row r="100" spans="1:13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2500</v>
      </c>
      <c r="H100" s="271">
        <f t="shared" si="5"/>
        <v>0</v>
      </c>
    </row>
    <row r="101" spans="1:13" x14ac:dyDescent="0.25">
      <c r="A101" s="62" t="s">
        <v>21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</row>
    <row r="102" spans="1:13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</row>
    <row r="103" spans="1:13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</row>
    <row r="104" spans="1:13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</row>
    <row r="105" spans="1:13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</row>
    <row r="106" spans="1:13" x14ac:dyDescent="0.25">
      <c r="A106" s="138"/>
      <c r="B106" s="138"/>
      <c r="C106" s="138"/>
      <c r="D106" s="138"/>
      <c r="E106" s="280">
        <f>SUM('MARCH 18'!E86:E105)</f>
        <v>39700</v>
      </c>
      <c r="F106" s="243">
        <f>D106+E106</f>
        <v>39700</v>
      </c>
      <c r="G106" s="280">
        <f>SUM(G86:G105)</f>
        <v>30200</v>
      </c>
      <c r="H106" s="280">
        <f>SUM(H86:H105)</f>
        <v>30600</v>
      </c>
    </row>
    <row r="107" spans="1:13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</row>
    <row r="108" spans="1:13" x14ac:dyDescent="0.25">
      <c r="A108" s="347" t="s">
        <v>60</v>
      </c>
      <c r="B108" s="352"/>
      <c r="C108" s="113"/>
      <c r="D108" s="353">
        <f>E106</f>
        <v>39700</v>
      </c>
      <c r="E108" s="347"/>
      <c r="F108" s="347" t="s">
        <v>60</v>
      </c>
      <c r="G108" s="300">
        <f>G106</f>
        <v>30200</v>
      </c>
      <c r="H108" s="267"/>
    </row>
    <row r="109" spans="1:13" x14ac:dyDescent="0.25">
      <c r="A109" s="329" t="s">
        <v>347</v>
      </c>
      <c r="B109" s="354"/>
      <c r="C109" s="191"/>
      <c r="D109" s="339">
        <f>'FEB18'!D137</f>
        <v>3600</v>
      </c>
      <c r="E109" s="329"/>
      <c r="F109" s="329" t="s">
        <v>347</v>
      </c>
      <c r="G109" s="191">
        <f>'FEB18'!G137</f>
        <v>-33135</v>
      </c>
      <c r="H109" s="268"/>
      <c r="M109" s="252">
        <f>SUM(D108:D110)</f>
        <v>86600</v>
      </c>
    </row>
    <row r="110" spans="1:13" x14ac:dyDescent="0.25">
      <c r="A110" s="329" t="s">
        <v>2</v>
      </c>
      <c r="B110" s="354"/>
      <c r="C110" s="191"/>
      <c r="D110" s="247">
        <f>SUM(D108:D109)</f>
        <v>43300</v>
      </c>
      <c r="E110" s="329"/>
      <c r="F110" s="329" t="s">
        <v>2</v>
      </c>
      <c r="G110" s="301">
        <f>SUM(G108:G109)</f>
        <v>-2935</v>
      </c>
      <c r="H110" s="252"/>
    </row>
    <row r="111" spans="1:13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</row>
    <row r="112" spans="1:13" x14ac:dyDescent="0.25">
      <c r="A112" s="344" t="s">
        <v>22</v>
      </c>
      <c r="B112" s="345"/>
      <c r="C112" s="44"/>
      <c r="D112" s="340">
        <f>SUM(D108*10%)</f>
        <v>3970</v>
      </c>
      <c r="E112" s="344"/>
      <c r="F112" s="344" t="s">
        <v>22</v>
      </c>
      <c r="G112" s="247">
        <f>D112</f>
        <v>3970</v>
      </c>
      <c r="H112" s="254"/>
    </row>
    <row r="113" spans="1:14" x14ac:dyDescent="0.25">
      <c r="A113" s="311">
        <v>43164</v>
      </c>
      <c r="B113" s="345"/>
      <c r="C113" s="44"/>
      <c r="D113" s="340">
        <v>10000</v>
      </c>
      <c r="E113" s="44"/>
      <c r="F113" s="311">
        <v>43164</v>
      </c>
      <c r="G113" s="340">
        <v>10000</v>
      </c>
      <c r="N113" s="72">
        <f>M109-D118</f>
        <v>44110</v>
      </c>
    </row>
    <row r="114" spans="1:14" x14ac:dyDescent="0.25">
      <c r="A114" s="311" t="s">
        <v>593</v>
      </c>
      <c r="B114" s="44"/>
      <c r="C114" s="44"/>
      <c r="D114" s="247">
        <v>1600</v>
      </c>
      <c r="E114" s="44"/>
      <c r="F114" s="311"/>
      <c r="G114" s="247"/>
    </row>
    <row r="115" spans="1:14" x14ac:dyDescent="0.25">
      <c r="A115" s="311">
        <v>43175</v>
      </c>
      <c r="B115" s="44"/>
      <c r="C115" s="44"/>
      <c r="D115" s="247">
        <v>20000</v>
      </c>
      <c r="E115" s="44"/>
      <c r="F115" s="311">
        <v>43175</v>
      </c>
      <c r="G115" s="247">
        <v>20000</v>
      </c>
    </row>
    <row r="116" spans="1:14" x14ac:dyDescent="0.25">
      <c r="A116" s="310">
        <v>43181</v>
      </c>
      <c r="B116" s="44"/>
      <c r="C116" s="44"/>
      <c r="D116" s="247">
        <v>6920</v>
      </c>
      <c r="E116" s="44"/>
      <c r="F116" s="310">
        <v>43181</v>
      </c>
      <c r="G116" s="247">
        <v>6920</v>
      </c>
      <c r="H116" s="90"/>
    </row>
    <row r="117" spans="1:14" x14ac:dyDescent="0.25">
      <c r="A117" s="44"/>
      <c r="B117" s="44"/>
      <c r="C117" s="44"/>
      <c r="D117" s="247"/>
      <c r="E117" s="344"/>
      <c r="F117" s="44"/>
      <c r="G117" s="44"/>
      <c r="H117" s="252"/>
    </row>
    <row r="118" spans="1:14" x14ac:dyDescent="0.25">
      <c r="A118" s="344" t="s">
        <v>2</v>
      </c>
      <c r="B118" s="44"/>
      <c r="C118" s="44"/>
      <c r="D118" s="247">
        <f>SUM(D112:D117)</f>
        <v>42490</v>
      </c>
      <c r="E118" s="344"/>
      <c r="F118" s="344" t="s">
        <v>2</v>
      </c>
      <c r="G118" s="247">
        <f>SUM(G112:G117)</f>
        <v>40890</v>
      </c>
      <c r="H118" s="252"/>
    </row>
    <row r="119" spans="1:14" x14ac:dyDescent="0.25">
      <c r="A119" s="344" t="s">
        <v>165</v>
      </c>
      <c r="B119" s="44"/>
      <c r="C119" s="44"/>
      <c r="D119" s="247">
        <f>D110-D118</f>
        <v>810</v>
      </c>
      <c r="E119" s="344"/>
      <c r="F119" s="344" t="s">
        <v>165</v>
      </c>
      <c r="G119" s="247">
        <f>G110-G118</f>
        <v>-43825</v>
      </c>
      <c r="H119" s="252"/>
    </row>
    <row r="120" spans="1:14" x14ac:dyDescent="0.25">
      <c r="B120" s="19"/>
      <c r="C120" s="19"/>
      <c r="D120" s="81"/>
      <c r="E120" s="81"/>
      <c r="F120" s="19"/>
    </row>
    <row r="121" spans="1:14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</row>
    <row r="122" spans="1:14" ht="17.2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</row>
    <row r="123" spans="1:14" ht="17.25" customHeight="1" x14ac:dyDescent="0.45">
      <c r="A123" s="94"/>
      <c r="B123" s="314"/>
      <c r="C123" s="52" t="s">
        <v>598</v>
      </c>
      <c r="D123" s="315"/>
      <c r="E123" s="315"/>
      <c r="F123" s="314"/>
      <c r="G123" s="314"/>
      <c r="H123" s="305"/>
    </row>
    <row r="124" spans="1:14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</row>
    <row r="125" spans="1:14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</row>
    <row r="126" spans="1:14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</row>
    <row r="127" spans="1:14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</row>
    <row r="128" spans="1:14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>
        <v>2000</v>
      </c>
      <c r="H128" s="245">
        <f t="shared" si="6"/>
        <v>0</v>
      </c>
    </row>
    <row r="129" spans="1:9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</row>
    <row r="130" spans="1:9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>
        <v>4000</v>
      </c>
      <c r="H130" s="245">
        <f t="shared" si="6"/>
        <v>0</v>
      </c>
    </row>
    <row r="131" spans="1:9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</row>
    <row r="132" spans="1:9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</row>
    <row r="133" spans="1:9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>
        <v>4000</v>
      </c>
      <c r="H133" s="245">
        <f t="shared" si="6"/>
        <v>0</v>
      </c>
    </row>
    <row r="134" spans="1:9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>
        <v>4000</v>
      </c>
      <c r="H134" s="245">
        <f t="shared" si="6"/>
        <v>0</v>
      </c>
    </row>
    <row r="135" spans="1:9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</row>
    <row r="136" spans="1:9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>
        <v>4000</v>
      </c>
      <c r="H136" s="245">
        <f t="shared" si="6"/>
        <v>0</v>
      </c>
    </row>
    <row r="137" spans="1:9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 t="s">
        <v>107</v>
      </c>
    </row>
    <row r="138" spans="1:9" x14ac:dyDescent="0.25">
      <c r="A138" s="240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>
        <v>4000</v>
      </c>
      <c r="H138" s="245">
        <f t="shared" si="6"/>
        <v>-4000</v>
      </c>
      <c r="I138" s="9" t="s">
        <v>107</v>
      </c>
    </row>
    <row r="139" spans="1:9" x14ac:dyDescent="0.25">
      <c r="A139" s="240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</row>
    <row r="140" spans="1:9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>
        <v>2000</v>
      </c>
      <c r="H140" s="245">
        <f t="shared" si="6"/>
        <v>0</v>
      </c>
      <c r="I140" s="9" t="s">
        <v>107</v>
      </c>
    </row>
    <row r="141" spans="1:9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</row>
    <row r="142" spans="1:9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>
        <v>2000</v>
      </c>
      <c r="H142" s="245">
        <f t="shared" si="6"/>
        <v>0</v>
      </c>
    </row>
    <row r="143" spans="1:9" x14ac:dyDescent="0.25">
      <c r="A143" s="62" t="s">
        <v>434</v>
      </c>
      <c r="B143" s="120">
        <v>19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</row>
    <row r="144" spans="1:9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/>
      <c r="H147" s="288">
        <f t="shared" si="6"/>
        <v>4000</v>
      </c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>
        <v>4500</v>
      </c>
      <c r="H148" s="245">
        <f t="shared" si="6"/>
        <v>0</v>
      </c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>
        <v>4000</v>
      </c>
      <c r="H149" s="245">
        <f t="shared" si="6"/>
        <v>0</v>
      </c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>
        <v>2000</v>
      </c>
      <c r="H150" s="245">
        <f t="shared" si="6"/>
        <v>2000</v>
      </c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</row>
    <row r="152" spans="1:10" x14ac:dyDescent="0.25">
      <c r="A152" s="44"/>
      <c r="B152" s="120"/>
      <c r="C152" s="44"/>
      <c r="D152" s="44">
        <f>SUM(D125:D151)</f>
        <v>4000</v>
      </c>
      <c r="E152" s="263">
        <f>SUM(E125:E151)</f>
        <v>52500</v>
      </c>
      <c r="F152" s="262">
        <f>SUM(F125:F151)</f>
        <v>56500</v>
      </c>
      <c r="G152" s="264">
        <f>SUM(G125:G151)</f>
        <v>40500</v>
      </c>
      <c r="H152" s="264">
        <f>SUM(H125:H151)</f>
        <v>16000</v>
      </c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</row>
    <row r="154" spans="1:10" x14ac:dyDescent="0.25">
      <c r="A154" s="331" t="s">
        <v>60</v>
      </c>
      <c r="B154" s="191"/>
      <c r="C154" s="325">
        <f>E152</f>
        <v>52500</v>
      </c>
      <c r="D154" s="191"/>
      <c r="E154" s="331" t="s">
        <v>60</v>
      </c>
      <c r="F154" s="324"/>
      <c r="G154" s="326">
        <f>G152</f>
        <v>40500</v>
      </c>
      <c r="H154" s="121"/>
    </row>
    <row r="155" spans="1:10" x14ac:dyDescent="0.25">
      <c r="A155" s="191"/>
      <c r="B155" s="327">
        <v>0.1</v>
      </c>
      <c r="C155" s="328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</row>
    <row r="156" spans="1:10" x14ac:dyDescent="0.25">
      <c r="A156" s="332" t="s">
        <v>347</v>
      </c>
      <c r="B156" s="191"/>
      <c r="C156" s="221"/>
      <c r="D156" s="191"/>
      <c r="E156" s="332" t="s">
        <v>347</v>
      </c>
      <c r="F156" s="329"/>
      <c r="G156" s="301"/>
      <c r="H156" s="72"/>
    </row>
    <row r="157" spans="1:10" x14ac:dyDescent="0.25">
      <c r="A157" s="332" t="s">
        <v>2</v>
      </c>
      <c r="B157" s="191"/>
      <c r="C157" s="221">
        <f>C154</f>
        <v>52500</v>
      </c>
      <c r="D157" s="191"/>
      <c r="E157" s="332" t="s">
        <v>2</v>
      </c>
      <c r="F157" s="329"/>
      <c r="G157" s="301">
        <f>G154</f>
        <v>40500</v>
      </c>
      <c r="H157" s="72"/>
    </row>
    <row r="158" spans="1:10" x14ac:dyDescent="0.25">
      <c r="A158" s="330" t="s">
        <v>58</v>
      </c>
      <c r="B158" s="191"/>
      <c r="C158" s="191"/>
      <c r="D158" s="191"/>
      <c r="E158" s="330" t="s">
        <v>58</v>
      </c>
      <c r="F158" s="330"/>
      <c r="G158" s="301"/>
    </row>
    <row r="159" spans="1:10" x14ac:dyDescent="0.25">
      <c r="A159" s="329" t="s">
        <v>196</v>
      </c>
      <c r="B159" s="191"/>
      <c r="C159" s="328">
        <f>C154*B155</f>
        <v>5250</v>
      </c>
      <c r="D159" s="191"/>
      <c r="E159" s="329" t="s">
        <v>196</v>
      </c>
      <c r="F159" s="191"/>
      <c r="G159" s="221">
        <f>F155*C154</f>
        <v>5250</v>
      </c>
      <c r="H159" s="104"/>
      <c r="J159" s="90"/>
    </row>
    <row r="160" spans="1:10" x14ac:dyDescent="0.25">
      <c r="A160" s="310" t="s">
        <v>378</v>
      </c>
      <c r="B160" s="44"/>
      <c r="C160" s="247">
        <f>E140+E138+E137+E127</f>
        <v>6000</v>
      </c>
      <c r="D160" s="44"/>
      <c r="E160" s="310" t="s">
        <v>378</v>
      </c>
      <c r="F160" s="310"/>
      <c r="G160" s="247">
        <f>C160</f>
        <v>6000</v>
      </c>
      <c r="H160" s="252"/>
      <c r="J160" s="90"/>
    </row>
    <row r="161" spans="1:10" x14ac:dyDescent="0.25">
      <c r="A161" s="311">
        <v>43164</v>
      </c>
      <c r="B161" s="44"/>
      <c r="C161" s="44">
        <v>15000</v>
      </c>
      <c r="D161" s="105"/>
      <c r="E161" s="311">
        <v>43164</v>
      </c>
      <c r="F161" s="44"/>
      <c r="G161" s="44">
        <v>15000</v>
      </c>
      <c r="J161" s="90"/>
    </row>
    <row r="162" spans="1:10" x14ac:dyDescent="0.25">
      <c r="A162" s="311">
        <v>43165</v>
      </c>
      <c r="B162" s="44"/>
      <c r="C162" s="312">
        <v>5000</v>
      </c>
      <c r="D162" s="105"/>
      <c r="E162" s="311">
        <v>43165</v>
      </c>
      <c r="F162" s="44"/>
      <c r="G162" s="312">
        <v>5000</v>
      </c>
      <c r="J162" s="90"/>
    </row>
    <row r="163" spans="1:10" x14ac:dyDescent="0.25">
      <c r="A163" s="44" t="s">
        <v>594</v>
      </c>
      <c r="B163" s="44"/>
      <c r="C163" s="44">
        <v>1500</v>
      </c>
      <c r="D163" s="44"/>
      <c r="E163" s="44" t="s">
        <v>594</v>
      </c>
      <c r="F163" s="44"/>
      <c r="G163" s="44">
        <v>1500</v>
      </c>
      <c r="H163" s="34"/>
      <c r="J163" s="90"/>
    </row>
    <row r="164" spans="1:10" x14ac:dyDescent="0.25">
      <c r="A164" s="44" t="s">
        <v>595</v>
      </c>
      <c r="B164" s="44"/>
      <c r="C164" s="44">
        <v>4000</v>
      </c>
      <c r="D164" s="44"/>
      <c r="E164" s="44" t="s">
        <v>595</v>
      </c>
      <c r="F164" s="44"/>
      <c r="G164" s="44">
        <v>4000</v>
      </c>
      <c r="H164" s="34"/>
      <c r="J164" s="90"/>
    </row>
    <row r="165" spans="1:10" x14ac:dyDescent="0.25">
      <c r="A165" s="44" t="s">
        <v>596</v>
      </c>
      <c r="B165" s="44"/>
      <c r="C165" s="44">
        <v>4000</v>
      </c>
      <c r="D165" s="44"/>
      <c r="E165" s="44" t="s">
        <v>596</v>
      </c>
      <c r="F165" s="44"/>
      <c r="G165" s="44">
        <v>4000</v>
      </c>
      <c r="H165" s="34"/>
    </row>
    <row r="166" spans="1:10" x14ac:dyDescent="0.25">
      <c r="A166" s="44" t="s">
        <v>387</v>
      </c>
      <c r="B166" s="44"/>
      <c r="C166" s="44">
        <v>2000</v>
      </c>
      <c r="D166" s="44"/>
      <c r="E166" s="44" t="s">
        <v>387</v>
      </c>
      <c r="F166" s="44"/>
      <c r="G166" s="44">
        <v>2000</v>
      </c>
      <c r="H166" s="34"/>
    </row>
    <row r="167" spans="1:10" x14ac:dyDescent="0.25">
      <c r="A167" s="44" t="s">
        <v>579</v>
      </c>
      <c r="B167" s="44"/>
      <c r="C167" s="44">
        <v>2000</v>
      </c>
      <c r="D167" s="44"/>
      <c r="E167" s="44" t="s">
        <v>579</v>
      </c>
      <c r="F167" s="44"/>
      <c r="G167" s="44">
        <v>2000</v>
      </c>
      <c r="H167" s="34"/>
    </row>
    <row r="168" spans="1:10" x14ac:dyDescent="0.25">
      <c r="A168" s="44" t="s">
        <v>599</v>
      </c>
      <c r="B168" s="44"/>
      <c r="C168" s="44">
        <v>4000</v>
      </c>
      <c r="D168" s="44"/>
      <c r="E168" s="44" t="s">
        <v>599</v>
      </c>
      <c r="F168" s="44"/>
      <c r="G168" s="44">
        <v>4000</v>
      </c>
      <c r="H168" s="34"/>
    </row>
    <row r="169" spans="1:10" x14ac:dyDescent="0.25">
      <c r="A169" s="93">
        <v>43175</v>
      </c>
      <c r="C169" s="125">
        <v>10000</v>
      </c>
      <c r="D169" s="44"/>
      <c r="E169" s="93">
        <v>43175</v>
      </c>
      <c r="G169" s="125">
        <v>10000</v>
      </c>
    </row>
    <row r="170" spans="1:10" x14ac:dyDescent="0.25">
      <c r="A170" s="173" t="s">
        <v>2</v>
      </c>
      <c r="B170" s="173"/>
      <c r="C170" s="313">
        <f>SUM(C159:C169)</f>
        <v>58750</v>
      </c>
      <c r="D170" s="173"/>
      <c r="E170" s="173" t="s">
        <v>2</v>
      </c>
      <c r="F170" s="173"/>
      <c r="G170" s="313">
        <f>SUM(G159:G169)</f>
        <v>58750</v>
      </c>
      <c r="H170" s="87"/>
    </row>
    <row r="171" spans="1:10" x14ac:dyDescent="0.25">
      <c r="A171" s="44" t="s">
        <v>355</v>
      </c>
      <c r="B171" s="44"/>
      <c r="C171" s="313">
        <f>C157-C170</f>
        <v>-6250</v>
      </c>
      <c r="D171" s="44"/>
      <c r="E171" s="44" t="s">
        <v>355</v>
      </c>
      <c r="F171" s="44"/>
      <c r="G171" s="105">
        <f>G157-G170</f>
        <v>-18250</v>
      </c>
      <c r="H171" s="72"/>
    </row>
    <row r="172" spans="1:10" x14ac:dyDescent="0.25">
      <c r="C172" s="72"/>
    </row>
    <row r="173" spans="1:10" ht="23.25" x14ac:dyDescent="0.35">
      <c r="A173" s="4"/>
      <c r="B173" s="52"/>
      <c r="D173" s="294" t="s">
        <v>278</v>
      </c>
      <c r="E173" s="294"/>
      <c r="F173" s="294"/>
      <c r="G173" s="294"/>
    </row>
    <row r="174" spans="1:10" x14ac:dyDescent="0.25">
      <c r="C174" s="95"/>
      <c r="D174" s="95"/>
      <c r="E174" s="96" t="s">
        <v>583</v>
      </c>
      <c r="F174" s="95"/>
      <c r="G174" s="95"/>
    </row>
    <row r="175" spans="1:10" x14ac:dyDescent="0.25">
      <c r="A175" s="12" t="s">
        <v>0</v>
      </c>
      <c r="B175" s="12" t="s">
        <v>32</v>
      </c>
      <c r="C175" s="12" t="s">
        <v>52</v>
      </c>
      <c r="D175" s="22" t="s">
        <v>55</v>
      </c>
      <c r="E175" s="21" t="s">
        <v>1</v>
      </c>
      <c r="F175" s="22" t="s">
        <v>10</v>
      </c>
      <c r="G175" s="21" t="s">
        <v>3</v>
      </c>
      <c r="H175" s="13" t="s">
        <v>13</v>
      </c>
    </row>
    <row r="176" spans="1:10" x14ac:dyDescent="0.25">
      <c r="A176" s="43"/>
      <c r="B176" s="120">
        <v>1</v>
      </c>
      <c r="C176" s="116"/>
      <c r="D176" s="43"/>
      <c r="E176" s="251">
        <v>3500</v>
      </c>
      <c r="F176" s="243">
        <f t="shared" ref="F176:F185" si="8">E176+D176</f>
        <v>3500</v>
      </c>
      <c r="G176" s="252"/>
      <c r="H176" s="129">
        <f t="shared" ref="H176:H185" si="9">F176-G176</f>
        <v>3500</v>
      </c>
      <c r="I176" s="9" t="s">
        <v>107</v>
      </c>
    </row>
    <row r="177" spans="1:9" x14ac:dyDescent="0.25">
      <c r="A177" s="88" t="s">
        <v>280</v>
      </c>
      <c r="B177" s="120">
        <v>2</v>
      </c>
      <c r="C177" s="117"/>
      <c r="D177" s="2"/>
      <c r="E177" s="242">
        <v>3500</v>
      </c>
      <c r="F177" s="243">
        <f t="shared" si="8"/>
        <v>3500</v>
      </c>
      <c r="G177" s="250"/>
      <c r="H177" s="245">
        <f t="shared" si="9"/>
        <v>3500</v>
      </c>
    </row>
    <row r="178" spans="1:9" x14ac:dyDescent="0.25">
      <c r="A178" s="88" t="s">
        <v>21</v>
      </c>
      <c r="B178" s="120">
        <v>3</v>
      </c>
      <c r="C178" s="44"/>
      <c r="D178" s="43"/>
      <c r="E178" s="223"/>
      <c r="F178" s="47">
        <f t="shared" si="8"/>
        <v>0</v>
      </c>
      <c r="G178" s="56"/>
      <c r="H178" s="129">
        <f t="shared" si="9"/>
        <v>0</v>
      </c>
    </row>
    <row r="179" spans="1:9" x14ac:dyDescent="0.25">
      <c r="A179" s="88" t="s">
        <v>515</v>
      </c>
      <c r="B179" s="120">
        <v>4</v>
      </c>
      <c r="C179" s="44"/>
      <c r="D179" s="43"/>
      <c r="E179" s="242">
        <v>2000</v>
      </c>
      <c r="F179" s="243">
        <f t="shared" si="8"/>
        <v>2000</v>
      </c>
      <c r="G179" s="250"/>
      <c r="H179" s="129">
        <f t="shared" si="9"/>
        <v>2000</v>
      </c>
      <c r="I179" s="9" t="s">
        <v>107</v>
      </c>
    </row>
    <row r="180" spans="1:9" x14ac:dyDescent="0.25">
      <c r="A180" s="43" t="s">
        <v>21</v>
      </c>
      <c r="B180" s="120">
        <v>5</v>
      </c>
      <c r="C180" s="44"/>
      <c r="D180" s="44"/>
      <c r="E180" s="223">
        <v>0</v>
      </c>
      <c r="F180" s="47">
        <f t="shared" si="8"/>
        <v>0</v>
      </c>
      <c r="G180" s="46"/>
      <c r="H180" s="129">
        <f t="shared" si="9"/>
        <v>0</v>
      </c>
    </row>
    <row r="181" spans="1:9" x14ac:dyDescent="0.25">
      <c r="A181" s="43" t="s">
        <v>284</v>
      </c>
      <c r="B181" s="120">
        <v>6</v>
      </c>
      <c r="C181" s="189"/>
      <c r="D181" s="44"/>
      <c r="E181" s="242">
        <v>3500</v>
      </c>
      <c r="F181" s="243">
        <f t="shared" si="8"/>
        <v>3500</v>
      </c>
      <c r="G181" s="244"/>
      <c r="H181" s="245">
        <f t="shared" si="9"/>
        <v>3500</v>
      </c>
      <c r="I181" s="9" t="s">
        <v>107</v>
      </c>
    </row>
    <row r="182" spans="1:9" x14ac:dyDescent="0.25">
      <c r="A182" s="45" t="s">
        <v>538</v>
      </c>
      <c r="B182" s="148">
        <v>7</v>
      </c>
      <c r="D182" s="44"/>
      <c r="E182" s="258">
        <v>3500</v>
      </c>
      <c r="F182" s="43">
        <f t="shared" si="8"/>
        <v>3500</v>
      </c>
      <c r="G182" s="43"/>
      <c r="H182" s="245">
        <f t="shared" si="9"/>
        <v>3500</v>
      </c>
    </row>
    <row r="183" spans="1:9" x14ac:dyDescent="0.25">
      <c r="A183" s="43" t="s">
        <v>539</v>
      </c>
      <c r="B183" s="120">
        <v>8</v>
      </c>
      <c r="C183" s="44"/>
      <c r="D183" s="44"/>
      <c r="E183" s="248">
        <v>3500</v>
      </c>
      <c r="F183" s="247">
        <f t="shared" si="8"/>
        <v>3500</v>
      </c>
      <c r="G183" s="249"/>
      <c r="H183" s="129">
        <f t="shared" si="9"/>
        <v>3500</v>
      </c>
      <c r="I183" s="9" t="s">
        <v>107</v>
      </c>
    </row>
    <row r="184" spans="1:9" x14ac:dyDescent="0.25">
      <c r="A184" s="47" t="s">
        <v>21</v>
      </c>
      <c r="B184" s="120">
        <v>9</v>
      </c>
      <c r="C184" s="48"/>
      <c r="D184" s="46"/>
      <c r="E184" s="223">
        <v>0</v>
      </c>
      <c r="F184" s="105">
        <f t="shared" si="8"/>
        <v>0</v>
      </c>
      <c r="G184" s="46"/>
      <c r="H184" s="129">
        <f t="shared" si="9"/>
        <v>0</v>
      </c>
    </row>
    <row r="185" spans="1:9" x14ac:dyDescent="0.25">
      <c r="A185" s="44"/>
      <c r="B185" s="120">
        <v>10</v>
      </c>
      <c r="C185" s="44"/>
      <c r="D185" s="44"/>
      <c r="E185" s="225"/>
      <c r="F185" s="44">
        <f t="shared" si="8"/>
        <v>0</v>
      </c>
      <c r="G185" s="44"/>
      <c r="H185" s="129">
        <f t="shared" si="9"/>
        <v>0</v>
      </c>
    </row>
    <row r="186" spans="1:9" x14ac:dyDescent="0.25">
      <c r="A186" s="45" t="s">
        <v>137</v>
      </c>
      <c r="C186" s="44"/>
      <c r="D186" s="44"/>
      <c r="E186" s="246">
        <f>SUM(E176:E185)</f>
        <v>19500</v>
      </c>
      <c r="F186" s="243"/>
      <c r="G186" s="247"/>
      <c r="H186" s="245">
        <f>SUM(H176:H185)</f>
        <v>19500</v>
      </c>
    </row>
    <row r="188" spans="1:9" x14ac:dyDescent="0.25">
      <c r="B188" s="100" t="s">
        <v>60</v>
      </c>
      <c r="C188" s="101"/>
      <c r="D188" s="253">
        <f>E186</f>
        <v>19500</v>
      </c>
      <c r="E188" s="102"/>
      <c r="F188" s="100" t="s">
        <v>60</v>
      </c>
      <c r="G188" s="101"/>
      <c r="H188" s="255">
        <f>G186</f>
        <v>0</v>
      </c>
    </row>
    <row r="189" spans="1:9" x14ac:dyDescent="0.25">
      <c r="C189" s="101"/>
      <c r="D189" s="128">
        <v>0.1</v>
      </c>
      <c r="E189" s="104"/>
      <c r="G189" s="186">
        <v>0.1</v>
      </c>
      <c r="H189" s="256"/>
    </row>
    <row r="190" spans="1:9" x14ac:dyDescent="0.25">
      <c r="B190" s="103" t="s">
        <v>347</v>
      </c>
      <c r="C190" s="101"/>
      <c r="D190" s="253">
        <f>D188*D189</f>
        <v>1950</v>
      </c>
      <c r="E190" s="72"/>
      <c r="F190" s="103" t="s">
        <v>343</v>
      </c>
      <c r="G190" s="101"/>
      <c r="H190" s="147"/>
    </row>
    <row r="191" spans="1:9" x14ac:dyDescent="0.25">
      <c r="B191" s="103" t="s">
        <v>229</v>
      </c>
      <c r="C191" s="101"/>
      <c r="D191" s="97"/>
      <c r="E191" s="72"/>
      <c r="F191" s="103"/>
      <c r="G191" s="101"/>
      <c r="H191" s="147">
        <f>SUM(H188:H190)</f>
        <v>0</v>
      </c>
    </row>
    <row r="192" spans="1:9" x14ac:dyDescent="0.25">
      <c r="B192" s="67" t="s">
        <v>58</v>
      </c>
      <c r="H192" s="147"/>
    </row>
    <row r="193" spans="2:8" x14ac:dyDescent="0.25">
      <c r="F193" s="67" t="s">
        <v>58</v>
      </c>
      <c r="H193" s="147"/>
    </row>
    <row r="194" spans="2:8" x14ac:dyDescent="0.25">
      <c r="B194" s="103" t="s">
        <v>196</v>
      </c>
      <c r="D194" s="252">
        <f>D188*D189</f>
        <v>1950</v>
      </c>
      <c r="E194" s="104">
        <f>E188*D189</f>
        <v>0</v>
      </c>
      <c r="F194" s="9" t="s">
        <v>68</v>
      </c>
      <c r="H194" s="256">
        <f>D190</f>
        <v>1950</v>
      </c>
    </row>
    <row r="195" spans="2:8" x14ac:dyDescent="0.25">
      <c r="B195" s="136"/>
      <c r="C195" s="17"/>
      <c r="D195" s="254"/>
      <c r="E195" s="34"/>
      <c r="F195" s="136"/>
      <c r="G195" s="17"/>
      <c r="H195" s="257"/>
    </row>
    <row r="196" spans="2:8" x14ac:dyDescent="0.25">
      <c r="B196" s="136"/>
      <c r="C196" s="17"/>
      <c r="D196" s="254"/>
      <c r="E196" s="34"/>
      <c r="F196" s="136"/>
      <c r="G196" s="17"/>
      <c r="H196" s="257"/>
    </row>
    <row r="197" spans="2:8" x14ac:dyDescent="0.25">
      <c r="B197" s="9" t="s">
        <v>2</v>
      </c>
      <c r="D197" s="252"/>
      <c r="H197" s="147"/>
    </row>
    <row r="198" spans="2:8" x14ac:dyDescent="0.25">
      <c r="D198" s="252"/>
      <c r="H198" s="72"/>
    </row>
    <row r="199" spans="2:8" x14ac:dyDescent="0.25">
      <c r="B199" s="36" t="s">
        <v>355</v>
      </c>
      <c r="D199" s="252">
        <f>D188-D197</f>
        <v>19500</v>
      </c>
      <c r="E199" s="72"/>
      <c r="F199" s="36" t="s">
        <v>355</v>
      </c>
      <c r="H199" s="72">
        <f>H191-H197</f>
        <v>0</v>
      </c>
    </row>
    <row r="200" spans="2:8" x14ac:dyDescent="0.25">
      <c r="B200" s="36"/>
      <c r="E200" s="72"/>
      <c r="F200" s="36"/>
      <c r="H200" s="72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A118" workbookViewId="0">
      <selection activeCell="F16" sqref="F16"/>
    </sheetView>
  </sheetViews>
  <sheetFormatPr defaultRowHeight="15" x14ac:dyDescent="0.25"/>
  <cols>
    <col min="1" max="1" width="15.5703125" customWidth="1"/>
    <col min="3" max="3" width="10.28515625" customWidth="1"/>
    <col min="6" max="6" width="9.5703125" customWidth="1"/>
    <col min="7" max="7" width="11.5703125" customWidth="1"/>
  </cols>
  <sheetData>
    <row r="1" spans="1:10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  <c r="J1" s="9"/>
    </row>
    <row r="2" spans="1:10" x14ac:dyDescent="0.25">
      <c r="A2" s="94"/>
      <c r="B2" s="95"/>
      <c r="C2" s="95"/>
      <c r="D2" s="96" t="s">
        <v>604</v>
      </c>
      <c r="E2" s="95"/>
      <c r="F2" s="95"/>
      <c r="G2" s="95"/>
      <c r="H2" s="9"/>
      <c r="I2" s="9"/>
      <c r="J2" s="9"/>
    </row>
    <row r="3" spans="1:10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  <c r="J3" s="9"/>
    </row>
    <row r="4" spans="1:10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4000</v>
      </c>
      <c r="H4" s="249">
        <f>F4-G4</f>
        <v>5500</v>
      </c>
      <c r="I4" s="9"/>
      <c r="J4" s="9"/>
    </row>
    <row r="5" spans="1:10" x14ac:dyDescent="0.25">
      <c r="A5" s="43" t="s">
        <v>525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1500</v>
      </c>
      <c r="H5" s="249">
        <f t="shared" ref="H5:H15" si="1">F5-G5</f>
        <v>500</v>
      </c>
      <c r="I5" s="9"/>
      <c r="J5" s="9"/>
    </row>
    <row r="6" spans="1:10" x14ac:dyDescent="0.25">
      <c r="A6" s="43" t="s">
        <v>21</v>
      </c>
      <c r="B6" s="3"/>
      <c r="C6" s="43"/>
      <c r="D6" s="43"/>
      <c r="E6" s="243"/>
      <c r="F6" s="244"/>
      <c r="G6" s="244"/>
      <c r="H6" s="249"/>
      <c r="I6" s="9"/>
      <c r="J6" s="9"/>
    </row>
    <row r="7" spans="1:10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  <c r="J7" s="9"/>
    </row>
    <row r="8" spans="1:10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  <c r="J8" s="9"/>
    </row>
    <row r="9" spans="1:10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>
        <v>2500</v>
      </c>
      <c r="H9" s="249">
        <f t="shared" si="1"/>
        <v>2500</v>
      </c>
      <c r="I9" s="9"/>
      <c r="J9" s="9"/>
    </row>
    <row r="10" spans="1:10" x14ac:dyDescent="0.25">
      <c r="A10" s="43" t="s">
        <v>21</v>
      </c>
      <c r="B10" s="3">
        <v>7</v>
      </c>
      <c r="C10" s="44"/>
      <c r="D10" s="44"/>
      <c r="E10" s="244"/>
      <c r="F10" s="244"/>
      <c r="G10" s="244" t="s">
        <v>608</v>
      </c>
      <c r="H10" s="249"/>
      <c r="I10" s="9"/>
      <c r="J10" s="9"/>
    </row>
    <row r="11" spans="1:10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  <c r="I11" s="9"/>
      <c r="J11" s="9"/>
    </row>
    <row r="12" spans="1:10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  <c r="J12" s="9"/>
    </row>
    <row r="13" spans="1:10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J13" s="9"/>
    </row>
    <row r="14" spans="1:10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J14" s="9"/>
    </row>
    <row r="15" spans="1:10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  <c r="J15" s="9"/>
    </row>
    <row r="16" spans="1:10" x14ac:dyDescent="0.25">
      <c r="A16" s="47"/>
      <c r="B16" s="16"/>
      <c r="C16" s="48"/>
      <c r="D16" s="46">
        <f>SUM(D4:D15)</f>
        <v>35400</v>
      </c>
      <c r="E16" s="244">
        <f>SUM(E4:E15)</f>
        <v>14000</v>
      </c>
      <c r="F16" s="244">
        <f>D16+E16</f>
        <v>49400</v>
      </c>
      <c r="G16" s="244">
        <f>SUM(G4:G15)</f>
        <v>16000</v>
      </c>
      <c r="H16" s="249">
        <f>SUM(H4:H15)</f>
        <v>33400</v>
      </c>
      <c r="I16" s="9"/>
      <c r="J16" s="9"/>
    </row>
    <row r="17" spans="1:10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  <c r="I17" s="9"/>
      <c r="J17" s="9"/>
    </row>
    <row r="18" spans="1:10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16000</v>
      </c>
      <c r="H18" s="9"/>
      <c r="I18" s="9"/>
      <c r="J18" s="9"/>
    </row>
    <row r="19" spans="1:10" ht="15.75" x14ac:dyDescent="0.25">
      <c r="A19" s="239" t="s">
        <v>347</v>
      </c>
      <c r="B19" s="345"/>
      <c r="C19" s="44"/>
      <c r="D19" s="339">
        <f>'MARCH 18'!D27</f>
        <v>-700</v>
      </c>
      <c r="E19" s="44"/>
      <c r="F19" s="126" t="s">
        <v>347</v>
      </c>
      <c r="G19" s="105">
        <f>'MARCH 18'!G27</f>
        <v>-23400</v>
      </c>
      <c r="H19" s="9"/>
      <c r="I19" s="9"/>
      <c r="J19" s="9"/>
    </row>
    <row r="20" spans="1:10" x14ac:dyDescent="0.25">
      <c r="A20" s="239"/>
      <c r="B20" s="345"/>
      <c r="C20" s="44"/>
      <c r="D20" s="339">
        <f>D18+D19</f>
        <v>13300</v>
      </c>
      <c r="E20" s="49"/>
      <c r="F20" s="49" t="s">
        <v>63</v>
      </c>
      <c r="G20" s="247">
        <f>SUM(G18:G19)</f>
        <v>-7400</v>
      </c>
      <c r="H20" s="9"/>
      <c r="I20" s="9"/>
      <c r="J20" s="9"/>
    </row>
    <row r="21" spans="1:10" x14ac:dyDescent="0.25">
      <c r="A21" s="346" t="s">
        <v>58</v>
      </c>
      <c r="B21" s="44"/>
      <c r="C21" s="44"/>
      <c r="D21" s="247"/>
      <c r="E21" s="346" t="s">
        <v>58</v>
      </c>
      <c r="G21" s="44"/>
      <c r="H21" s="9"/>
      <c r="I21" s="9"/>
      <c r="J21" s="9"/>
    </row>
    <row r="22" spans="1:10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H22" s="9"/>
      <c r="I22" s="9">
        <v>7</v>
      </c>
      <c r="J22" s="9"/>
    </row>
    <row r="23" spans="1:10" x14ac:dyDescent="0.25">
      <c r="A23" s="350" t="s">
        <v>605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  <c r="I23" s="9"/>
      <c r="J23" s="9"/>
    </row>
    <row r="24" spans="1:10" x14ac:dyDescent="0.25">
      <c r="A24" s="351">
        <v>43203</v>
      </c>
      <c r="B24" s="44"/>
      <c r="C24" s="44"/>
      <c r="D24" s="247">
        <v>7900</v>
      </c>
      <c r="E24" s="348">
        <v>43203</v>
      </c>
      <c r="F24" s="44"/>
      <c r="G24" s="105">
        <v>7900</v>
      </c>
      <c r="H24" s="9"/>
      <c r="I24" s="9"/>
      <c r="J24" s="9"/>
    </row>
    <row r="25" spans="1:10" x14ac:dyDescent="0.25">
      <c r="A25" s="348"/>
      <c r="B25" s="44"/>
      <c r="C25" s="44"/>
      <c r="D25" s="247"/>
      <c r="E25" s="44"/>
      <c r="F25" s="347"/>
      <c r="G25" s="105"/>
      <c r="H25" s="9"/>
      <c r="I25" s="9"/>
      <c r="J25" s="9"/>
    </row>
    <row r="26" spans="1:10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  <c r="H26" s="9"/>
      <c r="I26" s="9"/>
      <c r="J26" s="9"/>
    </row>
    <row r="27" spans="1:10" x14ac:dyDescent="0.25">
      <c r="A27" s="349" t="s">
        <v>165</v>
      </c>
      <c r="B27" s="44"/>
      <c r="C27" s="44"/>
      <c r="D27" s="247">
        <f>D20-D26</f>
        <v>0</v>
      </c>
      <c r="E27" s="44" t="s">
        <v>165</v>
      </c>
      <c r="F27" s="44"/>
      <c r="G27" s="105">
        <f>G20-G26</f>
        <v>-20700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  <c r="J28" s="9"/>
    </row>
    <row r="29" spans="1:10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  <c r="J29" s="9"/>
    </row>
    <row r="30" spans="1:10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23.25" x14ac:dyDescent="0.35">
      <c r="A33" s="4"/>
      <c r="B33" s="9"/>
      <c r="C33" s="337" t="s">
        <v>97</v>
      </c>
      <c r="D33" s="337"/>
      <c r="E33" s="337"/>
      <c r="F33" s="337"/>
      <c r="G33" s="337"/>
      <c r="H33" s="9"/>
      <c r="I33" s="9"/>
      <c r="J33" s="9"/>
    </row>
    <row r="34" spans="1:10" x14ac:dyDescent="0.25">
      <c r="A34" s="9"/>
      <c r="B34" s="95"/>
      <c r="C34" s="9"/>
      <c r="D34" s="96" t="s">
        <v>600</v>
      </c>
      <c r="E34" s="9"/>
      <c r="F34" s="95"/>
      <c r="G34" s="95"/>
      <c r="H34" s="9"/>
      <c r="I34" s="9"/>
      <c r="J34" s="9"/>
    </row>
    <row r="35" spans="1:10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  <c r="J35" s="9"/>
    </row>
    <row r="36" spans="1:10" x14ac:dyDescent="0.25">
      <c r="A36" s="43"/>
      <c r="B36" s="10"/>
      <c r="C36" s="43"/>
      <c r="D36" s="43"/>
      <c r="E36" s="47"/>
      <c r="F36" s="47"/>
      <c r="G36" s="47"/>
      <c r="H36" s="43"/>
      <c r="I36" s="9"/>
      <c r="J36" s="9"/>
    </row>
    <row r="37" spans="1:10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  <c r="I37" s="9"/>
      <c r="J37" s="9"/>
    </row>
    <row r="38" spans="1:10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  <c r="J38" s="9"/>
    </row>
    <row r="39" spans="1:10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  <c r="J39" s="9"/>
    </row>
    <row r="40" spans="1:10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  <c r="J40" s="9"/>
    </row>
    <row r="41" spans="1:10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  <c r="J41" s="9"/>
    </row>
    <row r="42" spans="1:10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  <c r="J42" s="9"/>
    </row>
    <row r="43" spans="1:10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  <c r="J43" s="9"/>
    </row>
    <row r="44" spans="1:10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  <c r="J44" s="9"/>
    </row>
    <row r="45" spans="1:10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  <c r="J45" s="9"/>
    </row>
    <row r="46" spans="1:10" x14ac:dyDescent="0.25">
      <c r="A46" s="88"/>
      <c r="B46" s="44"/>
      <c r="C46" s="44"/>
      <c r="D46" s="44"/>
      <c r="E46" s="115"/>
      <c r="F46" s="46"/>
      <c r="G46" s="134"/>
      <c r="H46" s="105"/>
      <c r="I46" s="9"/>
      <c r="J46" s="9"/>
    </row>
    <row r="47" spans="1:10" x14ac:dyDescent="0.25">
      <c r="A47" s="88"/>
      <c r="B47" s="44"/>
      <c r="C47" s="44"/>
      <c r="D47" s="44"/>
      <c r="E47" s="115"/>
      <c r="F47" s="46"/>
      <c r="G47" s="134"/>
      <c r="H47" s="105"/>
      <c r="I47" s="9"/>
      <c r="J47" s="9"/>
    </row>
    <row r="48" spans="1:10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  <c r="J48" s="9"/>
    </row>
    <row r="49" spans="1:10" x14ac:dyDescent="0.25">
      <c r="A49" s="44"/>
      <c r="B49" s="44"/>
      <c r="C49" s="44"/>
      <c r="D49" s="44">
        <f>SUM(D36:D48)</f>
        <v>1500</v>
      </c>
      <c r="E49" s="247">
        <f>SUM(E36:E48)</f>
        <v>8000</v>
      </c>
      <c r="F49" s="247">
        <f>SUM(F37:F48)</f>
        <v>9500</v>
      </c>
      <c r="G49" s="247">
        <f>SUM(G36:G48)</f>
        <v>3000</v>
      </c>
      <c r="H49" s="247">
        <f>SUM(H37:H48)</f>
        <v>6500</v>
      </c>
      <c r="I49" s="9"/>
      <c r="J49" s="9"/>
    </row>
    <row r="50" spans="1:10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  <c r="J50" s="9"/>
    </row>
    <row r="51" spans="1:10" x14ac:dyDescent="0.25">
      <c r="A51" s="103"/>
      <c r="B51" s="101"/>
      <c r="C51" s="97"/>
      <c r="D51" s="104"/>
      <c r="E51" s="103" t="s">
        <v>347</v>
      </c>
      <c r="F51" s="101"/>
      <c r="G51" s="97"/>
      <c r="H51" s="302"/>
      <c r="I51" s="9"/>
      <c r="J51" s="9"/>
    </row>
    <row r="52" spans="1:10" x14ac:dyDescent="0.25">
      <c r="A52" s="103"/>
      <c r="B52" s="101"/>
      <c r="C52" s="97"/>
      <c r="D52" s="104"/>
      <c r="E52" s="103"/>
      <c r="F52" s="101"/>
      <c r="G52" s="97"/>
      <c r="H52" s="302">
        <f>SUM(H50:H51)</f>
        <v>3000</v>
      </c>
      <c r="I52" s="9"/>
      <c r="J52" s="9"/>
    </row>
    <row r="53" spans="1:10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  <c r="J53" s="9"/>
    </row>
    <row r="54" spans="1:10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  <c r="J54" s="9"/>
    </row>
    <row r="55" spans="1:10" x14ac:dyDescent="0.25">
      <c r="A55" s="136"/>
      <c r="B55" s="9"/>
      <c r="C55" s="9"/>
      <c r="D55" s="72"/>
      <c r="E55" s="136">
        <v>43203</v>
      </c>
      <c r="F55" s="93"/>
      <c r="G55" s="9"/>
      <c r="H55" s="333">
        <v>1350</v>
      </c>
      <c r="I55" s="9"/>
      <c r="J55" s="9"/>
    </row>
    <row r="56" spans="1:10" x14ac:dyDescent="0.25">
      <c r="A56" s="9"/>
      <c r="B56" s="9"/>
      <c r="C56" s="9"/>
      <c r="D56" s="9"/>
      <c r="E56" s="93"/>
      <c r="F56" s="9"/>
      <c r="G56" s="9"/>
      <c r="H56" s="252"/>
      <c r="I56" s="9"/>
      <c r="J56" s="9"/>
    </row>
    <row r="57" spans="1:10" x14ac:dyDescent="0.25">
      <c r="A57" s="36"/>
      <c r="B57" s="9"/>
      <c r="C57" s="9"/>
      <c r="D57" s="72"/>
      <c r="E57" s="136"/>
      <c r="F57" s="9"/>
      <c r="G57" s="9"/>
      <c r="H57" s="252"/>
      <c r="I57" s="9"/>
      <c r="J57" s="9"/>
    </row>
    <row r="58" spans="1:10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1650</v>
      </c>
      <c r="I58" s="9"/>
      <c r="J58" s="9"/>
    </row>
    <row r="59" spans="1:10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  <c r="J59" s="9"/>
    </row>
    <row r="60" spans="1:10" x14ac:dyDescent="0.25">
      <c r="A60" s="36"/>
      <c r="B60" s="9"/>
      <c r="C60" s="9"/>
      <c r="D60" s="135"/>
      <c r="E60" s="9"/>
      <c r="F60" s="9"/>
      <c r="G60" s="9"/>
      <c r="H60" s="72"/>
      <c r="I60" s="9"/>
      <c r="J60" s="9"/>
    </row>
    <row r="61" spans="1:10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  <c r="J61" s="9"/>
    </row>
    <row r="62" spans="1:10" x14ac:dyDescent="0.25">
      <c r="A62" s="9"/>
      <c r="B62" s="95"/>
      <c r="C62" s="95"/>
      <c r="D62" s="96" t="s">
        <v>600</v>
      </c>
      <c r="E62" s="95"/>
      <c r="F62" s="95"/>
      <c r="G62" s="95"/>
      <c r="H62" s="9"/>
      <c r="I62" s="9"/>
      <c r="J62" s="9"/>
    </row>
    <row r="63" spans="1:10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  <c r="J63" s="9"/>
    </row>
    <row r="64" spans="1:10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  <c r="J64" s="9"/>
    </row>
    <row r="65" spans="1:10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  <c r="J65" s="9"/>
    </row>
    <row r="66" spans="1:10" x14ac:dyDescent="0.25">
      <c r="A66" s="43"/>
      <c r="B66" s="69"/>
      <c r="C66" s="217"/>
      <c r="D66" s="243"/>
      <c r="E66" s="247"/>
      <c r="F66" s="44"/>
      <c r="G66" s="334"/>
      <c r="H66" s="44"/>
      <c r="I66" s="9"/>
      <c r="J66" s="9"/>
    </row>
    <row r="67" spans="1:10" x14ac:dyDescent="0.25">
      <c r="A67" s="43"/>
      <c r="B67" s="3"/>
      <c r="C67" s="218"/>
      <c r="D67" s="244"/>
      <c r="E67" s="247"/>
      <c r="F67" s="44"/>
      <c r="G67" s="334"/>
      <c r="H67" s="44"/>
      <c r="I67" s="9"/>
      <c r="J67" s="9"/>
    </row>
    <row r="68" spans="1:10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  <c r="J68" s="9"/>
    </row>
    <row r="69" spans="1:10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  <c r="J69" s="9"/>
    </row>
    <row r="70" spans="1:10" x14ac:dyDescent="0.25">
      <c r="A70" s="43"/>
      <c r="B70" s="3"/>
      <c r="C70" s="44"/>
      <c r="D70" s="46"/>
      <c r="E70" s="44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  <c r="J72" s="9"/>
    </row>
    <row r="73" spans="1:10" x14ac:dyDescent="0.25">
      <c r="A73" s="103"/>
      <c r="B73" s="101"/>
      <c r="C73" s="97"/>
      <c r="D73" s="104"/>
      <c r="E73" s="51"/>
      <c r="F73" s="9" t="s">
        <v>347</v>
      </c>
      <c r="G73" s="147">
        <f>'MARCH 18'!G80</f>
        <v>-7150</v>
      </c>
      <c r="H73" s="9"/>
      <c r="I73" s="9"/>
      <c r="J73" s="9"/>
    </row>
    <row r="74" spans="1:10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-7150</v>
      </c>
      <c r="H74" s="9"/>
      <c r="I74" s="9"/>
      <c r="J74" s="9"/>
    </row>
    <row r="75" spans="1:10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  <c r="J75" s="9"/>
    </row>
    <row r="76" spans="1:10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  <c r="J76" s="9"/>
    </row>
    <row r="77" spans="1:10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  <c r="J77" s="9"/>
    </row>
    <row r="78" spans="1:10" x14ac:dyDescent="0.25">
      <c r="A78" s="122"/>
      <c r="B78" s="97"/>
      <c r="C78" s="97"/>
      <c r="D78" s="253"/>
      <c r="E78" s="9"/>
      <c r="F78" s="93">
        <v>43203</v>
      </c>
      <c r="G78" s="147">
        <v>3100</v>
      </c>
      <c r="H78" s="9"/>
      <c r="I78" s="9"/>
      <c r="J78" s="9"/>
    </row>
    <row r="79" spans="1:10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3800</v>
      </c>
      <c r="H79" s="9"/>
      <c r="I79" s="9"/>
      <c r="J79" s="9"/>
    </row>
    <row r="80" spans="1:10" x14ac:dyDescent="0.25">
      <c r="A80" s="9"/>
      <c r="B80" s="9"/>
      <c r="C80" s="9"/>
      <c r="D80" s="9"/>
      <c r="E80" s="91"/>
      <c r="F80" s="9"/>
      <c r="G80" s="147">
        <f>G74-G79</f>
        <v>-10950</v>
      </c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  <c r="J82" s="9"/>
    </row>
    <row r="83" spans="1:10" ht="23.25" x14ac:dyDescent="0.35">
      <c r="A83" s="4"/>
      <c r="B83" s="237" t="s">
        <v>97</v>
      </c>
      <c r="D83" s="238" t="s">
        <v>292</v>
      </c>
      <c r="E83" s="337"/>
      <c r="F83" s="337"/>
      <c r="G83" s="9"/>
      <c r="H83" s="9"/>
      <c r="I83" s="9"/>
      <c r="J83" s="9"/>
    </row>
    <row r="84" spans="1:10" x14ac:dyDescent="0.25">
      <c r="A84" s="9"/>
      <c r="B84" s="9"/>
      <c r="C84" s="95"/>
      <c r="D84" s="96" t="s">
        <v>602</v>
      </c>
      <c r="E84" s="9"/>
      <c r="F84" s="95"/>
      <c r="G84" s="95"/>
      <c r="H84" s="9"/>
      <c r="I84" s="9"/>
      <c r="J84" s="9"/>
    </row>
    <row r="85" spans="1:10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  <c r="J85" s="9"/>
    </row>
    <row r="86" spans="1:10" x14ac:dyDescent="0.25">
      <c r="A86" s="62" t="s">
        <v>317</v>
      </c>
      <c r="B86" s="120">
        <v>1</v>
      </c>
      <c r="C86" s="116"/>
      <c r="D86" s="201">
        <v>18000</v>
      </c>
      <c r="E86" s="269">
        <v>4500</v>
      </c>
      <c r="F86" s="269">
        <f>D86+E86</f>
        <v>22500</v>
      </c>
      <c r="G86" s="270"/>
      <c r="H86" s="271">
        <f>F86-G86</f>
        <v>22500</v>
      </c>
      <c r="I86" s="9"/>
      <c r="J86" s="9"/>
    </row>
    <row r="87" spans="1:10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  <c r="I87" s="9"/>
      <c r="J87" s="9"/>
    </row>
    <row r="88" spans="1:10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  <c r="J88" s="9"/>
    </row>
    <row r="89" spans="1:10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1700</v>
      </c>
      <c r="H89" s="271">
        <f t="shared" si="5"/>
        <v>800</v>
      </c>
      <c r="I89" s="9"/>
      <c r="J89" s="9"/>
    </row>
    <row r="90" spans="1:10" x14ac:dyDescent="0.25">
      <c r="A90" s="62" t="s">
        <v>607</v>
      </c>
      <c r="B90" s="120">
        <v>5</v>
      </c>
      <c r="C90" s="117"/>
      <c r="D90" s="198">
        <v>3400</v>
      </c>
      <c r="E90" s="272">
        <v>2500</v>
      </c>
      <c r="F90" s="269">
        <f t="shared" si="4"/>
        <v>5900</v>
      </c>
      <c r="G90" s="272"/>
      <c r="H90" s="271">
        <f t="shared" si="5"/>
        <v>5900</v>
      </c>
      <c r="I90" s="9" t="s">
        <v>614</v>
      </c>
      <c r="J90" s="9"/>
    </row>
    <row r="91" spans="1:10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  <c r="J91" s="9"/>
    </row>
    <row r="92" spans="1:10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/>
      <c r="H92" s="271">
        <f t="shared" si="5"/>
        <v>2500</v>
      </c>
      <c r="I92" s="9"/>
      <c r="J92" s="9"/>
    </row>
    <row r="93" spans="1:10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  <c r="I93" s="9"/>
      <c r="J93" s="9"/>
    </row>
    <row r="94" spans="1:10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  <c r="I94" s="9"/>
      <c r="J94" s="9"/>
    </row>
    <row r="95" spans="1:10" x14ac:dyDescent="0.25">
      <c r="A95" s="296" t="s">
        <v>504</v>
      </c>
      <c r="B95" s="120">
        <v>10</v>
      </c>
      <c r="C95" s="9"/>
      <c r="D95" s="198">
        <v>200</v>
      </c>
      <c r="E95" s="277">
        <v>2500</v>
      </c>
      <c r="F95" s="269">
        <f t="shared" si="4"/>
        <v>2700</v>
      </c>
      <c r="G95" s="276">
        <v>2000</v>
      </c>
      <c r="H95" s="271">
        <f>F95-G95</f>
        <v>700</v>
      </c>
      <c r="I95" s="9"/>
      <c r="J95" s="9"/>
    </row>
    <row r="96" spans="1:10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  <c r="J96" s="9"/>
    </row>
    <row r="97" spans="1:10" x14ac:dyDescent="0.25">
      <c r="A97" s="62" t="s">
        <v>328</v>
      </c>
      <c r="B97" s="120">
        <v>12</v>
      </c>
      <c r="C97" s="119"/>
      <c r="D97" s="198">
        <v>6000</v>
      </c>
      <c r="E97" s="276">
        <v>2500</v>
      </c>
      <c r="F97" s="269">
        <f t="shared" si="4"/>
        <v>8500</v>
      </c>
      <c r="G97" s="276"/>
      <c r="H97" s="271">
        <f t="shared" si="5"/>
        <v>8500</v>
      </c>
      <c r="I97" s="9" t="s">
        <v>614</v>
      </c>
      <c r="J97" s="9"/>
    </row>
    <row r="98" spans="1:10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  <c r="J98" s="9"/>
    </row>
    <row r="99" spans="1:10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  <c r="I99" s="9"/>
      <c r="J99" s="9"/>
    </row>
    <row r="100" spans="1:10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1700</v>
      </c>
      <c r="H100" s="271">
        <f t="shared" si="5"/>
        <v>800</v>
      </c>
      <c r="I100" s="9"/>
      <c r="J100" s="9"/>
    </row>
    <row r="101" spans="1:10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  <c r="J101" s="9"/>
    </row>
    <row r="102" spans="1:10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  <c r="J102" s="9"/>
    </row>
    <row r="103" spans="1:10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  <c r="J103" s="9"/>
    </row>
    <row r="104" spans="1:10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  <c r="J104" s="9"/>
    </row>
    <row r="105" spans="1:10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  <c r="I105" s="9"/>
      <c r="J105" s="9"/>
    </row>
    <row r="106" spans="1:10" x14ac:dyDescent="0.25">
      <c r="A106" s="138"/>
      <c r="B106" s="138"/>
      <c r="C106" s="138"/>
      <c r="D106" s="138"/>
      <c r="E106" s="280">
        <f>SUM(E86:E105)</f>
        <v>41300</v>
      </c>
      <c r="F106" s="243">
        <f>D106+E106</f>
        <v>41300</v>
      </c>
      <c r="G106" s="280">
        <f>SUM(G86:G105)</f>
        <v>27200</v>
      </c>
      <c r="H106" s="280">
        <f>SUM(H86:H105)</f>
        <v>44700</v>
      </c>
      <c r="I106" s="9"/>
      <c r="J106" s="9"/>
    </row>
    <row r="107" spans="1:10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  <c r="I107" s="9"/>
      <c r="J107" s="9"/>
    </row>
    <row r="108" spans="1:10" x14ac:dyDescent="0.25">
      <c r="A108" s="347" t="s">
        <v>60</v>
      </c>
      <c r="B108" s="352"/>
      <c r="C108" s="113"/>
      <c r="D108" s="353">
        <f>E106</f>
        <v>41300</v>
      </c>
      <c r="E108" s="347"/>
      <c r="F108" s="347" t="s">
        <v>60</v>
      </c>
      <c r="G108" s="300">
        <f>G106</f>
        <v>27200</v>
      </c>
      <c r="H108" s="267"/>
      <c r="I108" s="9"/>
      <c r="J108" s="9"/>
    </row>
    <row r="109" spans="1:10" x14ac:dyDescent="0.25">
      <c r="A109" s="329" t="s">
        <v>347</v>
      </c>
      <c r="B109" s="354"/>
      <c r="C109" s="191"/>
      <c r="D109" s="339">
        <f>'MARCH 18'!D119</f>
        <v>810</v>
      </c>
      <c r="E109" s="329"/>
      <c r="F109" s="329" t="s">
        <v>347</v>
      </c>
      <c r="G109" s="191">
        <f>'MARCH 18'!G119</f>
        <v>-43825</v>
      </c>
      <c r="H109" s="268"/>
      <c r="I109" s="9"/>
      <c r="J109" s="9"/>
    </row>
    <row r="110" spans="1:10" x14ac:dyDescent="0.25">
      <c r="A110" s="329" t="s">
        <v>2</v>
      </c>
      <c r="B110" s="354"/>
      <c r="C110" s="191"/>
      <c r="D110" s="247">
        <f>SUM(D108:D109)</f>
        <v>42110</v>
      </c>
      <c r="E110" s="329"/>
      <c r="F110" s="329" t="s">
        <v>2</v>
      </c>
      <c r="G110" s="301">
        <f>SUM(G108:G109)</f>
        <v>-16625</v>
      </c>
      <c r="H110" s="252"/>
      <c r="I110" s="9"/>
      <c r="J110" s="9"/>
    </row>
    <row r="111" spans="1:10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  <c r="I111" s="9"/>
      <c r="J111" s="9"/>
    </row>
    <row r="112" spans="1:10" x14ac:dyDescent="0.25">
      <c r="A112" s="344" t="s">
        <v>22</v>
      </c>
      <c r="B112" s="345"/>
      <c r="C112" s="44"/>
      <c r="D112" s="340">
        <f>SUM(D108*10%)</f>
        <v>4130</v>
      </c>
      <c r="E112" s="344"/>
      <c r="F112" s="344" t="s">
        <v>22</v>
      </c>
      <c r="G112" s="247">
        <f>D112</f>
        <v>4130</v>
      </c>
      <c r="H112" s="254"/>
      <c r="I112" s="9"/>
      <c r="J112" s="9"/>
    </row>
    <row r="113" spans="1:10" x14ac:dyDescent="0.25">
      <c r="A113" s="311">
        <v>43199</v>
      </c>
      <c r="B113" s="345"/>
      <c r="C113" s="44"/>
      <c r="D113" s="340">
        <v>15000</v>
      </c>
      <c r="E113" s="311">
        <v>43199</v>
      </c>
      <c r="F113" s="345"/>
      <c r="G113" s="340">
        <v>15000</v>
      </c>
      <c r="I113" s="9"/>
      <c r="J113" s="9"/>
    </row>
    <row r="114" spans="1:10" x14ac:dyDescent="0.25">
      <c r="A114" s="311">
        <v>43202</v>
      </c>
      <c r="B114" s="44"/>
      <c r="C114" s="44"/>
      <c r="D114" s="247">
        <v>21360</v>
      </c>
      <c r="E114" s="311">
        <v>43202</v>
      </c>
      <c r="F114" s="44"/>
      <c r="G114" s="247">
        <v>21360</v>
      </c>
      <c r="I114" s="9"/>
      <c r="J114" s="9"/>
    </row>
    <row r="115" spans="1:10" x14ac:dyDescent="0.25">
      <c r="A115" s="311"/>
      <c r="B115" s="44"/>
      <c r="C115" s="44"/>
      <c r="D115" s="247"/>
      <c r="E115" s="44"/>
      <c r="F115" s="311"/>
      <c r="G115" s="44"/>
      <c r="H115" s="9"/>
      <c r="I115" s="9"/>
      <c r="J115" s="9"/>
    </row>
    <row r="116" spans="1:10" x14ac:dyDescent="0.25">
      <c r="A116" s="310"/>
      <c r="B116" s="44"/>
      <c r="C116" s="44"/>
      <c r="D116" s="247"/>
      <c r="E116" s="44"/>
      <c r="F116" s="44"/>
      <c r="G116" s="44"/>
      <c r="H116" s="9"/>
      <c r="I116" s="9"/>
      <c r="J116" s="9"/>
    </row>
    <row r="117" spans="1:10" x14ac:dyDescent="0.25">
      <c r="A117" s="44"/>
      <c r="B117" s="44"/>
      <c r="C117" s="44"/>
      <c r="D117" s="247"/>
      <c r="E117" s="344"/>
      <c r="F117" s="44"/>
      <c r="G117" s="44"/>
      <c r="H117" s="252"/>
      <c r="I117" s="9"/>
      <c r="J117" s="9"/>
    </row>
    <row r="118" spans="1:10" x14ac:dyDescent="0.25">
      <c r="A118" s="344"/>
      <c r="B118" s="44"/>
      <c r="C118" s="44"/>
      <c r="D118" s="247">
        <f>SUM(D112:D117)</f>
        <v>40490</v>
      </c>
      <c r="E118" s="344"/>
      <c r="F118" s="344"/>
      <c r="G118" s="247">
        <f>SUM(G112:G117)</f>
        <v>40490</v>
      </c>
      <c r="H118" s="252"/>
      <c r="I118" s="9"/>
      <c r="J118" s="9"/>
    </row>
    <row r="119" spans="1:10" x14ac:dyDescent="0.25">
      <c r="A119" s="344" t="s">
        <v>165</v>
      </c>
      <c r="B119" s="44"/>
      <c r="C119" s="44"/>
      <c r="D119" s="247">
        <f>D110-D118</f>
        <v>1620</v>
      </c>
      <c r="E119" s="344"/>
      <c r="F119" s="344" t="s">
        <v>165</v>
      </c>
      <c r="G119" s="247">
        <f>G110-G118</f>
        <v>-57115</v>
      </c>
      <c r="H119" s="252"/>
      <c r="I119" s="9"/>
      <c r="J119" s="9"/>
    </row>
    <row r="120" spans="1:10" x14ac:dyDescent="0.25">
      <c r="A120" s="9"/>
      <c r="B120" s="19"/>
      <c r="C120" s="19"/>
      <c r="D120" s="81"/>
      <c r="E120" s="81"/>
      <c r="F120" s="19"/>
      <c r="G120" s="9"/>
      <c r="H120" s="9"/>
      <c r="I120" s="9"/>
      <c r="J120" s="9"/>
    </row>
    <row r="121" spans="1:10" ht="15" customHeight="1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  <c r="I121" s="9"/>
      <c r="J121" s="9"/>
    </row>
    <row r="122" spans="1:10" ht="15.7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  <c r="I122" s="9"/>
      <c r="J122" s="9"/>
    </row>
    <row r="123" spans="1:10" ht="16.5" customHeight="1" x14ac:dyDescent="0.45">
      <c r="A123" s="94"/>
      <c r="B123" s="314"/>
      <c r="C123" s="52" t="s">
        <v>603</v>
      </c>
      <c r="D123" s="315"/>
      <c r="E123" s="315"/>
      <c r="F123" s="314"/>
      <c r="G123" s="314"/>
      <c r="H123" s="336"/>
      <c r="I123" s="9"/>
      <c r="J123" s="9"/>
    </row>
    <row r="124" spans="1:10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  <c r="I124" s="9"/>
      <c r="J124" s="9"/>
    </row>
    <row r="125" spans="1:10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  <c r="J125" s="9"/>
    </row>
    <row r="126" spans="1:10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  <c r="J126" s="9"/>
    </row>
    <row r="127" spans="1:10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  <c r="J127" s="9"/>
    </row>
    <row r="128" spans="1:10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/>
      <c r="H128" s="245">
        <f t="shared" si="6"/>
        <v>2000</v>
      </c>
      <c r="I128" s="9"/>
      <c r="J128" s="9"/>
    </row>
    <row r="129" spans="1:14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  <c r="I129" s="9"/>
      <c r="J129" s="9"/>
    </row>
    <row r="130" spans="1:14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/>
      <c r="H130" s="245">
        <f t="shared" si="6"/>
        <v>4000</v>
      </c>
      <c r="I130" s="9"/>
      <c r="J130" s="9"/>
    </row>
    <row r="131" spans="1:14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  <c r="I131" s="9"/>
      <c r="J131" s="9"/>
    </row>
    <row r="132" spans="1:14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  <c r="I132" s="9"/>
      <c r="J132" s="9"/>
    </row>
    <row r="133" spans="1:14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/>
      <c r="H133" s="245">
        <f t="shared" si="6"/>
        <v>4000</v>
      </c>
      <c r="I133" s="9"/>
      <c r="J133" s="9"/>
    </row>
    <row r="134" spans="1:14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/>
      <c r="H134" s="245">
        <f t="shared" si="6"/>
        <v>4000</v>
      </c>
      <c r="I134" s="9"/>
      <c r="J134" s="9"/>
    </row>
    <row r="135" spans="1:14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  <c r="I135" s="9"/>
      <c r="J135" s="9"/>
    </row>
    <row r="136" spans="1:14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/>
      <c r="H136" s="245">
        <f t="shared" si="6"/>
        <v>4000</v>
      </c>
      <c r="I136" s="9"/>
      <c r="J136" s="9"/>
    </row>
    <row r="137" spans="1:14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/>
      <c r="J137" s="9"/>
    </row>
    <row r="138" spans="1:14" x14ac:dyDescent="0.25">
      <c r="A138" s="239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/>
      <c r="H138" s="245"/>
      <c r="I138" s="9" t="s">
        <v>107</v>
      </c>
      <c r="J138" s="9"/>
    </row>
    <row r="139" spans="1:14" x14ac:dyDescent="0.25">
      <c r="A139" s="239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  <c r="I139" s="9" t="s">
        <v>107</v>
      </c>
      <c r="J139" s="9"/>
    </row>
    <row r="140" spans="1:14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/>
      <c r="H140" s="245">
        <f t="shared" si="6"/>
        <v>2000</v>
      </c>
      <c r="I140" s="9" t="s">
        <v>107</v>
      </c>
      <c r="J140" s="9"/>
      <c r="K140" t="s">
        <v>3</v>
      </c>
      <c r="L140">
        <v>11000</v>
      </c>
    </row>
    <row r="141" spans="1:14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/>
      <c r="J141" s="9"/>
      <c r="K141" t="s">
        <v>613</v>
      </c>
      <c r="N141" t="s">
        <v>355</v>
      </c>
    </row>
    <row r="142" spans="1:14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  <c r="J142" s="9"/>
      <c r="K142" t="s">
        <v>2</v>
      </c>
      <c r="L142">
        <f>L140-L141</f>
        <v>11000</v>
      </c>
      <c r="M142">
        <v>6250</v>
      </c>
      <c r="N142">
        <f>L142-M142</f>
        <v>4750</v>
      </c>
    </row>
    <row r="143" spans="1:14" x14ac:dyDescent="0.25">
      <c r="A143" s="62" t="s">
        <v>434</v>
      </c>
      <c r="B143" s="120">
        <v>19</v>
      </c>
      <c r="C143" s="117"/>
      <c r="D143" s="44">
        <v>2000</v>
      </c>
      <c r="E143" s="225">
        <v>2000</v>
      </c>
      <c r="F143" s="243">
        <f t="shared" si="7"/>
        <v>4000</v>
      </c>
      <c r="G143" s="44">
        <v>4000</v>
      </c>
      <c r="H143" s="245">
        <f t="shared" si="6"/>
        <v>0</v>
      </c>
      <c r="I143" s="9"/>
      <c r="J143" s="9"/>
    </row>
    <row r="144" spans="1:14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  <c r="I144" s="9"/>
      <c r="J144" s="9"/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  <c r="I145" s="9"/>
      <c r="J145" s="9"/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  <c r="J146" s="9"/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>
        <v>3000</v>
      </c>
      <c r="H147" s="288">
        <f t="shared" si="6"/>
        <v>1000</v>
      </c>
      <c r="I147" s="9"/>
      <c r="J147" s="9"/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/>
      <c r="H148" s="245">
        <f t="shared" si="6"/>
        <v>4500</v>
      </c>
      <c r="I148" s="9"/>
      <c r="J148" s="9"/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/>
      <c r="H149" s="245">
        <f t="shared" si="6"/>
        <v>4000</v>
      </c>
      <c r="I149" s="9"/>
      <c r="J149" s="9"/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/>
      <c r="H150" s="245">
        <f t="shared" si="6"/>
        <v>4000</v>
      </c>
      <c r="I150" s="9"/>
      <c r="J150" s="9"/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  <c r="I151" s="9"/>
      <c r="J151" s="9"/>
    </row>
    <row r="152" spans="1:10" x14ac:dyDescent="0.25">
      <c r="A152" s="44"/>
      <c r="B152" s="120"/>
      <c r="C152" s="44"/>
      <c r="D152" s="44">
        <f>SUM(D125:D151)</f>
        <v>6000</v>
      </c>
      <c r="E152" s="263">
        <f>SUM(E125:E151)</f>
        <v>52500</v>
      </c>
      <c r="F152" s="262">
        <f>SUM(F125:F151)</f>
        <v>58500</v>
      </c>
      <c r="G152" s="264">
        <f>SUM(G125:G151)</f>
        <v>11000</v>
      </c>
      <c r="H152" s="264">
        <f>SUM(H125:H151)</f>
        <v>47500</v>
      </c>
      <c r="I152" s="9"/>
      <c r="J152" s="9"/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  <c r="I153" s="9"/>
      <c r="J153" s="9"/>
    </row>
    <row r="154" spans="1:10" x14ac:dyDescent="0.25">
      <c r="A154" s="331" t="s">
        <v>60</v>
      </c>
      <c r="B154" s="191"/>
      <c r="C154" s="338">
        <f>E152</f>
        <v>52500</v>
      </c>
      <c r="D154" s="191"/>
      <c r="E154" s="331" t="s">
        <v>60</v>
      </c>
      <c r="F154" s="324"/>
      <c r="G154" s="326">
        <f>G152</f>
        <v>11000</v>
      </c>
      <c r="H154" s="121"/>
      <c r="I154" s="9"/>
      <c r="J154" s="9"/>
    </row>
    <row r="155" spans="1:10" x14ac:dyDescent="0.25">
      <c r="A155" s="191"/>
      <c r="B155" s="327">
        <v>0.1</v>
      </c>
      <c r="C155" s="339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  <c r="I155" s="9"/>
      <c r="J155" s="9"/>
    </row>
    <row r="156" spans="1:10" x14ac:dyDescent="0.25">
      <c r="A156" s="332" t="s">
        <v>347</v>
      </c>
      <c r="B156" s="191"/>
      <c r="C156" s="301"/>
      <c r="D156" s="191"/>
      <c r="E156" s="332" t="s">
        <v>347</v>
      </c>
      <c r="F156" s="329"/>
      <c r="G156" s="301"/>
      <c r="H156" s="72"/>
      <c r="I156" s="9"/>
      <c r="J156" s="9"/>
    </row>
    <row r="157" spans="1:10" x14ac:dyDescent="0.25">
      <c r="A157" s="332" t="s">
        <v>2</v>
      </c>
      <c r="B157" s="191"/>
      <c r="C157" s="301">
        <f>C154</f>
        <v>52500</v>
      </c>
      <c r="D157" s="191"/>
      <c r="E157" s="332" t="s">
        <v>2</v>
      </c>
      <c r="F157" s="329"/>
      <c r="G157" s="301">
        <f>G154</f>
        <v>11000</v>
      </c>
      <c r="H157" s="72"/>
      <c r="I157" s="9"/>
      <c r="J157" s="9"/>
    </row>
    <row r="158" spans="1:10" x14ac:dyDescent="0.25">
      <c r="A158" s="330" t="s">
        <v>58</v>
      </c>
      <c r="B158" s="191"/>
      <c r="C158" s="301"/>
      <c r="D158" s="191"/>
      <c r="E158" s="330" t="s">
        <v>58</v>
      </c>
      <c r="F158" s="330"/>
      <c r="G158" s="301"/>
      <c r="H158" s="9"/>
      <c r="I158" s="9"/>
      <c r="J158" s="9"/>
    </row>
    <row r="159" spans="1:10" x14ac:dyDescent="0.25">
      <c r="A159" s="329" t="s">
        <v>196</v>
      </c>
      <c r="B159" s="191"/>
      <c r="C159" s="339">
        <f>C154*B155</f>
        <v>5250</v>
      </c>
      <c r="D159" s="191"/>
      <c r="E159" s="329" t="s">
        <v>196</v>
      </c>
      <c r="F159" s="191"/>
      <c r="G159" s="301">
        <f>F155*C154</f>
        <v>5250</v>
      </c>
      <c r="H159" s="104"/>
      <c r="I159" s="9"/>
      <c r="J159" s="9"/>
    </row>
    <row r="160" spans="1:10" x14ac:dyDescent="0.25">
      <c r="A160" s="310" t="s">
        <v>378</v>
      </c>
      <c r="B160" s="44"/>
      <c r="C160" s="247">
        <f>E140+E137</f>
        <v>6000</v>
      </c>
      <c r="D160" s="44"/>
      <c r="E160" s="310" t="s">
        <v>378</v>
      </c>
      <c r="F160" s="310"/>
      <c r="G160" s="247">
        <f>C160</f>
        <v>6000</v>
      </c>
      <c r="H160" s="252"/>
      <c r="I160" s="9"/>
      <c r="J160" s="9"/>
    </row>
    <row r="161" spans="1:10" x14ac:dyDescent="0.25">
      <c r="A161" s="311"/>
      <c r="B161" s="44"/>
      <c r="C161" s="44"/>
      <c r="D161" s="105"/>
      <c r="E161" s="311"/>
      <c r="F161" s="44"/>
      <c r="G161" s="44"/>
      <c r="H161" s="9"/>
      <c r="I161" s="9"/>
      <c r="J161" s="9"/>
    </row>
    <row r="162" spans="1:10" x14ac:dyDescent="0.25">
      <c r="A162" s="311"/>
      <c r="B162" s="44"/>
      <c r="C162" s="340"/>
      <c r="D162" s="105"/>
      <c r="E162" s="311"/>
      <c r="F162" s="44"/>
      <c r="G162" s="340"/>
      <c r="H162" s="9"/>
      <c r="I162" s="9"/>
      <c r="J162" s="9"/>
    </row>
    <row r="163" spans="1:10" x14ac:dyDescent="0.25">
      <c r="A163" s="44"/>
      <c r="B163" s="44"/>
      <c r="C163" s="44"/>
      <c r="D163" s="44"/>
      <c r="E163" s="44"/>
      <c r="F163" s="44"/>
      <c r="G163" s="44"/>
      <c r="H163" s="34"/>
      <c r="I163" s="9"/>
      <c r="J163" s="9"/>
    </row>
    <row r="164" spans="1:10" x14ac:dyDescent="0.25">
      <c r="A164" s="44"/>
      <c r="B164" s="44"/>
      <c r="C164" s="44"/>
      <c r="D164" s="44"/>
      <c r="E164" s="44"/>
      <c r="F164" s="44"/>
      <c r="G164" s="44"/>
      <c r="H164" s="34"/>
      <c r="I164" s="9"/>
      <c r="J164" s="9"/>
    </row>
    <row r="165" spans="1:10" x14ac:dyDescent="0.25">
      <c r="A165" s="44"/>
      <c r="B165" s="44"/>
      <c r="C165" s="44"/>
      <c r="D165" s="44"/>
      <c r="E165" s="44"/>
      <c r="F165" s="44"/>
      <c r="G165" s="44"/>
      <c r="H165" s="34"/>
      <c r="I165" s="9"/>
      <c r="J165" s="9"/>
    </row>
    <row r="166" spans="1:10" x14ac:dyDescent="0.25">
      <c r="A166" s="44"/>
      <c r="B166" s="44"/>
      <c r="C166" s="44"/>
      <c r="D166" s="44"/>
      <c r="E166" s="44"/>
      <c r="F166" s="44"/>
      <c r="G166" s="44"/>
      <c r="H166" s="34"/>
      <c r="I166" s="9"/>
      <c r="J166" s="9"/>
    </row>
    <row r="167" spans="1:10" x14ac:dyDescent="0.25">
      <c r="A167" s="44"/>
      <c r="B167" s="44"/>
      <c r="C167" s="44"/>
      <c r="D167" s="44"/>
      <c r="E167" s="44"/>
      <c r="F167" s="44"/>
      <c r="G167" s="44"/>
      <c r="H167" s="34"/>
      <c r="I167" s="9"/>
      <c r="J167" s="9"/>
    </row>
    <row r="168" spans="1:10" x14ac:dyDescent="0.25">
      <c r="A168" s="44"/>
      <c r="B168" s="44"/>
      <c r="C168" s="44"/>
      <c r="D168" s="44"/>
      <c r="E168" s="44"/>
      <c r="F168" s="44"/>
      <c r="G168" s="44"/>
      <c r="H168" s="34"/>
      <c r="I168" s="9"/>
      <c r="J168" s="9"/>
    </row>
    <row r="169" spans="1:10" x14ac:dyDescent="0.25">
      <c r="A169" s="93"/>
      <c r="B169" s="9"/>
      <c r="C169" s="125"/>
      <c r="D169" s="44"/>
      <c r="E169" s="93"/>
      <c r="F169" s="9"/>
      <c r="G169" s="125"/>
      <c r="H169" s="9"/>
      <c r="I169" s="9"/>
      <c r="J169" s="9"/>
    </row>
    <row r="170" spans="1:10" x14ac:dyDescent="0.25">
      <c r="A170" s="173" t="s">
        <v>2</v>
      </c>
      <c r="B170" s="173"/>
      <c r="C170" s="341">
        <f>SUM(C159:C169)</f>
        <v>11250</v>
      </c>
      <c r="D170" s="173"/>
      <c r="E170" s="173" t="s">
        <v>2</v>
      </c>
      <c r="F170" s="173"/>
      <c r="G170" s="341">
        <f>SUM(G159:G169)</f>
        <v>11250</v>
      </c>
      <c r="H170" s="87"/>
      <c r="I170" s="9"/>
      <c r="J170" s="9"/>
    </row>
    <row r="171" spans="1:10" x14ac:dyDescent="0.25">
      <c r="A171" s="44" t="s">
        <v>355</v>
      </c>
      <c r="B171" s="44"/>
      <c r="C171" s="341">
        <f>C157-C170</f>
        <v>41250</v>
      </c>
      <c r="D171" s="44"/>
      <c r="E171" s="44" t="s">
        <v>355</v>
      </c>
      <c r="F171" s="44"/>
      <c r="G171" s="247">
        <f>G157-G170</f>
        <v>-250</v>
      </c>
      <c r="H171" s="72"/>
      <c r="I171" s="9"/>
      <c r="J171" s="9"/>
    </row>
    <row r="172" spans="1:10" x14ac:dyDescent="0.25">
      <c r="A172" s="9"/>
      <c r="B172" s="9"/>
      <c r="C172" s="72"/>
      <c r="D172" s="9"/>
      <c r="E172" s="9"/>
      <c r="F172" s="9"/>
      <c r="G172" s="9"/>
      <c r="H172" s="9"/>
      <c r="I172" s="9"/>
      <c r="J172" s="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opLeftCell="A73" zoomScaleNormal="100" workbookViewId="0">
      <selection activeCell="B107" sqref="B107"/>
    </sheetView>
  </sheetViews>
  <sheetFormatPr defaultRowHeight="15" x14ac:dyDescent="0.25"/>
  <cols>
    <col min="1" max="1" width="15.42578125" customWidth="1"/>
    <col min="3" max="3" width="9.5703125" bestFit="1" customWidth="1"/>
    <col min="6" max="6" width="13.28515625" customWidth="1"/>
    <col min="7" max="7" width="10.28515625" bestFit="1" customWidth="1"/>
  </cols>
  <sheetData>
    <row r="1" spans="1:13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13" x14ac:dyDescent="0.25">
      <c r="A2" s="94"/>
      <c r="B2" s="95"/>
      <c r="C2" s="95"/>
      <c r="D2" s="96" t="s">
        <v>609</v>
      </c>
      <c r="E2" s="95"/>
      <c r="F2" s="95"/>
      <c r="G2" s="95"/>
      <c r="H2" s="9"/>
      <c r="I2" s="9"/>
    </row>
    <row r="3" spans="1:13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13" x14ac:dyDescent="0.25">
      <c r="A4" s="43" t="s">
        <v>110</v>
      </c>
      <c r="B4" s="3">
        <v>1</v>
      </c>
      <c r="C4" s="44"/>
      <c r="D4" s="2">
        <v>5500</v>
      </c>
      <c r="E4" s="244">
        <v>2000</v>
      </c>
      <c r="F4" s="244">
        <f>D4+E4</f>
        <v>7500</v>
      </c>
      <c r="G4" s="244">
        <v>3000</v>
      </c>
      <c r="H4" s="249">
        <f>F4-G4</f>
        <v>4500</v>
      </c>
      <c r="I4" s="9"/>
    </row>
    <row r="5" spans="1:13" x14ac:dyDescent="0.25">
      <c r="A5" s="43" t="s">
        <v>137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2000</v>
      </c>
      <c r="H5" s="249">
        <f t="shared" ref="H5:H15" si="1">F5-G5</f>
        <v>0</v>
      </c>
      <c r="I5" s="9"/>
    </row>
    <row r="6" spans="1:13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13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</row>
    <row r="8" spans="1:13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</row>
    <row r="9" spans="1:13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  <c r="I9" s="9"/>
    </row>
    <row r="10" spans="1:13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  <c r="M10">
        <v>21560</v>
      </c>
    </row>
    <row r="11" spans="1:13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  <c r="M11">
        <v>2700</v>
      </c>
    </row>
    <row r="12" spans="1:13" x14ac:dyDescent="0.25">
      <c r="A12" s="45" t="s">
        <v>47</v>
      </c>
      <c r="B12" s="3">
        <v>9</v>
      </c>
      <c r="C12" s="44"/>
      <c r="D12" s="44"/>
      <c r="E12" s="247">
        <v>2000</v>
      </c>
      <c r="F12" s="244">
        <f t="shared" si="0"/>
        <v>2000</v>
      </c>
      <c r="G12" s="247"/>
      <c r="H12" s="247"/>
      <c r="I12" s="9"/>
      <c r="M12">
        <v>4750</v>
      </c>
    </row>
    <row r="13" spans="1:13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M13">
        <v>8600</v>
      </c>
    </row>
    <row r="14" spans="1:13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M14">
        <f>SUM(M10:M13)</f>
        <v>37610</v>
      </c>
    </row>
    <row r="15" spans="1:13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</row>
    <row r="16" spans="1:13" x14ac:dyDescent="0.25">
      <c r="A16" s="47"/>
      <c r="B16" s="16"/>
      <c r="C16" s="48"/>
      <c r="D16" s="46">
        <f>SUM(D4:D15)</f>
        <v>32900</v>
      </c>
      <c r="E16" s="244">
        <f>SUM(E4:E15)</f>
        <v>16000</v>
      </c>
      <c r="F16" s="244">
        <f>D16+E16</f>
        <v>48900</v>
      </c>
      <c r="G16" s="244">
        <f>SUM(G4:G15)</f>
        <v>14500</v>
      </c>
      <c r="H16" s="249">
        <f>SUM(H4:H15)</f>
        <v>32400</v>
      </c>
      <c r="I16" s="9"/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9" x14ac:dyDescent="0.25">
      <c r="A18" s="358" t="s">
        <v>617</v>
      </c>
      <c r="B18" s="359"/>
      <c r="C18" s="62"/>
      <c r="D18" s="360">
        <f>SUM(E16)</f>
        <v>16000</v>
      </c>
      <c r="E18" s="62" t="s">
        <v>618</v>
      </c>
      <c r="F18" s="62"/>
      <c r="G18" s="264">
        <f>G16</f>
        <v>14500</v>
      </c>
      <c r="H18" s="9"/>
      <c r="I18" s="9"/>
    </row>
    <row r="19" spans="1:9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APRL!G27</f>
        <v>-20700</v>
      </c>
      <c r="H19" s="9"/>
      <c r="I19" s="9"/>
    </row>
    <row r="20" spans="1:9" x14ac:dyDescent="0.25">
      <c r="A20" s="239"/>
      <c r="B20" s="359"/>
      <c r="C20" s="62"/>
      <c r="D20" s="360">
        <f>D18+D19</f>
        <v>16000</v>
      </c>
      <c r="E20" s="49"/>
      <c r="F20" s="49" t="s">
        <v>63</v>
      </c>
      <c r="G20" s="264">
        <f>SUM(G18:G19)</f>
        <v>-6200</v>
      </c>
      <c r="H20" s="9"/>
      <c r="I20" s="9"/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9" x14ac:dyDescent="0.25">
      <c r="A22" s="358" t="s">
        <v>22</v>
      </c>
      <c r="B22" s="359"/>
      <c r="C22" s="62"/>
      <c r="D22" s="362">
        <f>SUM(D18*10%)</f>
        <v>1600</v>
      </c>
      <c r="E22" s="62" t="s">
        <v>613</v>
      </c>
      <c r="F22" s="358" t="s">
        <v>22</v>
      </c>
      <c r="G22" s="264">
        <f>D22</f>
        <v>1600</v>
      </c>
      <c r="H22" s="9"/>
      <c r="I22" s="9"/>
    </row>
    <row r="23" spans="1:9" x14ac:dyDescent="0.25">
      <c r="A23" s="363" t="s">
        <v>605</v>
      </c>
      <c r="B23" s="62"/>
      <c r="C23" s="62"/>
      <c r="D23" s="264">
        <v>4000</v>
      </c>
      <c r="E23" s="364" t="s">
        <v>605</v>
      </c>
      <c r="F23" s="62"/>
      <c r="G23" s="264">
        <v>4000</v>
      </c>
      <c r="H23" s="162"/>
      <c r="I23" s="9"/>
    </row>
    <row r="24" spans="1:9" x14ac:dyDescent="0.25">
      <c r="A24" s="365">
        <v>43234</v>
      </c>
      <c r="B24" s="62"/>
      <c r="C24" s="62"/>
      <c r="D24" s="264">
        <v>10400</v>
      </c>
      <c r="E24" s="366">
        <v>43234</v>
      </c>
      <c r="F24" s="62"/>
      <c r="G24" s="264">
        <v>10400</v>
      </c>
      <c r="H24" s="9"/>
      <c r="I24" s="9"/>
    </row>
    <row r="25" spans="1:9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9" x14ac:dyDescent="0.25">
      <c r="A26" s="62" t="s">
        <v>154</v>
      </c>
      <c r="B26" s="62"/>
      <c r="C26" s="62"/>
      <c r="D26" s="264">
        <f>SUM(D22:D25)</f>
        <v>16000</v>
      </c>
      <c r="E26" s="62" t="s">
        <v>154</v>
      </c>
      <c r="F26" s="62"/>
      <c r="G26" s="264">
        <f>SUM(G22:G25)</f>
        <v>16000</v>
      </c>
      <c r="H26" s="9"/>
      <c r="I26" s="9"/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-22200</v>
      </c>
      <c r="H27" s="9"/>
      <c r="I27" s="9"/>
    </row>
    <row r="28" spans="1:9" x14ac:dyDescent="0.25">
      <c r="A28" s="9"/>
      <c r="B28" s="9"/>
      <c r="C28" s="9"/>
      <c r="D28" s="9"/>
      <c r="E28" s="9"/>
      <c r="F28" s="9"/>
      <c r="G28" s="72"/>
      <c r="H28" s="9"/>
      <c r="I28" s="9"/>
    </row>
    <row r="29" spans="1:9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</row>
    <row r="30" spans="1:9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ht="23.25" x14ac:dyDescent="0.35">
      <c r="A33" s="4"/>
      <c r="B33" s="9"/>
      <c r="C33" s="343" t="s">
        <v>97</v>
      </c>
      <c r="D33" s="343"/>
      <c r="E33" s="343"/>
      <c r="F33" s="343"/>
      <c r="G33" s="343"/>
      <c r="H33" s="9"/>
      <c r="I33" s="9"/>
    </row>
    <row r="34" spans="1:9" x14ac:dyDescent="0.25">
      <c r="A34" s="9"/>
      <c r="B34" s="95"/>
      <c r="C34" s="9"/>
      <c r="D34" s="96" t="s">
        <v>610</v>
      </c>
      <c r="E34" s="9"/>
      <c r="F34" s="95"/>
      <c r="G34" s="95"/>
      <c r="H34" s="9"/>
      <c r="I34" s="9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</row>
    <row r="36" spans="1:9" x14ac:dyDescent="0.25">
      <c r="A36" s="43"/>
      <c r="B36" s="10"/>
      <c r="C36" s="43"/>
      <c r="D36" s="43"/>
      <c r="E36" s="47"/>
      <c r="F36" s="47"/>
      <c r="G36" s="47"/>
      <c r="H36" s="43"/>
      <c r="I36" s="9"/>
    </row>
    <row r="37" spans="1:9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  <c r="I37" s="9"/>
    </row>
    <row r="38" spans="1:9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</row>
    <row r="39" spans="1:9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</row>
    <row r="40" spans="1:9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</row>
    <row r="41" spans="1:9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</row>
    <row r="42" spans="1:9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</row>
    <row r="43" spans="1:9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</row>
    <row r="44" spans="1:9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</row>
    <row r="45" spans="1:9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</row>
    <row r="46" spans="1:9" x14ac:dyDescent="0.25">
      <c r="A46" s="88"/>
      <c r="B46" s="44"/>
      <c r="C46" s="44"/>
      <c r="D46" s="44"/>
      <c r="E46" s="115"/>
      <c r="F46" s="46"/>
      <c r="G46" s="134"/>
      <c r="H46" s="105"/>
      <c r="I46" s="9"/>
    </row>
    <row r="47" spans="1:9" x14ac:dyDescent="0.25">
      <c r="A47" s="88"/>
      <c r="B47" s="44"/>
      <c r="C47" s="44"/>
      <c r="D47" s="44"/>
      <c r="E47" s="115"/>
      <c r="F47" s="46"/>
      <c r="G47" s="134"/>
      <c r="H47" s="105"/>
      <c r="I47" s="9"/>
    </row>
    <row r="48" spans="1:9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</row>
    <row r="49" spans="1:9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3000</v>
      </c>
      <c r="H49" s="247">
        <f>SUM(H37:H48)</f>
        <v>1500</v>
      </c>
      <c r="I49" s="9"/>
    </row>
    <row r="50" spans="1:9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</row>
    <row r="51" spans="1:9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  <c r="I51" s="9"/>
    </row>
    <row r="52" spans="1:9" x14ac:dyDescent="0.25">
      <c r="A52" s="103"/>
      <c r="B52" s="101"/>
      <c r="C52" s="97"/>
      <c r="D52" s="104"/>
      <c r="E52" s="103"/>
      <c r="F52" s="101"/>
      <c r="G52" s="97"/>
      <c r="H52" s="302">
        <f>SUM(H50:H51)</f>
        <v>4350</v>
      </c>
      <c r="I52" s="9"/>
    </row>
    <row r="53" spans="1:9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</row>
    <row r="54" spans="1:9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</row>
    <row r="55" spans="1:9" x14ac:dyDescent="0.25">
      <c r="A55" s="136"/>
      <c r="B55" s="9"/>
      <c r="C55" s="9"/>
      <c r="D55" s="72"/>
      <c r="E55" s="136">
        <v>43234</v>
      </c>
      <c r="F55" s="93"/>
      <c r="G55" s="9"/>
      <c r="H55" s="333">
        <v>2700</v>
      </c>
      <c r="I55" s="9"/>
    </row>
    <row r="56" spans="1:9" x14ac:dyDescent="0.25">
      <c r="A56" s="9"/>
      <c r="B56" s="9"/>
      <c r="C56" s="9"/>
      <c r="D56" s="9"/>
      <c r="E56" s="93"/>
      <c r="F56" s="9"/>
      <c r="G56" s="9"/>
      <c r="H56" s="252"/>
      <c r="I56" s="9"/>
    </row>
    <row r="57" spans="1:9" x14ac:dyDescent="0.25">
      <c r="A57" s="36"/>
      <c r="B57" s="9"/>
      <c r="C57" s="9"/>
      <c r="D57" s="72"/>
      <c r="E57" s="136"/>
      <c r="F57" s="9"/>
      <c r="G57" s="9"/>
      <c r="H57" s="252"/>
      <c r="I57" s="9"/>
    </row>
    <row r="58" spans="1:9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3000</v>
      </c>
      <c r="I58" s="9"/>
    </row>
    <row r="59" spans="1:9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</row>
    <row r="60" spans="1:9" x14ac:dyDescent="0.25">
      <c r="A60" s="36"/>
      <c r="B60" s="9"/>
      <c r="C60" s="9"/>
      <c r="D60" s="135"/>
      <c r="E60" s="9"/>
      <c r="F60" s="9"/>
      <c r="G60" s="9"/>
      <c r="H60" s="72"/>
      <c r="I60" s="9"/>
    </row>
    <row r="61" spans="1:9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</row>
    <row r="62" spans="1:9" x14ac:dyDescent="0.25">
      <c r="A62" s="9"/>
      <c r="B62" s="95"/>
      <c r="C62" s="95"/>
      <c r="D62" s="96" t="s">
        <v>610</v>
      </c>
      <c r="E62" s="95"/>
      <c r="F62" s="95"/>
      <c r="G62" s="95"/>
      <c r="H62" s="9"/>
      <c r="I62" s="9"/>
    </row>
    <row r="63" spans="1:9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</row>
    <row r="64" spans="1:9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</row>
    <row r="65" spans="1:9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</row>
    <row r="66" spans="1:9" x14ac:dyDescent="0.25">
      <c r="A66" s="43"/>
      <c r="B66" s="69"/>
      <c r="C66" s="217"/>
      <c r="D66" s="243"/>
      <c r="E66" s="247"/>
      <c r="F66" s="44"/>
      <c r="G66" s="334"/>
      <c r="H66" s="44"/>
      <c r="I66" s="9"/>
    </row>
    <row r="67" spans="1:9" x14ac:dyDescent="0.25">
      <c r="A67" s="43"/>
      <c r="B67" s="3"/>
      <c r="C67" s="218"/>
      <c r="D67" s="244"/>
      <c r="E67" s="247"/>
      <c r="F67" s="44"/>
      <c r="G67" s="334"/>
      <c r="H67" s="44"/>
      <c r="I67" s="9"/>
    </row>
    <row r="68" spans="1:9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</row>
    <row r="69" spans="1:9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</row>
    <row r="70" spans="1:9" x14ac:dyDescent="0.25">
      <c r="A70" s="43"/>
      <c r="B70" s="3"/>
      <c r="C70" s="44"/>
      <c r="D70" s="46"/>
      <c r="E70" s="44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</row>
    <row r="73" spans="1:9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  <c r="H73" s="9"/>
      <c r="I73" s="9"/>
    </row>
    <row r="74" spans="1:9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-10950</v>
      </c>
      <c r="H74" s="9"/>
      <c r="I74" s="9"/>
    </row>
    <row r="75" spans="1:9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</row>
    <row r="76" spans="1:9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</row>
    <row r="77" spans="1:9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</row>
    <row r="78" spans="1:9" x14ac:dyDescent="0.25">
      <c r="A78" s="122"/>
      <c r="B78" s="97"/>
      <c r="C78" s="97"/>
      <c r="D78" s="253"/>
      <c r="E78" s="9"/>
      <c r="F78" s="93"/>
      <c r="G78" s="147"/>
      <c r="H78" s="9"/>
      <c r="I78" s="9"/>
    </row>
    <row r="79" spans="1:9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700</v>
      </c>
      <c r="H79" s="9"/>
      <c r="I79" s="9"/>
    </row>
    <row r="80" spans="1:9" x14ac:dyDescent="0.25">
      <c r="A80" s="9"/>
      <c r="B80" s="9"/>
      <c r="C80" s="9"/>
      <c r="D80" s="9"/>
      <c r="E80" s="91"/>
      <c r="F80" s="9"/>
      <c r="G80" s="147">
        <f>G74-G79</f>
        <v>-11650</v>
      </c>
      <c r="H80" s="9"/>
      <c r="I80" s="9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</row>
    <row r="83" spans="1:9" ht="23.25" x14ac:dyDescent="0.35">
      <c r="A83" s="4"/>
      <c r="B83" s="237" t="s">
        <v>620</v>
      </c>
      <c r="C83" s="9"/>
      <c r="D83" s="238"/>
      <c r="E83" s="343"/>
      <c r="F83" s="343"/>
      <c r="G83" s="9"/>
      <c r="H83" s="9"/>
      <c r="I83" s="9"/>
    </row>
    <row r="84" spans="1:9" x14ac:dyDescent="0.25">
      <c r="A84" s="9"/>
      <c r="B84" s="9"/>
      <c r="C84" s="95"/>
      <c r="D84" s="96" t="s">
        <v>611</v>
      </c>
      <c r="E84" s="9"/>
      <c r="F84" s="95"/>
      <c r="G84" s="95"/>
      <c r="H84" s="9"/>
      <c r="I84" s="9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</row>
    <row r="86" spans="1:9" x14ac:dyDescent="0.25">
      <c r="A86" s="62" t="s">
        <v>317</v>
      </c>
      <c r="B86" s="120">
        <v>1</v>
      </c>
      <c r="C86" s="116"/>
      <c r="D86" s="201">
        <v>22500</v>
      </c>
      <c r="E86" s="269">
        <v>4500</v>
      </c>
      <c r="F86" s="269">
        <f>D86+E86</f>
        <v>27000</v>
      </c>
      <c r="G86" s="270"/>
      <c r="H86" s="271">
        <f>F86-G86</f>
        <v>27000</v>
      </c>
      <c r="I86" s="9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4" si="5">F87-G87</f>
        <v>0</v>
      </c>
      <c r="I87" s="9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</row>
    <row r="89" spans="1:9" x14ac:dyDescent="0.25">
      <c r="A89" s="239" t="s">
        <v>528</v>
      </c>
      <c r="B89" s="120">
        <v>4</v>
      </c>
      <c r="C89" s="117"/>
      <c r="D89" s="201">
        <v>800</v>
      </c>
      <c r="E89" s="272">
        <v>2500</v>
      </c>
      <c r="F89" s="269">
        <f t="shared" si="4"/>
        <v>3300</v>
      </c>
      <c r="G89" s="273">
        <v>3300</v>
      </c>
      <c r="H89" s="271">
        <f t="shared" si="5"/>
        <v>0</v>
      </c>
      <c r="I89" s="9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9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</row>
    <row r="92" spans="1:9" x14ac:dyDescent="0.25">
      <c r="A92" s="62" t="s">
        <v>606</v>
      </c>
      <c r="B92" s="120">
        <v>7</v>
      </c>
      <c r="C92" s="117"/>
      <c r="D92" s="198">
        <v>2500</v>
      </c>
      <c r="E92" s="274">
        <v>2500</v>
      </c>
      <c r="F92" s="269">
        <f t="shared" si="4"/>
        <v>5000</v>
      </c>
      <c r="G92" s="275">
        <v>5000</v>
      </c>
      <c r="H92" s="271">
        <f t="shared" si="5"/>
        <v>0</v>
      </c>
      <c r="I92" s="9"/>
    </row>
    <row r="93" spans="1:9" x14ac:dyDescent="0.25">
      <c r="A93" s="49" t="s">
        <v>621</v>
      </c>
      <c r="B93" s="120">
        <v>8</v>
      </c>
      <c r="C93" s="372"/>
      <c r="D93" s="206"/>
      <c r="E93" s="272">
        <v>3670</v>
      </c>
      <c r="F93" s="269">
        <f t="shared" si="4"/>
        <v>3670</v>
      </c>
      <c r="G93" s="272">
        <v>3500</v>
      </c>
      <c r="H93" s="271">
        <f>F93-G93</f>
        <v>170</v>
      </c>
      <c r="I93" s="9" t="s">
        <v>625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9"/>
    </row>
    <row r="95" spans="1:9" x14ac:dyDescent="0.25">
      <c r="A95" s="296" t="s">
        <v>504</v>
      </c>
      <c r="B95" s="120">
        <v>10</v>
      </c>
      <c r="C95" s="9"/>
      <c r="D95" s="198">
        <v>700</v>
      </c>
      <c r="E95" s="277">
        <v>2500</v>
      </c>
      <c r="F95" s="269">
        <f t="shared" si="4"/>
        <v>3200</v>
      </c>
      <c r="G95" s="276">
        <v>2500</v>
      </c>
      <c r="H95" s="271">
        <f t="shared" si="5"/>
        <v>700</v>
      </c>
      <c r="I95" s="9"/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9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2000</v>
      </c>
      <c r="H99" s="271">
        <f t="shared" si="5"/>
        <v>0</v>
      </c>
      <c r="I99" s="9" t="s">
        <v>624</v>
      </c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800</v>
      </c>
      <c r="E100" s="276">
        <v>2500</v>
      </c>
      <c r="F100" s="269">
        <f t="shared" si="4"/>
        <v>3300</v>
      </c>
      <c r="G100" s="276">
        <v>1500</v>
      </c>
      <c r="H100" s="271">
        <f t="shared" si="5"/>
        <v>1800</v>
      </c>
      <c r="I100" s="9"/>
    </row>
    <row r="101" spans="1:9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>F105-G105</f>
        <v>0</v>
      </c>
      <c r="I105" s="9"/>
    </row>
    <row r="106" spans="1:9" x14ac:dyDescent="0.25">
      <c r="A106" s="138"/>
      <c r="B106" s="138"/>
      <c r="C106" s="138"/>
      <c r="D106" s="138"/>
      <c r="E106" s="280">
        <f>SUM(E86:E105)</f>
        <v>39970</v>
      </c>
      <c r="F106" s="243">
        <f>D106+E106</f>
        <v>39970</v>
      </c>
      <c r="G106" s="280">
        <f>SUM(G86:G105)</f>
        <v>37600</v>
      </c>
      <c r="H106" s="280">
        <f>SUM(H86:H105)</f>
        <v>32670</v>
      </c>
      <c r="I106" s="9"/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  <c r="I107" s="9"/>
    </row>
    <row r="108" spans="1:9" x14ac:dyDescent="0.25">
      <c r="A108" s="347" t="s">
        <v>60</v>
      </c>
      <c r="B108" s="352"/>
      <c r="C108" s="113"/>
      <c r="D108" s="353">
        <f>E106</f>
        <v>39970</v>
      </c>
      <c r="E108" s="347"/>
      <c r="F108" s="347" t="s">
        <v>60</v>
      </c>
      <c r="G108" s="300">
        <f>G106</f>
        <v>37600</v>
      </c>
      <c r="H108" s="267"/>
      <c r="I108" s="9"/>
    </row>
    <row r="109" spans="1:9" x14ac:dyDescent="0.25">
      <c r="A109" s="329" t="s">
        <v>347</v>
      </c>
      <c r="B109" s="354"/>
      <c r="C109" s="191"/>
      <c r="D109" s="339">
        <f>APRL!D119</f>
        <v>1620</v>
      </c>
      <c r="E109" s="329"/>
      <c r="F109" s="329" t="s">
        <v>347</v>
      </c>
      <c r="G109" s="191">
        <f>APRL!G119</f>
        <v>-57115</v>
      </c>
      <c r="H109" s="268"/>
      <c r="I109" s="9"/>
    </row>
    <row r="110" spans="1:9" s="9" customFormat="1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41590</v>
      </c>
      <c r="E111" s="329"/>
      <c r="F111" s="329" t="s">
        <v>2</v>
      </c>
      <c r="G111" s="301">
        <f>SUM(G108:G110)</f>
        <v>-19515</v>
      </c>
      <c r="H111" s="252"/>
      <c r="I111" s="9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  <c r="I112" s="9"/>
    </row>
    <row r="113" spans="1:9" x14ac:dyDescent="0.25">
      <c r="A113" s="344" t="s">
        <v>22</v>
      </c>
      <c r="B113" s="345"/>
      <c r="C113" s="44"/>
      <c r="D113" s="340">
        <f>SUM(D108*10%)</f>
        <v>3997</v>
      </c>
      <c r="E113" s="344" t="s">
        <v>22</v>
      </c>
      <c r="F113" s="44"/>
      <c r="G113" s="247">
        <f>D113</f>
        <v>3997</v>
      </c>
      <c r="H113" s="254"/>
      <c r="I113" s="9"/>
    </row>
    <row r="114" spans="1:9" x14ac:dyDescent="0.25">
      <c r="A114" s="311" t="s">
        <v>607</v>
      </c>
      <c r="B114" s="345"/>
      <c r="C114" s="44"/>
      <c r="D114" s="340">
        <v>5000</v>
      </c>
      <c r="E114" s="345"/>
      <c r="F114" s="44"/>
      <c r="G114" s="340"/>
      <c r="H114" s="9"/>
      <c r="I114" s="9"/>
    </row>
    <row r="115" spans="1:9" x14ac:dyDescent="0.25">
      <c r="A115" s="311">
        <v>43230</v>
      </c>
      <c r="B115" s="44"/>
      <c r="C115" s="44"/>
      <c r="D115" s="247">
        <v>15000</v>
      </c>
      <c r="E115" s="310">
        <v>43230</v>
      </c>
      <c r="F115" s="44"/>
      <c r="G115" s="247">
        <v>15000</v>
      </c>
      <c r="H115" s="9"/>
      <c r="I115" s="9"/>
    </row>
    <row r="116" spans="1:9" x14ac:dyDescent="0.25">
      <c r="A116" s="311" t="s">
        <v>619</v>
      </c>
      <c r="B116" s="44"/>
      <c r="C116" s="44"/>
      <c r="D116" s="247">
        <v>800</v>
      </c>
      <c r="E116" s="311" t="s">
        <v>619</v>
      </c>
      <c r="F116" s="44"/>
      <c r="G116" s="247">
        <v>800</v>
      </c>
      <c r="I116" s="9"/>
    </row>
    <row r="117" spans="1:9" x14ac:dyDescent="0.25">
      <c r="A117" s="310">
        <v>43235</v>
      </c>
      <c r="B117" s="44"/>
      <c r="C117" s="44"/>
      <c r="D117" s="247">
        <v>11700</v>
      </c>
      <c r="E117" s="310">
        <v>43235</v>
      </c>
      <c r="F117" s="44"/>
      <c r="G117" s="44">
        <v>11700</v>
      </c>
      <c r="H117" s="9"/>
      <c r="I117" s="9"/>
    </row>
    <row r="118" spans="1:9" x14ac:dyDescent="0.25">
      <c r="A118" s="310">
        <v>43242</v>
      </c>
      <c r="B118" s="44"/>
      <c r="C118" s="44"/>
      <c r="D118" s="247">
        <v>4960</v>
      </c>
      <c r="E118" s="311">
        <v>43242</v>
      </c>
      <c r="F118" s="44"/>
      <c r="G118" s="44">
        <v>4960</v>
      </c>
      <c r="H118" s="252"/>
      <c r="I118" s="9"/>
    </row>
    <row r="119" spans="1:9" x14ac:dyDescent="0.25">
      <c r="A119" s="344"/>
      <c r="B119" s="44"/>
      <c r="C119" s="44"/>
      <c r="D119" s="247">
        <f>SUM(D113:D118)</f>
        <v>41457</v>
      </c>
      <c r="E119" s="344">
        <v>5</v>
      </c>
      <c r="F119" s="344"/>
      <c r="G119" s="247">
        <f>SUM(G113:G118)</f>
        <v>36457</v>
      </c>
      <c r="H119" s="252"/>
      <c r="I119" s="9"/>
    </row>
    <row r="120" spans="1:9" x14ac:dyDescent="0.25">
      <c r="A120" s="344" t="s">
        <v>165</v>
      </c>
      <c r="B120" s="44"/>
      <c r="C120" s="44"/>
      <c r="D120" s="247">
        <f>D111-D119</f>
        <v>133</v>
      </c>
      <c r="E120" s="344"/>
      <c r="F120" s="344" t="s">
        <v>165</v>
      </c>
      <c r="G120" s="247">
        <f>G111-G119</f>
        <v>-55972</v>
      </c>
      <c r="H120" s="252"/>
      <c r="I120" s="9"/>
    </row>
    <row r="121" spans="1:9" x14ac:dyDescent="0.25">
      <c r="A121" s="9"/>
      <c r="B121" s="19"/>
      <c r="C121" s="19"/>
      <c r="D121" s="81"/>
      <c r="E121" s="81"/>
      <c r="F121" s="19"/>
      <c r="G121" s="9"/>
      <c r="H121" s="9"/>
      <c r="I121" s="9"/>
    </row>
    <row r="122" spans="1:9" x14ac:dyDescent="0.25">
      <c r="A122" s="94"/>
      <c r="B122" s="316"/>
      <c r="C122" s="317" t="s">
        <v>97</v>
      </c>
      <c r="D122" s="318"/>
      <c r="E122" s="316"/>
      <c r="F122" s="319"/>
      <c r="G122" s="319"/>
      <c r="H122" s="90"/>
      <c r="I122" s="9"/>
    </row>
    <row r="123" spans="1:9" ht="28.5" x14ac:dyDescent="0.45">
      <c r="A123" s="94"/>
      <c r="B123" s="320"/>
      <c r="C123" s="321" t="s">
        <v>597</v>
      </c>
      <c r="D123" s="322"/>
      <c r="E123" s="322"/>
      <c r="F123" s="320"/>
      <c r="G123" s="320"/>
      <c r="H123" s="323"/>
      <c r="I123" s="9"/>
    </row>
    <row r="124" spans="1:9" ht="28.5" x14ac:dyDescent="0.45">
      <c r="A124" s="94"/>
      <c r="B124" s="314"/>
      <c r="C124" s="52" t="s">
        <v>612</v>
      </c>
      <c r="D124" s="315"/>
      <c r="E124" s="315"/>
      <c r="F124" s="314"/>
      <c r="G124" s="314"/>
      <c r="H124" s="342"/>
      <c r="I124" s="9"/>
    </row>
    <row r="125" spans="1:9" x14ac:dyDescent="0.25">
      <c r="A125" s="12" t="s">
        <v>0</v>
      </c>
      <c r="B125" s="12" t="s">
        <v>32</v>
      </c>
      <c r="C125" s="12" t="s">
        <v>52</v>
      </c>
      <c r="D125" s="22" t="s">
        <v>55</v>
      </c>
      <c r="E125" s="21" t="s">
        <v>1</v>
      </c>
      <c r="F125" s="22" t="s">
        <v>10</v>
      </c>
      <c r="G125" s="21" t="s">
        <v>3</v>
      </c>
      <c r="H125" s="13" t="s">
        <v>13</v>
      </c>
      <c r="I125" s="9"/>
    </row>
    <row r="126" spans="1:9" x14ac:dyDescent="0.25">
      <c r="A126" s="62" t="s">
        <v>532</v>
      </c>
      <c r="B126" s="120">
        <v>1</v>
      </c>
      <c r="C126" s="116"/>
      <c r="D126" s="43"/>
      <c r="E126" s="47"/>
      <c r="F126" s="47">
        <f>D126+E126</f>
        <v>0</v>
      </c>
      <c r="G126" s="131"/>
      <c r="H126" s="245">
        <f>F126-G126</f>
        <v>0</v>
      </c>
      <c r="I126" s="9" t="s">
        <v>107</v>
      </c>
    </row>
    <row r="127" spans="1:9" x14ac:dyDescent="0.25">
      <c r="A127" s="62" t="s">
        <v>591</v>
      </c>
      <c r="B127" s="120">
        <v>2</v>
      </c>
      <c r="C127" s="117"/>
      <c r="D127" s="2"/>
      <c r="E127" s="242"/>
      <c r="F127" s="243">
        <f>D127+E127</f>
        <v>0</v>
      </c>
      <c r="G127" s="131"/>
      <c r="H127" s="245">
        <f t="shared" ref="H127:H151" si="6">F127-G127</f>
        <v>0</v>
      </c>
      <c r="I127" s="9" t="s">
        <v>107</v>
      </c>
    </row>
    <row r="128" spans="1:9" x14ac:dyDescent="0.25">
      <c r="A128" s="62" t="s">
        <v>533</v>
      </c>
      <c r="B128" s="120">
        <v>3</v>
      </c>
      <c r="C128" s="117"/>
      <c r="D128" s="43"/>
      <c r="E128" s="242"/>
      <c r="F128" s="243">
        <f>D128+E128</f>
        <v>0</v>
      </c>
      <c r="G128" s="250"/>
      <c r="H128" s="245">
        <f t="shared" si="6"/>
        <v>0</v>
      </c>
      <c r="I128" s="9" t="s">
        <v>107</v>
      </c>
    </row>
    <row r="129" spans="1:9" x14ac:dyDescent="0.25">
      <c r="A129" s="18" t="s">
        <v>570</v>
      </c>
      <c r="B129" s="120">
        <v>4</v>
      </c>
      <c r="C129" s="117"/>
      <c r="D129" s="43"/>
      <c r="E129" s="242">
        <v>2000</v>
      </c>
      <c r="F129" s="243">
        <f t="shared" ref="F129:F151" si="7">D129+E129</f>
        <v>2000</v>
      </c>
      <c r="G129" s="281"/>
      <c r="H129" s="245">
        <f t="shared" si="6"/>
        <v>2000</v>
      </c>
      <c r="I129" s="9"/>
    </row>
    <row r="130" spans="1:9" x14ac:dyDescent="0.25">
      <c r="A130" s="62" t="s">
        <v>260</v>
      </c>
      <c r="B130" s="120">
        <v>5</v>
      </c>
      <c r="C130" s="117"/>
      <c r="D130" s="44"/>
      <c r="E130" s="242">
        <v>4000</v>
      </c>
      <c r="F130" s="243">
        <f t="shared" si="7"/>
        <v>4000</v>
      </c>
      <c r="G130" s="46"/>
      <c r="H130" s="245">
        <f t="shared" si="6"/>
        <v>4000</v>
      </c>
      <c r="I130" s="9"/>
    </row>
    <row r="131" spans="1:9" x14ac:dyDescent="0.25">
      <c r="A131" s="62" t="s">
        <v>424</v>
      </c>
      <c r="B131" s="120">
        <v>6</v>
      </c>
      <c r="C131" s="117"/>
      <c r="D131" s="44"/>
      <c r="E131" s="242">
        <v>4000</v>
      </c>
      <c r="F131" s="243">
        <f t="shared" si="7"/>
        <v>4000</v>
      </c>
      <c r="G131" s="244"/>
      <c r="H131" s="245">
        <f t="shared" si="6"/>
        <v>4000</v>
      </c>
      <c r="I131" s="9"/>
    </row>
    <row r="132" spans="1:9" x14ac:dyDescent="0.25">
      <c r="A132" s="239" t="s">
        <v>21</v>
      </c>
      <c r="B132" s="120">
        <v>7</v>
      </c>
      <c r="C132" s="117"/>
      <c r="D132" s="44"/>
      <c r="E132" s="248"/>
      <c r="F132" s="243">
        <f t="shared" si="7"/>
        <v>0</v>
      </c>
      <c r="G132" s="132"/>
      <c r="H132" s="245"/>
      <c r="I132" s="9"/>
    </row>
    <row r="133" spans="1:9" x14ac:dyDescent="0.25">
      <c r="A133" s="49" t="s">
        <v>21</v>
      </c>
      <c r="B133" s="120">
        <v>8</v>
      </c>
      <c r="C133" s="118"/>
      <c r="D133" s="46"/>
      <c r="E133" s="242"/>
      <c r="F133" s="243">
        <f t="shared" si="7"/>
        <v>0</v>
      </c>
      <c r="G133" s="244"/>
      <c r="H133" s="245">
        <f t="shared" si="6"/>
        <v>0</v>
      </c>
      <c r="I133" s="9"/>
    </row>
    <row r="134" spans="1:9" x14ac:dyDescent="0.25">
      <c r="A134" s="241" t="s">
        <v>372</v>
      </c>
      <c r="B134" s="120">
        <v>9</v>
      </c>
      <c r="C134" s="117"/>
      <c r="D134" s="44"/>
      <c r="E134" s="225">
        <v>4000</v>
      </c>
      <c r="F134" s="243">
        <f t="shared" si="7"/>
        <v>4000</v>
      </c>
      <c r="G134" s="44"/>
      <c r="H134" s="245">
        <f t="shared" si="6"/>
        <v>4000</v>
      </c>
      <c r="I134" s="9"/>
    </row>
    <row r="135" spans="1:9" x14ac:dyDescent="0.25">
      <c r="A135" s="62" t="s">
        <v>592</v>
      </c>
      <c r="B135" s="120">
        <v>10</v>
      </c>
      <c r="C135" s="119"/>
      <c r="D135" s="44"/>
      <c r="E135" s="298">
        <v>4000</v>
      </c>
      <c r="F135" s="243">
        <f t="shared" si="7"/>
        <v>4000</v>
      </c>
      <c r="G135" s="44"/>
      <c r="H135" s="245">
        <f t="shared" si="6"/>
        <v>4000</v>
      </c>
      <c r="I135" s="9"/>
    </row>
    <row r="136" spans="1:9" x14ac:dyDescent="0.25">
      <c r="A136" s="62" t="s">
        <v>21</v>
      </c>
      <c r="B136" s="120">
        <v>11</v>
      </c>
      <c r="C136" s="119"/>
      <c r="D136" s="44"/>
      <c r="E136" s="225"/>
      <c r="F136" s="243">
        <f t="shared" si="7"/>
        <v>0</v>
      </c>
      <c r="G136" s="44"/>
      <c r="H136" s="245">
        <f t="shared" si="6"/>
        <v>0</v>
      </c>
      <c r="I136" s="9"/>
    </row>
    <row r="137" spans="1:9" x14ac:dyDescent="0.25">
      <c r="A137" s="240" t="s">
        <v>442</v>
      </c>
      <c r="B137" s="120">
        <v>12</v>
      </c>
      <c r="C137" s="117"/>
      <c r="D137" s="44"/>
      <c r="E137" s="225">
        <v>4000</v>
      </c>
      <c r="F137" s="243">
        <f t="shared" si="7"/>
        <v>4000</v>
      </c>
      <c r="G137" s="44"/>
      <c r="H137" s="245">
        <f t="shared" si="6"/>
        <v>4000</v>
      </c>
      <c r="I137" s="9"/>
    </row>
    <row r="138" spans="1:9" x14ac:dyDescent="0.25">
      <c r="A138" s="62" t="s">
        <v>534</v>
      </c>
      <c r="B138" s="120">
        <v>13</v>
      </c>
      <c r="C138" s="44"/>
      <c r="D138" s="44"/>
      <c r="E138" s="225">
        <v>4000</v>
      </c>
      <c r="F138" s="243">
        <f t="shared" si="7"/>
        <v>4000</v>
      </c>
      <c r="G138" s="113"/>
      <c r="H138" s="245">
        <f t="shared" si="6"/>
        <v>4000</v>
      </c>
      <c r="I138" s="9"/>
    </row>
    <row r="139" spans="1:9" x14ac:dyDescent="0.25">
      <c r="A139" s="240" t="s">
        <v>535</v>
      </c>
      <c r="B139" s="120">
        <v>14</v>
      </c>
      <c r="C139" s="44"/>
      <c r="D139" s="44"/>
      <c r="E139" s="225"/>
      <c r="F139" s="243">
        <f t="shared" si="7"/>
        <v>0</v>
      </c>
      <c r="G139" s="44"/>
      <c r="H139" s="245"/>
      <c r="I139" s="9" t="s">
        <v>107</v>
      </c>
    </row>
    <row r="140" spans="1:9" x14ac:dyDescent="0.25">
      <c r="A140" s="240" t="s">
        <v>107</v>
      </c>
      <c r="B140" s="120">
        <v>15</v>
      </c>
      <c r="C140" s="44"/>
      <c r="D140" s="44"/>
      <c r="E140" s="227"/>
      <c r="F140" s="243">
        <f t="shared" si="7"/>
        <v>0</v>
      </c>
      <c r="G140" s="44"/>
      <c r="H140" s="245">
        <f t="shared" si="6"/>
        <v>0</v>
      </c>
      <c r="I140" s="9" t="s">
        <v>107</v>
      </c>
    </row>
    <row r="141" spans="1:9" x14ac:dyDescent="0.25">
      <c r="A141" s="62" t="s">
        <v>572</v>
      </c>
      <c r="B141" s="120">
        <v>16</v>
      </c>
      <c r="C141" s="44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 t="s">
        <v>107</v>
      </c>
    </row>
    <row r="142" spans="1:9" x14ac:dyDescent="0.25">
      <c r="A142" s="62" t="s">
        <v>573</v>
      </c>
      <c r="B142" s="120">
        <v>17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</row>
    <row r="143" spans="1:9" x14ac:dyDescent="0.25">
      <c r="A143" s="62" t="s">
        <v>574</v>
      </c>
      <c r="B143" s="120">
        <v>18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  <c r="I143" s="9"/>
    </row>
    <row r="144" spans="1:9" x14ac:dyDescent="0.25">
      <c r="A144" s="62" t="s">
        <v>434</v>
      </c>
      <c r="B144" s="120">
        <v>19</v>
      </c>
      <c r="C144" s="117"/>
      <c r="D144" s="44">
        <v>2000</v>
      </c>
      <c r="E144" s="225">
        <v>2000</v>
      </c>
      <c r="F144" s="243">
        <f t="shared" si="7"/>
        <v>4000</v>
      </c>
      <c r="G144" s="44"/>
      <c r="H144" s="245">
        <f t="shared" si="6"/>
        <v>4000</v>
      </c>
      <c r="I144" s="9"/>
    </row>
    <row r="145" spans="1:9" x14ac:dyDescent="0.25">
      <c r="A145" s="62" t="s">
        <v>256</v>
      </c>
      <c r="B145" s="120">
        <v>20</v>
      </c>
      <c r="C145" s="117"/>
      <c r="D145" s="44"/>
      <c r="E145" s="225">
        <v>2000</v>
      </c>
      <c r="F145" s="243">
        <f t="shared" si="7"/>
        <v>2000</v>
      </c>
      <c r="G145" s="44"/>
      <c r="H145" s="245">
        <f t="shared" si="6"/>
        <v>2000</v>
      </c>
      <c r="I145" s="9"/>
    </row>
    <row r="146" spans="1:9" x14ac:dyDescent="0.25">
      <c r="A146" s="239" t="s">
        <v>569</v>
      </c>
      <c r="B146" s="120">
        <v>21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</row>
    <row r="147" spans="1:9" x14ac:dyDescent="0.25">
      <c r="A147" s="239" t="s">
        <v>536</v>
      </c>
      <c r="B147" s="120">
        <v>22</v>
      </c>
      <c r="C147" s="44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  <c r="I147" s="9"/>
    </row>
    <row r="148" spans="1:9" x14ac:dyDescent="0.25">
      <c r="A148" s="284" t="s">
        <v>542</v>
      </c>
      <c r="B148" s="120">
        <v>23</v>
      </c>
      <c r="C148" s="113"/>
      <c r="D148" s="113">
        <v>2000</v>
      </c>
      <c r="E148" s="286">
        <v>2000</v>
      </c>
      <c r="F148" s="243">
        <f t="shared" si="7"/>
        <v>4000</v>
      </c>
      <c r="G148" s="113"/>
      <c r="H148" s="288">
        <f t="shared" si="6"/>
        <v>4000</v>
      </c>
      <c r="I148" s="9"/>
    </row>
    <row r="149" spans="1:9" x14ac:dyDescent="0.25">
      <c r="A149" s="239" t="s">
        <v>272</v>
      </c>
      <c r="B149" s="120">
        <v>24</v>
      </c>
      <c r="C149" s="44"/>
      <c r="D149" s="44"/>
      <c r="E149" s="225">
        <v>4500</v>
      </c>
      <c r="F149" s="243">
        <f t="shared" si="7"/>
        <v>4500</v>
      </c>
      <c r="G149" s="191"/>
      <c r="H149" s="245">
        <f t="shared" si="6"/>
        <v>4500</v>
      </c>
      <c r="I149" s="9"/>
    </row>
    <row r="150" spans="1:9" x14ac:dyDescent="0.25">
      <c r="A150" s="241" t="s">
        <v>273</v>
      </c>
      <c r="B150" s="120">
        <v>25</v>
      </c>
      <c r="C150" s="44"/>
      <c r="D150" s="44"/>
      <c r="E150" s="44">
        <v>4000</v>
      </c>
      <c r="F150" s="243">
        <f t="shared" si="7"/>
        <v>4000</v>
      </c>
      <c r="G150" s="44"/>
      <c r="H150" s="245">
        <f t="shared" si="6"/>
        <v>4000</v>
      </c>
      <c r="I150" s="9"/>
    </row>
    <row r="151" spans="1:9" x14ac:dyDescent="0.25">
      <c r="A151" s="62" t="s">
        <v>587</v>
      </c>
      <c r="B151" s="120">
        <v>26</v>
      </c>
      <c r="C151" s="44"/>
      <c r="D151" s="44">
        <v>2000</v>
      </c>
      <c r="E151" s="298">
        <v>2000</v>
      </c>
      <c r="F151" s="243">
        <f t="shared" si="7"/>
        <v>4000</v>
      </c>
      <c r="G151" s="247"/>
      <c r="H151" s="245">
        <f t="shared" si="6"/>
        <v>4000</v>
      </c>
      <c r="I151" s="9"/>
    </row>
    <row r="152" spans="1:9" x14ac:dyDescent="0.25">
      <c r="A152" s="44"/>
      <c r="B152" s="120"/>
      <c r="C152" s="44"/>
      <c r="D152" s="44"/>
      <c r="E152" s="44"/>
      <c r="F152" s="243"/>
      <c r="G152" s="44"/>
      <c r="H152" s="129"/>
      <c r="I152" s="9"/>
    </row>
    <row r="153" spans="1:9" x14ac:dyDescent="0.25">
      <c r="A153" s="44"/>
      <c r="B153" s="120"/>
      <c r="C153" s="44"/>
      <c r="D153" s="44">
        <f>SUM(D126:D152)</f>
        <v>6000</v>
      </c>
      <c r="E153" s="263">
        <f>SUM(E126:E152)</f>
        <v>52500</v>
      </c>
      <c r="F153" s="262">
        <f>SUM(F126:F152)</f>
        <v>58500</v>
      </c>
      <c r="G153" s="264">
        <f>SUM(G126:G152)</f>
        <v>0</v>
      </c>
      <c r="H153" s="264">
        <f>SUM(H126:H152)</f>
        <v>58500</v>
      </c>
      <c r="I153" s="9"/>
    </row>
    <row r="154" spans="1:9" x14ac:dyDescent="0.25">
      <c r="A154" s="90"/>
      <c r="B154" s="306"/>
      <c r="C154" s="90"/>
      <c r="D154" s="90"/>
      <c r="E154" s="307"/>
      <c r="F154" s="308"/>
      <c r="G154" s="309"/>
      <c r="H154" s="309"/>
      <c r="I154" s="9"/>
    </row>
    <row r="155" spans="1:9" x14ac:dyDescent="0.25">
      <c r="A155" s="331" t="s">
        <v>60</v>
      </c>
      <c r="B155" s="191"/>
      <c r="C155" s="338">
        <f>E153</f>
        <v>52500</v>
      </c>
      <c r="D155" s="191"/>
      <c r="E155" s="331" t="s">
        <v>60</v>
      </c>
      <c r="F155" s="324"/>
      <c r="G155" s="326">
        <f>G153</f>
        <v>0</v>
      </c>
      <c r="H155" s="121"/>
      <c r="I155" s="9"/>
    </row>
    <row r="156" spans="1:9" x14ac:dyDescent="0.25">
      <c r="A156" s="191"/>
      <c r="B156" s="327">
        <v>0.1</v>
      </c>
      <c r="C156" s="339">
        <f>C155*B156</f>
        <v>5250</v>
      </c>
      <c r="D156" s="191"/>
      <c r="E156" s="191"/>
      <c r="F156" s="327">
        <v>0.1</v>
      </c>
      <c r="G156" s="301">
        <f>C156</f>
        <v>5250</v>
      </c>
      <c r="H156" s="72"/>
      <c r="I156" s="9"/>
    </row>
    <row r="157" spans="1:9" x14ac:dyDescent="0.25">
      <c r="A157" s="332" t="s">
        <v>347</v>
      </c>
      <c r="B157" s="191"/>
      <c r="C157" s="301"/>
      <c r="D157" s="191"/>
      <c r="E157" s="332" t="s">
        <v>347</v>
      </c>
      <c r="F157" s="329"/>
      <c r="G157" s="301"/>
      <c r="H157" s="72"/>
      <c r="I157" s="9"/>
    </row>
    <row r="158" spans="1:9" x14ac:dyDescent="0.25">
      <c r="A158" s="332" t="s">
        <v>2</v>
      </c>
      <c r="B158" s="191"/>
      <c r="C158" s="301">
        <f>C155</f>
        <v>52500</v>
      </c>
      <c r="D158" s="191"/>
      <c r="E158" s="332" t="s">
        <v>2</v>
      </c>
      <c r="F158" s="329"/>
      <c r="G158" s="301">
        <f>G155</f>
        <v>0</v>
      </c>
      <c r="H158" s="72"/>
      <c r="I158" s="9"/>
    </row>
    <row r="159" spans="1:9" x14ac:dyDescent="0.25">
      <c r="A159" s="330" t="s">
        <v>58</v>
      </c>
      <c r="B159" s="191"/>
      <c r="C159" s="301"/>
      <c r="D159" s="191"/>
      <c r="E159" s="330" t="s">
        <v>58</v>
      </c>
      <c r="F159" s="330"/>
      <c r="G159" s="301"/>
      <c r="H159" s="9"/>
      <c r="I159" s="9"/>
    </row>
    <row r="160" spans="1:9" x14ac:dyDescent="0.25">
      <c r="A160" s="329" t="s">
        <v>196</v>
      </c>
      <c r="B160" s="191"/>
      <c r="C160" s="339">
        <f>C155*B156</f>
        <v>5250</v>
      </c>
      <c r="D160" s="191"/>
      <c r="E160" s="329" t="s">
        <v>196</v>
      </c>
      <c r="F160" s="191"/>
      <c r="G160" s="301">
        <f>F156*C155</f>
        <v>5250</v>
      </c>
      <c r="H160" s="104"/>
      <c r="I160" s="9"/>
    </row>
    <row r="161" spans="1:9" x14ac:dyDescent="0.25">
      <c r="A161" s="310" t="s">
        <v>378</v>
      </c>
      <c r="B161" s="44"/>
      <c r="C161" s="247">
        <f>E141+E138</f>
        <v>6000</v>
      </c>
      <c r="D161" s="44"/>
      <c r="E161" s="310" t="s">
        <v>378</v>
      </c>
      <c r="F161" s="310"/>
      <c r="G161" s="247">
        <f>C161</f>
        <v>6000</v>
      </c>
      <c r="H161" s="252"/>
      <c r="I161" s="9"/>
    </row>
    <row r="162" spans="1:9" x14ac:dyDescent="0.25">
      <c r="A162" s="311"/>
      <c r="B162" s="44"/>
      <c r="C162" s="44"/>
      <c r="D162" s="105"/>
      <c r="E162" s="311"/>
      <c r="F162" s="44"/>
      <c r="G162" s="44"/>
      <c r="H162" s="9"/>
      <c r="I162" s="9"/>
    </row>
    <row r="163" spans="1:9" x14ac:dyDescent="0.25">
      <c r="A163" s="311"/>
      <c r="B163" s="44"/>
      <c r="C163" s="340"/>
      <c r="D163" s="105"/>
      <c r="E163" s="311"/>
      <c r="F163" s="44"/>
      <c r="G163" s="340"/>
      <c r="H163" s="9"/>
      <c r="I163" s="9"/>
    </row>
    <row r="164" spans="1:9" x14ac:dyDescent="0.25">
      <c r="A164" s="44"/>
      <c r="B164" s="44"/>
      <c r="C164" s="44"/>
      <c r="D164" s="44"/>
      <c r="E164" s="44"/>
      <c r="F164" s="44"/>
      <c r="G164" s="44"/>
      <c r="H164" s="34"/>
      <c r="I164" s="9"/>
    </row>
    <row r="165" spans="1:9" x14ac:dyDescent="0.25">
      <c r="A165" s="44"/>
      <c r="B165" s="44"/>
      <c r="C165" s="44"/>
      <c r="D165" s="44"/>
      <c r="E165" s="44"/>
      <c r="F165" s="44"/>
      <c r="G165" s="44"/>
      <c r="H165" s="34"/>
      <c r="I165" s="9"/>
    </row>
    <row r="166" spans="1:9" x14ac:dyDescent="0.25">
      <c r="A166" s="44"/>
      <c r="B166" s="44"/>
      <c r="C166" s="44"/>
      <c r="D166" s="44"/>
      <c r="E166" s="44"/>
      <c r="F166" s="44"/>
      <c r="G166" s="44"/>
      <c r="H166" s="34"/>
      <c r="I166" s="9"/>
    </row>
    <row r="167" spans="1:9" x14ac:dyDescent="0.25">
      <c r="A167" s="44"/>
      <c r="B167" s="44"/>
      <c r="C167" s="44"/>
      <c r="D167" s="44"/>
      <c r="E167" s="44"/>
      <c r="F167" s="44"/>
      <c r="G167" s="44"/>
      <c r="H167" s="34"/>
      <c r="I167" s="9"/>
    </row>
    <row r="168" spans="1:9" x14ac:dyDescent="0.25">
      <c r="A168" s="44"/>
      <c r="B168" s="44"/>
      <c r="C168" s="44"/>
      <c r="D168" s="44"/>
      <c r="E168" s="44"/>
      <c r="F168" s="44"/>
      <c r="G168" s="44"/>
      <c r="H168" s="34"/>
      <c r="I168" s="9"/>
    </row>
    <row r="169" spans="1:9" x14ac:dyDescent="0.25">
      <c r="A169" s="44"/>
      <c r="B169" s="44"/>
      <c r="C169" s="44"/>
      <c r="D169" s="44"/>
      <c r="E169" s="44"/>
      <c r="F169" s="44"/>
      <c r="G169" s="44"/>
      <c r="H169" s="34"/>
      <c r="I169" s="9"/>
    </row>
    <row r="170" spans="1:9" x14ac:dyDescent="0.25">
      <c r="A170" s="93"/>
      <c r="B170" s="9"/>
      <c r="C170" s="125"/>
      <c r="D170" s="44"/>
      <c r="E170" s="93"/>
      <c r="F170" s="9"/>
      <c r="G170" s="125"/>
      <c r="H170" s="9"/>
      <c r="I170" s="9"/>
    </row>
    <row r="171" spans="1:9" x14ac:dyDescent="0.25">
      <c r="A171" s="173" t="s">
        <v>2</v>
      </c>
      <c r="B171" s="173"/>
      <c r="C171" s="341">
        <f>SUM(C160:C170)</f>
        <v>11250</v>
      </c>
      <c r="D171" s="173"/>
      <c r="E171" s="173" t="s">
        <v>2</v>
      </c>
      <c r="F171" s="173"/>
      <c r="G171" s="341">
        <f>SUM(G160:G170)</f>
        <v>11250</v>
      </c>
      <c r="H171" s="87"/>
      <c r="I171" s="9"/>
    </row>
    <row r="172" spans="1:9" x14ac:dyDescent="0.25">
      <c r="A172" s="44" t="s">
        <v>355</v>
      </c>
      <c r="B172" s="44"/>
      <c r="C172" s="341">
        <f>C158-C171</f>
        <v>41250</v>
      </c>
      <c r="D172" s="44"/>
      <c r="E172" s="44" t="s">
        <v>355</v>
      </c>
      <c r="F172" s="44"/>
      <c r="G172" s="247">
        <f>G158-G171</f>
        <v>-11250</v>
      </c>
      <c r="H172" s="72"/>
      <c r="I172" s="9"/>
    </row>
    <row r="173" spans="1:9" x14ac:dyDescent="0.25">
      <c r="A173" s="9"/>
      <c r="B173" s="9"/>
      <c r="C173" s="72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</sheetData>
  <pageMargins left="0.7" right="0.7" top="0.75" bottom="0.7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2" zoomScaleNormal="100" workbookViewId="0">
      <selection activeCell="I109" sqref="I109"/>
    </sheetView>
  </sheetViews>
  <sheetFormatPr defaultRowHeight="15" x14ac:dyDescent="0.25"/>
  <cols>
    <col min="1" max="1" width="16" style="9" customWidth="1"/>
    <col min="2" max="2" width="9.140625" style="9"/>
    <col min="3" max="3" width="9.5703125" style="9" bestFit="1" customWidth="1"/>
    <col min="4" max="4" width="9.140625" style="9"/>
    <col min="5" max="5" width="10.28515625" style="9" customWidth="1"/>
    <col min="6" max="6" width="13.28515625" style="9" customWidth="1"/>
    <col min="7" max="7" width="10.28515625" style="9" bestFit="1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626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137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366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/>
      <c r="H9" s="249">
        <f t="shared" si="1"/>
        <v>5000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18000</v>
      </c>
      <c r="E16" s="244">
        <f>SUM(E4:E15)</f>
        <v>8000</v>
      </c>
      <c r="F16" s="244">
        <f>D16+E16</f>
        <v>26000</v>
      </c>
      <c r="G16" s="244">
        <f>SUM(G4:G15)</f>
        <v>4000</v>
      </c>
      <c r="H16" s="249">
        <f>SUM(H4:H15)</f>
        <v>22000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'MAY 18'!G27</f>
        <v>-22200</v>
      </c>
    </row>
    <row r="20" spans="1:8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-18200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</row>
    <row r="23" spans="1:8" x14ac:dyDescent="0.25">
      <c r="A23" s="375">
        <v>43264</v>
      </c>
      <c r="B23" s="62"/>
      <c r="C23" s="62"/>
      <c r="D23" s="264">
        <v>7200</v>
      </c>
      <c r="E23" s="366">
        <v>43264</v>
      </c>
      <c r="F23" s="62"/>
      <c r="G23" s="264">
        <v>7200</v>
      </c>
      <c r="H23" s="162"/>
    </row>
    <row r="24" spans="1:8" x14ac:dyDescent="0.25">
      <c r="A24" s="365"/>
      <c r="B24" s="62"/>
      <c r="C24" s="62"/>
      <c r="D24" s="264"/>
      <c r="E24" s="366"/>
      <c r="F24" s="62"/>
      <c r="G24" s="264"/>
    </row>
    <row r="25" spans="1:8" x14ac:dyDescent="0.25">
      <c r="A25" s="366"/>
      <c r="B25" s="62"/>
      <c r="C25" s="62"/>
      <c r="D25" s="264"/>
      <c r="E25" s="62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-26200</v>
      </c>
    </row>
    <row r="28" spans="1:8" x14ac:dyDescent="0.25">
      <c r="G28" s="72"/>
    </row>
    <row r="29" spans="1:8" x14ac:dyDescent="0.25">
      <c r="A29" s="18" t="s">
        <v>109</v>
      </c>
      <c r="B29" s="19"/>
      <c r="C29" s="18" t="s">
        <v>93</v>
      </c>
      <c r="D29" s="72"/>
    </row>
    <row r="30" spans="1:8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374" t="s">
        <v>97</v>
      </c>
      <c r="D33" s="374"/>
      <c r="E33" s="374"/>
      <c r="F33" s="374"/>
      <c r="G33" s="374"/>
    </row>
    <row r="34" spans="1:8" x14ac:dyDescent="0.25">
      <c r="B34" s="95"/>
      <c r="D34" s="96" t="s">
        <v>627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/>
      <c r="H42" s="247">
        <f t="shared" si="3"/>
        <v>4500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0</v>
      </c>
      <c r="H49" s="247">
        <f>SUM(H37:H48)</f>
        <v>4500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1350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0</v>
      </c>
    </row>
    <row r="55" spans="1:8" x14ac:dyDescent="0.25">
      <c r="A55" s="136"/>
      <c r="D55" s="72"/>
      <c r="E55" s="136"/>
      <c r="F55" s="93">
        <v>43264</v>
      </c>
      <c r="H55" s="333">
        <v>1350</v>
      </c>
    </row>
    <row r="56" spans="1:8" x14ac:dyDescent="0.25">
      <c r="E56" s="93"/>
      <c r="H56" s="252"/>
    </row>
    <row r="57" spans="1:8" x14ac:dyDescent="0.25">
      <c r="A57" s="36"/>
      <c r="D57" s="72"/>
      <c r="E57" s="136"/>
      <c r="H57" s="252"/>
    </row>
    <row r="58" spans="1:8" ht="15.75" x14ac:dyDescent="0.25">
      <c r="A58" s="36"/>
      <c r="D58" s="72"/>
      <c r="E58" s="289" t="s">
        <v>2</v>
      </c>
      <c r="H58" s="252">
        <f>SUM(H54:H57)</f>
        <v>1350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627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</row>
    <row r="74" spans="1:8" x14ac:dyDescent="0.25">
      <c r="A74" s="9" t="s">
        <v>196</v>
      </c>
      <c r="C74" s="83">
        <v>0.1</v>
      </c>
      <c r="G74" s="9">
        <f>SUM(G72:G73)</f>
        <v>-10950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/>
      <c r="G78" s="147"/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700</v>
      </c>
    </row>
    <row r="80" spans="1:8" x14ac:dyDescent="0.25">
      <c r="E80" s="91"/>
      <c r="G80" s="147">
        <f>G74-G79</f>
        <v>-11650</v>
      </c>
    </row>
    <row r="82" spans="1:9" ht="18.75" x14ac:dyDescent="0.3">
      <c r="A82" s="5" t="s">
        <v>92</v>
      </c>
      <c r="B82" s="19"/>
      <c r="C82" s="236" t="s">
        <v>4</v>
      </c>
      <c r="E82" s="81"/>
      <c r="F82" s="19"/>
    </row>
    <row r="83" spans="1:9" ht="23.25" x14ac:dyDescent="0.35">
      <c r="A83" s="4"/>
      <c r="B83" s="237" t="s">
        <v>620</v>
      </c>
      <c r="D83" s="238"/>
      <c r="E83" s="374"/>
      <c r="F83" s="374"/>
    </row>
    <row r="84" spans="1:9" x14ac:dyDescent="0.25">
      <c r="C84" s="95"/>
      <c r="D84" s="96" t="s">
        <v>628</v>
      </c>
      <c r="F84" s="95"/>
      <c r="G84" s="95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22" t="s">
        <v>632</v>
      </c>
    </row>
    <row r="86" spans="1:9" x14ac:dyDescent="0.25">
      <c r="A86" s="62" t="s">
        <v>317</v>
      </c>
      <c r="B86" s="120">
        <v>1</v>
      </c>
      <c r="C86" s="116"/>
      <c r="D86" s="201">
        <v>27000</v>
      </c>
      <c r="E86" s="269">
        <v>4500</v>
      </c>
      <c r="F86" s="269">
        <f>D86+E86</f>
        <v>31500</v>
      </c>
      <c r="G86" s="270"/>
      <c r="H86" s="271">
        <f>F86-G86</f>
        <v>31500</v>
      </c>
      <c r="I86" s="44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5" si="5">F87-G87</f>
        <v>0</v>
      </c>
      <c r="I87" s="44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44">
        <v>100</v>
      </c>
    </row>
    <row r="89" spans="1:9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  <c r="I89" s="44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44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3500</v>
      </c>
      <c r="H91" s="271">
        <f t="shared" si="5"/>
        <v>1500</v>
      </c>
      <c r="I91" s="44"/>
    </row>
    <row r="92" spans="1:9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  <c r="I92" s="44">
        <v>100</v>
      </c>
    </row>
    <row r="93" spans="1:9" x14ac:dyDescent="0.25">
      <c r="A93" s="49" t="s">
        <v>621</v>
      </c>
      <c r="B93" s="120">
        <v>8</v>
      </c>
      <c r="C93" s="372"/>
      <c r="D93" s="272">
        <v>170</v>
      </c>
      <c r="E93" s="272">
        <v>2500</v>
      </c>
      <c r="F93" s="269">
        <f t="shared" si="4"/>
        <v>2670</v>
      </c>
      <c r="G93" s="272">
        <v>2250</v>
      </c>
      <c r="H93" s="271">
        <f t="shared" si="5"/>
        <v>420</v>
      </c>
      <c r="I93" s="44">
        <v>100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44"/>
    </row>
    <row r="95" spans="1:9" x14ac:dyDescent="0.25">
      <c r="A95" s="296" t="s">
        <v>504</v>
      </c>
      <c r="B95" s="120">
        <v>10</v>
      </c>
      <c r="D95" s="198">
        <v>700</v>
      </c>
      <c r="E95" s="277">
        <v>2500</v>
      </c>
      <c r="F95" s="269">
        <f t="shared" si="4"/>
        <v>3200</v>
      </c>
      <c r="G95" s="276">
        <v>2400</v>
      </c>
      <c r="H95" s="271">
        <f t="shared" si="5"/>
        <v>800</v>
      </c>
      <c r="I95" s="44">
        <v>100</v>
      </c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44">
        <v>100</v>
      </c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44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44">
        <v>100</v>
      </c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330</v>
      </c>
      <c r="H99" s="271">
        <f t="shared" si="5"/>
        <v>1670</v>
      </c>
      <c r="I99" s="44"/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1800</v>
      </c>
      <c r="E100" s="276">
        <v>2500</v>
      </c>
      <c r="F100" s="269">
        <f t="shared" si="4"/>
        <v>4300</v>
      </c>
      <c r="G100" s="276">
        <v>4000</v>
      </c>
      <c r="H100" s="271">
        <f t="shared" si="5"/>
        <v>300</v>
      </c>
      <c r="I100" s="44">
        <v>100</v>
      </c>
    </row>
    <row r="101" spans="1:9" x14ac:dyDescent="0.25">
      <c r="A101" s="62" t="s">
        <v>601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  <c r="I101" s="44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44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44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44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 t="shared" si="5"/>
        <v>0</v>
      </c>
      <c r="I105" s="44"/>
    </row>
    <row r="106" spans="1:9" x14ac:dyDescent="0.25">
      <c r="A106" s="138"/>
      <c r="B106" s="138"/>
      <c r="C106" s="138"/>
      <c r="D106" s="138"/>
      <c r="E106" s="280">
        <f>SUM(E86:E105)</f>
        <v>37200</v>
      </c>
      <c r="F106" s="243">
        <f>D106+E106</f>
        <v>37200</v>
      </c>
      <c r="G106" s="280">
        <f>SUM(G86:G105)</f>
        <v>33180</v>
      </c>
      <c r="H106" s="280">
        <f>SUM(H86:H105)</f>
        <v>36690</v>
      </c>
      <c r="I106" s="44">
        <f>SUM(I86:I105)</f>
        <v>700</v>
      </c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</row>
    <row r="108" spans="1:9" x14ac:dyDescent="0.25">
      <c r="A108" s="347" t="s">
        <v>60</v>
      </c>
      <c r="B108" s="352"/>
      <c r="C108" s="113"/>
      <c r="D108" s="353">
        <f>E106</f>
        <v>37200</v>
      </c>
      <c r="E108" s="347"/>
      <c r="F108" s="347" t="s">
        <v>60</v>
      </c>
      <c r="G108" s="300">
        <f>G106</f>
        <v>33180</v>
      </c>
      <c r="H108" s="267"/>
    </row>
    <row r="109" spans="1:9" x14ac:dyDescent="0.25">
      <c r="A109" s="329" t="s">
        <v>347</v>
      </c>
      <c r="B109" s="354"/>
      <c r="C109" s="191"/>
      <c r="D109" s="339">
        <f>'MAY 18'!D120</f>
        <v>133</v>
      </c>
      <c r="E109" s="329"/>
      <c r="F109" s="329" t="s">
        <v>347</v>
      </c>
      <c r="G109" s="191">
        <f>'MAY 18'!G120</f>
        <v>-55972</v>
      </c>
      <c r="H109" s="268"/>
    </row>
    <row r="110" spans="1:9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37333</v>
      </c>
      <c r="E111" s="329"/>
      <c r="F111" s="329" t="s">
        <v>2</v>
      </c>
      <c r="G111" s="301">
        <f>SUM(G108:G110)</f>
        <v>-22792</v>
      </c>
      <c r="H111" s="252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</row>
    <row r="113" spans="1:8" x14ac:dyDescent="0.25">
      <c r="A113" s="344" t="s">
        <v>22</v>
      </c>
      <c r="B113" s="345"/>
      <c r="C113" s="44"/>
      <c r="D113" s="340">
        <f>SUM(D108*10%)</f>
        <v>3720</v>
      </c>
      <c r="E113" s="344" t="s">
        <v>22</v>
      </c>
      <c r="F113" s="44"/>
      <c r="G113" s="247">
        <f>D113</f>
        <v>3720</v>
      </c>
      <c r="H113" s="254"/>
    </row>
    <row r="114" spans="1:8" x14ac:dyDescent="0.25">
      <c r="A114" s="311" t="s">
        <v>328</v>
      </c>
      <c r="B114" s="345"/>
      <c r="C114" s="44"/>
      <c r="D114" s="340">
        <v>5000</v>
      </c>
      <c r="E114" s="345"/>
      <c r="F114" s="44"/>
      <c r="G114" s="340"/>
    </row>
    <row r="115" spans="1:8" x14ac:dyDescent="0.25">
      <c r="A115" s="311">
        <v>43257</v>
      </c>
      <c r="B115" s="44"/>
      <c r="C115" s="44"/>
      <c r="D115" s="247">
        <v>15000</v>
      </c>
      <c r="E115" s="310"/>
      <c r="F115" s="310">
        <v>43257</v>
      </c>
      <c r="G115" s="247">
        <v>15000</v>
      </c>
    </row>
    <row r="116" spans="1:8" x14ac:dyDescent="0.25">
      <c r="A116" s="311" t="s">
        <v>629</v>
      </c>
      <c r="B116" s="44"/>
      <c r="C116" s="44"/>
      <c r="D116" s="247">
        <v>7000</v>
      </c>
      <c r="E116" s="311"/>
      <c r="F116" s="44" t="s">
        <v>629</v>
      </c>
      <c r="G116" s="247">
        <v>7000</v>
      </c>
    </row>
    <row r="117" spans="1:8" x14ac:dyDescent="0.25">
      <c r="A117" s="310" t="s">
        <v>630</v>
      </c>
      <c r="B117" s="44"/>
      <c r="C117" s="44"/>
      <c r="D117" s="247">
        <v>1250</v>
      </c>
      <c r="E117" s="310"/>
      <c r="F117" s="44" t="s">
        <v>631</v>
      </c>
      <c r="G117" s="44">
        <v>1250</v>
      </c>
    </row>
    <row r="118" spans="1:8" x14ac:dyDescent="0.25">
      <c r="A118" s="310">
        <v>43267</v>
      </c>
      <c r="B118" s="44"/>
      <c r="C118" s="44"/>
      <c r="D118" s="247">
        <v>6775</v>
      </c>
      <c r="E118" s="311"/>
      <c r="F118" s="310">
        <v>43267</v>
      </c>
      <c r="G118" s="44">
        <v>6775</v>
      </c>
      <c r="H118" s="252"/>
    </row>
    <row r="119" spans="1:8" x14ac:dyDescent="0.25">
      <c r="A119" s="344"/>
      <c r="B119" s="44"/>
      <c r="C119" s="44"/>
      <c r="D119" s="247">
        <f>SUM(D113:D118)</f>
        <v>38745</v>
      </c>
      <c r="E119" s="344">
        <v>5</v>
      </c>
      <c r="F119" s="344"/>
      <c r="G119" s="247">
        <f>SUM(G113:G118)</f>
        <v>33745</v>
      </c>
      <c r="H119" s="252"/>
    </row>
    <row r="120" spans="1:8" x14ac:dyDescent="0.25">
      <c r="A120" s="344" t="s">
        <v>165</v>
      </c>
      <c r="B120" s="44"/>
      <c r="C120" s="44"/>
      <c r="D120" s="247">
        <f>D111-D119</f>
        <v>-1412</v>
      </c>
      <c r="E120" s="344"/>
      <c r="F120" s="344" t="s">
        <v>165</v>
      </c>
      <c r="G120" s="247">
        <f>G111-G119</f>
        <v>-56537</v>
      </c>
      <c r="H120" s="252"/>
    </row>
    <row r="121" spans="1:8" x14ac:dyDescent="0.25">
      <c r="A121" s="36"/>
      <c r="B121" s="90"/>
      <c r="C121" s="90"/>
      <c r="D121" s="430"/>
      <c r="E121" s="36"/>
      <c r="F121" s="36"/>
      <c r="G121" s="430"/>
      <c r="H121" s="252"/>
    </row>
    <row r="122" spans="1:8" x14ac:dyDescent="0.25">
      <c r="A122" s="36" t="s">
        <v>659</v>
      </c>
      <c r="B122" s="76"/>
      <c r="C122" s="76" t="s">
        <v>661</v>
      </c>
      <c r="D122" s="431"/>
      <c r="E122" s="36"/>
      <c r="F122" s="36" t="s">
        <v>662</v>
      </c>
      <c r="G122" s="431"/>
      <c r="H122" s="252"/>
    </row>
    <row r="123" spans="1:8" x14ac:dyDescent="0.25">
      <c r="A123" s="36"/>
      <c r="B123" s="76"/>
      <c r="C123" s="76"/>
      <c r="D123" s="431"/>
      <c r="E123" s="36"/>
      <c r="F123" s="36"/>
      <c r="G123" s="431"/>
      <c r="H123" s="252"/>
    </row>
    <row r="124" spans="1:8" x14ac:dyDescent="0.25">
      <c r="A124" s="36" t="s">
        <v>660</v>
      </c>
      <c r="B124" s="76"/>
      <c r="C124" s="76" t="s">
        <v>78</v>
      </c>
      <c r="D124" s="431"/>
      <c r="E124" s="36"/>
      <c r="F124" s="36" t="s">
        <v>663</v>
      </c>
      <c r="G124" s="431"/>
      <c r="H124" s="252"/>
    </row>
    <row r="125" spans="1:8" x14ac:dyDescent="0.25">
      <c r="A125" s="36"/>
      <c r="B125" s="76"/>
      <c r="C125" s="76"/>
      <c r="D125" s="431"/>
      <c r="E125" s="36"/>
      <c r="F125" s="36"/>
      <c r="G125" s="431"/>
      <c r="H125" s="252"/>
    </row>
    <row r="126" spans="1:8" x14ac:dyDescent="0.25">
      <c r="B126" s="19"/>
      <c r="C126" s="19"/>
      <c r="D126" s="81"/>
      <c r="E126" s="81"/>
      <c r="F126" s="19"/>
    </row>
    <row r="127" spans="1:8" x14ac:dyDescent="0.25">
      <c r="A127" s="94"/>
      <c r="B127" s="316"/>
      <c r="C127" s="317" t="s">
        <v>97</v>
      </c>
      <c r="D127" s="318"/>
      <c r="E127" s="316"/>
      <c r="F127" s="319"/>
      <c r="G127" s="319"/>
      <c r="H127" s="90"/>
    </row>
    <row r="128" spans="1:8" ht="28.5" x14ac:dyDescent="0.45">
      <c r="A128" s="94"/>
      <c r="B128" s="320"/>
      <c r="C128" s="321" t="s">
        <v>597</v>
      </c>
      <c r="D128" s="322"/>
      <c r="E128" s="322"/>
      <c r="F128" s="320"/>
      <c r="G128" s="320"/>
      <c r="H128" s="323"/>
    </row>
    <row r="129" spans="1:9" ht="28.5" x14ac:dyDescent="0.45">
      <c r="A129" s="94"/>
      <c r="B129" s="314"/>
      <c r="C129" s="52" t="s">
        <v>612</v>
      </c>
      <c r="D129" s="315"/>
      <c r="E129" s="315"/>
      <c r="F129" s="314"/>
      <c r="G129" s="314"/>
      <c r="H129" s="373"/>
    </row>
    <row r="130" spans="1:9" x14ac:dyDescent="0.25">
      <c r="A130" s="12" t="s">
        <v>0</v>
      </c>
      <c r="B130" s="12" t="s">
        <v>32</v>
      </c>
      <c r="C130" s="12" t="s">
        <v>52</v>
      </c>
      <c r="D130" s="22" t="s">
        <v>55</v>
      </c>
      <c r="E130" s="21" t="s">
        <v>1</v>
      </c>
      <c r="F130" s="22" t="s">
        <v>10</v>
      </c>
      <c r="G130" s="21" t="s">
        <v>3</v>
      </c>
      <c r="H130" s="13" t="s">
        <v>13</v>
      </c>
    </row>
    <row r="131" spans="1:9" x14ac:dyDescent="0.25">
      <c r="A131" s="62" t="s">
        <v>532</v>
      </c>
      <c r="B131" s="120">
        <v>1</v>
      </c>
      <c r="C131" s="116"/>
      <c r="D131" s="43"/>
      <c r="E131" s="47"/>
      <c r="F131" s="47">
        <f>D131+E131</f>
        <v>0</v>
      </c>
      <c r="G131" s="131"/>
      <c r="H131" s="245">
        <f>F131-G131</f>
        <v>0</v>
      </c>
      <c r="I131" s="9" t="s">
        <v>107</v>
      </c>
    </row>
    <row r="132" spans="1:9" x14ac:dyDescent="0.25">
      <c r="A132" s="62" t="s">
        <v>591</v>
      </c>
      <c r="B132" s="120">
        <v>2</v>
      </c>
      <c r="C132" s="117"/>
      <c r="D132" s="2"/>
      <c r="E132" s="242"/>
      <c r="F132" s="243">
        <f>D132+E132</f>
        <v>0</v>
      </c>
      <c r="G132" s="131"/>
      <c r="H132" s="245">
        <f t="shared" ref="H132:H156" si="6">F132-G132</f>
        <v>0</v>
      </c>
      <c r="I132" s="9" t="s">
        <v>107</v>
      </c>
    </row>
    <row r="133" spans="1:9" x14ac:dyDescent="0.25">
      <c r="A133" s="62" t="s">
        <v>533</v>
      </c>
      <c r="B133" s="120">
        <v>3</v>
      </c>
      <c r="C133" s="117"/>
      <c r="D133" s="43"/>
      <c r="E133" s="242"/>
      <c r="F133" s="243">
        <f>D133+E133</f>
        <v>0</v>
      </c>
      <c r="G133" s="250"/>
      <c r="H133" s="245">
        <f t="shared" si="6"/>
        <v>0</v>
      </c>
      <c r="I133" s="9" t="s">
        <v>107</v>
      </c>
    </row>
    <row r="134" spans="1:9" x14ac:dyDescent="0.25">
      <c r="A134" s="18" t="s">
        <v>570</v>
      </c>
      <c r="B134" s="120">
        <v>4</v>
      </c>
      <c r="C134" s="117"/>
      <c r="D134" s="43"/>
      <c r="E134" s="242">
        <v>2000</v>
      </c>
      <c r="F134" s="243">
        <f t="shared" ref="F134:F156" si="7">D134+E134</f>
        <v>2000</v>
      </c>
      <c r="G134" s="281"/>
      <c r="H134" s="245">
        <f t="shared" si="6"/>
        <v>2000</v>
      </c>
    </row>
    <row r="135" spans="1:9" x14ac:dyDescent="0.25">
      <c r="A135" s="62" t="s">
        <v>260</v>
      </c>
      <c r="B135" s="120">
        <v>5</v>
      </c>
      <c r="C135" s="117"/>
      <c r="D135" s="44"/>
      <c r="E135" s="242">
        <v>4000</v>
      </c>
      <c r="F135" s="243">
        <f t="shared" si="7"/>
        <v>4000</v>
      </c>
      <c r="G135" s="46"/>
      <c r="H135" s="245">
        <f t="shared" si="6"/>
        <v>4000</v>
      </c>
    </row>
    <row r="136" spans="1:9" x14ac:dyDescent="0.25">
      <c r="A136" s="62" t="s">
        <v>424</v>
      </c>
      <c r="B136" s="120">
        <v>6</v>
      </c>
      <c r="C136" s="117"/>
      <c r="D136" s="44"/>
      <c r="E136" s="242">
        <v>4000</v>
      </c>
      <c r="F136" s="243">
        <f t="shared" si="7"/>
        <v>4000</v>
      </c>
      <c r="G136" s="244"/>
      <c r="H136" s="245">
        <f t="shared" si="6"/>
        <v>4000</v>
      </c>
    </row>
    <row r="137" spans="1:9" x14ac:dyDescent="0.25">
      <c r="A137" s="239" t="s">
        <v>21</v>
      </c>
      <c r="B137" s="120">
        <v>7</v>
      </c>
      <c r="C137" s="117"/>
      <c r="D137" s="44"/>
      <c r="E137" s="248"/>
      <c r="F137" s="243">
        <f t="shared" si="7"/>
        <v>0</v>
      </c>
      <c r="G137" s="132"/>
      <c r="H137" s="245"/>
    </row>
    <row r="138" spans="1:9" x14ac:dyDescent="0.25">
      <c r="A138" s="49" t="s">
        <v>21</v>
      </c>
      <c r="B138" s="120">
        <v>8</v>
      </c>
      <c r="C138" s="118"/>
      <c r="D138" s="46"/>
      <c r="E138" s="242"/>
      <c r="F138" s="243">
        <f t="shared" si="7"/>
        <v>0</v>
      </c>
      <c r="G138" s="244"/>
      <c r="H138" s="245">
        <f t="shared" si="6"/>
        <v>0</v>
      </c>
    </row>
    <row r="139" spans="1:9" x14ac:dyDescent="0.25">
      <c r="A139" s="241" t="s">
        <v>372</v>
      </c>
      <c r="B139" s="120">
        <v>9</v>
      </c>
      <c r="C139" s="117"/>
      <c r="D139" s="44"/>
      <c r="E139" s="225">
        <v>4000</v>
      </c>
      <c r="F139" s="243">
        <f t="shared" si="7"/>
        <v>4000</v>
      </c>
      <c r="G139" s="44"/>
      <c r="H139" s="245">
        <f t="shared" si="6"/>
        <v>4000</v>
      </c>
    </row>
    <row r="140" spans="1:9" x14ac:dyDescent="0.25">
      <c r="A140" s="62" t="s">
        <v>592</v>
      </c>
      <c r="B140" s="120">
        <v>10</v>
      </c>
      <c r="C140" s="119"/>
      <c r="D140" s="44"/>
      <c r="E140" s="298">
        <v>4000</v>
      </c>
      <c r="F140" s="243">
        <f t="shared" si="7"/>
        <v>4000</v>
      </c>
      <c r="G140" s="44"/>
      <c r="H140" s="245">
        <f t="shared" si="6"/>
        <v>4000</v>
      </c>
    </row>
    <row r="141" spans="1:9" x14ac:dyDescent="0.25">
      <c r="A141" s="62" t="s">
        <v>21</v>
      </c>
      <c r="B141" s="120">
        <v>11</v>
      </c>
      <c r="C141" s="119"/>
      <c r="D141" s="44"/>
      <c r="E141" s="225"/>
      <c r="F141" s="243">
        <f t="shared" si="7"/>
        <v>0</v>
      </c>
      <c r="G141" s="44"/>
      <c r="H141" s="245">
        <f t="shared" si="6"/>
        <v>0</v>
      </c>
    </row>
    <row r="142" spans="1:9" x14ac:dyDescent="0.25">
      <c r="A142" s="240" t="s">
        <v>442</v>
      </c>
      <c r="B142" s="120">
        <v>12</v>
      </c>
      <c r="C142" s="117"/>
      <c r="D142" s="44"/>
      <c r="E142" s="225">
        <v>4000</v>
      </c>
      <c r="F142" s="243">
        <f t="shared" si="7"/>
        <v>4000</v>
      </c>
      <c r="G142" s="44"/>
      <c r="H142" s="245">
        <f t="shared" si="6"/>
        <v>4000</v>
      </c>
    </row>
    <row r="143" spans="1:9" x14ac:dyDescent="0.25">
      <c r="A143" s="62" t="s">
        <v>534</v>
      </c>
      <c r="B143" s="120">
        <v>13</v>
      </c>
      <c r="C143" s="44"/>
      <c r="D143" s="44"/>
      <c r="E143" s="225">
        <v>4000</v>
      </c>
      <c r="F143" s="243">
        <f t="shared" si="7"/>
        <v>4000</v>
      </c>
      <c r="G143" s="113"/>
      <c r="H143" s="245">
        <f t="shared" si="6"/>
        <v>4000</v>
      </c>
    </row>
    <row r="144" spans="1:9" x14ac:dyDescent="0.25">
      <c r="A144" s="240" t="s">
        <v>535</v>
      </c>
      <c r="B144" s="120">
        <v>14</v>
      </c>
      <c r="C144" s="44"/>
      <c r="D144" s="44"/>
      <c r="E144" s="225"/>
      <c r="F144" s="243">
        <f t="shared" si="7"/>
        <v>0</v>
      </c>
      <c r="G144" s="44"/>
      <c r="H144" s="245"/>
      <c r="I144" s="9" t="s">
        <v>107</v>
      </c>
    </row>
    <row r="145" spans="1:9" x14ac:dyDescent="0.25">
      <c r="A145" s="240" t="s">
        <v>107</v>
      </c>
      <c r="B145" s="120">
        <v>15</v>
      </c>
      <c r="C145" s="44"/>
      <c r="D145" s="44"/>
      <c r="E145" s="227"/>
      <c r="F145" s="243">
        <f t="shared" si="7"/>
        <v>0</v>
      </c>
      <c r="G145" s="44"/>
      <c r="H145" s="245">
        <f t="shared" si="6"/>
        <v>0</v>
      </c>
      <c r="I145" s="9" t="s">
        <v>107</v>
      </c>
    </row>
    <row r="146" spans="1:9" x14ac:dyDescent="0.25">
      <c r="A146" s="62" t="s">
        <v>572</v>
      </c>
      <c r="B146" s="120">
        <v>16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 t="s">
        <v>107</v>
      </c>
    </row>
    <row r="147" spans="1:9" x14ac:dyDescent="0.25">
      <c r="A147" s="62" t="s">
        <v>573</v>
      </c>
      <c r="B147" s="120">
        <v>17</v>
      </c>
      <c r="C147" s="117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</row>
    <row r="148" spans="1:9" x14ac:dyDescent="0.25">
      <c r="A148" s="62" t="s">
        <v>574</v>
      </c>
      <c r="B148" s="120">
        <v>18</v>
      </c>
      <c r="C148" s="117"/>
      <c r="D148" s="44"/>
      <c r="E148" s="225">
        <v>2000</v>
      </c>
      <c r="F148" s="243">
        <f t="shared" si="7"/>
        <v>2000</v>
      </c>
      <c r="G148" s="44"/>
      <c r="H148" s="245">
        <f t="shared" si="6"/>
        <v>2000</v>
      </c>
    </row>
    <row r="149" spans="1:9" x14ac:dyDescent="0.25">
      <c r="A149" s="62" t="s">
        <v>434</v>
      </c>
      <c r="B149" s="120">
        <v>19</v>
      </c>
      <c r="C149" s="117"/>
      <c r="D149" s="44">
        <v>2000</v>
      </c>
      <c r="E149" s="225">
        <v>2000</v>
      </c>
      <c r="F149" s="243">
        <f t="shared" si="7"/>
        <v>4000</v>
      </c>
      <c r="G149" s="44"/>
      <c r="H149" s="245">
        <f t="shared" si="6"/>
        <v>4000</v>
      </c>
    </row>
    <row r="150" spans="1:9" x14ac:dyDescent="0.25">
      <c r="A150" s="62" t="s">
        <v>256</v>
      </c>
      <c r="B150" s="120">
        <v>20</v>
      </c>
      <c r="C150" s="117"/>
      <c r="D150" s="44"/>
      <c r="E150" s="225">
        <v>2000</v>
      </c>
      <c r="F150" s="243">
        <f t="shared" si="7"/>
        <v>2000</v>
      </c>
      <c r="G150" s="44"/>
      <c r="H150" s="245">
        <f t="shared" si="6"/>
        <v>2000</v>
      </c>
    </row>
    <row r="151" spans="1:9" x14ac:dyDescent="0.25">
      <c r="A151" s="239" t="s">
        <v>569</v>
      </c>
      <c r="B151" s="120">
        <v>21</v>
      </c>
      <c r="C151" s="44"/>
      <c r="D151" s="44"/>
      <c r="E151" s="225">
        <v>2000</v>
      </c>
      <c r="F151" s="243">
        <f t="shared" si="7"/>
        <v>2000</v>
      </c>
      <c r="G151" s="44"/>
      <c r="H151" s="245">
        <f t="shared" si="6"/>
        <v>2000</v>
      </c>
    </row>
    <row r="152" spans="1:9" x14ac:dyDescent="0.25">
      <c r="A152" s="239" t="s">
        <v>536</v>
      </c>
      <c r="B152" s="120">
        <v>22</v>
      </c>
      <c r="C152" s="44"/>
      <c r="D152" s="44"/>
      <c r="E152" s="225">
        <v>2000</v>
      </c>
      <c r="F152" s="243">
        <f t="shared" si="7"/>
        <v>2000</v>
      </c>
      <c r="G152" s="44"/>
      <c r="H152" s="245">
        <f t="shared" si="6"/>
        <v>2000</v>
      </c>
    </row>
    <row r="153" spans="1:9" x14ac:dyDescent="0.25">
      <c r="A153" s="284" t="s">
        <v>542</v>
      </c>
      <c r="B153" s="120">
        <v>23</v>
      </c>
      <c r="C153" s="113"/>
      <c r="D153" s="113">
        <v>2000</v>
      </c>
      <c r="E153" s="286">
        <v>2000</v>
      </c>
      <c r="F153" s="243">
        <f t="shared" si="7"/>
        <v>4000</v>
      </c>
      <c r="G153" s="113"/>
      <c r="H153" s="288">
        <f t="shared" si="6"/>
        <v>4000</v>
      </c>
    </row>
    <row r="154" spans="1:9" x14ac:dyDescent="0.25">
      <c r="A154" s="239" t="s">
        <v>272</v>
      </c>
      <c r="B154" s="120">
        <v>24</v>
      </c>
      <c r="C154" s="44"/>
      <c r="D154" s="44"/>
      <c r="E154" s="225">
        <v>4500</v>
      </c>
      <c r="F154" s="243">
        <f t="shared" si="7"/>
        <v>4500</v>
      </c>
      <c r="G154" s="191"/>
      <c r="H154" s="245">
        <f t="shared" si="6"/>
        <v>4500</v>
      </c>
    </row>
    <row r="155" spans="1:9" x14ac:dyDescent="0.25">
      <c r="A155" s="241" t="s">
        <v>273</v>
      </c>
      <c r="B155" s="120">
        <v>25</v>
      </c>
      <c r="C155" s="44"/>
      <c r="D155" s="44"/>
      <c r="E155" s="44">
        <v>4000</v>
      </c>
      <c r="F155" s="243">
        <f t="shared" si="7"/>
        <v>4000</v>
      </c>
      <c r="G155" s="44"/>
      <c r="H155" s="245">
        <f t="shared" si="6"/>
        <v>4000</v>
      </c>
    </row>
    <row r="156" spans="1:9" x14ac:dyDescent="0.25">
      <c r="A156" s="62" t="s">
        <v>587</v>
      </c>
      <c r="B156" s="120">
        <v>26</v>
      </c>
      <c r="C156" s="44"/>
      <c r="D156" s="44">
        <v>2000</v>
      </c>
      <c r="E156" s="298">
        <v>2000</v>
      </c>
      <c r="F156" s="243">
        <f t="shared" si="7"/>
        <v>4000</v>
      </c>
      <c r="G156" s="247"/>
      <c r="H156" s="245">
        <f t="shared" si="6"/>
        <v>4000</v>
      </c>
    </row>
    <row r="157" spans="1:9" x14ac:dyDescent="0.25">
      <c r="A157" s="44"/>
      <c r="B157" s="120"/>
      <c r="C157" s="44"/>
      <c r="D157" s="44"/>
      <c r="E157" s="44"/>
      <c r="F157" s="243"/>
      <c r="G157" s="44"/>
      <c r="H157" s="129"/>
    </row>
    <row r="158" spans="1:9" x14ac:dyDescent="0.25">
      <c r="A158" s="44"/>
      <c r="B158" s="120"/>
      <c r="C158" s="44"/>
      <c r="D158" s="44">
        <f>SUM(D131:D157)</f>
        <v>6000</v>
      </c>
      <c r="E158" s="263">
        <f>SUM(E131:E157)</f>
        <v>52500</v>
      </c>
      <c r="F158" s="262">
        <f>SUM(F131:F157)</f>
        <v>58500</v>
      </c>
      <c r="G158" s="264">
        <f>SUM(G131:G157)</f>
        <v>0</v>
      </c>
      <c r="H158" s="264">
        <f>SUM(H131:H157)</f>
        <v>58500</v>
      </c>
    </row>
    <row r="159" spans="1:9" x14ac:dyDescent="0.25">
      <c r="A159" s="90"/>
      <c r="B159" s="306"/>
      <c r="C159" s="90"/>
      <c r="D159" s="90"/>
      <c r="E159" s="307"/>
      <c r="F159" s="308"/>
      <c r="G159" s="309"/>
      <c r="H159" s="309"/>
    </row>
    <row r="160" spans="1:9" x14ac:dyDescent="0.25">
      <c r="A160" s="331" t="s">
        <v>60</v>
      </c>
      <c r="B160" s="191"/>
      <c r="C160" s="338">
        <f>E158</f>
        <v>52500</v>
      </c>
      <c r="D160" s="191"/>
      <c r="E160" s="331" t="s">
        <v>60</v>
      </c>
      <c r="F160" s="324"/>
      <c r="G160" s="326">
        <f>G158</f>
        <v>0</v>
      </c>
      <c r="H160" s="121"/>
    </row>
    <row r="161" spans="1:8" x14ac:dyDescent="0.25">
      <c r="A161" s="191"/>
      <c r="B161" s="327">
        <v>0.1</v>
      </c>
      <c r="C161" s="339">
        <f>C160*B161</f>
        <v>5250</v>
      </c>
      <c r="D161" s="191"/>
      <c r="E161" s="191"/>
      <c r="F161" s="327">
        <v>0.1</v>
      </c>
      <c r="G161" s="301">
        <f>C161</f>
        <v>5250</v>
      </c>
      <c r="H161" s="72"/>
    </row>
    <row r="162" spans="1:8" x14ac:dyDescent="0.25">
      <c r="A162" s="332" t="s">
        <v>347</v>
      </c>
      <c r="B162" s="191"/>
      <c r="C162" s="301"/>
      <c r="D162" s="191"/>
      <c r="E162" s="332" t="s">
        <v>347</v>
      </c>
      <c r="F162" s="329"/>
      <c r="G162" s="301"/>
      <c r="H162" s="72"/>
    </row>
    <row r="163" spans="1:8" x14ac:dyDescent="0.25">
      <c r="A163" s="332" t="s">
        <v>2</v>
      </c>
      <c r="B163" s="191"/>
      <c r="C163" s="301">
        <f>C160</f>
        <v>52500</v>
      </c>
      <c r="D163" s="191"/>
      <c r="E163" s="332" t="s">
        <v>2</v>
      </c>
      <c r="F163" s="329"/>
      <c r="G163" s="301">
        <f>G160</f>
        <v>0</v>
      </c>
      <c r="H163" s="72"/>
    </row>
    <row r="164" spans="1:8" x14ac:dyDescent="0.25">
      <c r="A164" s="330" t="s">
        <v>58</v>
      </c>
      <c r="B164" s="191"/>
      <c r="C164" s="301"/>
      <c r="D164" s="191"/>
      <c r="E164" s="330" t="s">
        <v>58</v>
      </c>
      <c r="F164" s="330"/>
      <c r="G164" s="301"/>
    </row>
    <row r="165" spans="1:8" x14ac:dyDescent="0.25">
      <c r="A165" s="329" t="s">
        <v>196</v>
      </c>
      <c r="B165" s="191"/>
      <c r="C165" s="339">
        <f>C160*B161</f>
        <v>5250</v>
      </c>
      <c r="D165" s="191"/>
      <c r="E165" s="329" t="s">
        <v>196</v>
      </c>
      <c r="F165" s="191"/>
      <c r="G165" s="301">
        <f>F161*C160</f>
        <v>5250</v>
      </c>
      <c r="H165" s="104"/>
    </row>
    <row r="166" spans="1:8" x14ac:dyDescent="0.25">
      <c r="A166" s="310" t="s">
        <v>378</v>
      </c>
      <c r="B166" s="44"/>
      <c r="C166" s="247">
        <f>E146+E143</f>
        <v>6000</v>
      </c>
      <c r="D166" s="44"/>
      <c r="E166" s="310" t="s">
        <v>378</v>
      </c>
      <c r="F166" s="310"/>
      <c r="G166" s="247">
        <f>C166</f>
        <v>6000</v>
      </c>
      <c r="H166" s="252"/>
    </row>
    <row r="167" spans="1:8" x14ac:dyDescent="0.25">
      <c r="A167" s="311"/>
      <c r="B167" s="44"/>
      <c r="C167" s="44"/>
      <c r="D167" s="105"/>
      <c r="E167" s="311"/>
      <c r="F167" s="44"/>
      <c r="G167" s="44"/>
    </row>
    <row r="168" spans="1:8" x14ac:dyDescent="0.25">
      <c r="A168" s="311"/>
      <c r="B168" s="44"/>
      <c r="C168" s="340"/>
      <c r="D168" s="105"/>
      <c r="E168" s="311"/>
      <c r="F168" s="44"/>
      <c r="G168" s="340"/>
    </row>
    <row r="169" spans="1:8" x14ac:dyDescent="0.25">
      <c r="A169" s="44"/>
      <c r="B169" s="44"/>
      <c r="C169" s="44"/>
      <c r="D169" s="44"/>
      <c r="E169" s="44"/>
      <c r="F169" s="44"/>
      <c r="G169" s="44"/>
      <c r="H169" s="34"/>
    </row>
    <row r="170" spans="1:8" x14ac:dyDescent="0.25">
      <c r="A170" s="44"/>
      <c r="B170" s="44"/>
      <c r="C170" s="44"/>
      <c r="D170" s="44"/>
      <c r="E170" s="44"/>
      <c r="F170" s="44"/>
      <c r="G170" s="44"/>
      <c r="H170" s="34"/>
    </row>
    <row r="171" spans="1:8" x14ac:dyDescent="0.25">
      <c r="A171" s="44"/>
      <c r="B171" s="44"/>
      <c r="C171" s="44"/>
      <c r="D171" s="44"/>
      <c r="E171" s="44"/>
      <c r="F171" s="44"/>
      <c r="G171" s="44"/>
      <c r="H171" s="34"/>
    </row>
    <row r="172" spans="1:8" x14ac:dyDescent="0.25">
      <c r="A172" s="44"/>
      <c r="B172" s="44"/>
      <c r="C172" s="44"/>
      <c r="D172" s="44"/>
      <c r="E172" s="44"/>
      <c r="F172" s="44"/>
      <c r="G172" s="44"/>
      <c r="H172" s="34"/>
    </row>
    <row r="173" spans="1:8" x14ac:dyDescent="0.25">
      <c r="A173" s="44"/>
      <c r="B173" s="44"/>
      <c r="C173" s="44"/>
      <c r="D173" s="44"/>
      <c r="E173" s="44"/>
      <c r="F173" s="44"/>
      <c r="G173" s="44"/>
      <c r="H173" s="34"/>
    </row>
    <row r="174" spans="1:8" x14ac:dyDescent="0.25">
      <c r="A174" s="44"/>
      <c r="B174" s="44"/>
      <c r="C174" s="44"/>
      <c r="D174" s="44"/>
      <c r="E174" s="44"/>
      <c r="F174" s="44"/>
      <c r="G174" s="44"/>
      <c r="H174" s="34"/>
    </row>
    <row r="175" spans="1:8" x14ac:dyDescent="0.25">
      <c r="A175" s="93"/>
      <c r="C175" s="125"/>
      <c r="D175" s="44"/>
      <c r="E175" s="93"/>
      <c r="G175" s="125"/>
    </row>
    <row r="176" spans="1:8" x14ac:dyDescent="0.25">
      <c r="A176" s="173" t="s">
        <v>2</v>
      </c>
      <c r="B176" s="173"/>
      <c r="C176" s="341">
        <f>SUM(C165:C175)</f>
        <v>11250</v>
      </c>
      <c r="D176" s="173"/>
      <c r="E176" s="173" t="s">
        <v>2</v>
      </c>
      <c r="F176" s="173"/>
      <c r="G176" s="341">
        <f>SUM(G165:G175)</f>
        <v>11250</v>
      </c>
      <c r="H176" s="87"/>
    </row>
    <row r="177" spans="1:8" x14ac:dyDescent="0.25">
      <c r="A177" s="44" t="s">
        <v>355</v>
      </c>
      <c r="B177" s="44"/>
      <c r="C177" s="341">
        <f>C163-C176</f>
        <v>41250</v>
      </c>
      <c r="D177" s="44"/>
      <c r="E177" s="44" t="s">
        <v>355</v>
      </c>
      <c r="F177" s="44"/>
      <c r="G177" s="247">
        <f>G163-G176</f>
        <v>-11250</v>
      </c>
      <c r="H177" s="72"/>
    </row>
    <row r="178" spans="1:8" x14ac:dyDescent="0.25">
      <c r="C178" s="72"/>
    </row>
  </sheetData>
  <pageMargins left="0" right="0" top="0" bottom="0" header="0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28" workbookViewId="0">
      <selection activeCell="D62" sqref="D62"/>
    </sheetView>
  </sheetViews>
  <sheetFormatPr defaultRowHeight="15" x14ac:dyDescent="0.25"/>
  <cols>
    <col min="1" max="1" width="17" customWidth="1"/>
    <col min="2" max="2" width="7.5703125" customWidth="1"/>
    <col min="5" max="5" width="11" customWidth="1"/>
    <col min="6" max="6" width="11.42578125" customWidth="1"/>
  </cols>
  <sheetData>
    <row r="1" spans="1:9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9" x14ac:dyDescent="0.25">
      <c r="A2" s="94"/>
      <c r="B2" s="95"/>
      <c r="C2" s="95"/>
      <c r="D2" s="96" t="s">
        <v>634</v>
      </c>
      <c r="E2" s="95"/>
      <c r="F2" s="95"/>
      <c r="G2" s="95"/>
      <c r="H2" s="9"/>
      <c r="I2" s="9"/>
    </row>
    <row r="3" spans="1:9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9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  <c r="I4" s="9"/>
    </row>
    <row r="5" spans="1:9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  <c r="I5" s="9"/>
    </row>
    <row r="6" spans="1:9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9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  <c r="I7" s="9"/>
    </row>
    <row r="8" spans="1:9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  <c r="I8" s="9"/>
    </row>
    <row r="9" spans="1:9" x14ac:dyDescent="0.25">
      <c r="A9" s="43" t="s">
        <v>551</v>
      </c>
      <c r="B9" s="3">
        <v>6</v>
      </c>
      <c r="C9" s="44"/>
      <c r="D9" s="43">
        <v>5000</v>
      </c>
      <c r="E9" s="244">
        <v>2000</v>
      </c>
      <c r="F9" s="244">
        <f t="shared" si="0"/>
        <v>7000</v>
      </c>
      <c r="G9" s="244">
        <v>1000</v>
      </c>
      <c r="H9" s="249">
        <f t="shared" si="1"/>
        <v>6000</v>
      </c>
      <c r="I9" s="9"/>
    </row>
    <row r="10" spans="1:9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</row>
    <row r="11" spans="1:9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</row>
    <row r="12" spans="1:9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</row>
    <row r="13" spans="1:9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</row>
    <row r="14" spans="1:9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  <c r="I14" s="9"/>
    </row>
    <row r="15" spans="1:9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4000</v>
      </c>
      <c r="H15" s="249">
        <f t="shared" si="1"/>
        <v>8000</v>
      </c>
      <c r="I15" s="9"/>
    </row>
    <row r="16" spans="1:9" x14ac:dyDescent="0.25">
      <c r="A16" s="47"/>
      <c r="B16" s="16"/>
      <c r="C16" s="48"/>
      <c r="D16" s="46">
        <f>SUM(D4:D15)</f>
        <v>22000</v>
      </c>
      <c r="E16" s="244">
        <f>SUM(E4:E15)</f>
        <v>8000</v>
      </c>
      <c r="F16" s="244">
        <f>D16+E16</f>
        <v>30000</v>
      </c>
      <c r="G16" s="244">
        <f>SUM(G4:G15)</f>
        <v>9000</v>
      </c>
      <c r="H16" s="249">
        <f>SUM(H4:H15)</f>
        <v>21000</v>
      </c>
      <c r="I16" s="9"/>
    </row>
    <row r="17" spans="1:10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10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9000</v>
      </c>
      <c r="H18" s="9"/>
      <c r="I18" s="9"/>
    </row>
    <row r="19" spans="1:10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'JUNE '!G27</f>
        <v>-26200</v>
      </c>
      <c r="H19" s="9"/>
      <c r="I19" s="9"/>
    </row>
    <row r="20" spans="1:10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-17200</v>
      </c>
      <c r="H20" s="9"/>
      <c r="I20" s="9"/>
    </row>
    <row r="21" spans="1:10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10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  <c r="H22" s="9"/>
      <c r="I22" s="9"/>
    </row>
    <row r="23" spans="1:10" x14ac:dyDescent="0.25">
      <c r="A23" s="375">
        <v>43297</v>
      </c>
      <c r="B23" s="62"/>
      <c r="C23" s="62"/>
      <c r="D23" s="264">
        <v>3200</v>
      </c>
      <c r="E23" s="375">
        <v>43297</v>
      </c>
      <c r="F23" s="62"/>
      <c r="G23" s="264">
        <v>3200</v>
      </c>
      <c r="H23" s="162"/>
      <c r="I23" s="9"/>
    </row>
    <row r="24" spans="1:10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  <c r="H24" s="9"/>
      <c r="I24" s="9"/>
    </row>
    <row r="25" spans="1:10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10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  <c r="H26" s="9"/>
      <c r="I26" s="9"/>
    </row>
    <row r="27" spans="1:10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-25200</v>
      </c>
      <c r="H27" s="9"/>
      <c r="I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</row>
    <row r="32" spans="1:10" ht="18.75" x14ac:dyDescent="0.3">
      <c r="A32" s="5" t="s">
        <v>92</v>
      </c>
      <c r="B32" s="19"/>
      <c r="C32" s="236" t="s">
        <v>4</v>
      </c>
      <c r="D32" s="9"/>
      <c r="E32" s="81"/>
      <c r="F32" s="19"/>
      <c r="G32" s="9"/>
      <c r="H32" s="9"/>
      <c r="I32" s="9"/>
      <c r="J32" s="9"/>
    </row>
    <row r="33" spans="1:17" ht="23.25" x14ac:dyDescent="0.35">
      <c r="A33" s="4"/>
      <c r="B33" s="237" t="s">
        <v>620</v>
      </c>
      <c r="C33" s="9"/>
      <c r="D33" s="238"/>
      <c r="E33" s="376"/>
      <c r="F33" s="376"/>
      <c r="G33" s="9"/>
      <c r="H33" s="9"/>
      <c r="I33" s="9"/>
      <c r="J33" s="9"/>
    </row>
    <row r="34" spans="1:17" x14ac:dyDescent="0.25">
      <c r="A34" s="9"/>
      <c r="B34" s="9"/>
      <c r="C34" s="95"/>
      <c r="D34" s="96" t="s">
        <v>633</v>
      </c>
      <c r="E34" s="9"/>
      <c r="F34" s="95"/>
      <c r="G34" s="95"/>
      <c r="H34" s="9"/>
      <c r="I34" s="9"/>
      <c r="J34" s="9"/>
    </row>
    <row r="35" spans="1:17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  <c r="J35" s="9"/>
    </row>
    <row r="36" spans="1:17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>
        <v>4500</v>
      </c>
      <c r="H36" s="271">
        <f>F36-G36</f>
        <v>31500</v>
      </c>
      <c r="I36" s="44"/>
      <c r="J36" s="9"/>
    </row>
    <row r="37" spans="1:17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3000</v>
      </c>
      <c r="H37" s="271">
        <f t="shared" ref="H37:H55" si="3">F37-G37</f>
        <v>1500</v>
      </c>
      <c r="I37" s="44"/>
      <c r="J37" s="9"/>
    </row>
    <row r="38" spans="1:17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  <c r="J38" s="9"/>
    </row>
    <row r="39" spans="1:17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  <c r="J39" s="9"/>
    </row>
    <row r="40" spans="1:17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  <c r="J40" s="9"/>
    </row>
    <row r="41" spans="1:17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  <c r="J41" s="9"/>
    </row>
    <row r="42" spans="1:17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  <c r="J42" s="9"/>
    </row>
    <row r="43" spans="1:17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  <c r="J43" s="9"/>
    </row>
    <row r="44" spans="1:17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  <c r="J44" s="9"/>
    </row>
    <row r="45" spans="1:17" x14ac:dyDescent="0.25">
      <c r="A45" s="329" t="s">
        <v>504</v>
      </c>
      <c r="B45" s="120">
        <v>10</v>
      </c>
      <c r="C45" s="44"/>
      <c r="D45" s="198">
        <v>800</v>
      </c>
      <c r="E45" s="277">
        <v>2500</v>
      </c>
      <c r="F45" s="269">
        <f t="shared" si="2"/>
        <v>3300</v>
      </c>
      <c r="G45" s="276">
        <v>3250</v>
      </c>
      <c r="H45" s="271">
        <f t="shared" si="3"/>
        <v>50</v>
      </c>
      <c r="I45" s="44">
        <v>100</v>
      </c>
      <c r="J45" s="9"/>
    </row>
    <row r="46" spans="1:17" x14ac:dyDescent="0.25">
      <c r="A46" s="239" t="s">
        <v>621</v>
      </c>
      <c r="B46" s="120">
        <v>11</v>
      </c>
      <c r="C46" s="119"/>
      <c r="D46" s="272">
        <v>420</v>
      </c>
      <c r="E46" s="272">
        <v>2500</v>
      </c>
      <c r="F46" s="269">
        <f>D46+E46</f>
        <v>2920</v>
      </c>
      <c r="G46" s="272">
        <v>2920</v>
      </c>
      <c r="H46" s="271">
        <f t="shared" si="3"/>
        <v>0</v>
      </c>
      <c r="I46" s="44">
        <v>100</v>
      </c>
      <c r="J46" s="9"/>
      <c r="O46">
        <v>7000</v>
      </c>
      <c r="P46">
        <v>0.3</v>
      </c>
      <c r="Q46">
        <f>O46*P46</f>
        <v>2100</v>
      </c>
    </row>
    <row r="47" spans="1:17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  <c r="J47" s="9"/>
    </row>
    <row r="48" spans="1:17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4000</v>
      </c>
      <c r="H48" s="271">
        <f t="shared" si="3"/>
        <v>500</v>
      </c>
      <c r="I48" s="44">
        <v>100</v>
      </c>
      <c r="J48" s="9"/>
    </row>
    <row r="49" spans="1:10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  <c r="J49" s="9"/>
    </row>
    <row r="50" spans="1:10" x14ac:dyDescent="0.25">
      <c r="A50" s="240" t="s">
        <v>585</v>
      </c>
      <c r="B50" s="120">
        <v>15</v>
      </c>
      <c r="C50" s="117" t="s">
        <v>248</v>
      </c>
      <c r="D50" s="198">
        <v>300</v>
      </c>
      <c r="E50" s="276">
        <v>2500</v>
      </c>
      <c r="F50" s="269">
        <f t="shared" si="2"/>
        <v>2800</v>
      </c>
      <c r="G50" s="276">
        <v>2800</v>
      </c>
      <c r="H50" s="271">
        <f t="shared" si="3"/>
        <v>0</v>
      </c>
      <c r="I50" s="44">
        <v>100</v>
      </c>
      <c r="J50" s="9"/>
    </row>
    <row r="51" spans="1:10" x14ac:dyDescent="0.25">
      <c r="A51" s="62" t="s">
        <v>638</v>
      </c>
      <c r="B51" s="148">
        <v>16</v>
      </c>
      <c r="C51" s="9"/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  <c r="J51" s="9"/>
    </row>
    <row r="52" spans="1:10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  <c r="J52" s="9"/>
    </row>
    <row r="53" spans="1:10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  <c r="J53" s="9"/>
    </row>
    <row r="54" spans="1:10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  <c r="J54" s="9"/>
    </row>
    <row r="55" spans="1:10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  <c r="J55" s="9"/>
    </row>
    <row r="56" spans="1:10" x14ac:dyDescent="0.25">
      <c r="A56" s="138"/>
      <c r="B56" s="138"/>
      <c r="C56" s="138"/>
      <c r="D56" s="138"/>
      <c r="E56" s="280">
        <f>SUM(E36:E55)</f>
        <v>32700</v>
      </c>
      <c r="F56" s="243">
        <f>D56+E56</f>
        <v>32700</v>
      </c>
      <c r="G56" s="280">
        <f>SUM(G36:G55)</f>
        <v>32670</v>
      </c>
      <c r="H56" s="280">
        <f>SUM(H36:H55)</f>
        <v>33550</v>
      </c>
      <c r="I56" s="44">
        <f>SUM(I36:I55)</f>
        <v>700</v>
      </c>
      <c r="J56" s="9"/>
    </row>
    <row r="57" spans="1:10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  <c r="I57" s="9"/>
      <c r="J57" s="9"/>
    </row>
    <row r="58" spans="1:10" x14ac:dyDescent="0.25">
      <c r="A58" s="377" t="s">
        <v>60</v>
      </c>
      <c r="B58" s="378"/>
      <c r="C58" s="379"/>
      <c r="D58" s="380">
        <f>E56</f>
        <v>32700</v>
      </c>
      <c r="E58" s="377"/>
      <c r="F58" s="377" t="s">
        <v>60</v>
      </c>
      <c r="G58" s="381">
        <f>G56</f>
        <v>32670</v>
      </c>
      <c r="H58" s="267"/>
      <c r="I58" s="9"/>
      <c r="J58" s="9"/>
    </row>
    <row r="59" spans="1:10" x14ac:dyDescent="0.25">
      <c r="A59" s="382" t="s">
        <v>347</v>
      </c>
      <c r="B59" s="383"/>
      <c r="C59" s="384"/>
      <c r="D59" s="339">
        <f>'JUNE '!D120</f>
        <v>-1412</v>
      </c>
      <c r="E59" s="382"/>
      <c r="F59" s="382" t="s">
        <v>347</v>
      </c>
      <c r="G59" s="384">
        <f>'JUNE '!G120</f>
        <v>-56537</v>
      </c>
      <c r="H59" s="268"/>
      <c r="I59" s="9"/>
      <c r="J59" s="9"/>
    </row>
    <row r="60" spans="1:10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  <c r="I60" s="9"/>
      <c r="J60" s="9"/>
    </row>
    <row r="61" spans="1:10" x14ac:dyDescent="0.25">
      <c r="A61" s="382" t="s">
        <v>2</v>
      </c>
      <c r="B61" s="383"/>
      <c r="C61" s="384"/>
      <c r="D61" s="385">
        <f>SUM(D58:D60)</f>
        <v>31288</v>
      </c>
      <c r="E61" s="382"/>
      <c r="F61" s="382" t="s">
        <v>2</v>
      </c>
      <c r="G61" s="386">
        <f>SUM(G58:G60)</f>
        <v>-23867</v>
      </c>
      <c r="H61" s="252"/>
      <c r="I61" s="9"/>
      <c r="J61" s="9"/>
    </row>
    <row r="62" spans="1:10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  <c r="I62" s="9"/>
      <c r="J62" s="9"/>
    </row>
    <row r="63" spans="1:10" x14ac:dyDescent="0.25">
      <c r="A63" s="389" t="s">
        <v>22</v>
      </c>
      <c r="B63" s="390"/>
      <c r="C63" s="388"/>
      <c r="D63" s="391">
        <f>SUM(D58*10%)</f>
        <v>3270</v>
      </c>
      <c r="E63" s="389" t="s">
        <v>22</v>
      </c>
      <c r="F63" s="388"/>
      <c r="G63" s="385">
        <f>D63</f>
        <v>3270</v>
      </c>
      <c r="H63" s="254"/>
      <c r="I63" s="9"/>
      <c r="J63" s="9"/>
    </row>
    <row r="64" spans="1:10" x14ac:dyDescent="0.25">
      <c r="A64" s="392">
        <v>43287</v>
      </c>
      <c r="B64" s="390"/>
      <c r="C64" s="388"/>
      <c r="D64" s="391">
        <v>15000</v>
      </c>
      <c r="E64" s="393">
        <v>43287</v>
      </c>
      <c r="F64" s="388"/>
      <c r="G64" s="391">
        <v>15000</v>
      </c>
      <c r="H64" s="9"/>
      <c r="I64" s="9"/>
      <c r="J64" s="9"/>
    </row>
    <row r="65" spans="1:10" x14ac:dyDescent="0.25">
      <c r="A65" s="392" t="s">
        <v>636</v>
      </c>
      <c r="B65" s="388"/>
      <c r="C65" s="388"/>
      <c r="D65" s="385">
        <v>12500</v>
      </c>
      <c r="E65" s="392" t="s">
        <v>636</v>
      </c>
      <c r="F65" s="388"/>
      <c r="G65" s="385">
        <v>12500</v>
      </c>
      <c r="I65" s="9"/>
      <c r="J65" s="9"/>
    </row>
    <row r="66" spans="1:10" x14ac:dyDescent="0.25">
      <c r="A66" s="392">
        <v>43297</v>
      </c>
      <c r="B66" s="388"/>
      <c r="C66" s="388"/>
      <c r="D66" s="385">
        <v>10000</v>
      </c>
      <c r="E66" s="392">
        <v>43297</v>
      </c>
      <c r="F66" s="388"/>
      <c r="G66" s="385">
        <v>10000</v>
      </c>
      <c r="I66" s="9"/>
      <c r="J66" s="9"/>
    </row>
    <row r="67" spans="1:10" x14ac:dyDescent="0.25">
      <c r="A67" s="394" t="s">
        <v>635</v>
      </c>
      <c r="B67" s="388"/>
      <c r="C67" s="388"/>
      <c r="D67" s="385">
        <v>2500</v>
      </c>
      <c r="E67" s="394" t="s">
        <v>635</v>
      </c>
      <c r="F67" s="388"/>
      <c r="G67" s="385">
        <v>2500</v>
      </c>
      <c r="I67" s="9"/>
      <c r="J67" s="9"/>
    </row>
    <row r="68" spans="1:10" x14ac:dyDescent="0.25">
      <c r="A68" s="394"/>
      <c r="B68" s="388"/>
      <c r="C68" s="388"/>
      <c r="D68" s="385"/>
      <c r="E68" s="392"/>
      <c r="F68" s="394"/>
      <c r="G68" s="388"/>
      <c r="H68" s="252"/>
      <c r="I68" s="9"/>
      <c r="J68" s="9"/>
    </row>
    <row r="69" spans="1:10" x14ac:dyDescent="0.25">
      <c r="A69" s="389"/>
      <c r="B69" s="388"/>
      <c r="C69" s="388"/>
      <c r="D69" s="385">
        <f>SUM(D63:D68)</f>
        <v>43270</v>
      </c>
      <c r="E69" s="389"/>
      <c r="F69" s="389"/>
      <c r="G69" s="385">
        <f>SUM(G63:G68)</f>
        <v>43270</v>
      </c>
      <c r="H69" s="252"/>
      <c r="I69" s="9"/>
      <c r="J69" s="9"/>
    </row>
    <row r="70" spans="1:10" x14ac:dyDescent="0.25">
      <c r="A70" s="389" t="s">
        <v>165</v>
      </c>
      <c r="B70" s="388"/>
      <c r="C70" s="388"/>
      <c r="D70" s="385">
        <f>D61-D69</f>
        <v>-11982</v>
      </c>
      <c r="E70" s="389"/>
      <c r="F70" s="389" t="s">
        <v>165</v>
      </c>
      <c r="G70" s="385">
        <f>G61-G69</f>
        <v>-67137</v>
      </c>
      <c r="H70" s="252"/>
      <c r="I70" s="9"/>
      <c r="J70" s="9"/>
    </row>
    <row r="72" spans="1:10" s="9" customFormat="1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10" s="9" customFormat="1" x14ac:dyDescent="0.25">
      <c r="A73" s="36"/>
      <c r="B73" s="76"/>
      <c r="C73" s="76"/>
      <c r="D73" s="431"/>
      <c r="E73" s="36"/>
      <c r="F73" s="36"/>
    </row>
    <row r="74" spans="1:10" s="9" customFormat="1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10" s="9" customFormat="1" x14ac:dyDescent="0.25">
      <c r="A75" s="36"/>
      <c r="B75" s="76"/>
      <c r="C75" s="76"/>
      <c r="D75" s="431"/>
      <c r="E75" s="36"/>
      <c r="F75" s="36"/>
    </row>
    <row r="76" spans="1:10" s="9" customFormat="1" x14ac:dyDescent="0.25"/>
    <row r="77" spans="1:10" s="9" customFormat="1" x14ac:dyDescent="0.25"/>
    <row r="78" spans="1:10" s="9" customFormat="1" x14ac:dyDescent="0.25"/>
    <row r="80" spans="1:10" ht="23.25" x14ac:dyDescent="0.35">
      <c r="A80" s="4"/>
      <c r="B80" s="9"/>
      <c r="C80" s="395" t="s">
        <v>97</v>
      </c>
      <c r="D80" s="395"/>
      <c r="E80" s="395"/>
      <c r="F80" s="395"/>
      <c r="G80" s="395"/>
      <c r="H80" s="9"/>
      <c r="I80" s="9"/>
    </row>
    <row r="81" spans="1:9" x14ac:dyDescent="0.25">
      <c r="A81" s="9"/>
      <c r="B81" s="95"/>
      <c r="C81" s="9"/>
      <c r="D81" s="96" t="s">
        <v>637</v>
      </c>
      <c r="E81" s="9"/>
      <c r="F81" s="95"/>
      <c r="G81" s="95"/>
      <c r="H81" s="9"/>
      <c r="I81" s="9"/>
    </row>
    <row r="82" spans="1:9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  <c r="I82" s="9"/>
    </row>
    <row r="83" spans="1:9" x14ac:dyDescent="0.25">
      <c r="A83" s="43"/>
      <c r="B83" s="10"/>
      <c r="C83" s="43"/>
      <c r="D83" s="43"/>
      <c r="E83" s="47"/>
      <c r="F83" s="47"/>
      <c r="G83" s="47"/>
      <c r="H83" s="43"/>
      <c r="I83" s="9"/>
    </row>
    <row r="84" spans="1:9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  <c r="I84" s="9"/>
    </row>
    <row r="85" spans="1:9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  <c r="I85" s="9"/>
    </row>
    <row r="86" spans="1:9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  <c r="I86" s="9"/>
    </row>
    <row r="87" spans="1:9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  <c r="I87" s="9"/>
    </row>
    <row r="88" spans="1:9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  <c r="I88" s="9"/>
    </row>
    <row r="89" spans="1:9" x14ac:dyDescent="0.25">
      <c r="A89" s="43" t="s">
        <v>523</v>
      </c>
      <c r="B89" s="3"/>
      <c r="C89" s="44"/>
      <c r="D89" s="44">
        <v>4500</v>
      </c>
      <c r="E89" s="265">
        <v>3000</v>
      </c>
      <c r="F89" s="244">
        <f t="shared" si="4"/>
        <v>7500</v>
      </c>
      <c r="G89" s="266">
        <v>4500</v>
      </c>
      <c r="H89" s="247">
        <f t="shared" si="5"/>
        <v>3000</v>
      </c>
      <c r="I89" s="9"/>
    </row>
    <row r="90" spans="1:9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  <c r="I90" s="9"/>
    </row>
    <row r="91" spans="1:9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  <c r="I91" s="9"/>
    </row>
    <row r="92" spans="1:9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  <c r="I92" s="9"/>
    </row>
    <row r="93" spans="1:9" x14ac:dyDescent="0.25">
      <c r="A93" s="88"/>
      <c r="B93" s="44"/>
      <c r="C93" s="44"/>
      <c r="D93" s="44"/>
      <c r="E93" s="115"/>
      <c r="F93" s="46"/>
      <c r="G93" s="134"/>
      <c r="H93" s="105"/>
      <c r="I93" s="9"/>
    </row>
    <row r="94" spans="1:9" x14ac:dyDescent="0.25">
      <c r="A94" s="88"/>
      <c r="B94" s="44"/>
      <c r="C94" s="44"/>
      <c r="D94" s="44"/>
      <c r="E94" s="115"/>
      <c r="F94" s="46"/>
      <c r="G94" s="134"/>
      <c r="H94" s="105"/>
      <c r="I94" s="9"/>
    </row>
    <row r="95" spans="1:9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  <c r="I95" s="9"/>
    </row>
    <row r="96" spans="1:9" x14ac:dyDescent="0.25">
      <c r="A96" s="44"/>
      <c r="B96" s="44"/>
      <c r="C96" s="44"/>
      <c r="D96" s="44">
        <f>SUM(D83:D95)</f>
        <v>4500</v>
      </c>
      <c r="E96" s="247">
        <f>SUM(E83:E95)</f>
        <v>3000</v>
      </c>
      <c r="F96" s="247">
        <f>SUM(F84:F95)</f>
        <v>7500</v>
      </c>
      <c r="G96" s="247">
        <f>SUM(G83:G95)</f>
        <v>4500</v>
      </c>
      <c r="H96" s="247">
        <f>SUM(H84:H95)</f>
        <v>3000</v>
      </c>
      <c r="I96" s="9"/>
    </row>
    <row r="97" spans="1:9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4500</v>
      </c>
      <c r="I97" s="9"/>
    </row>
    <row r="98" spans="1:9" x14ac:dyDescent="0.25">
      <c r="A98" s="103"/>
      <c r="B98" s="101"/>
      <c r="C98" s="97"/>
      <c r="D98" s="104"/>
      <c r="E98" s="103" t="s">
        <v>347</v>
      </c>
      <c r="F98" s="101"/>
      <c r="G98" s="97"/>
      <c r="H98" s="302"/>
      <c r="I98" s="9"/>
    </row>
    <row r="99" spans="1:9" x14ac:dyDescent="0.25">
      <c r="A99" s="103"/>
      <c r="B99" s="101"/>
      <c r="C99" s="97"/>
      <c r="D99" s="104"/>
      <c r="E99" s="103"/>
      <c r="F99" s="101"/>
      <c r="G99" s="97"/>
      <c r="H99" s="302">
        <f>SUM(H97:H98)</f>
        <v>4500</v>
      </c>
      <c r="I99" s="9"/>
    </row>
    <row r="100" spans="1:9" x14ac:dyDescent="0.25">
      <c r="A100" s="67"/>
      <c r="B100" s="9"/>
      <c r="C100" s="9"/>
      <c r="D100" s="9"/>
      <c r="E100" s="67" t="s">
        <v>58</v>
      </c>
      <c r="F100" s="9"/>
      <c r="G100" s="9"/>
      <c r="H100" s="252"/>
      <c r="I100" s="9"/>
    </row>
    <row r="101" spans="1:9" x14ac:dyDescent="0.25">
      <c r="A101" s="36"/>
      <c r="B101" s="146"/>
      <c r="C101" s="9"/>
      <c r="D101" s="34"/>
      <c r="E101" s="36" t="s">
        <v>22</v>
      </c>
      <c r="F101" s="146">
        <v>0.1</v>
      </c>
      <c r="G101" s="9"/>
      <c r="H101" s="254">
        <f>F101*H97</f>
        <v>450</v>
      </c>
      <c r="I101" s="9"/>
    </row>
    <row r="102" spans="1:9" x14ac:dyDescent="0.25">
      <c r="A102" s="136"/>
      <c r="B102" s="9"/>
      <c r="C102" s="9"/>
      <c r="D102" s="72"/>
      <c r="E102" s="136"/>
      <c r="F102" s="93"/>
      <c r="G102" s="9"/>
      <c r="H102" s="333"/>
      <c r="I102" s="9"/>
    </row>
    <row r="103" spans="1:9" x14ac:dyDescent="0.25">
      <c r="A103" s="9"/>
      <c r="B103" s="9"/>
      <c r="C103" s="9"/>
      <c r="D103" s="9"/>
      <c r="E103" s="93"/>
      <c r="F103" s="9"/>
      <c r="G103" s="9"/>
      <c r="H103" s="252"/>
      <c r="I103" s="9"/>
    </row>
    <row r="104" spans="1:9" x14ac:dyDescent="0.25">
      <c r="A104" s="36"/>
      <c r="B104" s="9"/>
      <c r="C104" s="9"/>
      <c r="D104" s="72"/>
      <c r="E104" s="136"/>
      <c r="F104" s="9"/>
      <c r="G104" s="9"/>
      <c r="H104" s="252"/>
      <c r="I104" s="9"/>
    </row>
    <row r="105" spans="1:9" ht="15.75" x14ac:dyDescent="0.25">
      <c r="A105" s="36"/>
      <c r="B105" s="9"/>
      <c r="C105" s="9"/>
      <c r="D105" s="72"/>
      <c r="E105" s="289" t="s">
        <v>2</v>
      </c>
      <c r="F105" s="9"/>
      <c r="G105" s="9"/>
      <c r="H105" s="252">
        <f>SUM(H101:H104)</f>
        <v>450</v>
      </c>
      <c r="I105" s="9"/>
    </row>
    <row r="106" spans="1:9" x14ac:dyDescent="0.25">
      <c r="A106" s="36"/>
      <c r="B106" s="9"/>
      <c r="C106" s="9"/>
      <c r="D106" s="135"/>
      <c r="E106" s="9"/>
      <c r="F106" s="9"/>
      <c r="G106" s="9"/>
      <c r="H106" s="252">
        <f>H99-H105</f>
        <v>4050</v>
      </c>
      <c r="I106" s="9"/>
    </row>
  </sheetData>
  <pageMargins left="0" right="0" top="0" bottom="0" header="0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34" zoomScaleNormal="100" workbookViewId="0">
      <selection activeCell="H49" sqref="H49"/>
    </sheetView>
  </sheetViews>
  <sheetFormatPr defaultRowHeight="15" x14ac:dyDescent="0.25"/>
  <cols>
    <col min="1" max="1" width="16.42578125" style="9" customWidth="1"/>
    <col min="2" max="2" width="7.42578125" style="9" customWidth="1"/>
    <col min="3" max="4" width="9.140625" style="9"/>
    <col min="5" max="5" width="11.42578125" style="9" customWidth="1"/>
    <col min="6" max="6" width="11.710937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640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6000</v>
      </c>
      <c r="E9" s="244"/>
      <c r="F9" s="244">
        <f t="shared" si="0"/>
        <v>6000</v>
      </c>
      <c r="G9" s="244">
        <v>1500</v>
      </c>
      <c r="H9" s="249">
        <f t="shared" si="1"/>
        <v>4500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21000</v>
      </c>
      <c r="E16" s="244">
        <f>SUM(E4:E15)</f>
        <v>6000</v>
      </c>
      <c r="F16" s="244">
        <f>D16+E16</f>
        <v>27000</v>
      </c>
      <c r="G16" s="244">
        <f>SUM(G4:G15)</f>
        <v>5500</v>
      </c>
      <c r="H16" s="249">
        <f>SUM(H4:H15)</f>
        <v>21500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5500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-19700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 t="s">
        <v>551</v>
      </c>
      <c r="B23" s="62"/>
      <c r="C23" s="62"/>
      <c r="D23" s="264">
        <v>1800</v>
      </c>
      <c r="E23" s="375" t="s">
        <v>643</v>
      </c>
      <c r="F23" s="62"/>
      <c r="G23" s="264">
        <v>1800</v>
      </c>
      <c r="H23" s="162"/>
    </row>
    <row r="24" spans="1:8" x14ac:dyDescent="0.25">
      <c r="A24" s="365" t="s">
        <v>605</v>
      </c>
      <c r="B24" s="62"/>
      <c r="C24" s="62"/>
      <c r="D24" s="264">
        <v>2000</v>
      </c>
      <c r="E24" s="365" t="s">
        <v>605</v>
      </c>
      <c r="F24" s="62"/>
      <c r="G24" s="264">
        <v>2000</v>
      </c>
    </row>
    <row r="25" spans="1:8" x14ac:dyDescent="0.25">
      <c r="A25" s="366">
        <v>43325</v>
      </c>
      <c r="B25" s="62"/>
      <c r="C25" s="62"/>
      <c r="D25" s="264">
        <v>1600</v>
      </c>
      <c r="E25" s="403">
        <v>43325</v>
      </c>
      <c r="F25" s="364"/>
      <c r="G25" s="264">
        <v>1600</v>
      </c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-25700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1"/>
      <c r="F33" s="401"/>
    </row>
    <row r="34" spans="1:9" x14ac:dyDescent="0.25">
      <c r="C34" s="95"/>
      <c r="D34" s="96" t="s">
        <v>641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/>
      <c r="H36" s="271">
        <f>F36-G36</f>
        <v>36000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1500</v>
      </c>
      <c r="E37" s="272">
        <v>4500</v>
      </c>
      <c r="F37" s="269">
        <f t="shared" ref="F37:F55" si="2">D37+E37</f>
        <v>6000</v>
      </c>
      <c r="G37" s="273">
        <v>5200</v>
      </c>
      <c r="H37" s="271">
        <f t="shared" ref="H37:H55" si="3">F37-G37</f>
        <v>800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/>
    </row>
    <row r="43" spans="1:9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2500</v>
      </c>
      <c r="H45" s="271">
        <f t="shared" si="3"/>
        <v>50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4500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</row>
    <row r="50" spans="1:9" x14ac:dyDescent="0.25">
      <c r="A50" s="239" t="s">
        <v>585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30200</v>
      </c>
      <c r="F56" s="243">
        <f>D56+E56</f>
        <v>30200</v>
      </c>
      <c r="G56" s="280">
        <f>SUM(G36:G55)</f>
        <v>26900</v>
      </c>
      <c r="H56" s="280">
        <f>SUM(H36:H55)</f>
        <v>36850</v>
      </c>
      <c r="I56" s="44">
        <f>SUM(I36:I55)</f>
        <v>500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380">
        <f>E56</f>
        <v>30200</v>
      </c>
      <c r="E58" s="377"/>
      <c r="F58" s="377" t="s">
        <v>60</v>
      </c>
      <c r="G58" s="381">
        <f>G56</f>
        <v>26900</v>
      </c>
      <c r="H58" s="267"/>
    </row>
    <row r="59" spans="1:9" x14ac:dyDescent="0.25">
      <c r="A59" s="382" t="s">
        <v>347</v>
      </c>
      <c r="B59" s="383"/>
      <c r="C59" s="384"/>
      <c r="D59" s="339">
        <f>JULY7!D70</f>
        <v>-11982</v>
      </c>
      <c r="E59" s="382"/>
      <c r="F59" s="382" t="s">
        <v>347</v>
      </c>
      <c r="G59" s="384">
        <f>JULY7!G70</f>
        <v>-67137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18218</v>
      </c>
      <c r="E61" s="382"/>
      <c r="F61" s="382" t="s">
        <v>2</v>
      </c>
      <c r="G61" s="386">
        <f>SUM(G58:G60)</f>
        <v>-40237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3020</v>
      </c>
      <c r="E63" s="389" t="s">
        <v>22</v>
      </c>
      <c r="F63" s="388"/>
      <c r="G63" s="385">
        <f>D63</f>
        <v>3020</v>
      </c>
      <c r="H63" s="254"/>
    </row>
    <row r="64" spans="1:9" x14ac:dyDescent="0.25">
      <c r="A64" s="392">
        <v>43318</v>
      </c>
      <c r="B64" s="390"/>
      <c r="C64" s="388"/>
      <c r="D64" s="391">
        <v>15200</v>
      </c>
      <c r="E64" s="393">
        <v>43318</v>
      </c>
      <c r="F64" s="388"/>
      <c r="G64" s="391">
        <v>15200</v>
      </c>
    </row>
    <row r="65" spans="1:8" x14ac:dyDescent="0.25">
      <c r="A65" s="392" t="s">
        <v>505</v>
      </c>
      <c r="B65" s="388"/>
      <c r="C65" s="388"/>
      <c r="D65" s="385">
        <v>1000</v>
      </c>
      <c r="E65" s="392" t="s">
        <v>505</v>
      </c>
      <c r="F65" s="388"/>
      <c r="G65" s="385">
        <v>1000</v>
      </c>
    </row>
    <row r="66" spans="1:8" x14ac:dyDescent="0.25">
      <c r="A66" s="392" t="s">
        <v>644</v>
      </c>
      <c r="B66" s="388"/>
      <c r="C66" s="388"/>
      <c r="D66" s="385">
        <v>500</v>
      </c>
      <c r="E66" s="392" t="s">
        <v>644</v>
      </c>
      <c r="F66" s="388"/>
      <c r="G66" s="385">
        <v>500</v>
      </c>
    </row>
    <row r="67" spans="1:8" x14ac:dyDescent="0.25">
      <c r="A67" s="394">
        <v>43341</v>
      </c>
      <c r="B67" s="388"/>
      <c r="C67" s="388"/>
      <c r="D67" s="385">
        <v>5137</v>
      </c>
      <c r="E67" s="394">
        <v>43341</v>
      </c>
      <c r="F67" s="388"/>
      <c r="G67" s="385">
        <v>5137</v>
      </c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24857</v>
      </c>
      <c r="E69" s="389"/>
      <c r="F69" s="389"/>
      <c r="G69" s="385">
        <f>SUM(G63:G68)</f>
        <v>24857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-6639</v>
      </c>
      <c r="E70" s="389"/>
      <c r="F70" s="389" t="s">
        <v>165</v>
      </c>
      <c r="G70" s="385">
        <f>G61-G69</f>
        <v>-65094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8" x14ac:dyDescent="0.25">
      <c r="A75" s="36"/>
      <c r="B75" s="76"/>
      <c r="C75" s="76"/>
      <c r="D75" s="431"/>
      <c r="E75" s="36"/>
      <c r="F75" s="36"/>
    </row>
    <row r="80" spans="1:8" ht="23.25" x14ac:dyDescent="0.35">
      <c r="A80" s="4"/>
      <c r="C80" s="401" t="s">
        <v>97</v>
      </c>
      <c r="D80" s="401"/>
      <c r="E80" s="401"/>
      <c r="F80" s="401"/>
      <c r="G80" s="401"/>
    </row>
    <row r="81" spans="1:8" x14ac:dyDescent="0.25">
      <c r="B81" s="95"/>
      <c r="D81" s="96" t="s">
        <v>642</v>
      </c>
      <c r="F81" s="95"/>
      <c r="G81" s="95"/>
    </row>
    <row r="82" spans="1:8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</row>
    <row r="83" spans="1:8" x14ac:dyDescent="0.25">
      <c r="A83" s="43"/>
      <c r="B83" s="10"/>
      <c r="C83" s="43"/>
      <c r="D83" s="43"/>
      <c r="E83" s="47"/>
      <c r="F83" s="47"/>
      <c r="G83" s="47"/>
      <c r="H83" s="43"/>
    </row>
    <row r="84" spans="1:8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</row>
    <row r="85" spans="1:8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</row>
    <row r="86" spans="1:8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</row>
    <row r="88" spans="1:8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</row>
    <row r="89" spans="1:8" x14ac:dyDescent="0.25">
      <c r="A89" s="43" t="s">
        <v>523</v>
      </c>
      <c r="B89" s="3"/>
      <c r="C89" s="44"/>
      <c r="D89" s="44">
        <v>3000</v>
      </c>
      <c r="E89" s="265">
        <v>3000</v>
      </c>
      <c r="F89" s="244">
        <f t="shared" si="4"/>
        <v>6000</v>
      </c>
      <c r="G89" s="266"/>
      <c r="H89" s="247">
        <f t="shared" si="5"/>
        <v>6000</v>
      </c>
    </row>
    <row r="90" spans="1:8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</row>
    <row r="91" spans="1:8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</row>
    <row r="92" spans="1:8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/>
      <c r="G94" s="134"/>
      <c r="H94" s="105"/>
    </row>
    <row r="95" spans="1:8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</row>
    <row r="96" spans="1:8" x14ac:dyDescent="0.25">
      <c r="A96" s="44"/>
      <c r="B96" s="44"/>
      <c r="C96" s="44"/>
      <c r="D96" s="44">
        <f>SUM(D83:D95)</f>
        <v>3000</v>
      </c>
      <c r="E96" s="247">
        <f>SUM(E83:E95)</f>
        <v>3000</v>
      </c>
      <c r="F96" s="247">
        <f>SUM(F84:F95)</f>
        <v>6000</v>
      </c>
      <c r="G96" s="247">
        <f>SUM(G83:G95)</f>
        <v>0</v>
      </c>
      <c r="H96" s="247">
        <f>SUM(H84:H95)</f>
        <v>6000</v>
      </c>
    </row>
    <row r="97" spans="1:8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0</v>
      </c>
    </row>
    <row r="98" spans="1:8" x14ac:dyDescent="0.25">
      <c r="A98" s="103"/>
      <c r="B98" s="101"/>
      <c r="C98" s="97"/>
      <c r="D98" s="104"/>
      <c r="E98" s="103" t="s">
        <v>347</v>
      </c>
      <c r="F98" s="101"/>
      <c r="G98" s="97"/>
      <c r="H98" s="302">
        <f>JULY7!H106</f>
        <v>4050</v>
      </c>
    </row>
    <row r="99" spans="1:8" x14ac:dyDescent="0.25">
      <c r="A99" s="103"/>
      <c r="B99" s="101"/>
      <c r="C99" s="97"/>
      <c r="D99" s="104"/>
      <c r="E99" s="103"/>
      <c r="F99" s="101"/>
      <c r="G99" s="97"/>
      <c r="H99" s="302">
        <f>SUM(H97:H98)</f>
        <v>4050</v>
      </c>
    </row>
    <row r="100" spans="1:8" x14ac:dyDescent="0.25">
      <c r="A100" s="67"/>
      <c r="E100" s="67" t="s">
        <v>58</v>
      </c>
      <c r="H100" s="252"/>
    </row>
    <row r="101" spans="1:8" x14ac:dyDescent="0.25">
      <c r="A101" s="36"/>
      <c r="B101" s="146"/>
      <c r="D101" s="34"/>
      <c r="E101" s="36" t="s">
        <v>22</v>
      </c>
      <c r="F101" s="146">
        <v>0.1</v>
      </c>
      <c r="H101" s="254">
        <f>F101*H97</f>
        <v>0</v>
      </c>
    </row>
    <row r="102" spans="1:8" x14ac:dyDescent="0.25">
      <c r="A102" s="136"/>
      <c r="D102" s="72"/>
      <c r="E102" s="136">
        <v>43325</v>
      </c>
      <c r="F102" s="93"/>
      <c r="H102" s="333">
        <v>4050</v>
      </c>
    </row>
    <row r="103" spans="1:8" x14ac:dyDescent="0.25">
      <c r="E103" s="93"/>
      <c r="H103" s="252"/>
    </row>
    <row r="104" spans="1:8" x14ac:dyDescent="0.25">
      <c r="A104" s="36"/>
      <c r="D104" s="72"/>
      <c r="E104" s="136"/>
      <c r="H104" s="252"/>
    </row>
    <row r="105" spans="1:8" ht="15.75" x14ac:dyDescent="0.25">
      <c r="A105" s="36"/>
      <c r="D105" s="72"/>
      <c r="E105" s="289" t="s">
        <v>2</v>
      </c>
      <c r="H105" s="252">
        <f>SUM(H101:H104)</f>
        <v>4050</v>
      </c>
    </row>
    <row r="106" spans="1:8" x14ac:dyDescent="0.25">
      <c r="A106" s="36"/>
      <c r="D106" s="135"/>
      <c r="H106" s="252">
        <f>H99-H105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0" zoomScaleNormal="100" workbookViewId="0">
      <selection activeCell="I74" sqref="I74"/>
    </sheetView>
  </sheetViews>
  <sheetFormatPr defaultRowHeight="15" x14ac:dyDescent="0.25"/>
  <cols>
    <col min="1" max="1" width="16.42578125" style="9" customWidth="1"/>
    <col min="2" max="2" width="7.7109375" style="9" customWidth="1"/>
    <col min="3" max="4" width="9.140625" style="9"/>
    <col min="5" max="5" width="11.5703125" style="9" customWidth="1"/>
    <col min="6" max="6" width="13.4257812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645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/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2000</v>
      </c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17000</v>
      </c>
      <c r="E16" s="244">
        <f>SUM(E4:E15)</f>
        <v>6000</v>
      </c>
      <c r="F16" s="244">
        <f>D16+E16</f>
        <v>23000</v>
      </c>
      <c r="G16" s="244">
        <f>SUM(G4:G15)</f>
        <v>4000</v>
      </c>
      <c r="H16" s="249">
        <f>SUM(H4:H15)</f>
        <v>19000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>
        <v>43355</v>
      </c>
      <c r="B23" s="62"/>
      <c r="C23" s="62"/>
      <c r="D23" s="264">
        <v>1400</v>
      </c>
      <c r="E23" s="375">
        <v>43355</v>
      </c>
      <c r="F23" s="62"/>
      <c r="G23" s="264">
        <v>1400</v>
      </c>
      <c r="H23" s="162"/>
    </row>
    <row r="24" spans="1:8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</row>
    <row r="25" spans="1:8" x14ac:dyDescent="0.25">
      <c r="A25" s="366"/>
      <c r="B25" s="62"/>
      <c r="C25" s="62"/>
      <c r="D25" s="264"/>
      <c r="E25" s="403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4"/>
      <c r="F33" s="404"/>
    </row>
    <row r="34" spans="1:9" x14ac:dyDescent="0.25">
      <c r="C34" s="95"/>
      <c r="D34" s="96" t="s">
        <v>646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36000</v>
      </c>
      <c r="E36" s="269">
        <v>4500</v>
      </c>
      <c r="F36" s="269">
        <f>D36+E36</f>
        <v>40500</v>
      </c>
      <c r="G36" s="270"/>
      <c r="H36" s="271">
        <f>F36-G36</f>
        <v>40500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800</v>
      </c>
      <c r="E37" s="272">
        <v>4500</v>
      </c>
      <c r="F37" s="269">
        <f t="shared" ref="F37:F55" si="2">D37+E37</f>
        <v>5300</v>
      </c>
      <c r="G37" s="273">
        <v>5300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850</v>
      </c>
      <c r="F41" s="269">
        <f t="shared" si="2"/>
        <v>850</v>
      </c>
      <c r="G41" s="272">
        <v>850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4">
        <v>3000</v>
      </c>
      <c r="F43" s="269">
        <f t="shared" si="2"/>
        <v>3000</v>
      </c>
      <c r="G43" s="44">
        <v>2500</v>
      </c>
      <c r="H43" s="271">
        <v>3000</v>
      </c>
      <c r="I43" s="44">
        <v>100</v>
      </c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2550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6">
        <v>4000</v>
      </c>
      <c r="F48" s="269">
        <f t="shared" si="2"/>
        <v>4000</v>
      </c>
      <c r="G48" s="276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>F49-G49</f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34050</v>
      </c>
      <c r="F56" s="243">
        <f>D56+E56</f>
        <v>34050</v>
      </c>
      <c r="G56" s="280">
        <f>SUM(G36:G55)</f>
        <v>29900</v>
      </c>
      <c r="H56" s="280">
        <f>SUM(H36:H55)</f>
        <v>43500</v>
      </c>
      <c r="I56" s="44">
        <f>SUM(I36:I55)</f>
        <v>700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06">
        <f>E56</f>
        <v>34050</v>
      </c>
      <c r="E58" s="377"/>
      <c r="F58" s="377" t="s">
        <v>60</v>
      </c>
      <c r="G58" s="381">
        <f>G56</f>
        <v>29900</v>
      </c>
      <c r="H58" s="267"/>
    </row>
    <row r="59" spans="1:9" x14ac:dyDescent="0.25">
      <c r="A59" s="382" t="s">
        <v>347</v>
      </c>
      <c r="B59" s="383"/>
      <c r="C59" s="384"/>
      <c r="D59" s="405">
        <f>AUG!D70</f>
        <v>-6639</v>
      </c>
      <c r="E59" s="382"/>
      <c r="F59" s="382" t="s">
        <v>347</v>
      </c>
      <c r="G59" s="384">
        <f>AUG!G70</f>
        <v>-65094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27411</v>
      </c>
      <c r="E61" s="382"/>
      <c r="F61" s="382" t="s">
        <v>2</v>
      </c>
      <c r="G61" s="386">
        <f>SUM(G58:G60)</f>
        <v>-35194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3405</v>
      </c>
      <c r="E63" s="389" t="s">
        <v>22</v>
      </c>
      <c r="F63" s="388"/>
      <c r="G63" s="385">
        <f>D63</f>
        <v>3405</v>
      </c>
      <c r="H63" s="254"/>
    </row>
    <row r="64" spans="1:9" x14ac:dyDescent="0.25">
      <c r="A64" s="392" t="s">
        <v>505</v>
      </c>
      <c r="B64" s="390"/>
      <c r="C64" s="388"/>
      <c r="D64" s="391">
        <v>1000</v>
      </c>
      <c r="E64" s="393" t="s">
        <v>505</v>
      </c>
      <c r="F64" s="388"/>
      <c r="G64" s="391">
        <v>1000</v>
      </c>
    </row>
    <row r="65" spans="1:8" x14ac:dyDescent="0.25">
      <c r="A65" s="392">
        <v>43349</v>
      </c>
      <c r="B65" s="388"/>
      <c r="C65" s="388"/>
      <c r="D65" s="385">
        <v>19600</v>
      </c>
      <c r="E65" s="392">
        <v>43349</v>
      </c>
      <c r="F65" s="388"/>
      <c r="G65" s="385">
        <v>19600</v>
      </c>
    </row>
    <row r="66" spans="1:8" x14ac:dyDescent="0.25">
      <c r="A66" s="392" t="s">
        <v>651</v>
      </c>
      <c r="B66" s="388"/>
      <c r="C66" s="388"/>
      <c r="D66" s="385">
        <v>1155</v>
      </c>
      <c r="E66" s="392" t="s">
        <v>652</v>
      </c>
      <c r="F66" s="388"/>
      <c r="G66" s="385">
        <v>1155</v>
      </c>
    </row>
    <row r="67" spans="1:8" x14ac:dyDescent="0.25">
      <c r="A67" s="394"/>
      <c r="B67" s="388"/>
      <c r="C67" s="388"/>
      <c r="D67" s="385"/>
      <c r="E67" s="394"/>
      <c r="F67" s="388"/>
      <c r="G67" s="385"/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25160</v>
      </c>
      <c r="E69" s="389"/>
      <c r="F69" s="389"/>
      <c r="G69" s="385">
        <f>SUM(G63:G68)</f>
        <v>25160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2251</v>
      </c>
      <c r="E70" s="389"/>
      <c r="F70" s="389" t="s">
        <v>165</v>
      </c>
      <c r="G70" s="385">
        <f>G61-G69</f>
        <v>-60354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4" t="s">
        <v>97</v>
      </c>
      <c r="D79" s="404"/>
      <c r="E79" s="404"/>
      <c r="F79" s="404"/>
      <c r="G79" s="404"/>
    </row>
    <row r="80" spans="1:8" x14ac:dyDescent="0.25">
      <c r="B80" s="95"/>
      <c r="D80" s="96" t="s">
        <v>647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>
        <v>3000</v>
      </c>
      <c r="H88" s="247">
        <f t="shared" si="5"/>
        <v>6000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3000</v>
      </c>
      <c r="H95" s="247">
        <f>SUM(H83:H94)</f>
        <v>6000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3000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3000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300</v>
      </c>
    </row>
    <row r="101" spans="1:8" x14ac:dyDescent="0.25">
      <c r="A101" s="136"/>
      <c r="D101" s="72"/>
      <c r="E101" s="136"/>
      <c r="F101" s="93">
        <v>43355</v>
      </c>
      <c r="H101" s="333">
        <v>2700</v>
      </c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3000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6" zoomScaleNormal="100" workbookViewId="0">
      <selection activeCell="E40" sqref="E40"/>
    </sheetView>
  </sheetViews>
  <sheetFormatPr defaultRowHeight="15" x14ac:dyDescent="0.25"/>
  <cols>
    <col min="1" max="1" width="16.5703125" style="9" customWidth="1"/>
    <col min="2" max="2" width="7.7109375" style="9" customWidth="1"/>
    <col min="3" max="4" width="9.140625" style="9"/>
    <col min="5" max="5" width="14.42578125" style="9" customWidth="1"/>
    <col min="6" max="6" width="13.42578125" style="9" customWidth="1"/>
    <col min="7" max="7" width="12.28515625" style="9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653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4500</v>
      </c>
      <c r="E13" s="244">
        <v>2000</v>
      </c>
      <c r="F13" s="244">
        <f t="shared" si="0"/>
        <v>6500</v>
      </c>
      <c r="G13" s="244">
        <v>2000</v>
      </c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/>
      <c r="H15" s="249">
        <f t="shared" si="1"/>
        <v>12000</v>
      </c>
    </row>
    <row r="16" spans="1:8" x14ac:dyDescent="0.25">
      <c r="A16" s="47"/>
      <c r="B16" s="16"/>
      <c r="C16" s="48"/>
      <c r="D16" s="46">
        <f>SUM(D4:D15)</f>
        <v>19000</v>
      </c>
      <c r="E16" s="244">
        <f>SUM(E4:E15)</f>
        <v>6000</v>
      </c>
      <c r="F16" s="244">
        <f>D16+E16</f>
        <v>25000</v>
      </c>
      <c r="G16" s="244">
        <f>SUM(G4:G15)</f>
        <v>4000</v>
      </c>
      <c r="H16" s="249">
        <f>SUM(H4:H15)</f>
        <v>21000</v>
      </c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9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9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9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I21" s="9">
        <v>37400</v>
      </c>
    </row>
    <row r="22" spans="1:9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  <c r="I22" s="9">
        <v>8500</v>
      </c>
    </row>
    <row r="23" spans="1:9" x14ac:dyDescent="0.25">
      <c r="A23" s="375" t="s">
        <v>191</v>
      </c>
      <c r="B23" s="62"/>
      <c r="C23" s="62"/>
      <c r="D23" s="264">
        <v>3000</v>
      </c>
      <c r="E23" s="375" t="s">
        <v>191</v>
      </c>
      <c r="F23" s="62"/>
      <c r="G23" s="264">
        <v>3000</v>
      </c>
      <c r="H23" s="162"/>
    </row>
    <row r="24" spans="1:9" x14ac:dyDescent="0.25">
      <c r="A24" s="365">
        <v>43385</v>
      </c>
      <c r="B24" s="62"/>
      <c r="C24" s="62"/>
      <c r="D24" s="264">
        <v>2400</v>
      </c>
      <c r="E24" s="365">
        <v>43385</v>
      </c>
      <c r="F24" s="62"/>
      <c r="G24" s="264">
        <v>2400</v>
      </c>
    </row>
    <row r="25" spans="1:9" x14ac:dyDescent="0.25">
      <c r="A25" s="366"/>
      <c r="B25" s="62"/>
      <c r="C25" s="62"/>
      <c r="D25" s="264"/>
      <c r="E25" s="403"/>
      <c r="F25" s="364"/>
      <c r="G25" s="264"/>
    </row>
    <row r="26" spans="1:9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9" x14ac:dyDescent="0.25">
      <c r="A28" s="9" t="s">
        <v>674</v>
      </c>
      <c r="G28" s="252">
        <f>I21-I22</f>
        <v>28900</v>
      </c>
    </row>
    <row r="29" spans="1:9" x14ac:dyDescent="0.25">
      <c r="G29" s="72">
        <f>G27+G28</f>
        <v>1700</v>
      </c>
      <c r="H29" s="9" t="s">
        <v>683</v>
      </c>
    </row>
    <row r="32" spans="1:9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7"/>
      <c r="F33" s="407"/>
    </row>
    <row r="34" spans="1:9" x14ac:dyDescent="0.25">
      <c r="C34" s="95"/>
      <c r="D34" s="96" t="s">
        <v>654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40500</v>
      </c>
      <c r="E36" s="269">
        <v>4500</v>
      </c>
      <c r="F36" s="269">
        <f>D36+E36</f>
        <v>45000</v>
      </c>
      <c r="G36" s="270"/>
      <c r="H36" s="271">
        <f>F36-G36</f>
        <v>45000</v>
      </c>
      <c r="I36" s="44"/>
    </row>
    <row r="37" spans="1:9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4500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/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2500</v>
      </c>
      <c r="F41" s="269">
        <f t="shared" si="2"/>
        <v>2500</v>
      </c>
      <c r="G41" s="272">
        <v>2500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3">
        <v>2500</v>
      </c>
      <c r="F43" s="269">
        <f t="shared" si="2"/>
        <v>2500</v>
      </c>
      <c r="G43" s="43">
        <v>2500</v>
      </c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/>
      <c r="E45" s="277">
        <v>2500</v>
      </c>
      <c r="F45" s="269">
        <f t="shared" si="2"/>
        <v>2500</v>
      </c>
      <c r="G45" s="271">
        <v>2500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1">
        <v>2700</v>
      </c>
      <c r="F47" s="269">
        <f t="shared" si="2"/>
        <v>2700</v>
      </c>
      <c r="G47" s="271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1">
        <v>4000</v>
      </c>
      <c r="F48" s="269">
        <f t="shared" si="2"/>
        <v>4000</v>
      </c>
      <c r="G48" s="271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1"/>
      <c r="F49" s="269"/>
      <c r="G49" s="271"/>
      <c r="H49" s="271">
        <f t="shared" si="3"/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1"/>
      <c r="F50" s="269">
        <f t="shared" si="2"/>
        <v>0</v>
      </c>
      <c r="G50" s="271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417">
        <v>2500</v>
      </c>
      <c r="F51" s="269">
        <f t="shared" si="2"/>
        <v>2500</v>
      </c>
      <c r="G51" s="271">
        <v>2500</v>
      </c>
      <c r="H51" s="271">
        <f t="shared" si="3"/>
        <v>0</v>
      </c>
      <c r="I51" s="44">
        <v>100</v>
      </c>
    </row>
    <row r="52" spans="1:9" x14ac:dyDescent="0.25">
      <c r="A52" s="62" t="s">
        <v>137</v>
      </c>
      <c r="B52" s="120">
        <v>17</v>
      </c>
      <c r="C52" s="117"/>
      <c r="D52" s="198"/>
      <c r="E52" s="271">
        <v>1600</v>
      </c>
      <c r="F52" s="269">
        <f t="shared" si="2"/>
        <v>1600</v>
      </c>
      <c r="G52" s="271">
        <v>1500</v>
      </c>
      <c r="H52" s="271">
        <f t="shared" si="3"/>
        <v>100</v>
      </c>
      <c r="I52" s="44"/>
    </row>
    <row r="53" spans="1:9" x14ac:dyDescent="0.25">
      <c r="A53" s="240" t="s">
        <v>656</v>
      </c>
      <c r="B53" s="120">
        <v>18</v>
      </c>
      <c r="C53" s="117"/>
      <c r="D53" s="198"/>
      <c r="E53" s="271">
        <v>1600</v>
      </c>
      <c r="F53" s="269">
        <f t="shared" si="2"/>
        <v>1600</v>
      </c>
      <c r="G53" s="271">
        <v>1600</v>
      </c>
      <c r="H53" s="271">
        <f>F53-G53</f>
        <v>0</v>
      </c>
      <c r="I53" s="44"/>
    </row>
    <row r="54" spans="1:9" x14ac:dyDescent="0.25">
      <c r="A54" s="62"/>
      <c r="B54" s="141">
        <v>19</v>
      </c>
      <c r="C54" s="142"/>
      <c r="D54" s="200"/>
      <c r="E54" s="418"/>
      <c r="F54" s="269">
        <f t="shared" si="2"/>
        <v>0</v>
      </c>
      <c r="G54" s="418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201"/>
      <c r="F55" s="269">
        <f t="shared" si="2"/>
        <v>0</v>
      </c>
      <c r="G55" s="201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419">
        <f>SUM(E36:E55)</f>
        <v>38400</v>
      </c>
      <c r="F56" s="243">
        <f>D56+E56</f>
        <v>38400</v>
      </c>
      <c r="G56" s="419">
        <f>SUM(G36:G55)</f>
        <v>33800</v>
      </c>
      <c r="H56" s="419">
        <f>SUM(H36:H55)</f>
        <v>45100</v>
      </c>
      <c r="I56" s="44">
        <f>SUM(I36:I55)</f>
        <v>600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20">
        <f>E56</f>
        <v>38400</v>
      </c>
      <c r="E58" s="377"/>
      <c r="F58" s="377" t="s">
        <v>60</v>
      </c>
      <c r="G58" s="288">
        <f>G56</f>
        <v>33800</v>
      </c>
      <c r="H58" s="267"/>
    </row>
    <row r="59" spans="1:9" x14ac:dyDescent="0.25">
      <c r="A59" s="382" t="s">
        <v>347</v>
      </c>
      <c r="B59" s="383"/>
      <c r="C59" s="384"/>
      <c r="D59" s="421">
        <f>SEPT!D70</f>
        <v>2251</v>
      </c>
      <c r="E59" s="382"/>
      <c r="F59" s="382" t="s">
        <v>347</v>
      </c>
      <c r="G59" s="219">
        <f>SEPT!G70</f>
        <v>-60354</v>
      </c>
      <c r="H59" s="268"/>
    </row>
    <row r="60" spans="1:9" x14ac:dyDescent="0.25">
      <c r="A60" s="382" t="s">
        <v>622</v>
      </c>
      <c r="B60" s="383"/>
      <c r="C60" s="384"/>
      <c r="D60" s="338"/>
      <c r="E60" s="382"/>
      <c r="F60" s="382" t="s">
        <v>622</v>
      </c>
      <c r="G60" s="219"/>
      <c r="H60" s="268"/>
    </row>
    <row r="61" spans="1:9" x14ac:dyDescent="0.25">
      <c r="A61" s="382" t="s">
        <v>2</v>
      </c>
      <c r="B61" s="383"/>
      <c r="C61" s="384"/>
      <c r="D61" s="245">
        <f>SUM(OCTOBER!D58:D60)</f>
        <v>40651</v>
      </c>
      <c r="E61" s="382"/>
      <c r="F61" s="382" t="s">
        <v>2</v>
      </c>
      <c r="G61" s="423">
        <f>SUM(G58:G60)</f>
        <v>-26554</v>
      </c>
      <c r="H61" s="252"/>
    </row>
    <row r="62" spans="1:9" x14ac:dyDescent="0.25">
      <c r="A62" s="387" t="s">
        <v>58</v>
      </c>
      <c r="B62" s="388"/>
      <c r="C62" s="388"/>
      <c r="D62" s="245"/>
      <c r="E62" s="387"/>
      <c r="F62" s="387" t="s">
        <v>58</v>
      </c>
      <c r="G62" s="43"/>
      <c r="H62" s="252"/>
    </row>
    <row r="63" spans="1:9" x14ac:dyDescent="0.25">
      <c r="A63" s="389" t="s">
        <v>22</v>
      </c>
      <c r="B63" s="390"/>
      <c r="C63" s="388"/>
      <c r="D63" s="340">
        <f>SUM(D58*10%)</f>
        <v>3840</v>
      </c>
      <c r="E63" s="389" t="s">
        <v>22</v>
      </c>
      <c r="F63" s="388"/>
      <c r="G63" s="245">
        <f>D63</f>
        <v>3840</v>
      </c>
      <c r="H63" s="254"/>
    </row>
    <row r="64" spans="1:9" x14ac:dyDescent="0.25">
      <c r="A64" s="392" t="s">
        <v>505</v>
      </c>
      <c r="B64" s="390"/>
      <c r="C64" s="388"/>
      <c r="D64" s="340">
        <v>1000</v>
      </c>
      <c r="E64" s="393" t="s">
        <v>505</v>
      </c>
      <c r="F64" s="388"/>
      <c r="G64" s="340">
        <v>1000</v>
      </c>
    </row>
    <row r="65" spans="1:8" x14ac:dyDescent="0.25">
      <c r="A65" s="392">
        <v>43379</v>
      </c>
      <c r="B65" s="388"/>
      <c r="C65" s="388"/>
      <c r="D65" s="245">
        <v>14700</v>
      </c>
      <c r="E65" s="392">
        <v>43379</v>
      </c>
      <c r="F65" s="388"/>
      <c r="G65" s="245">
        <v>14700</v>
      </c>
    </row>
    <row r="66" spans="1:8" x14ac:dyDescent="0.25">
      <c r="A66" s="392">
        <v>43389</v>
      </c>
      <c r="B66" s="388"/>
      <c r="C66" s="388"/>
      <c r="D66" s="245">
        <v>20000</v>
      </c>
      <c r="E66" s="392">
        <v>43389</v>
      </c>
      <c r="F66" s="388"/>
      <c r="G66" s="245">
        <v>20000</v>
      </c>
    </row>
    <row r="67" spans="1:8" x14ac:dyDescent="0.25">
      <c r="A67" s="394"/>
      <c r="B67" s="388"/>
      <c r="C67" s="388"/>
      <c r="D67" s="245"/>
      <c r="E67" s="394"/>
      <c r="F67" s="388"/>
      <c r="G67" s="245"/>
    </row>
    <row r="68" spans="1:8" x14ac:dyDescent="0.25">
      <c r="A68" s="394"/>
      <c r="B68" s="388"/>
      <c r="C68" s="388"/>
      <c r="D68" s="245"/>
      <c r="E68" s="392"/>
      <c r="F68" s="394"/>
      <c r="G68" s="43"/>
      <c r="H68" s="252"/>
    </row>
    <row r="69" spans="1:8" x14ac:dyDescent="0.25">
      <c r="A69" s="389" t="s">
        <v>154</v>
      </c>
      <c r="B69" s="388"/>
      <c r="C69" s="388"/>
      <c r="D69" s="422">
        <f>SUM(D63:D68)</f>
        <v>39540</v>
      </c>
      <c r="E69" s="389" t="s">
        <v>154</v>
      </c>
      <c r="F69" s="389"/>
      <c r="G69" s="245">
        <f>SUM(G63:G68)</f>
        <v>39540</v>
      </c>
      <c r="H69" s="252"/>
    </row>
    <row r="70" spans="1:8" x14ac:dyDescent="0.25">
      <c r="A70" s="389" t="s">
        <v>165</v>
      </c>
      <c r="B70" s="388"/>
      <c r="C70" s="388"/>
      <c r="D70" s="245">
        <f>D61-D69</f>
        <v>1111</v>
      </c>
      <c r="E70" s="389"/>
      <c r="F70" s="389" t="s">
        <v>165</v>
      </c>
      <c r="G70" s="245">
        <f>G61-G69</f>
        <v>-66094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7" t="s">
        <v>97</v>
      </c>
      <c r="D79" s="407"/>
      <c r="E79" s="407"/>
      <c r="F79" s="407"/>
      <c r="G79" s="407"/>
    </row>
    <row r="80" spans="1:8" x14ac:dyDescent="0.25">
      <c r="B80" s="95"/>
      <c r="D80" s="96" t="s">
        <v>655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/>
      <c r="H88" s="247">
        <f t="shared" si="5"/>
        <v>9000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0</v>
      </c>
      <c r="H95" s="247">
        <f>SUM(H83:H94)</f>
        <v>9000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" zoomScaleNormal="100" workbookViewId="0">
      <selection activeCell="F28" sqref="F2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4.7109375" style="9" customWidth="1"/>
    <col min="6" max="6" width="14.42578125" style="9" customWidth="1"/>
    <col min="7" max="7" width="8.140625" style="9" bestFit="1" customWidth="1"/>
    <col min="8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665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OCTOBER!G29</f>
        <v>1700</v>
      </c>
      <c r="E20" s="43"/>
      <c r="F20" s="43" t="s">
        <v>347</v>
      </c>
      <c r="G20" s="245">
        <f>OCTOBER!G29</f>
        <v>1700</v>
      </c>
      <c r="H20" s="38"/>
    </row>
    <row r="21" spans="1:8" x14ac:dyDescent="0.25">
      <c r="A21" s="239"/>
      <c r="B21" s="359"/>
      <c r="C21" s="62"/>
      <c r="D21" s="338">
        <f>D19+D20</f>
        <v>7700</v>
      </c>
      <c r="E21" s="47"/>
      <c r="F21" s="47" t="s">
        <v>63</v>
      </c>
      <c r="G21" s="245">
        <f>SUM(G19:G20)</f>
        <v>7700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375" t="s">
        <v>191</v>
      </c>
      <c r="B24" s="62"/>
      <c r="C24" s="62"/>
      <c r="D24" s="245">
        <v>2000</v>
      </c>
      <c r="E24" s="427"/>
      <c r="F24" s="43" t="s">
        <v>191</v>
      </c>
      <c r="G24" s="245">
        <v>2000</v>
      </c>
      <c r="H24" s="428"/>
    </row>
    <row r="25" spans="1:8" x14ac:dyDescent="0.25">
      <c r="A25" s="365"/>
      <c r="B25" s="62"/>
      <c r="C25" s="62"/>
      <c r="D25" s="245"/>
      <c r="E25" s="351"/>
      <c r="F25" s="43"/>
      <c r="G25" s="245"/>
      <c r="H25" s="38"/>
    </row>
    <row r="26" spans="1:8" x14ac:dyDescent="0.25">
      <c r="A26" s="366"/>
      <c r="B26" s="62"/>
      <c r="C26" s="62"/>
      <c r="D26" s="245"/>
      <c r="E26" s="429"/>
      <c r="F26" s="347"/>
      <c r="G26" s="245"/>
      <c r="H26" s="38"/>
    </row>
    <row r="27" spans="1:8" x14ac:dyDescent="0.25">
      <c r="A27" s="62" t="s">
        <v>154</v>
      </c>
      <c r="B27" s="62"/>
      <c r="C27" s="62"/>
      <c r="D27" s="245">
        <f>SUM(D23:D26)</f>
        <v>2600</v>
      </c>
      <c r="E27" s="43" t="s">
        <v>154</v>
      </c>
      <c r="F27" s="43"/>
      <c r="G27" s="245">
        <f>SUM(G23:G26)</f>
        <v>2600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5100</v>
      </c>
      <c r="E28" s="43" t="s">
        <v>165</v>
      </c>
      <c r="F28" s="43"/>
      <c r="G28" s="245">
        <f>G21-G27</f>
        <v>5100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665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45000</v>
      </c>
      <c r="E37" s="251">
        <v>4500</v>
      </c>
      <c r="F37" s="251">
        <f>D37+E37</f>
        <v>49500</v>
      </c>
      <c r="G37" s="440"/>
      <c r="H37" s="441">
        <f>F37-G37</f>
        <v>49500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>
        <v>100</v>
      </c>
    </row>
    <row r="40" spans="1:9" x14ac:dyDescent="0.25">
      <c r="A40" s="239" t="s">
        <v>668</v>
      </c>
      <c r="B40" s="120">
        <v>4</v>
      </c>
      <c r="C40" s="117"/>
      <c r="D40" s="258"/>
      <c r="E40" s="242">
        <v>1250</v>
      </c>
      <c r="F40" s="251">
        <f t="shared" si="2"/>
        <v>1250</v>
      </c>
      <c r="G40" s="443">
        <v>1250</v>
      </c>
      <c r="H40" s="441">
        <f t="shared" si="3"/>
        <v>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/>
      <c r="E42" s="242">
        <v>2500</v>
      </c>
      <c r="F42" s="251">
        <f t="shared" si="2"/>
        <v>2500</v>
      </c>
      <c r="G42" s="242">
        <v>2000</v>
      </c>
      <c r="H42" s="441">
        <f t="shared" si="3"/>
        <v>500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>
        <v>100</v>
      </c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200</v>
      </c>
    </row>
    <row r="45" spans="1:9" x14ac:dyDescent="0.25">
      <c r="A45" s="62"/>
      <c r="B45" s="120">
        <v>9</v>
      </c>
      <c r="C45" s="44"/>
      <c r="D45" s="225"/>
      <c r="E45" s="298"/>
      <c r="F45" s="251">
        <f t="shared" si="2"/>
        <v>0</v>
      </c>
      <c r="G45" s="298"/>
      <c r="H45" s="441">
        <f t="shared" si="3"/>
        <v>0</v>
      </c>
      <c r="I45" s="225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2500</v>
      </c>
      <c r="H46" s="441">
        <f t="shared" si="3"/>
        <v>0</v>
      </c>
      <c r="I46" s="225"/>
    </row>
    <row r="47" spans="1:9" x14ac:dyDescent="0.25">
      <c r="A47" s="239" t="s">
        <v>621</v>
      </c>
      <c r="B47" s="120">
        <v>11</v>
      </c>
      <c r="C47" s="119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239" t="s">
        <v>327</v>
      </c>
      <c r="B48" s="120">
        <v>12</v>
      </c>
      <c r="C48" s="119"/>
      <c r="D48" s="225"/>
      <c r="E48" s="298">
        <v>2700</v>
      </c>
      <c r="F48" s="251">
        <f t="shared" si="2"/>
        <v>2700</v>
      </c>
      <c r="G48" s="298">
        <v>2700</v>
      </c>
      <c r="H48" s="441">
        <f t="shared" si="3"/>
        <v>0</v>
      </c>
      <c r="I48" s="225">
        <v>100</v>
      </c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658</v>
      </c>
      <c r="B53" s="120">
        <v>17</v>
      </c>
      <c r="C53" s="117"/>
      <c r="D53" s="225">
        <v>100</v>
      </c>
      <c r="E53" s="298">
        <v>1600</v>
      </c>
      <c r="F53" s="251">
        <f t="shared" si="2"/>
        <v>1700</v>
      </c>
      <c r="G53" s="298">
        <v>1300</v>
      </c>
      <c r="H53" s="441">
        <f t="shared" si="3"/>
        <v>400</v>
      </c>
      <c r="I53" s="225"/>
    </row>
    <row r="54" spans="1:9" x14ac:dyDescent="0.25">
      <c r="A54" s="240" t="s">
        <v>656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/>
      <c r="H54" s="441">
        <f>F54-G54</f>
        <v>1600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>
        <f t="shared" si="2"/>
        <v>0</v>
      </c>
      <c r="G55" s="448"/>
      <c r="H55" s="441">
        <f t="shared" si="3"/>
        <v>0</v>
      </c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41250</v>
      </c>
      <c r="F57" s="595">
        <f>D57+E57</f>
        <v>41250</v>
      </c>
      <c r="G57" s="594">
        <f>SUM(G37:G56)</f>
        <v>34350</v>
      </c>
      <c r="H57" s="594">
        <f>SUM(H37:H56)</f>
        <v>52000</v>
      </c>
      <c r="I57" s="596">
        <f>SUM(I37:I56)</f>
        <v>600</v>
      </c>
    </row>
    <row r="58" spans="1:9" x14ac:dyDescent="0.25">
      <c r="A58" s="500" t="s">
        <v>616</v>
      </c>
      <c r="B58" s="489"/>
      <c r="C58" s="489"/>
      <c r="D58" s="489"/>
      <c r="E58" s="501" t="s">
        <v>3</v>
      </c>
      <c r="F58" s="502"/>
      <c r="G58" s="503"/>
      <c r="H58" s="213"/>
    </row>
    <row r="59" spans="1:9" x14ac:dyDescent="0.25">
      <c r="A59" s="504" t="s">
        <v>60</v>
      </c>
      <c r="B59" s="383"/>
      <c r="C59" s="384"/>
      <c r="D59" s="405">
        <f>E57</f>
        <v>41250</v>
      </c>
      <c r="E59" s="504"/>
      <c r="F59" s="504" t="s">
        <v>60</v>
      </c>
      <c r="G59" s="386">
        <f>G57</f>
        <v>34350</v>
      </c>
      <c r="H59" s="267"/>
    </row>
    <row r="60" spans="1:9" x14ac:dyDescent="0.25">
      <c r="A60" s="382" t="s">
        <v>347</v>
      </c>
      <c r="B60" s="383"/>
      <c r="C60" s="384"/>
      <c r="D60" s="405">
        <f>OCTOBER!D70</f>
        <v>1111</v>
      </c>
      <c r="E60" s="382"/>
      <c r="F60" s="382" t="s">
        <v>347</v>
      </c>
      <c r="G60" s="384">
        <f>OCTOBER!G59</f>
        <v>-60354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6">
        <f>D59+D60-D64</f>
        <v>38236</v>
      </c>
      <c r="E62" s="382"/>
      <c r="F62" s="382" t="s">
        <v>2</v>
      </c>
      <c r="G62" s="386">
        <f>G59+G60-G64</f>
        <v>-30129</v>
      </c>
      <c r="H62" s="252"/>
    </row>
    <row r="63" spans="1:9" x14ac:dyDescent="0.25">
      <c r="A63" s="505" t="s">
        <v>58</v>
      </c>
      <c r="B63" s="384"/>
      <c r="C63" s="384"/>
      <c r="D63" s="386"/>
      <c r="E63" s="505"/>
      <c r="F63" s="505" t="s">
        <v>58</v>
      </c>
      <c r="G63" s="384"/>
      <c r="H63" s="252"/>
    </row>
    <row r="64" spans="1:9" x14ac:dyDescent="0.25">
      <c r="A64" s="504" t="s">
        <v>22</v>
      </c>
      <c r="B64" s="383"/>
      <c r="C64" s="384"/>
      <c r="D64" s="506">
        <f>SUM(D59*10%)</f>
        <v>4125</v>
      </c>
      <c r="E64" s="504" t="s">
        <v>22</v>
      </c>
      <c r="F64" s="384"/>
      <c r="G64" s="386">
        <f>D64</f>
        <v>4125</v>
      </c>
      <c r="H64" s="254"/>
    </row>
    <row r="65" spans="1:8" x14ac:dyDescent="0.25">
      <c r="A65" s="507" t="s">
        <v>505</v>
      </c>
      <c r="B65" s="383"/>
      <c r="C65" s="384"/>
      <c r="D65" s="506">
        <v>1000</v>
      </c>
      <c r="E65" s="508" t="s">
        <v>505</v>
      </c>
      <c r="F65" s="384"/>
      <c r="G65" s="506">
        <v>1000</v>
      </c>
    </row>
    <row r="66" spans="1:8" x14ac:dyDescent="0.25">
      <c r="A66" s="507">
        <v>43409</v>
      </c>
      <c r="B66" s="384"/>
      <c r="C66" s="384"/>
      <c r="D66" s="386">
        <v>15000</v>
      </c>
      <c r="E66" s="507">
        <v>43409</v>
      </c>
      <c r="F66" s="384"/>
      <c r="G66" s="386">
        <v>15000</v>
      </c>
    </row>
    <row r="67" spans="1:8" x14ac:dyDescent="0.25">
      <c r="A67" s="507">
        <v>43419</v>
      </c>
      <c r="B67" s="384"/>
      <c r="C67" s="384"/>
      <c r="D67" s="386">
        <v>21110</v>
      </c>
      <c r="E67" s="507">
        <v>43419</v>
      </c>
      <c r="F67" s="384"/>
      <c r="G67" s="386">
        <f>D67</f>
        <v>21110</v>
      </c>
    </row>
    <row r="68" spans="1:8" x14ac:dyDescent="0.25">
      <c r="A68" s="509" t="s">
        <v>669</v>
      </c>
      <c r="B68" s="384"/>
      <c r="C68" s="384"/>
      <c r="D68" s="386">
        <v>1200</v>
      </c>
      <c r="E68" s="509" t="s">
        <v>669</v>
      </c>
      <c r="F68" s="384"/>
      <c r="G68" s="386">
        <v>1200</v>
      </c>
    </row>
    <row r="69" spans="1:8" x14ac:dyDescent="0.25">
      <c r="A69" s="509">
        <v>43434</v>
      </c>
      <c r="B69" s="384"/>
      <c r="C69" s="384"/>
      <c r="D69" s="386">
        <v>3056</v>
      </c>
      <c r="E69" s="509">
        <v>43434</v>
      </c>
      <c r="F69" s="384"/>
      <c r="G69" s="386">
        <v>3056</v>
      </c>
    </row>
    <row r="70" spans="1:8" x14ac:dyDescent="0.25">
      <c r="A70" s="599" t="s">
        <v>154</v>
      </c>
      <c r="B70" s="598"/>
      <c r="C70" s="598"/>
      <c r="D70" s="510">
        <f>SUM(D65:D69)</f>
        <v>41366</v>
      </c>
      <c r="E70" s="599" t="s">
        <v>154</v>
      </c>
      <c r="F70" s="599"/>
      <c r="G70" s="510">
        <f>SUM(G65:G69)</f>
        <v>41366</v>
      </c>
      <c r="H70" s="252"/>
    </row>
    <row r="71" spans="1:8" x14ac:dyDescent="0.25">
      <c r="A71" s="504" t="s">
        <v>165</v>
      </c>
      <c r="B71" s="384"/>
      <c r="C71" s="384"/>
      <c r="D71" s="386">
        <f>D62-D70</f>
        <v>-3130</v>
      </c>
      <c r="E71" s="504"/>
      <c r="F71" s="504" t="s">
        <v>165</v>
      </c>
      <c r="G71" s="386">
        <f>G62-G70</f>
        <v>-71495</v>
      </c>
      <c r="H71" s="252"/>
    </row>
    <row r="73" spans="1:8" x14ac:dyDescent="0.25">
      <c r="A73" s="36" t="s">
        <v>659</v>
      </c>
      <c r="B73" s="76"/>
      <c r="C73" s="76" t="s">
        <v>661</v>
      </c>
      <c r="D73" s="431"/>
      <c r="E73" s="36"/>
      <c r="F73" s="36" t="s">
        <v>662</v>
      </c>
    </row>
    <row r="74" spans="1:8" x14ac:dyDescent="0.25">
      <c r="A74" s="36"/>
      <c r="B74" s="76"/>
      <c r="C74" s="76"/>
      <c r="D74" s="431"/>
      <c r="E74" s="36"/>
      <c r="F74" s="36"/>
    </row>
    <row r="75" spans="1:8" x14ac:dyDescent="0.25">
      <c r="A75" s="36" t="s">
        <v>660</v>
      </c>
      <c r="B75" s="76"/>
      <c r="C75" s="76" t="s">
        <v>78</v>
      </c>
      <c r="D75" s="431"/>
      <c r="E75" s="36"/>
      <c r="F75" s="36" t="s">
        <v>663</v>
      </c>
    </row>
    <row r="79" spans="1:8" ht="23.25" x14ac:dyDescent="0.35">
      <c r="A79" s="4"/>
      <c r="C79" s="409" t="s">
        <v>97</v>
      </c>
      <c r="D79" s="409"/>
      <c r="E79" s="409"/>
      <c r="F79" s="409"/>
      <c r="G79" s="409"/>
    </row>
    <row r="80" spans="1:8" x14ac:dyDescent="0.25">
      <c r="B80" s="95"/>
      <c r="D80" s="96" t="s">
        <v>672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9000</v>
      </c>
      <c r="E88" s="265">
        <v>3000</v>
      </c>
      <c r="F88" s="244">
        <f t="shared" si="4"/>
        <v>12000</v>
      </c>
      <c r="G88" s="266"/>
      <c r="H88" s="247">
        <f t="shared" si="5"/>
        <v>12000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9000</v>
      </c>
      <c r="E95" s="247">
        <f>SUM(E82:E94)</f>
        <v>3000</v>
      </c>
      <c r="F95" s="247">
        <f>SUM(F83:F94)</f>
        <v>12000</v>
      </c>
      <c r="G95" s="247">
        <f>SUM(G82:G94)</f>
        <v>0</v>
      </c>
      <c r="H95" s="247">
        <f>SUM(H83:H94)</f>
        <v>12000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31" zoomScaleNormal="100" workbookViewId="0">
      <selection activeCell="H38" sqref="H3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6" style="9" customWidth="1"/>
    <col min="6" max="6" width="1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671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NOVEMBER!D28</f>
        <v>5100</v>
      </c>
      <c r="E20" s="43"/>
      <c r="F20" s="43" t="s">
        <v>347</v>
      </c>
      <c r="G20" s="245">
        <f>NOVEMBER!G28</f>
        <v>5100</v>
      </c>
      <c r="H20" s="38"/>
    </row>
    <row r="21" spans="1:8" x14ac:dyDescent="0.25">
      <c r="A21" s="239"/>
      <c r="B21" s="359"/>
      <c r="C21" s="62"/>
      <c r="D21" s="338">
        <f>D19+D20</f>
        <v>11100</v>
      </c>
      <c r="E21" s="47"/>
      <c r="F21" s="47" t="s">
        <v>63</v>
      </c>
      <c r="G21" s="245">
        <f>SUM(G19:G20)</f>
        <v>11100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454" t="s">
        <v>378</v>
      </c>
      <c r="B24" s="451"/>
      <c r="C24" s="451"/>
      <c r="D24" s="423">
        <v>4000</v>
      </c>
      <c r="E24" s="456" t="s">
        <v>378</v>
      </c>
      <c r="F24" s="219"/>
      <c r="G24" s="423">
        <v>4000</v>
      </c>
      <c r="H24" s="428"/>
    </row>
    <row r="25" spans="1:8" x14ac:dyDescent="0.25">
      <c r="A25" s="452"/>
      <c r="B25" s="451"/>
      <c r="C25" s="451"/>
      <c r="D25" s="423"/>
      <c r="E25" s="453"/>
      <c r="F25" s="219"/>
      <c r="G25" s="423"/>
      <c r="H25" s="38"/>
    </row>
    <row r="26" spans="1:8" x14ac:dyDescent="0.25">
      <c r="A26" s="454"/>
      <c r="B26" s="451"/>
      <c r="C26" s="451"/>
      <c r="D26" s="423"/>
      <c r="E26" s="455"/>
      <c r="F26" s="324"/>
      <c r="G26" s="423"/>
      <c r="H26" s="38"/>
    </row>
    <row r="27" spans="1:8" x14ac:dyDescent="0.25">
      <c r="A27" s="62" t="s">
        <v>154</v>
      </c>
      <c r="B27" s="62"/>
      <c r="C27" s="62"/>
      <c r="D27" s="245">
        <f>SUM(D23:D26)</f>
        <v>4600</v>
      </c>
      <c r="E27" s="43" t="s">
        <v>154</v>
      </c>
      <c r="F27" s="43"/>
      <c r="G27" s="245">
        <f>SUM(G23:G26)</f>
        <v>4600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6500</v>
      </c>
      <c r="E28" s="43" t="s">
        <v>165</v>
      </c>
      <c r="F28" s="43"/>
      <c r="G28" s="245">
        <f>G21-G27</f>
        <v>6500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671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49500</v>
      </c>
      <c r="E37" s="251">
        <v>4500</v>
      </c>
      <c r="F37" s="251">
        <f>D37+E37</f>
        <v>54000</v>
      </c>
      <c r="G37" s="440"/>
      <c r="H37" s="441">
        <f>F37-G37</f>
        <v>54000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/>
      <c r="E40" s="242">
        <v>2500</v>
      </c>
      <c r="F40" s="251">
        <f t="shared" si="2"/>
        <v>2500</v>
      </c>
      <c r="G40" s="443">
        <v>2000</v>
      </c>
      <c r="H40" s="441">
        <f t="shared" si="3"/>
        <v>500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500</v>
      </c>
      <c r="E42" s="242">
        <v>2500</v>
      </c>
      <c r="F42" s="251">
        <f t="shared" si="2"/>
        <v>3000</v>
      </c>
      <c r="G42" s="242">
        <v>1400</v>
      </c>
      <c r="H42" s="441">
        <f t="shared" si="3"/>
        <v>1600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100</v>
      </c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44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2100</v>
      </c>
      <c r="H46" s="441">
        <f t="shared" si="3"/>
        <v>400</v>
      </c>
      <c r="I46" s="225">
        <v>100</v>
      </c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62" t="s">
        <v>680</v>
      </c>
      <c r="B48" s="120">
        <v>12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400</v>
      </c>
      <c r="E53" s="298">
        <v>1600</v>
      </c>
      <c r="F53" s="251">
        <f t="shared" si="2"/>
        <v>2000</v>
      </c>
      <c r="G53" s="298">
        <v>1300</v>
      </c>
      <c r="H53" s="441">
        <f t="shared" si="3"/>
        <v>700</v>
      </c>
      <c r="I53" s="225">
        <v>200</v>
      </c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42500</v>
      </c>
      <c r="F57" s="595">
        <f>SUM(F37:F56)</f>
        <v>92900</v>
      </c>
      <c r="G57" s="594">
        <f>SUM(G37:G56)</f>
        <v>35700</v>
      </c>
      <c r="H57" s="594">
        <f>SUM(H37:H56)</f>
        <v>57200</v>
      </c>
      <c r="I57" s="596">
        <f>SUM(I37:I56)</f>
        <v>500</v>
      </c>
    </row>
    <row r="58" spans="1:9" x14ac:dyDescent="0.25">
      <c r="A58" s="368" t="s">
        <v>616</v>
      </c>
      <c r="B58" s="369"/>
      <c r="C58" s="369"/>
      <c r="D58" s="369"/>
      <c r="E58" s="370" t="s">
        <v>3</v>
      </c>
      <c r="F58" s="75"/>
      <c r="G58" s="213"/>
      <c r="H58" s="213"/>
    </row>
    <row r="59" spans="1:9" x14ac:dyDescent="0.25">
      <c r="A59" s="504" t="s">
        <v>60</v>
      </c>
      <c r="B59" s="383"/>
      <c r="C59" s="384"/>
      <c r="D59" s="405">
        <f>E57</f>
        <v>42500</v>
      </c>
      <c r="E59" s="504"/>
      <c r="F59" s="504" t="s">
        <v>60</v>
      </c>
      <c r="G59" s="386">
        <f>G57</f>
        <v>35700</v>
      </c>
      <c r="H59" s="267"/>
    </row>
    <row r="60" spans="1:9" x14ac:dyDescent="0.25">
      <c r="A60" s="382" t="s">
        <v>347</v>
      </c>
      <c r="B60" s="383"/>
      <c r="C60" s="384"/>
      <c r="D60" s="405">
        <f>NOVEMBER!D71</f>
        <v>-3130</v>
      </c>
      <c r="E60" s="382"/>
      <c r="F60" s="382" t="s">
        <v>347</v>
      </c>
      <c r="G60" s="384">
        <f>NOVEMBER!G71</f>
        <v>-71495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5">
        <f>D59+D60-D64</f>
        <v>35120</v>
      </c>
      <c r="E62" s="382"/>
      <c r="F62" s="382" t="s">
        <v>2</v>
      </c>
      <c r="G62" s="386">
        <f>G59+G60-G64</f>
        <v>-40045</v>
      </c>
      <c r="H62" s="252"/>
    </row>
    <row r="63" spans="1:9" x14ac:dyDescent="0.25">
      <c r="A63" s="387" t="s">
        <v>58</v>
      </c>
      <c r="B63" s="388"/>
      <c r="C63" s="388"/>
      <c r="D63" s="385"/>
      <c r="E63" s="387"/>
      <c r="F63" s="387" t="s">
        <v>58</v>
      </c>
      <c r="G63" s="388"/>
      <c r="H63" s="252"/>
    </row>
    <row r="64" spans="1:9" x14ac:dyDescent="0.25">
      <c r="A64" s="389" t="s">
        <v>22</v>
      </c>
      <c r="B64" s="390"/>
      <c r="C64" s="388"/>
      <c r="D64" s="391">
        <f>SUM(D59*10%)</f>
        <v>4250</v>
      </c>
      <c r="E64" s="389" t="s">
        <v>22</v>
      </c>
      <c r="F64" s="388"/>
      <c r="G64" s="385">
        <f>D64</f>
        <v>4250</v>
      </c>
      <c r="H64" s="254"/>
    </row>
    <row r="65" spans="1:8" x14ac:dyDescent="0.25">
      <c r="A65" s="392" t="s">
        <v>652</v>
      </c>
      <c r="B65" s="390"/>
      <c r="C65" s="388"/>
      <c r="D65" s="391">
        <v>1920</v>
      </c>
      <c r="E65" s="392" t="s">
        <v>652</v>
      </c>
      <c r="F65" s="390"/>
      <c r="G65" s="391">
        <v>1920</v>
      </c>
    </row>
    <row r="66" spans="1:8" x14ac:dyDescent="0.25">
      <c r="A66" s="392" t="s">
        <v>676</v>
      </c>
      <c r="B66" s="388"/>
      <c r="C66" s="388"/>
      <c r="D66" s="385">
        <v>1600</v>
      </c>
      <c r="E66" s="392" t="s">
        <v>676</v>
      </c>
      <c r="F66" s="388"/>
      <c r="G66" s="385">
        <v>1600</v>
      </c>
    </row>
    <row r="67" spans="1:8" x14ac:dyDescent="0.25">
      <c r="A67" s="392" t="s">
        <v>677</v>
      </c>
      <c r="B67" s="388"/>
      <c r="C67" s="388"/>
      <c r="D67" s="385">
        <v>15000</v>
      </c>
      <c r="E67" s="392" t="s">
        <v>678</v>
      </c>
      <c r="F67" s="388"/>
      <c r="G67" s="385">
        <v>15000</v>
      </c>
    </row>
    <row r="68" spans="1:8" x14ac:dyDescent="0.25">
      <c r="A68" s="394" t="s">
        <v>505</v>
      </c>
      <c r="B68" s="388"/>
      <c r="C68" s="388"/>
      <c r="D68" s="385">
        <v>1000</v>
      </c>
      <c r="E68" s="394" t="s">
        <v>505</v>
      </c>
      <c r="F68" s="388"/>
      <c r="G68" s="385">
        <v>1000</v>
      </c>
    </row>
    <row r="69" spans="1:8" x14ac:dyDescent="0.25">
      <c r="A69" s="394" t="s">
        <v>679</v>
      </c>
      <c r="B69" s="388"/>
      <c r="C69" s="388"/>
      <c r="D69" s="385">
        <v>2091</v>
      </c>
      <c r="E69" s="394" t="s">
        <v>679</v>
      </c>
      <c r="F69" s="388"/>
      <c r="G69" s="385">
        <v>2091</v>
      </c>
    </row>
    <row r="70" spans="1:8" x14ac:dyDescent="0.25">
      <c r="A70" s="394" t="s">
        <v>682</v>
      </c>
      <c r="B70" s="388"/>
      <c r="C70" s="388"/>
      <c r="D70" s="385">
        <v>200</v>
      </c>
      <c r="E70" s="394" t="s">
        <v>682</v>
      </c>
      <c r="F70" s="388"/>
      <c r="G70" s="385">
        <v>200</v>
      </c>
    </row>
    <row r="71" spans="1:8" x14ac:dyDescent="0.25">
      <c r="A71" s="394" t="s">
        <v>681</v>
      </c>
      <c r="B71" s="388"/>
      <c r="C71" s="388"/>
      <c r="D71" s="385">
        <v>9800</v>
      </c>
      <c r="E71" s="392" t="s">
        <v>681</v>
      </c>
      <c r="F71" s="394"/>
      <c r="G71" s="388">
        <v>9800</v>
      </c>
      <c r="H71" s="252"/>
    </row>
    <row r="72" spans="1:8" x14ac:dyDescent="0.25">
      <c r="A72" s="394">
        <v>43452</v>
      </c>
      <c r="B72" s="388"/>
      <c r="C72" s="388"/>
      <c r="D72" s="385">
        <v>3621</v>
      </c>
      <c r="E72" s="394">
        <v>43452</v>
      </c>
      <c r="F72" s="388"/>
      <c r="G72" s="385">
        <v>3621</v>
      </c>
    </row>
    <row r="73" spans="1:8" x14ac:dyDescent="0.25">
      <c r="A73" s="394" t="s">
        <v>684</v>
      </c>
      <c r="B73" s="388"/>
      <c r="C73" s="388"/>
      <c r="D73" s="385">
        <v>200</v>
      </c>
      <c r="E73" s="394" t="s">
        <v>684</v>
      </c>
      <c r="F73" s="388"/>
      <c r="G73" s="385">
        <v>200</v>
      </c>
    </row>
    <row r="74" spans="1:8" x14ac:dyDescent="0.25">
      <c r="A74" s="394" t="s">
        <v>685</v>
      </c>
      <c r="B74" s="388"/>
      <c r="C74" s="388"/>
      <c r="D74" s="385">
        <v>6020</v>
      </c>
      <c r="E74" s="394" t="s">
        <v>685</v>
      </c>
      <c r="F74" s="388"/>
      <c r="G74" s="385">
        <v>6020</v>
      </c>
    </row>
    <row r="75" spans="1:8" x14ac:dyDescent="0.25">
      <c r="A75" s="394" t="s">
        <v>687</v>
      </c>
      <c r="B75" s="388"/>
      <c r="C75" s="388"/>
      <c r="D75" s="385">
        <v>2541</v>
      </c>
      <c r="E75" s="394" t="s">
        <v>687</v>
      </c>
      <c r="F75" s="388"/>
      <c r="G75" s="385">
        <v>2541</v>
      </c>
    </row>
    <row r="76" spans="1:8" x14ac:dyDescent="0.25">
      <c r="A76" s="449" t="s">
        <v>154</v>
      </c>
      <c r="B76" s="450"/>
      <c r="C76" s="450"/>
      <c r="D76" s="408">
        <f>SUM(D65:D75)</f>
        <v>43993</v>
      </c>
      <c r="E76" s="449" t="s">
        <v>154</v>
      </c>
      <c r="F76" s="449"/>
      <c r="G76" s="408">
        <f>SUM(G64:G75)</f>
        <v>48243</v>
      </c>
      <c r="H76" s="252"/>
    </row>
    <row r="77" spans="1:8" x14ac:dyDescent="0.25">
      <c r="A77" s="389" t="s">
        <v>26</v>
      </c>
      <c r="B77" s="388"/>
      <c r="C77" s="388"/>
      <c r="D77" s="385">
        <f>D62-D76</f>
        <v>-8873</v>
      </c>
      <c r="E77" s="389"/>
      <c r="F77" s="389" t="s">
        <v>26</v>
      </c>
      <c r="G77" s="385">
        <f>G62-G76</f>
        <v>-88288</v>
      </c>
      <c r="H77" s="252"/>
    </row>
    <row r="79" spans="1:8" x14ac:dyDescent="0.25">
      <c r="A79" s="36" t="s">
        <v>659</v>
      </c>
      <c r="B79" s="76"/>
      <c r="C79" s="76" t="s">
        <v>661</v>
      </c>
      <c r="D79" s="431"/>
      <c r="E79" s="36"/>
      <c r="F79" s="36" t="s">
        <v>662</v>
      </c>
    </row>
    <row r="80" spans="1:8" x14ac:dyDescent="0.25">
      <c r="A80" s="36"/>
      <c r="B80" s="76"/>
      <c r="C80" s="76"/>
      <c r="D80" s="431"/>
      <c r="E80" s="36"/>
      <c r="F80" s="36"/>
    </row>
    <row r="81" spans="1:8" x14ac:dyDescent="0.25">
      <c r="A81" s="36" t="s">
        <v>660</v>
      </c>
      <c r="B81" s="76"/>
      <c r="C81" s="76" t="s">
        <v>78</v>
      </c>
      <c r="D81" s="431"/>
      <c r="E81" s="36"/>
      <c r="F81" s="36" t="s">
        <v>663</v>
      </c>
    </row>
    <row r="85" spans="1:8" ht="23.25" x14ac:dyDescent="0.35">
      <c r="A85" s="4"/>
      <c r="C85" s="439" t="s">
        <v>97</v>
      </c>
      <c r="D85" s="439"/>
      <c r="E85" s="439"/>
      <c r="F85" s="439"/>
      <c r="G85" s="439"/>
    </row>
    <row r="86" spans="1:8" x14ac:dyDescent="0.25">
      <c r="B86" s="95"/>
      <c r="D86" s="96" t="s">
        <v>673</v>
      </c>
      <c r="F86" s="95"/>
      <c r="G86" s="95"/>
    </row>
    <row r="87" spans="1:8" x14ac:dyDescent="0.25">
      <c r="A87" s="12" t="s">
        <v>0</v>
      </c>
      <c r="B87" s="12" t="s">
        <v>32</v>
      </c>
      <c r="C87" s="12" t="s">
        <v>52</v>
      </c>
      <c r="D87" s="22" t="s">
        <v>55</v>
      </c>
      <c r="E87" s="21" t="s">
        <v>1</v>
      </c>
      <c r="F87" s="22" t="s">
        <v>10</v>
      </c>
      <c r="G87" s="21" t="s">
        <v>3</v>
      </c>
      <c r="H87" s="13" t="s">
        <v>13</v>
      </c>
    </row>
    <row r="88" spans="1:8" x14ac:dyDescent="0.25">
      <c r="A88" s="43"/>
      <c r="B88" s="10"/>
      <c r="C88" s="43"/>
      <c r="D88" s="43"/>
      <c r="E88" s="47"/>
      <c r="F88" s="47"/>
      <c r="G88" s="47"/>
      <c r="H88" s="43"/>
    </row>
    <row r="89" spans="1:8" x14ac:dyDescent="0.25">
      <c r="A89" s="88" t="s">
        <v>520</v>
      </c>
      <c r="B89" s="3"/>
      <c r="C89" s="44"/>
      <c r="D89" s="2"/>
      <c r="E89" s="244"/>
      <c r="F89" s="244">
        <f>D89+E89</f>
        <v>0</v>
      </c>
      <c r="G89" s="250"/>
      <c r="H89" s="247">
        <f>F89-G89</f>
        <v>0</v>
      </c>
    </row>
    <row r="90" spans="1:8" x14ac:dyDescent="0.25">
      <c r="A90" s="88" t="s">
        <v>521</v>
      </c>
      <c r="B90" s="45" t="s">
        <v>101</v>
      </c>
      <c r="C90" s="44"/>
      <c r="D90" s="43"/>
      <c r="E90" s="244"/>
      <c r="F90" s="244"/>
      <c r="G90" s="250"/>
      <c r="H90" s="105"/>
    </row>
    <row r="91" spans="1:8" x14ac:dyDescent="0.25">
      <c r="A91" s="88" t="s">
        <v>521</v>
      </c>
      <c r="B91" s="43" t="s">
        <v>102</v>
      </c>
      <c r="C91" s="44"/>
      <c r="D91" s="43"/>
      <c r="E91" s="244"/>
      <c r="F91" s="244">
        <f t="shared" ref="F91:F100" si="4">D91+E91</f>
        <v>0</v>
      </c>
      <c r="G91" s="250"/>
      <c r="H91" s="105">
        <f t="shared" ref="H91:H100" si="5">F91-G91</f>
        <v>0</v>
      </c>
    </row>
    <row r="92" spans="1:8" x14ac:dyDescent="0.25">
      <c r="A92" s="43" t="s">
        <v>521</v>
      </c>
      <c r="B92" s="3"/>
      <c r="C92" s="44"/>
      <c r="D92" s="44"/>
      <c r="E92" s="244"/>
      <c r="F92" s="244"/>
      <c r="G92" s="250"/>
      <c r="H92" s="247">
        <f>F92-G92</f>
        <v>0</v>
      </c>
    </row>
    <row r="93" spans="1:8" x14ac:dyDescent="0.25">
      <c r="A93" s="43" t="s">
        <v>521</v>
      </c>
      <c r="B93" s="3"/>
      <c r="C93" s="44"/>
      <c r="D93" s="44"/>
      <c r="E93" s="244"/>
      <c r="F93" s="244"/>
      <c r="G93" s="250"/>
      <c r="H93" s="247">
        <f t="shared" si="5"/>
        <v>0</v>
      </c>
    </row>
    <row r="94" spans="1:8" x14ac:dyDescent="0.25">
      <c r="A94" s="43" t="s">
        <v>523</v>
      </c>
      <c r="B94" s="3"/>
      <c r="C94" s="44"/>
      <c r="D94" s="44">
        <v>12000</v>
      </c>
      <c r="E94" s="265">
        <v>3000</v>
      </c>
      <c r="F94" s="244">
        <f t="shared" si="4"/>
        <v>15000</v>
      </c>
      <c r="G94" s="266"/>
      <c r="H94" s="247">
        <f t="shared" si="5"/>
        <v>15000</v>
      </c>
    </row>
    <row r="95" spans="1:8" x14ac:dyDescent="0.25">
      <c r="A95" s="47" t="s">
        <v>521</v>
      </c>
      <c r="B95" s="16"/>
      <c r="C95" s="48"/>
      <c r="D95" s="46"/>
      <c r="E95" s="244"/>
      <c r="F95" s="244"/>
      <c r="G95" s="250"/>
      <c r="H95" s="247">
        <f t="shared" si="5"/>
        <v>0</v>
      </c>
    </row>
    <row r="96" spans="1:8" x14ac:dyDescent="0.25">
      <c r="A96" s="44" t="s">
        <v>521</v>
      </c>
      <c r="B96" s="44"/>
      <c r="C96" s="44"/>
      <c r="D96" s="44"/>
      <c r="E96" s="44"/>
      <c r="F96" s="46">
        <f t="shared" si="4"/>
        <v>0</v>
      </c>
      <c r="G96" s="191"/>
      <c r="H96" s="105">
        <f t="shared" si="5"/>
        <v>0</v>
      </c>
    </row>
    <row r="97" spans="1:8" x14ac:dyDescent="0.25">
      <c r="A97" s="88" t="s">
        <v>521</v>
      </c>
      <c r="B97" s="44"/>
      <c r="C97" s="44"/>
      <c r="D97" s="44"/>
      <c r="E97" s="115"/>
      <c r="F97" s="46">
        <f t="shared" si="4"/>
        <v>0</v>
      </c>
      <c r="G97" s="192"/>
      <c r="H97" s="105">
        <f t="shared" si="5"/>
        <v>0</v>
      </c>
    </row>
    <row r="98" spans="1:8" x14ac:dyDescent="0.25">
      <c r="A98" s="88"/>
      <c r="B98" s="44"/>
      <c r="C98" s="44"/>
      <c r="D98" s="44"/>
      <c r="E98" s="115"/>
      <c r="F98" s="46"/>
      <c r="G98" s="134"/>
      <c r="H98" s="105"/>
    </row>
    <row r="99" spans="1:8" x14ac:dyDescent="0.25">
      <c r="A99" s="88"/>
      <c r="B99" s="44"/>
      <c r="C99" s="44"/>
      <c r="D99" s="44"/>
      <c r="E99" s="115"/>
      <c r="F99" s="46"/>
      <c r="G99" s="134"/>
      <c r="H99" s="105"/>
    </row>
    <row r="100" spans="1:8" x14ac:dyDescent="0.25">
      <c r="A100" s="88"/>
      <c r="B100" s="44"/>
      <c r="C100" s="44"/>
      <c r="D100" s="44"/>
      <c r="E100" s="115"/>
      <c r="F100" s="46">
        <f t="shared" si="4"/>
        <v>0</v>
      </c>
      <c r="G100" s="134"/>
      <c r="H100" s="105">
        <f t="shared" si="5"/>
        <v>0</v>
      </c>
    </row>
    <row r="101" spans="1:8" x14ac:dyDescent="0.25">
      <c r="A101" s="44"/>
      <c r="B101" s="44"/>
      <c r="C101" s="44"/>
      <c r="D101" s="44">
        <f>SUM(D88:D100)</f>
        <v>12000</v>
      </c>
      <c r="E101" s="247">
        <f>SUM(E88:E100)</f>
        <v>3000</v>
      </c>
      <c r="F101" s="247">
        <f>SUM(F89:F100)</f>
        <v>15000</v>
      </c>
      <c r="G101" s="247">
        <f>SUM(G88:G100)</f>
        <v>0</v>
      </c>
      <c r="H101" s="247">
        <f>SUM(H89:H100)</f>
        <v>15000</v>
      </c>
    </row>
    <row r="102" spans="1:8" x14ac:dyDescent="0.25">
      <c r="A102" s="100"/>
      <c r="B102" s="101"/>
      <c r="C102" s="97"/>
      <c r="D102" s="102"/>
      <c r="E102" s="100" t="s">
        <v>60</v>
      </c>
      <c r="F102" s="101"/>
      <c r="G102" s="97"/>
      <c r="H102" s="267">
        <f>G101</f>
        <v>0</v>
      </c>
    </row>
    <row r="103" spans="1:8" x14ac:dyDescent="0.25">
      <c r="A103" s="103"/>
      <c r="B103" s="101"/>
      <c r="C103" s="97"/>
      <c r="D103" s="104"/>
      <c r="E103" s="103" t="s">
        <v>347</v>
      </c>
      <c r="F103" s="101"/>
      <c r="G103" s="97"/>
      <c r="H103" s="302"/>
    </row>
    <row r="104" spans="1:8" x14ac:dyDescent="0.25">
      <c r="A104" s="103"/>
      <c r="B104" s="101"/>
      <c r="C104" s="97"/>
      <c r="D104" s="104"/>
      <c r="E104" s="103"/>
      <c r="F104" s="101"/>
      <c r="G104" s="97"/>
      <c r="H104" s="302">
        <f>SUM(H102:H103)</f>
        <v>0</v>
      </c>
    </row>
    <row r="105" spans="1:8" x14ac:dyDescent="0.25">
      <c r="A105" s="67"/>
      <c r="E105" s="67" t="s">
        <v>58</v>
      </c>
      <c r="H105" s="252"/>
    </row>
    <row r="106" spans="1:8" x14ac:dyDescent="0.25">
      <c r="A106" s="36"/>
      <c r="B106" s="146"/>
      <c r="D106" s="34"/>
      <c r="E106" s="36" t="s">
        <v>22</v>
      </c>
      <c r="F106" s="146">
        <v>0.1</v>
      </c>
      <c r="H106" s="254">
        <f>F106*H102</f>
        <v>0</v>
      </c>
    </row>
    <row r="107" spans="1:8" x14ac:dyDescent="0.25">
      <c r="A107" s="136"/>
      <c r="D107" s="72"/>
      <c r="E107" s="136"/>
      <c r="F107" s="93"/>
      <c r="H107" s="333"/>
    </row>
    <row r="108" spans="1:8" x14ac:dyDescent="0.25">
      <c r="E108" s="93"/>
      <c r="H108" s="252"/>
    </row>
    <row r="109" spans="1:8" x14ac:dyDescent="0.25">
      <c r="A109" s="36"/>
      <c r="D109" s="72"/>
      <c r="E109" s="136"/>
      <c r="H109" s="252"/>
    </row>
    <row r="110" spans="1:8" ht="15.75" x14ac:dyDescent="0.25">
      <c r="A110" s="36"/>
      <c r="D110" s="72"/>
      <c r="E110" s="289" t="s">
        <v>2</v>
      </c>
      <c r="H110" s="252">
        <f>SUM(H106:H109)</f>
        <v>0</v>
      </c>
    </row>
    <row r="111" spans="1:8" x14ac:dyDescent="0.25">
      <c r="A111" s="36"/>
      <c r="D111" s="135"/>
      <c r="H111" s="252">
        <f>H104-H110</f>
        <v>0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49" zoomScaleNormal="100" workbookViewId="0">
      <selection activeCell="J74" sqref="J74"/>
    </sheetView>
  </sheetViews>
  <sheetFormatPr defaultRowHeight="15" x14ac:dyDescent="0.25"/>
  <cols>
    <col min="1" max="1" width="16.5703125" style="9" customWidth="1"/>
    <col min="2" max="2" width="9.85546875" style="9" customWidth="1"/>
    <col min="3" max="3" width="11.28515625" style="9" customWidth="1"/>
    <col min="4" max="4" width="8.28515625" style="9" customWidth="1"/>
    <col min="5" max="5" width="14.5703125" style="9" customWidth="1"/>
    <col min="6" max="6" width="15.14062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9" ht="15.75" x14ac:dyDescent="0.25">
      <c r="B1" s="52" t="s">
        <v>667</v>
      </c>
      <c r="C1" s="52"/>
      <c r="D1" s="52"/>
      <c r="E1" s="52"/>
    </row>
    <row r="2" spans="1:9" ht="15.75" x14ac:dyDescent="0.25">
      <c r="A2" s="4"/>
      <c r="B2" s="52" t="s">
        <v>666</v>
      </c>
      <c r="C2" s="52"/>
      <c r="D2" s="52"/>
      <c r="E2" s="52"/>
      <c r="F2" s="5"/>
    </row>
    <row r="3" spans="1:9" ht="15.75" x14ac:dyDescent="0.25">
      <c r="A3" s="94"/>
      <c r="B3" s="435" t="s">
        <v>686</v>
      </c>
      <c r="C3" s="435"/>
      <c r="D3" s="434"/>
      <c r="E3" s="435"/>
      <c r="F3" s="95"/>
      <c r="G3" s="95"/>
    </row>
    <row r="4" spans="1:9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9" x14ac:dyDescent="0.25">
      <c r="A5" s="43" t="s">
        <v>110</v>
      </c>
      <c r="B5" s="461">
        <v>1</v>
      </c>
      <c r="C5" s="44"/>
      <c r="D5" s="2"/>
      <c r="E5" s="244">
        <v>2000</v>
      </c>
      <c r="F5" s="244">
        <f>D5+E5</f>
        <v>2000</v>
      </c>
      <c r="G5" s="244">
        <v>1500</v>
      </c>
      <c r="H5" s="249">
        <f>F5-G5</f>
        <v>500</v>
      </c>
    </row>
    <row r="6" spans="1:9" x14ac:dyDescent="0.25">
      <c r="A6" s="43" t="s">
        <v>521</v>
      </c>
      <c r="B6" s="461">
        <v>2</v>
      </c>
      <c r="C6" s="44"/>
      <c r="D6" s="43"/>
      <c r="E6" s="244"/>
      <c r="F6" s="244"/>
      <c r="G6" s="244"/>
      <c r="H6" s="249"/>
    </row>
    <row r="7" spans="1:9" x14ac:dyDescent="0.25">
      <c r="A7" s="43" t="s">
        <v>21</v>
      </c>
      <c r="B7" s="461">
        <v>3</v>
      </c>
      <c r="C7" s="43"/>
      <c r="D7" s="43"/>
      <c r="E7" s="243"/>
      <c r="F7" s="244"/>
      <c r="G7" s="244"/>
      <c r="H7" s="249"/>
    </row>
    <row r="8" spans="1:9" x14ac:dyDescent="0.25">
      <c r="A8" s="43" t="s">
        <v>21</v>
      </c>
      <c r="B8" s="461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9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9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9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9" x14ac:dyDescent="0.25">
      <c r="A12" s="88" t="s">
        <v>521</v>
      </c>
      <c r="B12" s="3">
        <v>8</v>
      </c>
      <c r="C12" s="58"/>
      <c r="D12" s="424"/>
      <c r="E12" s="282"/>
      <c r="F12" s="244"/>
      <c r="G12" s="282"/>
      <c r="H12" s="293"/>
    </row>
    <row r="13" spans="1:9" x14ac:dyDescent="0.25">
      <c r="A13" s="88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9" x14ac:dyDescent="0.25">
      <c r="A14" s="88" t="s">
        <v>526</v>
      </c>
      <c r="B14" s="3">
        <v>10</v>
      </c>
      <c r="C14" s="44"/>
      <c r="D14" s="2"/>
      <c r="E14" s="244"/>
      <c r="F14" s="244">
        <f t="shared" si="0"/>
        <v>0</v>
      </c>
      <c r="G14" s="244"/>
      <c r="H14" s="249">
        <f>F14-G14</f>
        <v>0</v>
      </c>
    </row>
    <row r="15" spans="1:9" x14ac:dyDescent="0.25">
      <c r="A15" s="43" t="s">
        <v>521</v>
      </c>
      <c r="B15" s="461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9" x14ac:dyDescent="0.25">
      <c r="A16" s="43" t="s">
        <v>37</v>
      </c>
      <c r="B16" s="462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  <c r="I16" s="9" t="s">
        <v>107</v>
      </c>
    </row>
    <row r="17" spans="1:9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4000</v>
      </c>
      <c r="F17" s="412">
        <f>D17+E17</f>
        <v>4000</v>
      </c>
      <c r="G17" s="412">
        <f>SUM(G5:G16)</f>
        <v>3500</v>
      </c>
      <c r="H17" s="413">
        <f>SUM(H5:H16)</f>
        <v>500</v>
      </c>
    </row>
    <row r="18" spans="1:9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9" x14ac:dyDescent="0.25">
      <c r="A19" s="358" t="s">
        <v>617</v>
      </c>
      <c r="B19" s="359"/>
      <c r="C19" s="62"/>
      <c r="D19" s="338">
        <f>SUM(E17)</f>
        <v>4000</v>
      </c>
      <c r="E19" s="43" t="s">
        <v>618</v>
      </c>
      <c r="F19" s="43"/>
      <c r="G19" s="245">
        <f>G17</f>
        <v>3500</v>
      </c>
      <c r="H19" s="38"/>
    </row>
    <row r="20" spans="1:9" x14ac:dyDescent="0.25">
      <c r="A20" s="239" t="s">
        <v>347</v>
      </c>
      <c r="B20" s="359"/>
      <c r="C20" s="62"/>
      <c r="D20" s="338">
        <f>DECEM!D28</f>
        <v>6500</v>
      </c>
      <c r="E20" s="43"/>
      <c r="F20" s="43" t="s">
        <v>347</v>
      </c>
      <c r="G20" s="245">
        <f>DECEM!G28</f>
        <v>6500</v>
      </c>
      <c r="H20" s="38" t="s">
        <v>698</v>
      </c>
      <c r="I20" s="9">
        <v>4100</v>
      </c>
    </row>
    <row r="21" spans="1:9" x14ac:dyDescent="0.25">
      <c r="A21" s="239"/>
      <c r="B21" s="359"/>
      <c r="C21" s="62"/>
      <c r="D21" s="338">
        <f>D19+D20</f>
        <v>10500</v>
      </c>
      <c r="E21" s="47"/>
      <c r="F21" s="47" t="s">
        <v>63</v>
      </c>
      <c r="G21" s="245">
        <f>SUM(G19:G20)</f>
        <v>10000</v>
      </c>
      <c r="H21" s="38" t="s">
        <v>3</v>
      </c>
      <c r="I21" s="9">
        <v>1500</v>
      </c>
    </row>
    <row r="22" spans="1:9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 t="s">
        <v>26</v>
      </c>
      <c r="I22" s="9">
        <f>I20-I21</f>
        <v>2600</v>
      </c>
    </row>
    <row r="23" spans="1:9" x14ac:dyDescent="0.25">
      <c r="A23" s="358" t="s">
        <v>22</v>
      </c>
      <c r="B23" s="359"/>
      <c r="C23" s="62"/>
      <c r="D23" s="340">
        <f>SUM(D19*10%)</f>
        <v>400</v>
      </c>
      <c r="E23" s="43" t="s">
        <v>613</v>
      </c>
      <c r="F23" s="344" t="s">
        <v>22</v>
      </c>
      <c r="G23" s="245">
        <f>D23</f>
        <v>400</v>
      </c>
      <c r="H23" s="463"/>
    </row>
    <row r="24" spans="1:9" x14ac:dyDescent="0.25">
      <c r="A24" s="454" t="s">
        <v>378</v>
      </c>
      <c r="B24" s="451"/>
      <c r="C24" s="451"/>
      <c r="D24" s="423">
        <v>4000</v>
      </c>
      <c r="E24" s="454" t="s">
        <v>378</v>
      </c>
      <c r="F24" s="219"/>
      <c r="G24" s="423">
        <v>4000</v>
      </c>
      <c r="H24" s="428"/>
    </row>
    <row r="25" spans="1:9" x14ac:dyDescent="0.25">
      <c r="A25" s="452"/>
      <c r="B25" s="451"/>
      <c r="C25" s="451"/>
      <c r="D25" s="423"/>
      <c r="E25" s="453"/>
      <c r="F25" s="219"/>
      <c r="G25" s="423"/>
      <c r="H25" s="38"/>
    </row>
    <row r="26" spans="1:9" x14ac:dyDescent="0.25">
      <c r="A26" s="454"/>
      <c r="B26" s="451"/>
      <c r="C26" s="451"/>
      <c r="D26" s="423"/>
      <c r="E26" s="455"/>
      <c r="F26" s="324"/>
      <c r="G26" s="423"/>
      <c r="H26" s="38"/>
    </row>
    <row r="27" spans="1:9" x14ac:dyDescent="0.25">
      <c r="A27" s="62" t="s">
        <v>154</v>
      </c>
      <c r="B27" s="62"/>
      <c r="C27" s="62"/>
      <c r="D27" s="245">
        <f>SUM(D23:D26)</f>
        <v>4400</v>
      </c>
      <c r="E27" s="43" t="s">
        <v>154</v>
      </c>
      <c r="F27" s="43"/>
      <c r="G27" s="245">
        <f>SUM(G23:G26)</f>
        <v>4400</v>
      </c>
      <c r="H27" s="38"/>
    </row>
    <row r="28" spans="1:9" x14ac:dyDescent="0.25">
      <c r="A28" s="367" t="s">
        <v>165</v>
      </c>
      <c r="B28" s="62"/>
      <c r="C28" s="62"/>
      <c r="D28" s="245">
        <f>D21-D27</f>
        <v>6100</v>
      </c>
      <c r="E28" s="43" t="s">
        <v>165</v>
      </c>
      <c r="F28" s="43"/>
      <c r="G28" s="245">
        <f>G21-G27</f>
        <v>5600</v>
      </c>
      <c r="H28" s="38"/>
    </row>
    <row r="29" spans="1:9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686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54000</v>
      </c>
      <c r="E37" s="251">
        <v>4500</v>
      </c>
      <c r="F37" s="251">
        <f>D37+E37</f>
        <v>58500</v>
      </c>
      <c r="G37" s="440"/>
      <c r="H37" s="441">
        <f>F37-G37</f>
        <v>58500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>
        <v>500</v>
      </c>
      <c r="E40" s="242">
        <v>2500</v>
      </c>
      <c r="F40" s="251">
        <f t="shared" si="2"/>
        <v>3000</v>
      </c>
      <c r="G40" s="443">
        <v>2800</v>
      </c>
      <c r="H40" s="441">
        <f t="shared" si="3"/>
        <v>200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1600</v>
      </c>
      <c r="E42" s="242"/>
      <c r="F42" s="251">
        <f t="shared" si="2"/>
        <v>1600</v>
      </c>
      <c r="G42" s="242">
        <v>1600</v>
      </c>
      <c r="H42" s="441">
        <f t="shared" si="3"/>
        <v>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/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225"/>
    </row>
    <row r="46" spans="1:9" x14ac:dyDescent="0.25">
      <c r="A46" s="329" t="s">
        <v>504</v>
      </c>
      <c r="B46" s="120">
        <v>10</v>
      </c>
      <c r="C46" s="44"/>
      <c r="D46" s="225">
        <v>400</v>
      </c>
      <c r="E46" s="445">
        <v>2500</v>
      </c>
      <c r="F46" s="251">
        <f t="shared" si="2"/>
        <v>2900</v>
      </c>
      <c r="G46" s="298">
        <v>2500</v>
      </c>
      <c r="H46" s="441">
        <f t="shared" si="3"/>
        <v>400</v>
      </c>
      <c r="I46" s="225"/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/>
      <c r="H47" s="441">
        <f t="shared" si="3"/>
        <v>2500</v>
      </c>
      <c r="I47" s="225"/>
    </row>
    <row r="48" spans="1:9" x14ac:dyDescent="0.25">
      <c r="A48" s="62" t="s">
        <v>680</v>
      </c>
      <c r="B48" s="120">
        <v>9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>F52-G52</f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700</v>
      </c>
      <c r="E53" s="298">
        <v>1600</v>
      </c>
      <c r="F53" s="251">
        <f t="shared" si="2"/>
        <v>2300</v>
      </c>
      <c r="G53" s="298">
        <v>1600</v>
      </c>
      <c r="H53" s="441">
        <f t="shared" si="3"/>
        <v>700</v>
      </c>
      <c r="I53" s="225"/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173" t="s">
        <v>2</v>
      </c>
      <c r="B57" s="173"/>
      <c r="C57" s="173"/>
      <c r="D57" s="596"/>
      <c r="E57" s="597">
        <f>SUM(E37:E56)</f>
        <v>40000</v>
      </c>
      <c r="F57" s="595">
        <f>SUM(F37:F56)</f>
        <v>97200</v>
      </c>
      <c r="G57" s="594">
        <f>SUM(G37:G56)</f>
        <v>34900</v>
      </c>
      <c r="H57" s="594">
        <f>SUM(H37:H56)</f>
        <v>62300</v>
      </c>
      <c r="I57" s="596">
        <f>SUM(I37:I56)</f>
        <v>0</v>
      </c>
    </row>
    <row r="58" spans="1:9" x14ac:dyDescent="0.25">
      <c r="A58" s="459"/>
      <c r="B58" s="369"/>
      <c r="C58" s="369"/>
      <c r="D58" s="369"/>
      <c r="E58" s="370"/>
      <c r="F58" s="75"/>
      <c r="G58" s="213"/>
      <c r="H58" s="21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  <c r="H59" s="216"/>
    </row>
    <row r="60" spans="1:9" x14ac:dyDescent="0.25">
      <c r="A60" s="491" t="s">
        <v>615</v>
      </c>
      <c r="B60" s="491"/>
      <c r="C60" s="491"/>
      <c r="D60" s="492"/>
      <c r="E60" s="491" t="s">
        <v>3</v>
      </c>
      <c r="F60" s="216"/>
      <c r="G60" s="216"/>
      <c r="H60" s="216"/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692</v>
      </c>
      <c r="B62" s="494">
        <f>E57</f>
        <v>40000</v>
      </c>
      <c r="C62" s="191"/>
      <c r="D62" s="191"/>
      <c r="E62" s="191" t="s">
        <v>692</v>
      </c>
      <c r="F62" s="494">
        <f>G57</f>
        <v>34900</v>
      </c>
      <c r="G62" s="191"/>
      <c r="H62" s="191"/>
    </row>
    <row r="63" spans="1:9" x14ac:dyDescent="0.25">
      <c r="A63" s="191" t="s">
        <v>347</v>
      </c>
      <c r="B63" s="494">
        <f>DECEM!D77</f>
        <v>-8873</v>
      </c>
      <c r="C63" s="191"/>
      <c r="D63" s="191"/>
      <c r="E63" s="191" t="s">
        <v>347</v>
      </c>
      <c r="F63" s="494">
        <f>DECEM!G77</f>
        <v>-88288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4000</v>
      </c>
      <c r="D64" s="191"/>
      <c r="E64" s="191" t="s">
        <v>613</v>
      </c>
      <c r="F64" s="327">
        <v>0.1</v>
      </c>
      <c r="G64" s="494">
        <f>C64</f>
        <v>4000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694</v>
      </c>
      <c r="B66" s="191"/>
      <c r="C66" s="191">
        <v>1600</v>
      </c>
      <c r="D66" s="191"/>
      <c r="E66" s="495" t="s">
        <v>694</v>
      </c>
      <c r="F66" s="191"/>
      <c r="G66" s="191">
        <v>1600</v>
      </c>
      <c r="H66" s="191"/>
    </row>
    <row r="67" spans="1:10" x14ac:dyDescent="0.25">
      <c r="A67" s="496" t="s">
        <v>695</v>
      </c>
      <c r="B67" s="191"/>
      <c r="C67" s="216">
        <v>15097</v>
      </c>
      <c r="D67" s="191"/>
      <c r="E67" s="496" t="s">
        <v>695</v>
      </c>
      <c r="F67" s="191"/>
      <c r="G67" s="216">
        <v>15097</v>
      </c>
      <c r="H67" s="191"/>
    </row>
    <row r="68" spans="1:10" x14ac:dyDescent="0.25">
      <c r="A68" s="496" t="s">
        <v>696</v>
      </c>
      <c r="B68" s="191"/>
      <c r="C68" s="191">
        <v>10450</v>
      </c>
      <c r="D68" s="191"/>
      <c r="E68" s="496" t="s">
        <v>696</v>
      </c>
      <c r="F68" s="191"/>
      <c r="G68" s="191">
        <v>10450</v>
      </c>
      <c r="H68" s="191"/>
    </row>
    <row r="69" spans="1:10" x14ac:dyDescent="0.25">
      <c r="A69" s="496" t="s">
        <v>697</v>
      </c>
      <c r="B69" s="191"/>
      <c r="C69" s="191">
        <v>3861</v>
      </c>
      <c r="D69" s="191"/>
      <c r="E69" s="496" t="s">
        <v>697</v>
      </c>
      <c r="F69" s="191"/>
      <c r="G69" s="191">
        <v>3861</v>
      </c>
      <c r="H69" s="191"/>
    </row>
    <row r="70" spans="1:10" x14ac:dyDescent="0.25">
      <c r="A70" s="497" t="s">
        <v>699</v>
      </c>
      <c r="B70" s="191"/>
      <c r="C70" s="191">
        <v>300</v>
      </c>
      <c r="D70" s="191"/>
      <c r="E70" s="497" t="s">
        <v>699</v>
      </c>
      <c r="F70" s="191"/>
      <c r="G70" s="191">
        <v>300</v>
      </c>
      <c r="H70" s="191"/>
    </row>
    <row r="71" spans="1:10" x14ac:dyDescent="0.25">
      <c r="A71" s="496" t="s">
        <v>700</v>
      </c>
      <c r="B71" s="191"/>
      <c r="C71" s="498">
        <v>500</v>
      </c>
      <c r="D71" s="191"/>
      <c r="E71" s="496" t="s">
        <v>700</v>
      </c>
      <c r="F71" s="191"/>
      <c r="G71" s="498">
        <v>500</v>
      </c>
      <c r="H71" s="191"/>
    </row>
    <row r="72" spans="1:10" x14ac:dyDescent="0.25">
      <c r="A72" s="493" t="s">
        <v>2</v>
      </c>
      <c r="B72" s="499">
        <f>B62+B63-C64</f>
        <v>27127</v>
      </c>
      <c r="C72" s="499">
        <f>SUM(C66:C71)</f>
        <v>31808</v>
      </c>
      <c r="D72" s="499">
        <f>B72-C72</f>
        <v>-4681</v>
      </c>
      <c r="E72" s="493" t="s">
        <v>2</v>
      </c>
      <c r="F72" s="499">
        <f>F62+F63-G64</f>
        <v>-57388</v>
      </c>
      <c r="G72" s="499">
        <f>SUM(G66:G71)</f>
        <v>31808</v>
      </c>
      <c r="H72" s="499">
        <f>F72-G72</f>
        <v>-89196</v>
      </c>
    </row>
    <row r="74" spans="1:10" x14ac:dyDescent="0.25">
      <c r="A74" s="36" t="s">
        <v>659</v>
      </c>
      <c r="B74" s="76"/>
      <c r="C74" s="76" t="s">
        <v>661</v>
      </c>
      <c r="D74" s="431"/>
      <c r="E74" s="36"/>
      <c r="F74" s="36" t="s">
        <v>662</v>
      </c>
      <c r="J74" s="147"/>
    </row>
    <row r="75" spans="1:10" x14ac:dyDescent="0.25">
      <c r="A75" s="36"/>
      <c r="B75" s="76"/>
      <c r="C75" s="76"/>
      <c r="D75" s="431"/>
      <c r="E75" s="36"/>
      <c r="F75" s="36"/>
    </row>
    <row r="76" spans="1:10" x14ac:dyDescent="0.25">
      <c r="A76" s="36" t="s">
        <v>660</v>
      </c>
      <c r="B76" s="76"/>
      <c r="C76" s="76" t="s">
        <v>78</v>
      </c>
      <c r="D76" s="431"/>
      <c r="E76" s="36"/>
      <c r="F76" s="36" t="s">
        <v>663</v>
      </c>
    </row>
    <row r="80" spans="1:10" ht="23.25" x14ac:dyDescent="0.35">
      <c r="A80" s="464"/>
      <c r="B80" s="90"/>
      <c r="C80" s="465"/>
      <c r="D80" s="465"/>
      <c r="E80" s="465"/>
      <c r="F80" s="465"/>
      <c r="G80" s="465"/>
      <c r="H80" s="90"/>
      <c r="I80" s="90"/>
      <c r="J80" s="90"/>
    </row>
    <row r="81" spans="1:10" x14ac:dyDescent="0.25">
      <c r="A81" s="90"/>
      <c r="B81" s="466"/>
      <c r="C81" s="90"/>
      <c r="D81" s="467"/>
      <c r="E81" s="90"/>
      <c r="F81" s="466"/>
      <c r="G81" s="466"/>
      <c r="H81" s="90"/>
      <c r="I81" s="90"/>
      <c r="J81" s="90"/>
    </row>
    <row r="82" spans="1:10" x14ac:dyDescent="0.25">
      <c r="A82" s="468"/>
      <c r="B82" s="468"/>
      <c r="C82" s="468"/>
      <c r="D82" s="469"/>
      <c r="E82" s="470"/>
      <c r="F82" s="469"/>
      <c r="G82" s="470"/>
      <c r="H82" s="74"/>
      <c r="I82" s="90"/>
      <c r="J82" s="90"/>
    </row>
    <row r="83" spans="1:10" x14ac:dyDescent="0.25">
      <c r="A83" s="76"/>
      <c r="B83" s="306"/>
      <c r="C83" s="76"/>
      <c r="D83" s="76"/>
      <c r="E83" s="75"/>
      <c r="F83" s="75"/>
      <c r="G83" s="75"/>
      <c r="H83" s="76"/>
      <c r="I83" s="90"/>
      <c r="J83" s="90"/>
    </row>
    <row r="84" spans="1:10" x14ac:dyDescent="0.25">
      <c r="A84" s="89"/>
      <c r="B84" s="471"/>
      <c r="C84" s="90"/>
      <c r="D84" s="472"/>
      <c r="E84" s="283"/>
      <c r="F84" s="283"/>
      <c r="G84" s="473"/>
      <c r="H84" s="430"/>
      <c r="I84" s="90"/>
      <c r="J84" s="90"/>
    </row>
    <row r="85" spans="1:10" x14ac:dyDescent="0.25">
      <c r="A85" s="89"/>
      <c r="B85" s="89"/>
      <c r="C85" s="90"/>
      <c r="D85" s="76"/>
      <c r="E85" s="283"/>
      <c r="F85" s="283"/>
      <c r="G85" s="473"/>
      <c r="H85" s="213"/>
      <c r="I85" s="90"/>
      <c r="J85" s="90"/>
    </row>
    <row r="86" spans="1:10" x14ac:dyDescent="0.25">
      <c r="A86" s="89"/>
      <c r="B86" s="76"/>
      <c r="C86" s="90"/>
      <c r="D86" s="76"/>
      <c r="E86" s="283"/>
      <c r="F86" s="283"/>
      <c r="G86" s="473"/>
      <c r="H86" s="213"/>
      <c r="I86" s="90"/>
      <c r="J86" s="90"/>
    </row>
    <row r="87" spans="1:10" x14ac:dyDescent="0.25">
      <c r="A87" s="76"/>
      <c r="B87" s="471"/>
      <c r="C87" s="90"/>
      <c r="D87" s="90"/>
      <c r="E87" s="283"/>
      <c r="F87" s="283"/>
      <c r="G87" s="473"/>
      <c r="H87" s="430"/>
      <c r="I87" s="90"/>
      <c r="J87" s="90"/>
    </row>
    <row r="88" spans="1:10" x14ac:dyDescent="0.25">
      <c r="A88" s="76"/>
      <c r="B88" s="471"/>
      <c r="C88" s="90"/>
      <c r="D88" s="90"/>
      <c r="E88" s="283"/>
      <c r="F88" s="283"/>
      <c r="G88" s="473"/>
      <c r="H88" s="430"/>
      <c r="I88" s="90"/>
      <c r="J88" s="90"/>
    </row>
    <row r="89" spans="1:10" x14ac:dyDescent="0.25">
      <c r="A89" s="76"/>
      <c r="B89" s="471"/>
      <c r="C89" s="90"/>
      <c r="D89" s="90"/>
      <c r="E89" s="474"/>
      <c r="F89" s="283"/>
      <c r="G89" s="475"/>
      <c r="H89" s="430"/>
      <c r="I89" s="90"/>
      <c r="J89" s="90"/>
    </row>
    <row r="90" spans="1:10" x14ac:dyDescent="0.25">
      <c r="A90" s="75"/>
      <c r="B90" s="193"/>
      <c r="C90" s="194"/>
      <c r="D90" s="91"/>
      <c r="E90" s="283"/>
      <c r="F90" s="283"/>
      <c r="G90" s="473"/>
      <c r="H90" s="430"/>
      <c r="I90" s="90"/>
      <c r="J90" s="90"/>
    </row>
    <row r="91" spans="1:10" x14ac:dyDescent="0.25">
      <c r="A91" s="90"/>
      <c r="B91" s="90"/>
      <c r="C91" s="90"/>
      <c r="D91" s="90"/>
      <c r="E91" s="90"/>
      <c r="F91" s="91"/>
      <c r="G91" s="476"/>
      <c r="H91" s="213"/>
      <c r="I91" s="90"/>
      <c r="J91" s="90"/>
    </row>
    <row r="92" spans="1:10" x14ac:dyDescent="0.25">
      <c r="A92" s="89"/>
      <c r="B92" s="90"/>
      <c r="C92" s="90"/>
      <c r="D92" s="90"/>
      <c r="E92" s="64"/>
      <c r="F92" s="91"/>
      <c r="G92" s="477"/>
      <c r="H92" s="213"/>
      <c r="I92" s="90"/>
      <c r="J92" s="90"/>
    </row>
    <row r="93" spans="1:10" x14ac:dyDescent="0.25">
      <c r="A93" s="89"/>
      <c r="B93" s="90"/>
      <c r="C93" s="90"/>
      <c r="D93" s="90"/>
      <c r="E93" s="64"/>
      <c r="F93" s="91"/>
      <c r="G93" s="478"/>
      <c r="H93" s="213"/>
      <c r="I93" s="90"/>
      <c r="J93" s="90"/>
    </row>
    <row r="94" spans="1:10" x14ac:dyDescent="0.25">
      <c r="A94" s="89"/>
      <c r="B94" s="90"/>
      <c r="C94" s="90"/>
      <c r="D94" s="90"/>
      <c r="E94" s="64"/>
      <c r="F94" s="91"/>
      <c r="G94" s="478"/>
      <c r="H94" s="213"/>
      <c r="I94" s="90"/>
      <c r="J94" s="90"/>
    </row>
    <row r="95" spans="1:10" x14ac:dyDescent="0.25">
      <c r="A95" s="89"/>
      <c r="B95" s="90"/>
      <c r="C95" s="90"/>
      <c r="D95" s="90"/>
      <c r="E95" s="64"/>
      <c r="F95" s="91"/>
      <c r="G95" s="478"/>
      <c r="H95" s="213"/>
      <c r="I95" s="90"/>
      <c r="J95" s="90"/>
    </row>
    <row r="96" spans="1:10" x14ac:dyDescent="0.25">
      <c r="A96" s="90"/>
      <c r="B96" s="90"/>
      <c r="C96" s="90"/>
      <c r="D96" s="90"/>
      <c r="E96" s="430"/>
      <c r="F96" s="430"/>
      <c r="G96" s="430"/>
      <c r="H96" s="430"/>
      <c r="I96" s="90"/>
      <c r="J96" s="90"/>
    </row>
    <row r="97" spans="1:10" x14ac:dyDescent="0.25">
      <c r="A97" s="100"/>
      <c r="B97" s="479"/>
      <c r="C97" s="480"/>
      <c r="D97" s="102"/>
      <c r="E97" s="100"/>
      <c r="F97" s="479"/>
      <c r="G97" s="480"/>
      <c r="H97" s="267"/>
      <c r="I97" s="90"/>
      <c r="J97" s="90"/>
    </row>
    <row r="98" spans="1:10" x14ac:dyDescent="0.25">
      <c r="A98" s="103"/>
      <c r="B98" s="479"/>
      <c r="C98" s="480"/>
      <c r="D98" s="104"/>
      <c r="E98" s="103"/>
      <c r="F98" s="479"/>
      <c r="G98" s="480"/>
      <c r="H98" s="302"/>
      <c r="I98" s="90"/>
      <c r="J98" s="90"/>
    </row>
    <row r="99" spans="1:10" x14ac:dyDescent="0.25">
      <c r="A99" s="103"/>
      <c r="B99" s="479"/>
      <c r="C99" s="480"/>
      <c r="D99" s="104"/>
      <c r="E99" s="103"/>
      <c r="F99" s="479"/>
      <c r="G99" s="480"/>
      <c r="H99" s="302"/>
      <c r="I99" s="90"/>
      <c r="J99" s="90"/>
    </row>
    <row r="100" spans="1:10" x14ac:dyDescent="0.25">
      <c r="A100" s="481"/>
      <c r="B100" s="90"/>
      <c r="C100" s="90"/>
      <c r="D100" s="90"/>
      <c r="E100" s="481"/>
      <c r="F100" s="90"/>
      <c r="G100" s="90"/>
      <c r="H100" s="430"/>
      <c r="I100" s="90"/>
      <c r="J100" s="90"/>
    </row>
    <row r="101" spans="1:10" x14ac:dyDescent="0.25">
      <c r="A101" s="36"/>
      <c r="B101" s="482"/>
      <c r="C101" s="90"/>
      <c r="D101" s="483"/>
      <c r="E101" s="36"/>
      <c r="F101" s="482"/>
      <c r="G101" s="90"/>
      <c r="H101" s="484"/>
      <c r="I101" s="90"/>
      <c r="J101" s="90"/>
    </row>
    <row r="102" spans="1:10" x14ac:dyDescent="0.25">
      <c r="A102" s="136"/>
      <c r="B102" s="90"/>
      <c r="C102" s="90"/>
      <c r="D102" s="213"/>
      <c r="E102" s="136"/>
      <c r="F102" s="485"/>
      <c r="G102" s="90"/>
      <c r="H102" s="486"/>
      <c r="I102" s="90"/>
      <c r="J102" s="90"/>
    </row>
    <row r="103" spans="1:10" x14ac:dyDescent="0.25">
      <c r="A103" s="90"/>
      <c r="B103" s="90"/>
      <c r="C103" s="90"/>
      <c r="D103" s="90"/>
      <c r="E103" s="485"/>
      <c r="F103" s="90"/>
      <c r="G103" s="90"/>
      <c r="H103" s="430"/>
      <c r="I103" s="90"/>
      <c r="J103" s="90"/>
    </row>
    <row r="104" spans="1:10" x14ac:dyDescent="0.25">
      <c r="A104" s="36"/>
      <c r="B104" s="90"/>
      <c r="C104" s="90"/>
      <c r="D104" s="213"/>
      <c r="E104" s="136"/>
      <c r="F104" s="90"/>
      <c r="G104" s="90"/>
      <c r="H104" s="430"/>
      <c r="I104" s="90"/>
      <c r="J104" s="90"/>
    </row>
    <row r="105" spans="1:10" ht="15.75" x14ac:dyDescent="0.25">
      <c r="A105" s="36"/>
      <c r="B105" s="90"/>
      <c r="C105" s="90"/>
      <c r="D105" s="213"/>
      <c r="E105" s="289"/>
      <c r="F105" s="90"/>
      <c r="G105" s="90"/>
      <c r="H105" s="430"/>
      <c r="I105" s="90"/>
      <c r="J105" s="90"/>
    </row>
    <row r="106" spans="1:10" x14ac:dyDescent="0.25">
      <c r="A106" s="36"/>
      <c r="B106" s="90"/>
      <c r="C106" s="90"/>
      <c r="D106" s="370"/>
      <c r="E106" s="90"/>
      <c r="F106" s="90"/>
      <c r="G106" s="90"/>
      <c r="H106" s="430"/>
      <c r="I106" s="90"/>
      <c r="J106" s="90"/>
    </row>
  </sheetData>
  <pageMargins left="0.25" right="0.25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37" zoomScaleNormal="100" workbookViewId="0">
      <selection activeCell="M34" sqref="M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7.85546875" style="216" customWidth="1"/>
    <col min="10" max="16384" width="9.140625" style="216"/>
  </cols>
  <sheetData>
    <row r="1" spans="1:9" ht="15.75" x14ac:dyDescent="0.25">
      <c r="B1" s="515" t="s">
        <v>667</v>
      </c>
      <c r="C1" s="515"/>
      <c r="D1" s="515"/>
      <c r="E1" s="515"/>
    </row>
    <row r="2" spans="1:9" ht="15.75" x14ac:dyDescent="0.25">
      <c r="A2" s="516"/>
      <c r="B2" s="515" t="s">
        <v>666</v>
      </c>
      <c r="C2" s="515"/>
      <c r="D2" s="515"/>
      <c r="E2" s="515"/>
      <c r="F2" s="517"/>
    </row>
    <row r="3" spans="1:9" ht="15.75" x14ac:dyDescent="0.25">
      <c r="B3" s="518" t="s">
        <v>702</v>
      </c>
      <c r="C3" s="518"/>
      <c r="D3" s="519"/>
      <c r="E3" s="518"/>
      <c r="F3" s="520"/>
      <c r="G3" s="520"/>
    </row>
    <row r="4" spans="1:9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9" x14ac:dyDescent="0.25">
      <c r="A5" s="219" t="s">
        <v>110</v>
      </c>
      <c r="B5" s="521">
        <v>1</v>
      </c>
      <c r="C5" s="191"/>
      <c r="D5" s="522">
        <v>500</v>
      </c>
      <c r="E5" s="250">
        <v>2000</v>
      </c>
      <c r="F5" s="250">
        <f>D5+E5</f>
        <v>2500</v>
      </c>
      <c r="G5" s="250"/>
      <c r="H5" s="266">
        <f>F5-G5</f>
        <v>2500</v>
      </c>
    </row>
    <row r="6" spans="1:9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9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9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9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9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</row>
    <row r="11" spans="1:9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9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9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9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9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9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1:10" x14ac:dyDescent="0.25">
      <c r="A17" s="530" t="s">
        <v>2</v>
      </c>
      <c r="B17" s="531"/>
      <c r="C17" s="532"/>
      <c r="D17" s="533">
        <f>SUM(D5:D16)</f>
        <v>500</v>
      </c>
      <c r="E17" s="533">
        <f>SUM(E5:E16)</f>
        <v>4000</v>
      </c>
      <c r="F17" s="533">
        <f>D17+E17</f>
        <v>4500</v>
      </c>
      <c r="G17" s="533">
        <f>SUM(G5:G16)</f>
        <v>2000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 t="s">
        <v>26</v>
      </c>
      <c r="J20" s="216">
        <f>'JANUARY '!I22</f>
        <v>2600</v>
      </c>
    </row>
    <row r="21" spans="1:10" x14ac:dyDescent="0.25">
      <c r="A21" s="191" t="s">
        <v>706</v>
      </c>
      <c r="B21" s="494">
        <f>E17</f>
        <v>4000</v>
      </c>
      <c r="C21" s="191"/>
      <c r="D21" s="191"/>
      <c r="E21" s="191" t="s">
        <v>706</v>
      </c>
      <c r="F21" s="494">
        <f>G17</f>
        <v>2000</v>
      </c>
      <c r="G21" s="191"/>
      <c r="H21" s="191"/>
      <c r="I21" s="216" t="s">
        <v>613</v>
      </c>
      <c r="J21" s="216">
        <v>400</v>
      </c>
    </row>
    <row r="22" spans="1:10" x14ac:dyDescent="0.25">
      <c r="A22" s="191" t="s">
        <v>347</v>
      </c>
      <c r="B22" s="494">
        <f>'JANUARY '!D28</f>
        <v>6100</v>
      </c>
      <c r="C22" s="191"/>
      <c r="D22" s="191"/>
      <c r="E22" s="191" t="s">
        <v>347</v>
      </c>
      <c r="F22" s="494">
        <f>'JANUARY '!G28</f>
        <v>5600</v>
      </c>
      <c r="G22" s="191"/>
      <c r="H22" s="191"/>
      <c r="J22" s="216">
        <f>SUM(J20:J21)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3</v>
      </c>
    </row>
    <row r="24" spans="1:10" x14ac:dyDescent="0.25">
      <c r="A24" s="191" t="s">
        <v>693</v>
      </c>
      <c r="B24" s="191" t="s">
        <v>163</v>
      </c>
      <c r="C24" s="191"/>
      <c r="D24" s="191"/>
      <c r="E24" s="191" t="s">
        <v>693</v>
      </c>
      <c r="F24" s="494"/>
      <c r="G24" s="191"/>
      <c r="H24" s="191"/>
      <c r="I24" s="216" t="s">
        <v>26</v>
      </c>
      <c r="J24" s="216">
        <f>J22-J23</f>
        <v>3000</v>
      </c>
    </row>
    <row r="25" spans="1:10" x14ac:dyDescent="0.25">
      <c r="A25" s="495" t="s">
        <v>378</v>
      </c>
      <c r="B25" s="191"/>
      <c r="C25" s="191">
        <v>2000</v>
      </c>
      <c r="D25" s="191"/>
      <c r="E25" s="495" t="s">
        <v>378</v>
      </c>
      <c r="F25" s="191"/>
      <c r="G25" s="191">
        <v>2000</v>
      </c>
      <c r="H25" s="191"/>
    </row>
    <row r="26" spans="1:10" x14ac:dyDescent="0.25">
      <c r="A26" s="496"/>
      <c r="B26" s="191"/>
      <c r="D26" s="191"/>
      <c r="E26" s="496"/>
      <c r="F26" s="191"/>
      <c r="H26" s="191"/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9700</v>
      </c>
      <c r="C31" s="499">
        <f>SUM(C25:C30)</f>
        <v>2000</v>
      </c>
      <c r="D31" s="499">
        <f>B31-C31</f>
        <v>7700</v>
      </c>
      <c r="E31" s="493" t="s">
        <v>2</v>
      </c>
      <c r="F31" s="499">
        <f>F21+F22-G23</f>
        <v>7200</v>
      </c>
      <c r="G31" s="499">
        <f>SUM(G25:G30)</f>
        <v>2000</v>
      </c>
      <c r="H31" s="499">
        <f>F31-G31</f>
        <v>5200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702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58500</v>
      </c>
      <c r="E37" s="440">
        <v>4500</v>
      </c>
      <c r="F37" s="440">
        <f>D37+E37</f>
        <v>63000</v>
      </c>
      <c r="G37" s="440"/>
      <c r="H37" s="544">
        <f>F37-G37</f>
        <v>63000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 t="s">
        <v>705</v>
      </c>
      <c r="B45" s="548">
        <v>9</v>
      </c>
      <c r="C45" s="219"/>
      <c r="D45" s="219"/>
      <c r="E45" s="219">
        <v>2500</v>
      </c>
      <c r="F45" s="219">
        <f t="shared" si="2"/>
        <v>2500</v>
      </c>
      <c r="G45" s="219">
        <v>2500</v>
      </c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2500</v>
      </c>
      <c r="H46" s="544">
        <f t="shared" si="3"/>
        <v>200</v>
      </c>
      <c r="I46" s="543">
        <v>100</v>
      </c>
    </row>
    <row r="47" spans="1:9" x14ac:dyDescent="0.25">
      <c r="A47" s="487" t="s">
        <v>621</v>
      </c>
      <c r="B47" s="541">
        <v>11</v>
      </c>
      <c r="C47" s="219"/>
      <c r="D47" s="443">
        <v>2500</v>
      </c>
      <c r="E47" s="443">
        <v>2500</v>
      </c>
      <c r="F47" s="440">
        <f>D47+E47</f>
        <v>5000</v>
      </c>
      <c r="G47" s="443">
        <v>4900</v>
      </c>
      <c r="H47" s="544">
        <f t="shared" si="3"/>
        <v>100</v>
      </c>
      <c r="I47" s="543">
        <v>200</v>
      </c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10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10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10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10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10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10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10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10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10" x14ac:dyDescent="0.25">
      <c r="A57" s="598" t="s">
        <v>708</v>
      </c>
      <c r="B57" s="191"/>
      <c r="C57" s="493"/>
      <c r="D57" s="591"/>
      <c r="E57" s="588">
        <f>SUM(E37:E56)</f>
        <v>44100</v>
      </c>
      <c r="F57" s="589">
        <f>SUM(F37:F56)</f>
        <v>106000</v>
      </c>
      <c r="G57" s="590">
        <f>SUM(G37:G56)</f>
        <v>42000</v>
      </c>
      <c r="H57" s="590">
        <f>SUM(H37:H56)</f>
        <v>64000</v>
      </c>
      <c r="I57" s="591">
        <f>SUM(I37:I56)</f>
        <v>1000</v>
      </c>
    </row>
    <row r="58" spans="1:10" x14ac:dyDescent="0.25">
      <c r="A58" s="557"/>
      <c r="B58" s="489"/>
      <c r="C58" s="489"/>
      <c r="D58" s="489"/>
      <c r="E58" s="501"/>
      <c r="F58" s="502"/>
      <c r="G58" s="503"/>
      <c r="H58" s="503"/>
    </row>
    <row r="59" spans="1:10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10" x14ac:dyDescent="0.25">
      <c r="A60" s="491" t="s">
        <v>615</v>
      </c>
      <c r="B60" s="491"/>
      <c r="C60" s="491"/>
      <c r="D60" s="492"/>
      <c r="E60" s="491" t="s">
        <v>3</v>
      </c>
    </row>
    <row r="61" spans="1:10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10" x14ac:dyDescent="0.25">
      <c r="A62" s="191" t="s">
        <v>706</v>
      </c>
      <c r="B62" s="494">
        <f>E57</f>
        <v>44100</v>
      </c>
      <c r="C62" s="191"/>
      <c r="D62" s="191"/>
      <c r="E62" s="191" t="s">
        <v>706</v>
      </c>
      <c r="F62" s="494">
        <f>G57</f>
        <v>42000</v>
      </c>
      <c r="G62" s="191"/>
      <c r="H62" s="191"/>
    </row>
    <row r="63" spans="1:10" x14ac:dyDescent="0.25">
      <c r="A63" s="191" t="s">
        <v>347</v>
      </c>
      <c r="B63" s="494">
        <f>'JANUARY '!D72</f>
        <v>-4681</v>
      </c>
      <c r="C63" s="191"/>
      <c r="D63" s="191"/>
      <c r="E63" s="191" t="s">
        <v>347</v>
      </c>
      <c r="F63" s="494">
        <f>'JANUARY '!H72</f>
        <v>-89196</v>
      </c>
      <c r="G63" s="191"/>
      <c r="H63" s="191"/>
      <c r="J63" s="216">
        <v>8873</v>
      </c>
    </row>
    <row r="64" spans="1:10" x14ac:dyDescent="0.25">
      <c r="A64" s="191" t="s">
        <v>613</v>
      </c>
      <c r="B64" s="327">
        <v>0.1</v>
      </c>
      <c r="C64" s="494">
        <f>B62*B64</f>
        <v>4410</v>
      </c>
      <c r="D64" s="191"/>
      <c r="E64" s="191" t="s">
        <v>613</v>
      </c>
      <c r="F64" s="327">
        <v>0.1</v>
      </c>
      <c r="G64" s="494">
        <f>C64</f>
        <v>4410</v>
      </c>
      <c r="H64" s="191"/>
      <c r="J64" s="216">
        <f>J63+C66</f>
        <v>28873</v>
      </c>
    </row>
    <row r="65" spans="1:9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9" x14ac:dyDescent="0.25">
      <c r="A66" s="495" t="s">
        <v>707</v>
      </c>
      <c r="B66" s="191"/>
      <c r="C66" s="191">
        <v>20000</v>
      </c>
      <c r="D66" s="191"/>
      <c r="E66" s="495" t="s">
        <v>707</v>
      </c>
      <c r="F66" s="191"/>
      <c r="G66" s="191">
        <v>20000</v>
      </c>
      <c r="H66" s="191"/>
    </row>
    <row r="67" spans="1:9" x14ac:dyDescent="0.25">
      <c r="A67" s="496" t="s">
        <v>709</v>
      </c>
      <c r="B67" s="191"/>
      <c r="C67" s="216">
        <v>800</v>
      </c>
      <c r="D67" s="191"/>
      <c r="E67" s="496" t="s">
        <v>709</v>
      </c>
      <c r="F67" s="191"/>
      <c r="G67" s="216">
        <v>800</v>
      </c>
      <c r="H67" s="191"/>
    </row>
    <row r="68" spans="1:9" x14ac:dyDescent="0.25">
      <c r="A68" s="496" t="s">
        <v>710</v>
      </c>
      <c r="B68" s="191"/>
      <c r="C68" s="191">
        <v>14200</v>
      </c>
      <c r="D68" s="191"/>
      <c r="E68" s="496" t="s">
        <v>710</v>
      </c>
      <c r="F68" s="191"/>
      <c r="G68" s="191">
        <v>14200</v>
      </c>
      <c r="H68" s="191"/>
    </row>
    <row r="69" spans="1:9" x14ac:dyDescent="0.25">
      <c r="A69" s="496"/>
      <c r="B69" s="191"/>
      <c r="C69" s="191"/>
      <c r="D69" s="191"/>
      <c r="E69" s="496"/>
      <c r="F69" s="191"/>
      <c r="G69" s="191"/>
      <c r="H69" s="191"/>
    </row>
    <row r="70" spans="1:9" x14ac:dyDescent="0.25">
      <c r="A70" s="497"/>
      <c r="B70" s="191"/>
      <c r="C70" s="191"/>
      <c r="D70" s="191"/>
      <c r="E70" s="497"/>
      <c r="F70" s="191"/>
      <c r="G70" s="191"/>
      <c r="H70" s="191"/>
    </row>
    <row r="71" spans="1:9" x14ac:dyDescent="0.25">
      <c r="A71" s="496"/>
      <c r="B71" s="191"/>
      <c r="C71" s="498"/>
      <c r="D71" s="191"/>
      <c r="E71" s="496"/>
      <c r="F71" s="191"/>
      <c r="G71" s="498"/>
      <c r="H71" s="191"/>
    </row>
    <row r="72" spans="1:9" x14ac:dyDescent="0.25">
      <c r="A72" s="493" t="s">
        <v>2</v>
      </c>
      <c r="B72" s="499">
        <f>B62+B63-C64</f>
        <v>35009</v>
      </c>
      <c r="C72" s="499">
        <f>SUM(C66:C71)</f>
        <v>35000</v>
      </c>
      <c r="D72" s="499">
        <f>B72-C72</f>
        <v>9</v>
      </c>
      <c r="E72" s="493" t="s">
        <v>2</v>
      </c>
      <c r="F72" s="499">
        <f>F62+F63-G64</f>
        <v>-51606</v>
      </c>
      <c r="G72" s="499">
        <f>SUM(G66:G71)</f>
        <v>35000</v>
      </c>
      <c r="H72" s="499">
        <f>F72-G72</f>
        <v>-86606</v>
      </c>
    </row>
    <row r="74" spans="1:9" x14ac:dyDescent="0.25">
      <c r="A74" s="558" t="s">
        <v>659</v>
      </c>
      <c r="B74" s="559"/>
      <c r="C74" s="559" t="s">
        <v>661</v>
      </c>
      <c r="D74" s="560"/>
      <c r="E74" s="558"/>
      <c r="F74" s="558" t="s">
        <v>662</v>
      </c>
    </row>
    <row r="75" spans="1:9" x14ac:dyDescent="0.25">
      <c r="A75" s="558"/>
      <c r="B75" s="559"/>
      <c r="C75" s="559"/>
      <c r="D75" s="560"/>
      <c r="E75" s="558"/>
      <c r="F75" s="558"/>
    </row>
    <row r="76" spans="1:9" x14ac:dyDescent="0.25">
      <c r="A76" s="558" t="s">
        <v>660</v>
      </c>
      <c r="B76" s="559"/>
      <c r="C76" s="559" t="s">
        <v>78</v>
      </c>
      <c r="D76" s="560"/>
      <c r="E76" s="558"/>
      <c r="F76" s="558" t="s">
        <v>663</v>
      </c>
    </row>
    <row r="79" spans="1:9" x14ac:dyDescent="0.25">
      <c r="A79" s="476"/>
      <c r="B79" s="476"/>
      <c r="C79" s="476"/>
      <c r="D79" s="476"/>
      <c r="E79" s="476"/>
      <c r="F79" s="476"/>
      <c r="G79" s="476"/>
      <c r="H79" s="476"/>
      <c r="I79" s="476"/>
    </row>
    <row r="80" spans="1:9" ht="23.25" x14ac:dyDescent="0.35">
      <c r="A80" s="561"/>
      <c r="B80" s="476"/>
      <c r="C80" s="562"/>
      <c r="D80" s="562"/>
      <c r="E80" s="562"/>
      <c r="F80" s="562"/>
      <c r="G80" s="562"/>
      <c r="H80" s="476"/>
      <c r="I80" s="476"/>
    </row>
    <row r="81" spans="1:9" x14ac:dyDescent="0.25">
      <c r="A81" s="476"/>
      <c r="B81" s="563"/>
      <c r="C81" s="476"/>
      <c r="D81" s="564"/>
      <c r="E81" s="476"/>
      <c r="F81" s="563"/>
      <c r="G81" s="563"/>
      <c r="H81" s="476"/>
      <c r="I81" s="476"/>
    </row>
    <row r="82" spans="1:9" x14ac:dyDescent="0.25">
      <c r="A82" s="565"/>
      <c r="B82" s="565"/>
      <c r="C82" s="565"/>
      <c r="D82" s="566"/>
      <c r="E82" s="567"/>
      <c r="F82" s="566"/>
      <c r="G82" s="567"/>
      <c r="H82" s="568"/>
      <c r="I82" s="476"/>
    </row>
    <row r="83" spans="1:9" x14ac:dyDescent="0.25">
      <c r="A83" s="559"/>
      <c r="B83" s="569"/>
      <c r="C83" s="559"/>
      <c r="D83" s="559"/>
      <c r="E83" s="502"/>
      <c r="F83" s="502"/>
      <c r="G83" s="502"/>
      <c r="H83" s="559"/>
      <c r="I83" s="476"/>
    </row>
    <row r="84" spans="1:9" x14ac:dyDescent="0.25">
      <c r="A84" s="570"/>
      <c r="B84" s="571"/>
      <c r="C84" s="476"/>
      <c r="D84" s="572"/>
      <c r="E84" s="473"/>
      <c r="F84" s="473"/>
      <c r="G84" s="473"/>
      <c r="H84" s="573"/>
      <c r="I84" s="476"/>
    </row>
    <row r="85" spans="1:9" x14ac:dyDescent="0.25">
      <c r="A85" s="570"/>
      <c r="B85" s="570"/>
      <c r="C85" s="476"/>
      <c r="D85" s="559"/>
      <c r="E85" s="473"/>
      <c r="F85" s="473"/>
      <c r="G85" s="473"/>
      <c r="H85" s="503"/>
      <c r="I85" s="476"/>
    </row>
    <row r="86" spans="1:9" x14ac:dyDescent="0.25">
      <c r="A86" s="570"/>
      <c r="B86" s="559"/>
      <c r="C86" s="476"/>
      <c r="D86" s="559"/>
      <c r="E86" s="473"/>
      <c r="F86" s="473"/>
      <c r="G86" s="473"/>
      <c r="H86" s="503"/>
      <c r="I86" s="476"/>
    </row>
    <row r="87" spans="1:9" x14ac:dyDescent="0.25">
      <c r="A87" s="559"/>
      <c r="B87" s="571"/>
      <c r="C87" s="476"/>
      <c r="D87" s="476"/>
      <c r="E87" s="473"/>
      <c r="F87" s="473"/>
      <c r="G87" s="473"/>
      <c r="H87" s="573"/>
      <c r="I87" s="476"/>
    </row>
    <row r="88" spans="1:9" x14ac:dyDescent="0.25">
      <c r="A88" s="559"/>
      <c r="B88" s="571"/>
      <c r="C88" s="476"/>
      <c r="D88" s="476"/>
      <c r="E88" s="473"/>
      <c r="F88" s="473"/>
      <c r="G88" s="473"/>
      <c r="H88" s="573"/>
      <c r="I88" s="476"/>
    </row>
    <row r="89" spans="1:9" x14ac:dyDescent="0.25">
      <c r="A89" s="559"/>
      <c r="B89" s="571"/>
      <c r="C89" s="476"/>
      <c r="D89" s="476"/>
      <c r="E89" s="574"/>
      <c r="F89" s="473"/>
      <c r="G89" s="475"/>
      <c r="H89" s="573"/>
      <c r="I89" s="476"/>
    </row>
    <row r="90" spans="1:9" x14ac:dyDescent="0.25">
      <c r="A90" s="502"/>
      <c r="B90" s="575"/>
      <c r="C90" s="576"/>
      <c r="D90" s="577"/>
      <c r="E90" s="473"/>
      <c r="F90" s="473"/>
      <c r="G90" s="473"/>
      <c r="H90" s="573"/>
      <c r="I90" s="476"/>
    </row>
    <row r="91" spans="1:9" x14ac:dyDescent="0.25">
      <c r="A91" s="476"/>
      <c r="B91" s="476"/>
      <c r="C91" s="476"/>
      <c r="D91" s="476"/>
      <c r="E91" s="476"/>
      <c r="F91" s="577"/>
      <c r="G91" s="476"/>
      <c r="H91" s="503"/>
      <c r="I91" s="476"/>
    </row>
    <row r="92" spans="1:9" x14ac:dyDescent="0.25">
      <c r="A92" s="570"/>
      <c r="B92" s="476"/>
      <c r="C92" s="476"/>
      <c r="D92" s="476"/>
      <c r="E92" s="477"/>
      <c r="F92" s="577"/>
      <c r="G92" s="477"/>
      <c r="H92" s="503"/>
      <c r="I92" s="476"/>
    </row>
    <row r="93" spans="1:9" x14ac:dyDescent="0.25">
      <c r="A93" s="570"/>
      <c r="B93" s="476"/>
      <c r="C93" s="476"/>
      <c r="D93" s="476"/>
      <c r="E93" s="477"/>
      <c r="F93" s="577"/>
      <c r="G93" s="477"/>
      <c r="H93" s="503"/>
      <c r="I93" s="476"/>
    </row>
    <row r="94" spans="1:9" x14ac:dyDescent="0.25">
      <c r="A94" s="570"/>
      <c r="B94" s="476"/>
      <c r="C94" s="476"/>
      <c r="D94" s="476"/>
      <c r="E94" s="477"/>
      <c r="F94" s="577"/>
      <c r="G94" s="477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476"/>
      <c r="B96" s="476"/>
      <c r="C96" s="476"/>
      <c r="D96" s="476"/>
      <c r="E96" s="573"/>
      <c r="F96" s="573"/>
      <c r="G96" s="573"/>
      <c r="H96" s="573"/>
      <c r="I96" s="476"/>
    </row>
    <row r="97" spans="1:9" x14ac:dyDescent="0.25">
      <c r="A97" s="558"/>
      <c r="B97" s="578"/>
      <c r="C97" s="476"/>
      <c r="D97" s="32"/>
      <c r="E97" s="558"/>
      <c r="F97" s="578"/>
      <c r="G97" s="476"/>
      <c r="H97" s="579"/>
      <c r="I97" s="476"/>
    </row>
    <row r="98" spans="1:9" x14ac:dyDescent="0.25">
      <c r="A98" s="214"/>
      <c r="B98" s="578"/>
      <c r="C98" s="476"/>
      <c r="D98" s="66"/>
      <c r="E98" s="214"/>
      <c r="F98" s="578"/>
      <c r="G98" s="476"/>
      <c r="H98" s="268"/>
      <c r="I98" s="476"/>
    </row>
    <row r="99" spans="1:9" x14ac:dyDescent="0.25">
      <c r="A99" s="214"/>
      <c r="B99" s="578"/>
      <c r="C99" s="476"/>
      <c r="D99" s="66"/>
      <c r="E99" s="214"/>
      <c r="F99" s="578"/>
      <c r="G99" s="476"/>
      <c r="H99" s="268"/>
      <c r="I99" s="476"/>
    </row>
    <row r="100" spans="1:9" x14ac:dyDescent="0.25">
      <c r="A100" s="580"/>
      <c r="B100" s="476"/>
      <c r="C100" s="476"/>
      <c r="D100" s="476"/>
      <c r="E100" s="580"/>
      <c r="F100" s="476"/>
      <c r="G100" s="476"/>
      <c r="H100" s="573"/>
      <c r="I100" s="476"/>
    </row>
    <row r="101" spans="1:9" x14ac:dyDescent="0.25">
      <c r="A101" s="558"/>
      <c r="B101" s="581"/>
      <c r="C101" s="476"/>
      <c r="D101" s="582"/>
      <c r="E101" s="558"/>
      <c r="F101" s="581"/>
      <c r="G101" s="476"/>
      <c r="H101" s="583"/>
      <c r="I101" s="476"/>
    </row>
    <row r="102" spans="1:9" x14ac:dyDescent="0.25">
      <c r="A102" s="584"/>
      <c r="B102" s="476"/>
      <c r="C102" s="476"/>
      <c r="D102" s="503"/>
      <c r="E102" s="584"/>
      <c r="F102" s="585"/>
      <c r="G102" s="476"/>
      <c r="H102" s="586"/>
      <c r="I102" s="476"/>
    </row>
    <row r="103" spans="1:9" x14ac:dyDescent="0.25">
      <c r="A103" s="476"/>
      <c r="B103" s="476"/>
      <c r="C103" s="476"/>
      <c r="D103" s="476"/>
      <c r="E103" s="585"/>
      <c r="F103" s="476"/>
      <c r="G103" s="476"/>
      <c r="H103" s="573"/>
      <c r="I103" s="476"/>
    </row>
    <row r="104" spans="1:9" x14ac:dyDescent="0.25">
      <c r="A104" s="558"/>
      <c r="B104" s="476"/>
      <c r="C104" s="476"/>
      <c r="D104" s="503"/>
      <c r="E104" s="584"/>
      <c r="F104" s="476"/>
      <c r="G104" s="476"/>
      <c r="H104" s="573"/>
      <c r="I104" s="476"/>
    </row>
    <row r="105" spans="1:9" ht="15.75" x14ac:dyDescent="0.25">
      <c r="A105" s="558"/>
      <c r="B105" s="476"/>
      <c r="C105" s="476"/>
      <c r="D105" s="503"/>
      <c r="E105" s="587"/>
      <c r="F105" s="476"/>
      <c r="G105" s="476"/>
      <c r="H105" s="573"/>
      <c r="I105" s="476"/>
    </row>
    <row r="106" spans="1:9" x14ac:dyDescent="0.25">
      <c r="A106" s="558"/>
      <c r="B106" s="476"/>
      <c r="C106" s="476"/>
      <c r="D106" s="501"/>
      <c r="E106" s="476"/>
      <c r="F106" s="476"/>
      <c r="G106" s="476"/>
      <c r="H106" s="573"/>
      <c r="I106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2" workbookViewId="0">
      <selection activeCell="L39" sqref="L39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711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712</v>
      </c>
      <c r="B21" s="494">
        <f>E17</f>
        <v>4000</v>
      </c>
      <c r="C21" s="191"/>
      <c r="D21" s="191"/>
      <c r="E21" s="191" t="s">
        <v>712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'FEB '!D31</f>
        <v>7700</v>
      </c>
      <c r="C22" s="191"/>
      <c r="D22" s="191"/>
      <c r="E22" s="191" t="s">
        <v>347</v>
      </c>
      <c r="F22" s="494">
        <f>'FEB '!H31</f>
        <v>5200</v>
      </c>
      <c r="G22" s="191"/>
      <c r="H22" s="191"/>
      <c r="I22" s="535" t="s">
        <v>26</v>
      </c>
      <c r="J22" s="216">
        <f>'FEB '!J24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3400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/>
      <c r="B26" s="191"/>
      <c r="D26" s="191"/>
      <c r="E26" s="496"/>
      <c r="F26" s="191"/>
      <c r="H26" s="191"/>
      <c r="I26" s="216" t="s">
        <v>26</v>
      </c>
      <c r="J26" s="216">
        <f>J24-J25</f>
        <v>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11300</v>
      </c>
      <c r="C31" s="499">
        <f>SUM(C25:C30)</f>
        <v>2000</v>
      </c>
      <c r="D31" s="499">
        <f>B31-C31</f>
        <v>9300</v>
      </c>
      <c r="E31" s="493" t="s">
        <v>2</v>
      </c>
      <c r="F31" s="499">
        <f>F21+F22-G23</f>
        <v>8800</v>
      </c>
      <c r="G31" s="499">
        <f>SUM(G25:G30)</f>
        <v>2000</v>
      </c>
      <c r="H31" s="499">
        <f>F31-G31</f>
        <v>6800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711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63000</v>
      </c>
      <c r="E37" s="440">
        <v>4500</v>
      </c>
      <c r="F37" s="440">
        <f>D37+E37</f>
        <v>67500</v>
      </c>
      <c r="G37" s="440"/>
      <c r="H37" s="544">
        <f>F37-G37</f>
        <v>67500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3000</v>
      </c>
      <c r="F44" s="440">
        <f t="shared" si="2"/>
        <v>3000</v>
      </c>
      <c r="G44" s="543">
        <v>2500</v>
      </c>
      <c r="H44" s="544">
        <f t="shared" si="3"/>
        <v>500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2000</v>
      </c>
      <c r="H46" s="544">
        <f t="shared" si="3"/>
        <v>700</v>
      </c>
      <c r="I46" s="543"/>
    </row>
    <row r="47" spans="1:9" x14ac:dyDescent="0.25">
      <c r="A47" s="487" t="s">
        <v>713</v>
      </c>
      <c r="B47" s="541">
        <v>11</v>
      </c>
      <c r="C47" s="219"/>
      <c r="D47" s="443"/>
      <c r="E47" s="443">
        <v>2500</v>
      </c>
      <c r="F47" s="440">
        <f>D47+E47</f>
        <v>2500</v>
      </c>
      <c r="G47" s="443">
        <v>2500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2600</v>
      </c>
      <c r="F55" s="440">
        <f t="shared" si="2"/>
        <v>2600</v>
      </c>
      <c r="G55" s="556">
        <v>2600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43100</v>
      </c>
      <c r="F57" s="589">
        <f>SUM(F37:F56)</f>
        <v>107000</v>
      </c>
      <c r="G57" s="590">
        <f>SUM(G37:G56)</f>
        <v>37600</v>
      </c>
      <c r="H57" s="590">
        <f>SUM(H37:H56)</f>
        <v>69400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712</v>
      </c>
      <c r="B62" s="494">
        <f>E57</f>
        <v>43100</v>
      </c>
      <c r="C62" s="191"/>
      <c r="D62" s="191"/>
      <c r="E62" s="191" t="s">
        <v>712</v>
      </c>
      <c r="F62" s="494">
        <f>G57</f>
        <v>37600</v>
      </c>
      <c r="G62" s="191"/>
      <c r="H62" s="191"/>
    </row>
    <row r="63" spans="1:9" x14ac:dyDescent="0.25">
      <c r="A63" s="191" t="s">
        <v>347</v>
      </c>
      <c r="B63" s="494">
        <f>'FEB '!D72</f>
        <v>9</v>
      </c>
      <c r="C63" s="191"/>
      <c r="D63" s="191"/>
      <c r="E63" s="191" t="s">
        <v>347</v>
      </c>
      <c r="F63" s="494">
        <f>'FEB '!H72</f>
        <v>-86606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4310</v>
      </c>
      <c r="D64" s="191"/>
      <c r="E64" s="191" t="s">
        <v>613</v>
      </c>
      <c r="F64" s="327">
        <v>0.1</v>
      </c>
      <c r="G64" s="494">
        <f>C64</f>
        <v>4310</v>
      </c>
      <c r="H64" s="191"/>
    </row>
    <row r="65" spans="1:8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8" x14ac:dyDescent="0.25">
      <c r="A66" s="495" t="s">
        <v>714</v>
      </c>
      <c r="B66" s="191"/>
      <c r="C66" s="191">
        <v>15272</v>
      </c>
      <c r="D66" s="191"/>
      <c r="E66" s="495" t="s">
        <v>714</v>
      </c>
      <c r="F66" s="191"/>
      <c r="G66" s="191">
        <v>15272</v>
      </c>
      <c r="H66" s="191"/>
    </row>
    <row r="67" spans="1:8" x14ac:dyDescent="0.25">
      <c r="A67" s="496" t="s">
        <v>716</v>
      </c>
      <c r="B67" s="191"/>
      <c r="C67" s="216">
        <v>22177</v>
      </c>
      <c r="D67" s="191"/>
      <c r="E67" s="496" t="s">
        <v>716</v>
      </c>
      <c r="F67" s="191"/>
      <c r="G67" s="216">
        <v>22177</v>
      </c>
      <c r="H67" s="191"/>
    </row>
    <row r="68" spans="1:8" x14ac:dyDescent="0.25">
      <c r="A68" s="496" t="s">
        <v>568</v>
      </c>
      <c r="B68" s="191"/>
      <c r="C68" s="191">
        <v>741</v>
      </c>
      <c r="D68" s="191"/>
      <c r="E68" s="496" t="s">
        <v>568</v>
      </c>
      <c r="F68" s="191"/>
      <c r="G68" s="191">
        <v>741</v>
      </c>
      <c r="H68" s="191"/>
    </row>
    <row r="69" spans="1:8" x14ac:dyDescent="0.25">
      <c r="A69" s="496" t="s">
        <v>717</v>
      </c>
      <c r="B69" s="191"/>
      <c r="C69" s="191">
        <v>545</v>
      </c>
      <c r="D69" s="191"/>
      <c r="E69" s="496" t="s">
        <v>717</v>
      </c>
      <c r="F69" s="191"/>
      <c r="G69" s="191">
        <v>545</v>
      </c>
      <c r="H69" s="191"/>
    </row>
    <row r="70" spans="1:8" x14ac:dyDescent="0.25">
      <c r="A70" s="496" t="s">
        <v>568</v>
      </c>
      <c r="B70" s="191"/>
      <c r="C70" s="191">
        <v>5400</v>
      </c>
      <c r="D70" s="191"/>
      <c r="E70" s="496" t="s">
        <v>568</v>
      </c>
      <c r="F70" s="191"/>
      <c r="G70" s="191">
        <v>5400</v>
      </c>
      <c r="H70" s="191"/>
    </row>
    <row r="71" spans="1:8" x14ac:dyDescent="0.25">
      <c r="A71" s="496" t="s">
        <v>718</v>
      </c>
      <c r="B71" s="191"/>
      <c r="C71" s="191">
        <v>4091</v>
      </c>
      <c r="D71" s="191"/>
      <c r="E71" s="496" t="s">
        <v>718</v>
      </c>
      <c r="F71" s="191"/>
      <c r="G71" s="191">
        <v>4091</v>
      </c>
      <c r="H71" s="191"/>
    </row>
    <row r="72" spans="1:8" x14ac:dyDescent="0.25">
      <c r="A72" s="496"/>
      <c r="B72" s="191"/>
      <c r="C72" s="191"/>
      <c r="D72" s="191"/>
      <c r="E72" s="496"/>
      <c r="F72" s="191"/>
      <c r="G72" s="191"/>
      <c r="H72" s="191"/>
    </row>
    <row r="73" spans="1:8" x14ac:dyDescent="0.25">
      <c r="A73" s="497"/>
      <c r="B73" s="191"/>
      <c r="C73" s="191"/>
      <c r="D73" s="191"/>
      <c r="E73" s="497"/>
      <c r="F73" s="191"/>
      <c r="G73" s="191"/>
      <c r="H73" s="191"/>
    </row>
    <row r="74" spans="1:8" x14ac:dyDescent="0.25">
      <c r="A74" s="496"/>
      <c r="B74" s="191"/>
      <c r="C74" s="498"/>
      <c r="D74" s="191"/>
      <c r="E74" s="496"/>
      <c r="F74" s="191"/>
      <c r="G74" s="498"/>
      <c r="H74" s="191"/>
    </row>
    <row r="75" spans="1:8" x14ac:dyDescent="0.25">
      <c r="A75" s="493" t="s">
        <v>2</v>
      </c>
      <c r="B75" s="499">
        <f>B62+B63-C64</f>
        <v>38799</v>
      </c>
      <c r="C75" s="499">
        <f>SUM(C66:C74)</f>
        <v>48226</v>
      </c>
      <c r="D75" s="499">
        <f>B75-C75</f>
        <v>-9427</v>
      </c>
      <c r="E75" s="493" t="s">
        <v>2</v>
      </c>
      <c r="F75" s="499">
        <f>F62+F63-G64</f>
        <v>-53316</v>
      </c>
      <c r="G75" s="499">
        <f>SUM(G66:G74)</f>
        <v>48226</v>
      </c>
      <c r="H75" s="499">
        <f>F75-G75</f>
        <v>-101542</v>
      </c>
    </row>
    <row r="77" spans="1:8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8" x14ac:dyDescent="0.25">
      <c r="A78" s="558"/>
      <c r="B78" s="559"/>
      <c r="C78" s="559"/>
      <c r="D78" s="560"/>
      <c r="E78" s="558"/>
      <c r="F78" s="558"/>
    </row>
    <row r="79" spans="1:8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37" zoomScaleNormal="100" workbookViewId="0">
      <selection activeCell="J34" sqref="J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720</v>
      </c>
      <c r="B21" s="494">
        <f>E17</f>
        <v>4000</v>
      </c>
      <c r="C21" s="191"/>
      <c r="D21" s="191"/>
      <c r="E21" s="191" t="s">
        <v>720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'MARCH '!D31</f>
        <v>9300</v>
      </c>
      <c r="C22" s="191"/>
      <c r="D22" s="191"/>
      <c r="E22" s="191" t="s">
        <v>347</v>
      </c>
      <c r="F22" s="494">
        <f>'MARCH '!H31</f>
        <v>6800</v>
      </c>
      <c r="G22" s="191"/>
      <c r="H22" s="191"/>
      <c r="I22" s="535" t="s">
        <v>26</v>
      </c>
      <c r="J22" s="216">
        <f>'MARCH '!J26</f>
        <v>1400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1800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</row>
    <row r="26" spans="1:10" x14ac:dyDescent="0.25">
      <c r="A26" s="496" t="s">
        <v>605</v>
      </c>
      <c r="B26" s="191"/>
      <c r="C26" s="216">
        <v>700</v>
      </c>
      <c r="D26" s="191"/>
      <c r="E26" s="496" t="s">
        <v>605</v>
      </c>
      <c r="F26" s="191"/>
      <c r="G26" s="216">
        <v>700</v>
      </c>
      <c r="H26" s="191"/>
      <c r="I26" s="216" t="s">
        <v>26</v>
      </c>
      <c r="J26" s="216">
        <f>J24-J25</f>
        <v>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12900</v>
      </c>
      <c r="C31" s="499">
        <f>SUM(C25:C30)</f>
        <v>2700</v>
      </c>
      <c r="D31" s="499">
        <f>B31-C31</f>
        <v>10200</v>
      </c>
      <c r="E31" s="493" t="s">
        <v>2</v>
      </c>
      <c r="F31" s="499">
        <f>F21+F22-G23</f>
        <v>10400</v>
      </c>
      <c r="G31" s="499">
        <f>SUM(G25:G30)</f>
        <v>2700</v>
      </c>
      <c r="H31" s="499">
        <f>F31-G31</f>
        <v>7700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67500</v>
      </c>
      <c r="E37" s="440">
        <v>4500</v>
      </c>
      <c r="F37" s="440">
        <f>D37+E37</f>
        <v>72000</v>
      </c>
      <c r="G37" s="440">
        <f>30000</f>
        <v>30000</v>
      </c>
      <c r="H37" s="544">
        <f>F37-G37</f>
        <v>42000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>
        <v>500</v>
      </c>
      <c r="E44" s="543">
        <v>2500</v>
      </c>
      <c r="F44" s="440">
        <f t="shared" si="2"/>
        <v>3000</v>
      </c>
      <c r="G44" s="543">
        <v>3000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2200</v>
      </c>
      <c r="F55" s="440">
        <f t="shared" si="2"/>
        <v>2200</v>
      </c>
      <c r="G55" s="556">
        <v>2200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39700</v>
      </c>
      <c r="F57" s="589">
        <f>SUM(F37:F56)</f>
        <v>109100</v>
      </c>
      <c r="G57" s="590">
        <f>SUM(G37:G56)</f>
        <v>65700</v>
      </c>
      <c r="H57" s="590">
        <f>SUM(H37:H56)</f>
        <v>43400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720</v>
      </c>
      <c r="B62" s="494">
        <f>E57</f>
        <v>39700</v>
      </c>
      <c r="C62" s="191"/>
      <c r="D62" s="191"/>
      <c r="E62" s="191" t="s">
        <v>720</v>
      </c>
      <c r="F62" s="494">
        <f>G57</f>
        <v>65700</v>
      </c>
      <c r="G62" s="191"/>
      <c r="H62" s="191"/>
    </row>
    <row r="63" spans="1:9" x14ac:dyDescent="0.25">
      <c r="A63" s="191" t="s">
        <v>347</v>
      </c>
      <c r="B63" s="494">
        <f>'MARCH '!D75</f>
        <v>-9427</v>
      </c>
      <c r="C63" s="191"/>
      <c r="D63" s="191"/>
      <c r="E63" s="191" t="s">
        <v>347</v>
      </c>
      <c r="F63" s="494">
        <f>'MARCH '!H75</f>
        <v>-101542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3970</v>
      </c>
      <c r="D64" s="191"/>
      <c r="E64" s="191" t="s">
        <v>613</v>
      </c>
      <c r="F64" s="327">
        <v>0.1</v>
      </c>
      <c r="G64" s="494">
        <f>C64</f>
        <v>3970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721</v>
      </c>
      <c r="B66" s="191"/>
      <c r="C66" s="191">
        <v>15000</v>
      </c>
      <c r="D66" s="191"/>
      <c r="E66" s="495" t="s">
        <v>721</v>
      </c>
      <c r="F66" s="191"/>
      <c r="G66" s="191">
        <v>15000</v>
      </c>
      <c r="H66" s="191"/>
    </row>
    <row r="67" spans="1:10" x14ac:dyDescent="0.25">
      <c r="A67" s="496" t="s">
        <v>722</v>
      </c>
      <c r="B67" s="191"/>
      <c r="C67" s="216">
        <v>20300</v>
      </c>
      <c r="D67" s="191"/>
      <c r="E67" s="496" t="s">
        <v>722</v>
      </c>
      <c r="F67" s="191"/>
      <c r="G67" s="216">
        <v>20300</v>
      </c>
      <c r="H67" s="191"/>
    </row>
    <row r="68" spans="1:10" x14ac:dyDescent="0.25">
      <c r="A68" s="496" t="s">
        <v>723</v>
      </c>
      <c r="B68" s="191"/>
      <c r="C68" s="191">
        <v>5127</v>
      </c>
      <c r="D68" s="191"/>
      <c r="E68" s="496" t="s">
        <v>723</v>
      </c>
      <c r="F68" s="191"/>
      <c r="G68" s="191">
        <v>5127</v>
      </c>
      <c r="H68" s="191"/>
    </row>
    <row r="69" spans="1:10" x14ac:dyDescent="0.25">
      <c r="A69" s="496"/>
      <c r="B69" s="191"/>
      <c r="C69" s="191"/>
      <c r="D69" s="191"/>
      <c r="E69" s="496"/>
      <c r="F69" s="191"/>
      <c r="G69" s="191"/>
      <c r="H69" s="191"/>
    </row>
    <row r="70" spans="1:10" x14ac:dyDescent="0.25">
      <c r="A70" s="496"/>
      <c r="B70" s="191"/>
      <c r="C70" s="191"/>
      <c r="D70" s="191"/>
      <c r="E70" s="496"/>
      <c r="F70" s="191"/>
      <c r="G70" s="191"/>
      <c r="H70" s="191"/>
    </row>
    <row r="71" spans="1:10" x14ac:dyDescent="0.25">
      <c r="A71" s="496"/>
      <c r="B71" s="191"/>
      <c r="C71" s="191"/>
      <c r="D71" s="191"/>
      <c r="E71" s="496"/>
      <c r="F71" s="191"/>
      <c r="G71" s="191"/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26303</v>
      </c>
      <c r="C75" s="499">
        <f>SUM(C66:C74)</f>
        <v>40427</v>
      </c>
      <c r="D75" s="499">
        <f>B75-C75</f>
        <v>-14124</v>
      </c>
      <c r="E75" s="493" t="s">
        <v>2</v>
      </c>
      <c r="F75" s="499">
        <f>F62+F63-G64</f>
        <v>-39812</v>
      </c>
      <c r="G75" s="499">
        <f>SUM(G66:G74)</f>
        <v>40427</v>
      </c>
      <c r="H75" s="499">
        <f>F75-G75</f>
        <v>-80239</v>
      </c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10" x14ac:dyDescent="0.25">
      <c r="A78" s="558"/>
      <c r="B78" s="559"/>
      <c r="C78" s="559"/>
      <c r="D78" s="560"/>
      <c r="E78" s="558"/>
      <c r="F78" s="558"/>
      <c r="J78" s="216">
        <v>9427</v>
      </c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>
        <f>D75+J78</f>
        <v>-4697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workbookViewId="0">
      <selection activeCell="I63" sqref="I63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724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4500</v>
      </c>
      <c r="H5" s="266">
        <f>F5-G5</f>
        <v>0</v>
      </c>
      <c r="I5" s="216" t="s">
        <v>738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6500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725</v>
      </c>
      <c r="B21" s="494">
        <f>E17</f>
        <v>4000</v>
      </c>
      <c r="C21" s="191"/>
      <c r="D21" s="191"/>
      <c r="E21" s="191" t="s">
        <v>725</v>
      </c>
      <c r="F21" s="494">
        <f>G17</f>
        <v>6500</v>
      </c>
      <c r="G21" s="191"/>
      <c r="H21" s="191"/>
      <c r="I21" s="535"/>
    </row>
    <row r="22" spans="1:10" x14ac:dyDescent="0.25">
      <c r="A22" s="191" t="s">
        <v>347</v>
      </c>
      <c r="B22" s="494">
        <f>APR!D31</f>
        <v>10200</v>
      </c>
      <c r="C22" s="191"/>
      <c r="D22" s="191"/>
      <c r="E22" s="191" t="s">
        <v>347</v>
      </c>
      <c r="F22" s="494">
        <f>APR!H31</f>
        <v>7700</v>
      </c>
      <c r="G22" s="191"/>
      <c r="H22" s="191"/>
      <c r="I22" s="535" t="s">
        <v>26</v>
      </c>
      <c r="J22" s="216">
        <v>1800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2200</v>
      </c>
    </row>
    <row r="25" spans="1:10" x14ac:dyDescent="0.25">
      <c r="A25" s="495" t="s">
        <v>737</v>
      </c>
      <c r="B25" s="191"/>
      <c r="C25" s="191">
        <v>2500</v>
      </c>
      <c r="D25" s="191"/>
      <c r="E25" s="495" t="s">
        <v>737</v>
      </c>
      <c r="F25" s="191"/>
      <c r="G25" s="191">
        <v>2500</v>
      </c>
      <c r="H25" s="191"/>
      <c r="I25" s="216" t="s">
        <v>3</v>
      </c>
      <c r="J25" s="216">
        <v>4000</v>
      </c>
    </row>
    <row r="26" spans="1:10" x14ac:dyDescent="0.25">
      <c r="A26" s="496" t="s">
        <v>605</v>
      </c>
      <c r="B26" s="191"/>
      <c r="C26" s="216">
        <v>1100</v>
      </c>
      <c r="D26" s="191"/>
      <c r="E26" s="496" t="s">
        <v>605</v>
      </c>
      <c r="F26" s="191"/>
      <c r="G26" s="216">
        <v>1100</v>
      </c>
      <c r="H26" s="191"/>
      <c r="I26" s="216" t="s">
        <v>26</v>
      </c>
      <c r="J26" s="216">
        <f>J24-J25</f>
        <v>-1800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724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42000</v>
      </c>
      <c r="E37" s="440">
        <v>4500</v>
      </c>
      <c r="F37" s="440">
        <f>D37+E37</f>
        <v>46500</v>
      </c>
      <c r="G37" s="440">
        <v>9000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300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1700</v>
      </c>
      <c r="H53" s="544">
        <f t="shared" si="3"/>
        <v>600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39100</v>
      </c>
      <c r="F57" s="589">
        <f>SUM(F37:F56)</f>
        <v>82500</v>
      </c>
      <c r="G57" s="590">
        <f>SUM(G37:G56)</f>
        <v>43700</v>
      </c>
      <c r="H57" s="590">
        <f>SUM(H37:H56)</f>
        <v>38800</v>
      </c>
      <c r="I57" s="591">
        <f>SUM(I37:I56)</f>
        <v>800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725</v>
      </c>
      <c r="B62" s="494">
        <f>E57</f>
        <v>39100</v>
      </c>
      <c r="C62" s="191"/>
      <c r="D62" s="191"/>
      <c r="E62" s="191" t="s">
        <v>725</v>
      </c>
      <c r="F62" s="494">
        <f>G57</f>
        <v>43700</v>
      </c>
      <c r="G62" s="191"/>
      <c r="H62" s="191"/>
      <c r="I62" s="292">
        <f>E57</f>
        <v>39100</v>
      </c>
    </row>
    <row r="63" spans="1:9" x14ac:dyDescent="0.25">
      <c r="A63" s="191" t="s">
        <v>347</v>
      </c>
      <c r="B63" s="494">
        <f>APR!D75</f>
        <v>-14124</v>
      </c>
      <c r="C63" s="191"/>
      <c r="D63" s="191"/>
      <c r="E63" s="191" t="s">
        <v>347</v>
      </c>
      <c r="F63" s="494">
        <f>APR!H75</f>
        <v>-80239</v>
      </c>
      <c r="G63" s="191"/>
      <c r="H63" s="191"/>
      <c r="I63" s="292">
        <f>I62-C64</f>
        <v>35190</v>
      </c>
    </row>
    <row r="64" spans="1:9" x14ac:dyDescent="0.25">
      <c r="A64" s="191" t="s">
        <v>613</v>
      </c>
      <c r="B64" s="327">
        <v>0.1</v>
      </c>
      <c r="C64" s="494">
        <f>B62*B64</f>
        <v>3910</v>
      </c>
      <c r="D64" s="191"/>
      <c r="E64" s="191" t="s">
        <v>613</v>
      </c>
      <c r="F64" s="327">
        <v>0.1</v>
      </c>
      <c r="G64" s="494">
        <f>C64</f>
        <v>3910</v>
      </c>
      <c r="H64" s="191"/>
      <c r="I64" s="292">
        <f>I63-K77</f>
        <v>23190</v>
      </c>
    </row>
    <row r="65" spans="1:11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>
        <f>I64-C66</f>
        <v>13190</v>
      </c>
    </row>
    <row r="66" spans="1:11" x14ac:dyDescent="0.25">
      <c r="A66" s="495" t="s">
        <v>726</v>
      </c>
      <c r="B66" s="191"/>
      <c r="C66" s="191">
        <v>10000</v>
      </c>
      <c r="D66" s="191"/>
      <c r="E66" s="495" t="s">
        <v>726</v>
      </c>
      <c r="F66" s="191"/>
      <c r="G66" s="191">
        <v>10000</v>
      </c>
      <c r="H66" s="191"/>
    </row>
    <row r="67" spans="1:11" x14ac:dyDescent="0.25">
      <c r="A67" s="496" t="s">
        <v>629</v>
      </c>
      <c r="B67" s="191"/>
      <c r="C67" s="216">
        <v>4000</v>
      </c>
      <c r="D67" s="191"/>
      <c r="E67" s="496" t="s">
        <v>629</v>
      </c>
      <c r="F67" s="191"/>
      <c r="G67" s="216">
        <v>4000</v>
      </c>
      <c r="H67" s="191"/>
    </row>
    <row r="68" spans="1:11" x14ac:dyDescent="0.25">
      <c r="A68" s="496" t="s">
        <v>727</v>
      </c>
      <c r="B68" s="191"/>
      <c r="C68" s="191">
        <v>13000</v>
      </c>
      <c r="D68" s="191"/>
      <c r="E68" s="496" t="s">
        <v>727</v>
      </c>
      <c r="F68" s="191"/>
      <c r="G68" s="191">
        <v>13000</v>
      </c>
      <c r="H68" s="191"/>
    </row>
    <row r="69" spans="1:11" x14ac:dyDescent="0.25">
      <c r="A69" s="496"/>
      <c r="B69" s="191"/>
      <c r="C69" s="191"/>
      <c r="D69" s="191"/>
      <c r="E69" s="496"/>
      <c r="F69" s="191"/>
      <c r="G69" s="191"/>
      <c r="H69" s="191"/>
    </row>
    <row r="70" spans="1:11" x14ac:dyDescent="0.25">
      <c r="A70" s="496"/>
      <c r="B70" s="191"/>
      <c r="C70" s="191"/>
      <c r="D70" s="191"/>
      <c r="E70" s="496"/>
      <c r="F70" s="191"/>
      <c r="G70" s="191"/>
      <c r="H70" s="191"/>
    </row>
    <row r="71" spans="1:11" x14ac:dyDescent="0.25">
      <c r="A71" s="496"/>
      <c r="B71" s="191"/>
      <c r="C71" s="191"/>
      <c r="D71" s="191"/>
      <c r="E71" s="496"/>
      <c r="F71" s="191"/>
      <c r="G71" s="191"/>
      <c r="H71" s="191"/>
    </row>
    <row r="72" spans="1:11" x14ac:dyDescent="0.25">
      <c r="A72" s="496"/>
      <c r="B72" s="191"/>
      <c r="C72" s="191"/>
      <c r="D72" s="191"/>
      <c r="E72" s="496"/>
      <c r="F72" s="191"/>
      <c r="G72" s="191"/>
      <c r="H72" s="191"/>
    </row>
    <row r="73" spans="1:11" x14ac:dyDescent="0.25">
      <c r="A73" s="497"/>
      <c r="B73" s="191"/>
      <c r="C73" s="191"/>
      <c r="D73" s="191"/>
      <c r="E73" s="497"/>
      <c r="F73" s="191"/>
      <c r="G73" s="191"/>
      <c r="H73" s="191"/>
    </row>
    <row r="74" spans="1:11" x14ac:dyDescent="0.25">
      <c r="A74" s="496"/>
      <c r="B74" s="191"/>
      <c r="C74" s="498"/>
      <c r="D74" s="191"/>
      <c r="E74" s="496"/>
      <c r="F74" s="191"/>
      <c r="G74" s="498"/>
      <c r="H74" s="191"/>
    </row>
    <row r="75" spans="1:11" x14ac:dyDescent="0.25">
      <c r="A75" s="493" t="s">
        <v>2</v>
      </c>
      <c r="B75" s="499">
        <f>B62+B63-C64</f>
        <v>21066</v>
      </c>
      <c r="C75" s="499">
        <f>SUM(C66:C74)</f>
        <v>27000</v>
      </c>
      <c r="D75" s="499">
        <f>B75-C75</f>
        <v>-5934</v>
      </c>
      <c r="E75" s="493" t="s">
        <v>2</v>
      </c>
      <c r="F75" s="499">
        <f>F62+F63-G64</f>
        <v>-40449</v>
      </c>
      <c r="G75" s="499">
        <f>SUM(G66:G74)</f>
        <v>27000</v>
      </c>
      <c r="H75" s="499">
        <f>F75-G75</f>
        <v>-67449</v>
      </c>
    </row>
    <row r="77" spans="1:11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K77" s="216">
        <v>12000</v>
      </c>
    </row>
    <row r="78" spans="1:11" x14ac:dyDescent="0.25">
      <c r="A78" s="558"/>
      <c r="B78" s="559"/>
      <c r="C78" s="559"/>
      <c r="D78" s="560"/>
      <c r="E78" s="558"/>
      <c r="F78" s="558"/>
    </row>
    <row r="79" spans="1:11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zoomScaleNormal="100" workbookViewId="0">
      <selection activeCell="D60" sqref="D60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 t="s">
        <v>163</v>
      </c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728</v>
      </c>
      <c r="B21" s="494">
        <f>E17</f>
        <v>4000</v>
      </c>
      <c r="C21" s="191"/>
      <c r="D21" s="191"/>
      <c r="E21" s="191" t="s">
        <v>728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'MAY '!D31</f>
        <v>10200</v>
      </c>
      <c r="C22" s="191"/>
      <c r="D22" s="191"/>
      <c r="E22" s="191" t="s">
        <v>347</v>
      </c>
      <c r="F22" s="494">
        <f>'MAY '!H31</f>
        <v>10200</v>
      </c>
      <c r="G22" s="191"/>
      <c r="H22" s="191"/>
      <c r="I22" s="535" t="s">
        <v>26</v>
      </c>
      <c r="J22" s="216">
        <v>200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600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 t="s">
        <v>191</v>
      </c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  <c r="I26" s="216" t="s">
        <v>26</v>
      </c>
      <c r="J26" s="216">
        <f>J24-J25</f>
        <v>-1400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4500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/>
      <c r="H50" s="544">
        <f>F50-G50</f>
        <v>3200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600</v>
      </c>
      <c r="E53" s="544">
        <v>1600</v>
      </c>
      <c r="F53" s="440">
        <f t="shared" si="2"/>
        <v>2200</v>
      </c>
      <c r="G53" s="544"/>
      <c r="H53" s="544">
        <f t="shared" si="3"/>
        <v>2200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41100</v>
      </c>
      <c r="F57" s="589">
        <f>SUM(F37:F56)</f>
        <v>79900</v>
      </c>
      <c r="G57" s="590">
        <f>SUM(G37:G56)</f>
        <v>37000</v>
      </c>
      <c r="H57" s="590">
        <f>SUM(H37:H56)</f>
        <v>42900</v>
      </c>
      <c r="I57" s="591">
        <f>SUM(I37:I56)</f>
        <v>400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728</v>
      </c>
      <c r="B62" s="494">
        <f>E57</f>
        <v>41100</v>
      </c>
      <c r="C62" s="191"/>
      <c r="D62" s="191"/>
      <c r="E62" s="191" t="s">
        <v>730</v>
      </c>
      <c r="F62" s="494">
        <f>G57</f>
        <v>37000</v>
      </c>
      <c r="G62" s="191"/>
      <c r="H62" s="191"/>
      <c r="I62" s="292"/>
    </row>
    <row r="63" spans="1:9" x14ac:dyDescent="0.25">
      <c r="A63" s="191" t="s">
        <v>347</v>
      </c>
      <c r="B63" s="494">
        <f>'MAY '!D75</f>
        <v>-5934</v>
      </c>
      <c r="C63" s="191"/>
      <c r="D63" s="191"/>
      <c r="E63" s="191" t="s">
        <v>347</v>
      </c>
      <c r="F63" s="494">
        <f>'MAY '!H75</f>
        <v>-67449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4110</v>
      </c>
      <c r="D64" s="191"/>
      <c r="E64" s="191" t="s">
        <v>613</v>
      </c>
      <c r="F64" s="327">
        <v>0.1</v>
      </c>
      <c r="G64" s="494">
        <f>C64</f>
        <v>4110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732</v>
      </c>
      <c r="B66" s="191"/>
      <c r="C66" s="191">
        <v>13000</v>
      </c>
      <c r="D66" s="191"/>
      <c r="E66" s="495" t="s">
        <v>732</v>
      </c>
      <c r="F66" s="191"/>
      <c r="G66" s="191">
        <v>13000</v>
      </c>
      <c r="H66" s="191"/>
    </row>
    <row r="67" spans="1:10" x14ac:dyDescent="0.25">
      <c r="A67" s="496" t="s">
        <v>733</v>
      </c>
      <c r="B67" s="191"/>
      <c r="C67" s="216">
        <v>5000</v>
      </c>
      <c r="D67" s="191"/>
      <c r="E67" s="496" t="s">
        <v>733</v>
      </c>
      <c r="F67" s="191"/>
      <c r="G67" s="216">
        <v>5000</v>
      </c>
      <c r="H67" s="191"/>
    </row>
    <row r="68" spans="1:10" x14ac:dyDescent="0.25">
      <c r="A68" s="496" t="s">
        <v>629</v>
      </c>
      <c r="B68" s="191"/>
      <c r="C68" s="191">
        <v>4000</v>
      </c>
      <c r="D68" s="191"/>
      <c r="E68" s="496" t="s">
        <v>629</v>
      </c>
      <c r="F68" s="191"/>
      <c r="G68" s="191">
        <v>4000</v>
      </c>
      <c r="H68" s="191"/>
    </row>
    <row r="69" spans="1:10" x14ac:dyDescent="0.25">
      <c r="A69" s="496" t="s">
        <v>734</v>
      </c>
      <c r="B69" s="191"/>
      <c r="C69" s="191">
        <v>500</v>
      </c>
      <c r="D69" s="191"/>
      <c r="E69" s="496" t="s">
        <v>734</v>
      </c>
      <c r="F69" s="191"/>
      <c r="G69" s="191">
        <v>500</v>
      </c>
      <c r="H69" s="191"/>
    </row>
    <row r="70" spans="1:10" x14ac:dyDescent="0.25">
      <c r="A70" s="496" t="s">
        <v>735</v>
      </c>
      <c r="B70" s="191"/>
      <c r="C70" s="191">
        <v>8300</v>
      </c>
      <c r="D70" s="191"/>
      <c r="E70" s="496" t="s">
        <v>735</v>
      </c>
      <c r="F70" s="191"/>
      <c r="G70" s="191">
        <v>8300</v>
      </c>
      <c r="H70" s="191"/>
    </row>
    <row r="71" spans="1:10" x14ac:dyDescent="0.25">
      <c r="A71" s="496" t="s">
        <v>736</v>
      </c>
      <c r="B71" s="191"/>
      <c r="C71" s="191">
        <v>3600</v>
      </c>
      <c r="D71" s="191"/>
      <c r="E71" s="496" t="s">
        <v>736</v>
      </c>
      <c r="F71" s="191"/>
      <c r="G71" s="191">
        <v>3600</v>
      </c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  <c r="J73" s="602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31056</v>
      </c>
      <c r="C75" s="499">
        <f>SUM(C66:C74)</f>
        <v>34400</v>
      </c>
      <c r="D75" s="499">
        <f>B75-C75</f>
        <v>-3344</v>
      </c>
      <c r="E75" s="493" t="s">
        <v>2</v>
      </c>
      <c r="F75" s="499">
        <f>F62+F63-G64</f>
        <v>-34559</v>
      </c>
      <c r="G75" s="499">
        <f>SUM(G66:G74)</f>
        <v>34400</v>
      </c>
      <c r="H75" s="499">
        <f>F75-G75</f>
        <v>-68959</v>
      </c>
      <c r="J75" s="602"/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J77" s="602"/>
    </row>
    <row r="78" spans="1:10" x14ac:dyDescent="0.25">
      <c r="A78" s="558"/>
      <c r="B78" s="559"/>
      <c r="C78" s="559"/>
      <c r="D78" s="560"/>
      <c r="E78" s="558"/>
      <c r="F78" s="558"/>
      <c r="J78" s="602"/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0" spans="1:10" x14ac:dyDescent="0.25">
      <c r="J80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44" workbookViewId="0">
      <selection activeCell="L40" sqref="L40"/>
    </sheetView>
  </sheetViews>
  <sheetFormatPr defaultRowHeight="15" x14ac:dyDescent="0.25"/>
  <cols>
    <col min="1" max="1" width="17.28515625" style="216" customWidth="1"/>
    <col min="2" max="2" width="7.5703125" style="216" customWidth="1"/>
    <col min="3" max="3" width="8.5703125" style="216" customWidth="1"/>
    <col min="4" max="4" width="8.28515625" style="216" customWidth="1"/>
    <col min="5" max="5" width="9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2:14" ht="15.75" x14ac:dyDescent="0.25">
      <c r="B1" s="515" t="s">
        <v>667</v>
      </c>
      <c r="C1" s="515"/>
      <c r="D1" s="515"/>
      <c r="E1" s="515"/>
    </row>
    <row r="2" spans="2:14" ht="15.75" x14ac:dyDescent="0.25">
      <c r="B2" s="515" t="s">
        <v>666</v>
      </c>
      <c r="C2" s="515"/>
      <c r="D2" s="515"/>
      <c r="E2" s="515"/>
      <c r="F2" s="517"/>
    </row>
    <row r="3" spans="2:14" ht="15.75" x14ac:dyDescent="0.25">
      <c r="B3" s="518" t="s">
        <v>739</v>
      </c>
      <c r="C3" s="518"/>
      <c r="D3" s="519"/>
      <c r="E3" s="518"/>
      <c r="F3" s="520"/>
      <c r="G3" s="520"/>
    </row>
    <row r="4" spans="2:14" x14ac:dyDescent="0.25"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2:14" x14ac:dyDescent="0.25"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2:14" x14ac:dyDescent="0.25">
      <c r="B6" s="521">
        <v>2</v>
      </c>
      <c r="C6" s="191"/>
      <c r="D6" s="219"/>
      <c r="E6" s="250"/>
      <c r="F6" s="250"/>
      <c r="G6" s="250"/>
      <c r="H6" s="266"/>
    </row>
    <row r="7" spans="2:14" x14ac:dyDescent="0.25">
      <c r="B7" s="521">
        <v>3</v>
      </c>
      <c r="C7" s="219"/>
      <c r="D7" s="219"/>
      <c r="E7" s="523"/>
      <c r="F7" s="250"/>
      <c r="G7" s="250"/>
      <c r="H7" s="266"/>
    </row>
    <row r="8" spans="2:14" x14ac:dyDescent="0.25"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2:14" x14ac:dyDescent="0.25"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2:14" x14ac:dyDescent="0.25"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2:14" x14ac:dyDescent="0.25">
      <c r="B11" s="220">
        <v>7</v>
      </c>
      <c r="C11" s="191"/>
      <c r="D11" s="219"/>
      <c r="E11" s="250"/>
      <c r="F11" s="250"/>
      <c r="G11" s="250"/>
      <c r="H11" s="266"/>
    </row>
    <row r="12" spans="2:14" x14ac:dyDescent="0.25">
      <c r="B12" s="220">
        <v>8</v>
      </c>
      <c r="C12" s="524"/>
      <c r="D12" s="525"/>
      <c r="E12" s="526"/>
      <c r="F12" s="250"/>
      <c r="G12" s="526"/>
      <c r="H12" s="527"/>
    </row>
    <row r="13" spans="2:14" x14ac:dyDescent="0.25"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2:14" x14ac:dyDescent="0.25"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2:14" x14ac:dyDescent="0.25"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2:14" x14ac:dyDescent="0.25"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2:9" x14ac:dyDescent="0.25"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2:9" x14ac:dyDescent="0.25">
      <c r="B18" s="488"/>
      <c r="C18" s="457"/>
      <c r="D18" s="489"/>
      <c r="E18" s="490"/>
      <c r="F18" s="458"/>
      <c r="G18" s="490"/>
    </row>
    <row r="19" spans="2:9" x14ac:dyDescent="0.25">
      <c r="B19" s="491"/>
      <c r="C19" s="491"/>
      <c r="D19" s="492"/>
      <c r="E19" s="491" t="s">
        <v>3</v>
      </c>
    </row>
    <row r="20" spans="2:9" x14ac:dyDescent="0.25"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2:9" x14ac:dyDescent="0.25">
      <c r="B21" s="494">
        <f>E17</f>
        <v>4000</v>
      </c>
      <c r="C21" s="191"/>
      <c r="D21" s="191"/>
      <c r="E21" s="191" t="s">
        <v>740</v>
      </c>
      <c r="F21" s="494">
        <f>G17</f>
        <v>4000</v>
      </c>
      <c r="G21" s="191"/>
      <c r="H21" s="191"/>
      <c r="I21" s="535"/>
    </row>
    <row r="22" spans="2:9" x14ac:dyDescent="0.25">
      <c r="B22" s="494">
        <f>JUNEE!D31</f>
        <v>10200</v>
      </c>
      <c r="C22" s="191"/>
      <c r="D22" s="191"/>
      <c r="E22" s="191" t="s">
        <v>347</v>
      </c>
      <c r="F22" s="494">
        <f>JUNEE!H31</f>
        <v>10200</v>
      </c>
      <c r="G22" s="191"/>
      <c r="H22" s="191"/>
      <c r="I22" s="535"/>
    </row>
    <row r="23" spans="2:9" x14ac:dyDescent="0.25"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</row>
    <row r="24" spans="2:9" x14ac:dyDescent="0.25">
      <c r="B24" s="493" t="s">
        <v>163</v>
      </c>
      <c r="C24" s="493"/>
      <c r="D24" s="493"/>
      <c r="E24" s="493" t="s">
        <v>693</v>
      </c>
      <c r="F24" s="499"/>
      <c r="G24" s="493"/>
      <c r="H24" s="493"/>
    </row>
    <row r="25" spans="2:9" x14ac:dyDescent="0.25"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</row>
    <row r="26" spans="2:9" x14ac:dyDescent="0.25"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</row>
    <row r="27" spans="2:9" x14ac:dyDescent="0.25">
      <c r="B27" s="191"/>
      <c r="C27" s="191"/>
      <c r="D27" s="191"/>
      <c r="E27" s="496"/>
      <c r="F27" s="191"/>
      <c r="G27" s="191"/>
      <c r="H27" s="191"/>
    </row>
    <row r="28" spans="2:9" x14ac:dyDescent="0.25">
      <c r="B28" s="191"/>
      <c r="C28" s="191"/>
      <c r="D28" s="191"/>
      <c r="E28" s="496"/>
      <c r="F28" s="191"/>
      <c r="G28" s="191"/>
      <c r="H28" s="191"/>
    </row>
    <row r="29" spans="2:9" x14ac:dyDescent="0.25">
      <c r="B29" s="191"/>
      <c r="C29" s="191"/>
      <c r="D29" s="191"/>
      <c r="E29" s="497"/>
      <c r="F29" s="191"/>
      <c r="G29" s="191"/>
      <c r="H29" s="191"/>
    </row>
    <row r="30" spans="2:9" x14ac:dyDescent="0.25">
      <c r="B30" s="191"/>
      <c r="C30" s="498"/>
      <c r="D30" s="191"/>
      <c r="E30" s="496"/>
      <c r="F30" s="191"/>
      <c r="G30" s="498"/>
      <c r="H30" s="191"/>
    </row>
    <row r="31" spans="2:9" x14ac:dyDescent="0.25"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5.75" x14ac:dyDescent="0.25">
      <c r="B33" s="537" t="s">
        <v>620</v>
      </c>
      <c r="C33" s="537"/>
      <c r="D33" s="537"/>
      <c r="E33" s="537"/>
      <c r="F33" s="538"/>
    </row>
    <row r="34" spans="1:9" ht="15.75" x14ac:dyDescent="0.25"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739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9000</v>
      </c>
      <c r="H37" s="544">
        <f>F37-G37</f>
        <v>33000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100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440">
        <f t="shared" si="2"/>
        <v>0</v>
      </c>
      <c r="G45" s="219"/>
      <c r="H45" s="544">
        <f t="shared" si="3"/>
        <v>0</v>
      </c>
      <c r="I45" s="543"/>
    </row>
    <row r="46" spans="1:9" x14ac:dyDescent="0.25">
      <c r="A46" s="219" t="s">
        <v>747</v>
      </c>
      <c r="B46" s="601">
        <v>10</v>
      </c>
      <c r="C46" s="191"/>
      <c r="D46" s="191"/>
      <c r="E46" s="191">
        <v>2500</v>
      </c>
      <c r="F46" s="440">
        <f t="shared" si="2"/>
        <v>2500</v>
      </c>
      <c r="G46" s="191">
        <v>2500</v>
      </c>
      <c r="H46" s="544">
        <f t="shared" si="3"/>
        <v>0</v>
      </c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/>
      <c r="B48" s="541">
        <v>9</v>
      </c>
      <c r="C48" s="219"/>
      <c r="D48" s="543"/>
      <c r="E48" s="544"/>
      <c r="F48" s="440">
        <f>D48+E48</f>
        <v>0</v>
      </c>
      <c r="G48" s="544"/>
      <c r="H48" s="544">
        <f>F48-G48</f>
        <v>0</v>
      </c>
      <c r="I48" s="543"/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>D49+E49</f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746</v>
      </c>
      <c r="B50" s="541">
        <v>14</v>
      </c>
      <c r="C50" s="219"/>
      <c r="D50" s="543"/>
      <c r="E50" s="549">
        <v>2500</v>
      </c>
      <c r="F50" s="440">
        <f>D50+E50</f>
        <v>2500</v>
      </c>
      <c r="G50" s="544">
        <v>2500</v>
      </c>
      <c r="H50" s="544">
        <f>F50-G50</f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2200</v>
      </c>
      <c r="E53" s="544">
        <v>1600</v>
      </c>
      <c r="F53" s="440">
        <f t="shared" si="2"/>
        <v>3800</v>
      </c>
      <c r="G53" s="544">
        <v>3400</v>
      </c>
      <c r="H53" s="544">
        <f>F53-G53</f>
        <v>400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40900</v>
      </c>
      <c r="F57" s="589">
        <f>SUM(F37:F56)</f>
        <v>80600</v>
      </c>
      <c r="G57" s="590">
        <f>SUM(G37:G56)</f>
        <v>47200</v>
      </c>
      <c r="H57" s="590">
        <f>SUM(H37:H56)</f>
        <v>33400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740</v>
      </c>
      <c r="B62" s="494">
        <f>E57</f>
        <v>40900</v>
      </c>
      <c r="C62" s="191"/>
      <c r="D62" s="191"/>
      <c r="E62" s="191" t="s">
        <v>740</v>
      </c>
      <c r="F62" s="494">
        <f>G57</f>
        <v>47200</v>
      </c>
      <c r="G62" s="191"/>
      <c r="H62" s="191"/>
      <c r="I62" s="292"/>
    </row>
    <row r="63" spans="1:9" x14ac:dyDescent="0.25">
      <c r="A63" s="191" t="s">
        <v>347</v>
      </c>
      <c r="B63" s="494">
        <f>JUNEE!D75</f>
        <v>-3344</v>
      </c>
      <c r="C63" s="191"/>
      <c r="D63" s="191"/>
      <c r="E63" s="191" t="s">
        <v>347</v>
      </c>
      <c r="F63" s="494">
        <f>JUNEE!H75</f>
        <v>-68959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4090</v>
      </c>
      <c r="D64" s="191"/>
      <c r="E64" s="191" t="s">
        <v>613</v>
      </c>
      <c r="F64" s="327">
        <v>0.1</v>
      </c>
      <c r="G64" s="494">
        <f>C64</f>
        <v>4090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191</v>
      </c>
      <c r="B66" s="191"/>
      <c r="C66" s="191">
        <v>10000</v>
      </c>
      <c r="D66" s="191"/>
      <c r="E66" s="495" t="s">
        <v>191</v>
      </c>
      <c r="F66" s="191"/>
      <c r="G66" s="191">
        <v>10000</v>
      </c>
      <c r="H66" s="191"/>
    </row>
    <row r="67" spans="1:10" x14ac:dyDescent="0.25">
      <c r="A67" s="496" t="s">
        <v>741</v>
      </c>
      <c r="B67" s="191"/>
      <c r="C67" s="216">
        <v>10000</v>
      </c>
      <c r="D67" s="191"/>
      <c r="E67" s="496" t="s">
        <v>741</v>
      </c>
      <c r="F67" s="191"/>
      <c r="G67" s="216">
        <v>10000</v>
      </c>
      <c r="H67" s="191"/>
    </row>
    <row r="68" spans="1:10" x14ac:dyDescent="0.25">
      <c r="A68" s="496" t="s">
        <v>742</v>
      </c>
      <c r="B68" s="191"/>
      <c r="C68" s="191">
        <v>3200</v>
      </c>
      <c r="D68" s="191"/>
      <c r="E68" s="496" t="s">
        <v>742</v>
      </c>
      <c r="F68" s="191"/>
      <c r="G68" s="191">
        <v>3200</v>
      </c>
      <c r="H68" s="191"/>
    </row>
    <row r="69" spans="1:10" x14ac:dyDescent="0.25">
      <c r="A69" s="496" t="s">
        <v>743</v>
      </c>
      <c r="B69" s="191"/>
      <c r="C69" s="191">
        <v>5200</v>
      </c>
      <c r="D69" s="191"/>
      <c r="E69" s="496" t="s">
        <v>743</v>
      </c>
      <c r="F69" s="191"/>
      <c r="G69" s="191">
        <v>5200</v>
      </c>
      <c r="H69" s="191"/>
    </row>
    <row r="70" spans="1:10" x14ac:dyDescent="0.25">
      <c r="A70" s="496" t="s">
        <v>744</v>
      </c>
      <c r="B70" s="191"/>
      <c r="C70" s="191">
        <v>5700</v>
      </c>
      <c r="D70" s="191"/>
      <c r="E70" s="496" t="s">
        <v>744</v>
      </c>
      <c r="F70" s="191"/>
      <c r="G70" s="191">
        <v>5700</v>
      </c>
      <c r="H70" s="191"/>
    </row>
    <row r="71" spans="1:10" x14ac:dyDescent="0.25">
      <c r="A71" s="496" t="s">
        <v>745</v>
      </c>
      <c r="B71" s="191"/>
      <c r="C71" s="191">
        <v>2000</v>
      </c>
      <c r="D71" s="191"/>
      <c r="E71" s="496" t="s">
        <v>745</v>
      </c>
      <c r="F71" s="191"/>
      <c r="G71" s="191">
        <v>2000</v>
      </c>
      <c r="H71" s="191"/>
    </row>
    <row r="72" spans="1:10" x14ac:dyDescent="0.25">
      <c r="A72" s="496" t="s">
        <v>748</v>
      </c>
      <c r="B72" s="191"/>
      <c r="C72" s="191">
        <v>5061</v>
      </c>
      <c r="D72" s="191"/>
      <c r="E72" s="496" t="s">
        <v>748</v>
      </c>
      <c r="F72" s="191"/>
      <c r="G72" s="191">
        <v>5061</v>
      </c>
      <c r="H72" s="191"/>
    </row>
    <row r="73" spans="1:10" x14ac:dyDescent="0.25">
      <c r="A73" s="497" t="s">
        <v>750</v>
      </c>
      <c r="B73" s="191"/>
      <c r="C73" s="191">
        <v>1775</v>
      </c>
      <c r="D73" s="191"/>
      <c r="E73" s="497" t="s">
        <v>750</v>
      </c>
      <c r="F73" s="191"/>
      <c r="G73" s="191">
        <v>1775</v>
      </c>
      <c r="H73" s="191"/>
      <c r="I73" s="216">
        <f>C72:C73+C75</f>
        <v>3550</v>
      </c>
      <c r="J73" s="602"/>
    </row>
    <row r="74" spans="1:10" x14ac:dyDescent="0.25">
      <c r="A74" s="496" t="s">
        <v>751</v>
      </c>
      <c r="B74" s="191"/>
      <c r="C74" s="498">
        <v>1000</v>
      </c>
      <c r="D74" s="191"/>
      <c r="E74" s="496" t="s">
        <v>751</v>
      </c>
      <c r="F74" s="191"/>
      <c r="G74" s="498">
        <v>1000</v>
      </c>
      <c r="H74" s="191"/>
    </row>
    <row r="75" spans="1:10" x14ac:dyDescent="0.25">
      <c r="A75" s="496" t="s">
        <v>752</v>
      </c>
      <c r="C75" s="498">
        <v>1775</v>
      </c>
      <c r="D75" s="191"/>
      <c r="E75" s="496" t="s">
        <v>752</v>
      </c>
      <c r="F75" s="191"/>
      <c r="G75" s="498">
        <v>1775</v>
      </c>
      <c r="H75" s="191"/>
    </row>
    <row r="76" spans="1:10" x14ac:dyDescent="0.25">
      <c r="A76" s="496" t="s">
        <v>753</v>
      </c>
      <c r="B76" s="191"/>
      <c r="C76" s="498">
        <v>2125</v>
      </c>
      <c r="D76" s="191"/>
      <c r="E76" s="496" t="s">
        <v>753</v>
      </c>
      <c r="F76" s="191"/>
      <c r="G76" s="498">
        <v>2125</v>
      </c>
      <c r="H76" s="191"/>
    </row>
    <row r="77" spans="1:10" x14ac:dyDescent="0.25">
      <c r="A77" s="496" t="s">
        <v>754</v>
      </c>
      <c r="B77" s="191"/>
      <c r="C77" s="498">
        <v>500</v>
      </c>
      <c r="D77" s="191"/>
      <c r="E77" s="496" t="s">
        <v>754</v>
      </c>
      <c r="F77" s="191"/>
      <c r="G77" s="498">
        <v>500</v>
      </c>
      <c r="H77" s="191"/>
    </row>
    <row r="78" spans="1:10" x14ac:dyDescent="0.25">
      <c r="A78" s="496"/>
      <c r="B78" s="191"/>
      <c r="C78" s="498"/>
      <c r="D78" s="191"/>
      <c r="E78" s="496"/>
      <c r="F78" s="191"/>
      <c r="G78" s="498"/>
      <c r="H78" s="191"/>
    </row>
    <row r="79" spans="1:10" x14ac:dyDescent="0.25">
      <c r="A79" s="493" t="s">
        <v>2</v>
      </c>
      <c r="B79" s="499">
        <f>B62+B63-C64</f>
        <v>33466</v>
      </c>
      <c r="C79" s="499">
        <f>SUM(C66:C77)</f>
        <v>48336</v>
      </c>
      <c r="D79" s="499">
        <f>B79-C79</f>
        <v>-14870</v>
      </c>
      <c r="E79" s="493" t="s">
        <v>2</v>
      </c>
      <c r="F79" s="499">
        <f>F62+F63-G64</f>
        <v>-25849</v>
      </c>
      <c r="G79" s="499">
        <f>SUM(G66:G74)</f>
        <v>43936</v>
      </c>
      <c r="H79" s="499">
        <f>F79-G79</f>
        <v>-69785</v>
      </c>
      <c r="J79" s="602"/>
    </row>
    <row r="81" spans="1:10" x14ac:dyDescent="0.25">
      <c r="A81" s="558" t="s">
        <v>659</v>
      </c>
      <c r="B81" s="559"/>
      <c r="C81" s="559" t="s">
        <v>661</v>
      </c>
      <c r="D81" s="560"/>
      <c r="E81" s="558"/>
      <c r="F81" s="558" t="s">
        <v>662</v>
      </c>
      <c r="J81" s="602"/>
    </row>
    <row r="82" spans="1:10" x14ac:dyDescent="0.25">
      <c r="A82" s="558"/>
      <c r="B82" s="559"/>
      <c r="C82" s="559"/>
      <c r="D82" s="560"/>
      <c r="E82" s="558"/>
      <c r="F82" s="558"/>
      <c r="J82" s="602"/>
    </row>
    <row r="83" spans="1:10" x14ac:dyDescent="0.25">
      <c r="A83" s="558" t="s">
        <v>660</v>
      </c>
      <c r="B83" s="559"/>
      <c r="C83" s="559" t="s">
        <v>78</v>
      </c>
      <c r="D83" s="560"/>
      <c r="E83" s="558"/>
      <c r="F83" s="558" t="s">
        <v>663</v>
      </c>
      <c r="J83" s="602"/>
    </row>
    <row r="84" spans="1:10" x14ac:dyDescent="0.25">
      <c r="J84" s="602"/>
    </row>
    <row r="86" spans="1:10" x14ac:dyDescent="0.25">
      <c r="A86" s="476"/>
      <c r="B86" s="476"/>
      <c r="C86" s="476"/>
      <c r="D86" s="476"/>
      <c r="E86" s="476"/>
      <c r="F86" s="476"/>
      <c r="G86" s="476"/>
      <c r="H86" s="476"/>
      <c r="I86" s="476"/>
    </row>
    <row r="87" spans="1:10" ht="23.25" x14ac:dyDescent="0.35">
      <c r="A87" s="561"/>
      <c r="B87" s="476"/>
      <c r="C87" s="562"/>
      <c r="D87" s="562"/>
      <c r="E87" s="562"/>
      <c r="F87" s="562"/>
      <c r="G87" s="562"/>
      <c r="H87" s="476"/>
      <c r="I87" s="476"/>
    </row>
    <row r="88" spans="1:10" x14ac:dyDescent="0.25">
      <c r="A88" s="476"/>
      <c r="B88" s="563"/>
      <c r="C88" s="476"/>
      <c r="D88" s="564"/>
      <c r="E88" s="476"/>
      <c r="F88" s="563"/>
      <c r="G88" s="563"/>
      <c r="H88" s="476"/>
      <c r="I88" s="476"/>
    </row>
    <row r="89" spans="1:10" x14ac:dyDescent="0.25">
      <c r="A89" s="565"/>
      <c r="B89" s="565"/>
      <c r="C89" s="565"/>
      <c r="D89" s="566"/>
      <c r="E89" s="567"/>
      <c r="F89" s="566"/>
      <c r="G89" s="567"/>
      <c r="H89" s="568"/>
      <c r="I89" s="476"/>
    </row>
    <row r="90" spans="1:10" x14ac:dyDescent="0.25">
      <c r="A90" s="559"/>
      <c r="B90" s="569"/>
      <c r="C90" s="559"/>
      <c r="D90" s="559"/>
      <c r="E90" s="502"/>
      <c r="F90" s="502"/>
      <c r="G90" s="502"/>
      <c r="H90" s="559"/>
      <c r="I90" s="476"/>
    </row>
    <row r="91" spans="1:10" x14ac:dyDescent="0.25">
      <c r="A91" s="570"/>
      <c r="B91" s="571"/>
      <c r="C91" s="476"/>
      <c r="D91" s="572"/>
      <c r="E91" s="473"/>
      <c r="F91" s="473"/>
      <c r="G91" s="473"/>
      <c r="H91" s="573"/>
      <c r="I91" s="476"/>
    </row>
    <row r="92" spans="1:10" x14ac:dyDescent="0.25">
      <c r="A92" s="570"/>
      <c r="B92" s="570"/>
      <c r="C92" s="476"/>
      <c r="D92" s="559"/>
      <c r="E92" s="473"/>
      <c r="F92" s="473"/>
      <c r="G92" s="473"/>
      <c r="H92" s="503"/>
      <c r="I92" s="476"/>
    </row>
    <row r="93" spans="1:10" x14ac:dyDescent="0.25">
      <c r="A93" s="570"/>
      <c r="B93" s="559"/>
      <c r="C93" s="476"/>
      <c r="D93" s="559"/>
      <c r="E93" s="473"/>
      <c r="F93" s="473"/>
      <c r="G93" s="473"/>
      <c r="H93" s="503"/>
      <c r="I93" s="476"/>
    </row>
    <row r="94" spans="1:10" x14ac:dyDescent="0.25">
      <c r="A94" s="559"/>
      <c r="B94" s="571"/>
      <c r="C94" s="476"/>
      <c r="D94" s="476"/>
      <c r="E94" s="473"/>
      <c r="F94" s="473"/>
      <c r="G94" s="473"/>
      <c r="H94" s="573"/>
      <c r="I94" s="476"/>
    </row>
    <row r="95" spans="1:10" x14ac:dyDescent="0.25">
      <c r="A95" s="559"/>
      <c r="B95" s="571"/>
      <c r="C95" s="476"/>
      <c r="D95" s="476"/>
      <c r="E95" s="473"/>
      <c r="F95" s="473"/>
      <c r="G95" s="473"/>
      <c r="H95" s="573"/>
      <c r="I95" s="476"/>
    </row>
    <row r="96" spans="1:10" x14ac:dyDescent="0.25">
      <c r="A96" s="559"/>
      <c r="B96" s="571"/>
      <c r="C96" s="476"/>
      <c r="D96" s="476"/>
      <c r="E96" s="574"/>
      <c r="F96" s="473"/>
      <c r="G96" s="475"/>
      <c r="H96" s="573"/>
      <c r="I96" s="476"/>
    </row>
    <row r="97" spans="1:9" x14ac:dyDescent="0.25">
      <c r="A97" s="502"/>
      <c r="B97" s="575"/>
      <c r="C97" s="576"/>
      <c r="D97" s="577"/>
      <c r="E97" s="473"/>
      <c r="F97" s="473"/>
      <c r="G97" s="473"/>
      <c r="H97" s="573"/>
      <c r="I97" s="476"/>
    </row>
    <row r="98" spans="1:9" x14ac:dyDescent="0.25">
      <c r="A98" s="476"/>
      <c r="B98" s="476"/>
      <c r="C98" s="476"/>
      <c r="D98" s="476"/>
      <c r="E98" s="476"/>
      <c r="F98" s="577"/>
      <c r="G98" s="476"/>
      <c r="H98" s="503"/>
      <c r="I98" s="476"/>
    </row>
    <row r="99" spans="1:9" x14ac:dyDescent="0.25">
      <c r="A99" s="570"/>
      <c r="B99" s="476"/>
      <c r="C99" s="476"/>
      <c r="D99" s="476"/>
      <c r="E99" s="477"/>
      <c r="F99" s="577"/>
      <c r="G99" s="477"/>
      <c r="H99" s="503"/>
      <c r="I99" s="476"/>
    </row>
    <row r="100" spans="1:9" x14ac:dyDescent="0.25">
      <c r="A100" s="570"/>
      <c r="B100" s="476"/>
      <c r="C100" s="476"/>
      <c r="D100" s="476"/>
      <c r="E100" s="477"/>
      <c r="F100" s="577"/>
      <c r="G100" s="477"/>
      <c r="H100" s="503"/>
      <c r="I100" s="476"/>
    </row>
    <row r="101" spans="1:9" x14ac:dyDescent="0.25">
      <c r="A101" s="570"/>
      <c r="B101" s="476"/>
      <c r="C101" s="476"/>
      <c r="D101" s="476"/>
      <c r="E101" s="477"/>
      <c r="F101" s="577"/>
      <c r="G101" s="477"/>
      <c r="H101" s="503"/>
      <c r="I101" s="476"/>
    </row>
    <row r="102" spans="1:9" x14ac:dyDescent="0.25">
      <c r="A102" s="570"/>
      <c r="B102" s="476"/>
      <c r="C102" s="476"/>
      <c r="D102" s="476"/>
      <c r="E102" s="477"/>
      <c r="F102" s="577"/>
      <c r="G102" s="477"/>
      <c r="H102" s="503"/>
      <c r="I102" s="476"/>
    </row>
    <row r="103" spans="1:9" x14ac:dyDescent="0.25">
      <c r="A103" s="476"/>
      <c r="B103" s="476"/>
      <c r="C103" s="476"/>
      <c r="D103" s="476"/>
      <c r="E103" s="573"/>
      <c r="F103" s="573"/>
      <c r="G103" s="573"/>
      <c r="H103" s="573"/>
      <c r="I103" s="476"/>
    </row>
    <row r="104" spans="1:9" x14ac:dyDescent="0.25">
      <c r="A104" s="558"/>
      <c r="B104" s="578"/>
      <c r="C104" s="476"/>
      <c r="D104" s="32"/>
      <c r="E104" s="558"/>
      <c r="F104" s="578"/>
      <c r="G104" s="476"/>
      <c r="H104" s="579"/>
      <c r="I104" s="476"/>
    </row>
    <row r="105" spans="1:9" x14ac:dyDescent="0.25">
      <c r="A105" s="214"/>
      <c r="B105" s="578"/>
      <c r="C105" s="476"/>
      <c r="D105" s="66"/>
      <c r="E105" s="214"/>
      <c r="F105" s="578"/>
      <c r="G105" s="476"/>
      <c r="H105" s="268"/>
      <c r="I105" s="476"/>
    </row>
    <row r="106" spans="1:9" x14ac:dyDescent="0.25">
      <c r="A106" s="214"/>
      <c r="B106" s="578"/>
      <c r="C106" s="476"/>
      <c r="D106" s="66"/>
      <c r="E106" s="214"/>
      <c r="F106" s="578"/>
      <c r="G106" s="476"/>
      <c r="H106" s="268"/>
      <c r="I106" s="476"/>
    </row>
    <row r="107" spans="1:9" x14ac:dyDescent="0.25">
      <c r="A107" s="580"/>
      <c r="B107" s="476"/>
      <c r="C107" s="476"/>
      <c r="D107" s="476"/>
      <c r="E107" s="580"/>
      <c r="F107" s="476"/>
      <c r="G107" s="476"/>
      <c r="H107" s="573"/>
      <c r="I107" s="476"/>
    </row>
    <row r="108" spans="1:9" x14ac:dyDescent="0.25">
      <c r="A108" s="558"/>
      <c r="B108" s="581"/>
      <c r="C108" s="476"/>
      <c r="D108" s="582"/>
      <c r="E108" s="558"/>
      <c r="F108" s="581"/>
      <c r="G108" s="476"/>
      <c r="H108" s="583"/>
      <c r="I108" s="476"/>
    </row>
    <row r="109" spans="1:9" x14ac:dyDescent="0.25">
      <c r="A109" s="584"/>
      <c r="B109" s="476"/>
      <c r="C109" s="476"/>
      <c r="D109" s="503"/>
      <c r="E109" s="584"/>
      <c r="F109" s="585"/>
      <c r="G109" s="476"/>
      <c r="H109" s="586"/>
      <c r="I109" s="476"/>
    </row>
    <row r="110" spans="1:9" x14ac:dyDescent="0.25">
      <c r="A110" s="476"/>
      <c r="B110" s="476"/>
      <c r="C110" s="476"/>
      <c r="D110" s="476"/>
      <c r="E110" s="585"/>
      <c r="F110" s="476"/>
      <c r="G110" s="476"/>
      <c r="H110" s="573"/>
      <c r="I110" s="476"/>
    </row>
    <row r="111" spans="1:9" x14ac:dyDescent="0.25">
      <c r="A111" s="558"/>
      <c r="B111" s="476"/>
      <c r="C111" s="476"/>
      <c r="D111" s="503"/>
      <c r="E111" s="584"/>
      <c r="F111" s="476"/>
      <c r="G111" s="476"/>
      <c r="H111" s="573"/>
      <c r="I111" s="476"/>
    </row>
    <row r="112" spans="1:9" ht="15.75" x14ac:dyDescent="0.25">
      <c r="A112" s="558"/>
      <c r="B112" s="476"/>
      <c r="C112" s="476"/>
      <c r="D112" s="503"/>
      <c r="E112" s="587"/>
      <c r="F112" s="476"/>
      <c r="G112" s="476"/>
      <c r="H112" s="573"/>
      <c r="I112" s="476"/>
    </row>
    <row r="113" spans="1:9" x14ac:dyDescent="0.25">
      <c r="A113" s="558"/>
      <c r="B113" s="476"/>
      <c r="C113" s="476"/>
      <c r="D113" s="501"/>
      <c r="E113" s="476"/>
      <c r="F113" s="476"/>
      <c r="G113" s="476"/>
      <c r="H113" s="573"/>
      <c r="I113" s="476"/>
    </row>
  </sheetData>
  <pageMargins left="0.7" right="0.7" top="0.75" bottom="0.75" header="0.3" footer="0.3"/>
  <pageSetup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B58" workbookViewId="0">
      <selection activeCell="D66" sqref="D66"/>
    </sheetView>
  </sheetViews>
  <sheetFormatPr defaultRowHeight="15" x14ac:dyDescent="0.25"/>
  <cols>
    <col min="1" max="1" width="9.140625" style="9"/>
    <col min="2" max="2" width="23.28515625" customWidth="1"/>
  </cols>
  <sheetData>
    <row r="1" spans="2:14" x14ac:dyDescent="0.25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ht="15.75" x14ac:dyDescent="0.25"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2:14" ht="15.75" x14ac:dyDescent="0.25"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2:14" ht="15.75" x14ac:dyDescent="0.25">
      <c r="B4" s="216"/>
      <c r="C4" s="518" t="s">
        <v>756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2:14" x14ac:dyDescent="0.25"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2:14" x14ac:dyDescent="0.25"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2:14" x14ac:dyDescent="0.25"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2:14" x14ac:dyDescent="0.25"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2:14" x14ac:dyDescent="0.25"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2:14" x14ac:dyDescent="0.25"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2:14" x14ac:dyDescent="0.25"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2:14" x14ac:dyDescent="0.25"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2:14" x14ac:dyDescent="0.25"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2:14" x14ac:dyDescent="0.25"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2:14" x14ac:dyDescent="0.25"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2:14" x14ac:dyDescent="0.25"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2:14" x14ac:dyDescent="0.25"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2:14" x14ac:dyDescent="0.25"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2:14" x14ac:dyDescent="0.25"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2:14" x14ac:dyDescent="0.25"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2:14" x14ac:dyDescent="0.25"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2:14" x14ac:dyDescent="0.25">
      <c r="B22" s="216"/>
      <c r="C22" s="494">
        <f>F18</f>
        <v>4000</v>
      </c>
      <c r="D22" s="191"/>
      <c r="E22" s="191"/>
      <c r="F22" s="191" t="s">
        <v>755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2:14" x14ac:dyDescent="0.25">
      <c r="B23" s="216"/>
      <c r="C23" s="494">
        <f>'JULY  '!D31</f>
        <v>10200</v>
      </c>
      <c r="D23" s="191"/>
      <c r="E23" s="191"/>
      <c r="F23" s="191" t="s">
        <v>347</v>
      </c>
      <c r="G23" s="494">
        <f>'JULY  '!H31</f>
        <v>10200</v>
      </c>
      <c r="H23" s="191"/>
      <c r="I23" s="191"/>
      <c r="J23" s="535"/>
      <c r="K23" s="216"/>
      <c r="L23" s="216"/>
      <c r="M23" s="216"/>
      <c r="N23" s="216"/>
    </row>
    <row r="24" spans="2:14" x14ac:dyDescent="0.25"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2:14" x14ac:dyDescent="0.25"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2:14" x14ac:dyDescent="0.25"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2:14" x14ac:dyDescent="0.25"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2:14" x14ac:dyDescent="0.25"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2:14" x14ac:dyDescent="0.25"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2:14" x14ac:dyDescent="0.25"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2:14" x14ac:dyDescent="0.25"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2:14" x14ac:dyDescent="0.25">
      <c r="B32" s="216"/>
      <c r="C32" s="499">
        <f>C22+C23-D24</f>
        <v>13800</v>
      </c>
      <c r="D32" s="499">
        <f>SUM(D26:D31)</f>
        <v>4000</v>
      </c>
      <c r="E32" s="499">
        <f>C32-D32</f>
        <v>9800</v>
      </c>
      <c r="F32" s="493" t="s">
        <v>2</v>
      </c>
      <c r="G32" s="499">
        <f>G22+G23-H24</f>
        <v>13800</v>
      </c>
      <c r="H32" s="499">
        <f>SUM(H26:H31)</f>
        <v>4000</v>
      </c>
      <c r="I32" s="499">
        <f>G32-H32</f>
        <v>9800</v>
      </c>
      <c r="J32" s="216"/>
      <c r="K32" s="216"/>
      <c r="L32" s="216"/>
      <c r="M32" s="216"/>
      <c r="N32" s="216"/>
    </row>
    <row r="33" spans="2:14" x14ac:dyDescent="0.25"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2:14" ht="15.75" x14ac:dyDescent="0.25"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2:14" ht="15.75" x14ac:dyDescent="0.25"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2:14" ht="18.75" x14ac:dyDescent="0.3">
      <c r="B36" s="536"/>
      <c r="C36" s="537" t="s">
        <v>756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2:14" x14ac:dyDescent="0.25"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2:14" x14ac:dyDescent="0.25">
      <c r="B38" s="388" t="s">
        <v>765</v>
      </c>
      <c r="C38" s="541">
        <v>1</v>
      </c>
      <c r="D38" s="542"/>
      <c r="E38" s="543">
        <v>33000</v>
      </c>
      <c r="F38" s="440">
        <v>4500</v>
      </c>
      <c r="G38" s="440">
        <f>D38+E38+F38</f>
        <v>37500</v>
      </c>
      <c r="H38" s="440">
        <v>9000</v>
      </c>
      <c r="I38" s="544">
        <f>G38-H38</f>
        <v>28500</v>
      </c>
      <c r="J38" s="543"/>
      <c r="K38" s="216"/>
      <c r="L38" s="216"/>
      <c r="M38" s="216"/>
      <c r="N38" s="292"/>
    </row>
    <row r="39" spans="2:14" x14ac:dyDescent="0.25">
      <c r="B39" s="604" t="s">
        <v>766</v>
      </c>
      <c r="C39" s="541">
        <v>2</v>
      </c>
      <c r="D39" s="542"/>
      <c r="E39" s="545"/>
      <c r="F39" s="443">
        <v>4500</v>
      </c>
      <c r="G39" s="440">
        <f t="shared" ref="G39:G56" si="2">D39+E39+F39</f>
        <v>4500</v>
      </c>
      <c r="H39" s="440">
        <f>2500+2000</f>
        <v>4500</v>
      </c>
      <c r="I39" s="544">
        <f t="shared" ref="I39:I56" si="3">G39-H39</f>
        <v>0</v>
      </c>
      <c r="J39" s="543"/>
      <c r="K39" s="216"/>
      <c r="L39" s="216"/>
      <c r="M39" s="216"/>
      <c r="N39" s="216"/>
    </row>
    <row r="40" spans="2:14" x14ac:dyDescent="0.25">
      <c r="B40" s="604" t="s">
        <v>638</v>
      </c>
      <c r="C40" s="541">
        <v>3</v>
      </c>
      <c r="D40" s="542"/>
      <c r="E40" s="543"/>
      <c r="F40" s="443">
        <v>4500</v>
      </c>
      <c r="G40" s="440">
        <f t="shared" si="2"/>
        <v>4500</v>
      </c>
      <c r="H40" s="440">
        <v>4500</v>
      </c>
      <c r="I40" s="544">
        <f>G40-H40</f>
        <v>0</v>
      </c>
      <c r="J40" s="543">
        <v>100</v>
      </c>
      <c r="K40" s="216"/>
      <c r="L40" s="216"/>
      <c r="M40" s="216"/>
      <c r="N40" s="216"/>
    </row>
    <row r="41" spans="2:14" x14ac:dyDescent="0.25"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>G41-H41</f>
        <v>2000</v>
      </c>
      <c r="J41" s="543"/>
      <c r="K41" s="216"/>
      <c r="L41" s="216"/>
      <c r="M41" s="216"/>
      <c r="N41" s="216"/>
    </row>
    <row r="42" spans="2:14" x14ac:dyDescent="0.25">
      <c r="B42" s="388" t="s">
        <v>767</v>
      </c>
      <c r="C42" s="541">
        <v>5</v>
      </c>
      <c r="D42" s="542"/>
      <c r="E42" s="543"/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2:14" x14ac:dyDescent="0.25">
      <c r="B43" s="604" t="s">
        <v>759</v>
      </c>
      <c r="C43" s="541">
        <v>6</v>
      </c>
      <c r="D43" s="542">
        <v>2500</v>
      </c>
      <c r="E43" s="543"/>
      <c r="F43" s="443">
        <v>2500</v>
      </c>
      <c r="G43" s="440">
        <f t="shared" si="2"/>
        <v>5000</v>
      </c>
      <c r="H43" s="440">
        <v>3500</v>
      </c>
      <c r="I43" s="544">
        <f t="shared" si="3"/>
        <v>1500</v>
      </c>
      <c r="J43" s="543"/>
      <c r="K43" s="216"/>
      <c r="L43" s="216"/>
      <c r="M43" s="216"/>
      <c r="N43" s="216"/>
    </row>
    <row r="44" spans="2:14" x14ac:dyDescent="0.25">
      <c r="B44" s="388" t="s">
        <v>704</v>
      </c>
      <c r="C44" s="541">
        <v>7</v>
      </c>
      <c r="D44" s="542"/>
      <c r="E44" s="543"/>
      <c r="F44" s="546">
        <v>2500</v>
      </c>
      <c r="G44" s="440">
        <f t="shared" si="2"/>
        <v>2500</v>
      </c>
      <c r="H44" s="440">
        <v>2500</v>
      </c>
      <c r="I44" s="544">
        <f t="shared" si="3"/>
        <v>0</v>
      </c>
      <c r="J44" s="543">
        <v>100</v>
      </c>
      <c r="K44" s="216"/>
      <c r="L44" s="216"/>
      <c r="M44" s="216"/>
      <c r="N44" s="216"/>
    </row>
    <row r="45" spans="2:14" x14ac:dyDescent="0.25">
      <c r="B45" s="605" t="s">
        <v>768</v>
      </c>
      <c r="C45" s="541">
        <v>8</v>
      </c>
      <c r="D45" s="542"/>
      <c r="E45" s="543"/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2:14" x14ac:dyDescent="0.25"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>G46-H46</f>
        <v>2500</v>
      </c>
      <c r="J46" s="543"/>
      <c r="K46" s="216"/>
      <c r="L46" s="216"/>
      <c r="M46" s="216"/>
      <c r="N46" s="216"/>
    </row>
    <row r="47" spans="2:14" x14ac:dyDescent="0.25">
      <c r="B47" s="382" t="s">
        <v>769</v>
      </c>
      <c r="C47" s="601">
        <v>10</v>
      </c>
      <c r="D47" s="542"/>
      <c r="E47" s="191"/>
      <c r="F47" s="191">
        <v>2500</v>
      </c>
      <c r="G47" s="440">
        <f t="shared" si="2"/>
        <v>2500</v>
      </c>
      <c r="H47" s="440">
        <v>2500</v>
      </c>
      <c r="I47" s="544">
        <f t="shared" si="3"/>
        <v>0</v>
      </c>
      <c r="J47" s="543"/>
      <c r="K47" s="216" t="s">
        <v>107</v>
      </c>
      <c r="L47" s="216"/>
      <c r="M47" s="216"/>
      <c r="N47" s="216"/>
    </row>
    <row r="48" spans="2:14" x14ac:dyDescent="0.25">
      <c r="B48" s="44" t="s">
        <v>757</v>
      </c>
      <c r="C48" s="541">
        <v>11</v>
      </c>
      <c r="D48" s="542">
        <v>2500</v>
      </c>
      <c r="E48" s="443"/>
      <c r="F48" s="443">
        <v>2500</v>
      </c>
      <c r="G48" s="440">
        <f t="shared" si="2"/>
        <v>5000</v>
      </c>
      <c r="H48" s="440">
        <v>2500</v>
      </c>
      <c r="I48" s="544">
        <f t="shared" si="3"/>
        <v>2500</v>
      </c>
      <c r="J48" s="543"/>
      <c r="K48" s="216"/>
      <c r="L48" s="216"/>
      <c r="M48" s="216"/>
      <c r="N48" s="216"/>
    </row>
    <row r="49" spans="2:14" x14ac:dyDescent="0.25">
      <c r="B49" s="604" t="s">
        <v>770</v>
      </c>
      <c r="C49" s="541">
        <v>12</v>
      </c>
      <c r="D49" s="542">
        <v>2700</v>
      </c>
      <c r="E49" s="543"/>
      <c r="F49" s="603">
        <v>2700</v>
      </c>
      <c r="G49" s="440">
        <f>D49+E49+F49</f>
        <v>5400</v>
      </c>
      <c r="H49" s="440">
        <v>3600</v>
      </c>
      <c r="I49" s="544">
        <f>G49-H49</f>
        <v>1800</v>
      </c>
      <c r="J49" s="543">
        <v>100</v>
      </c>
      <c r="K49" s="216"/>
      <c r="L49" s="216"/>
      <c r="M49" s="216"/>
      <c r="N49" s="216"/>
    </row>
    <row r="50" spans="2:14" x14ac:dyDescent="0.25">
      <c r="B50" s="388" t="s">
        <v>649</v>
      </c>
      <c r="C50" s="541">
        <v>13</v>
      </c>
      <c r="D50" s="542"/>
      <c r="E50" s="600"/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  <c r="L50" s="216"/>
      <c r="M50" s="216"/>
      <c r="N50" s="216"/>
    </row>
    <row r="51" spans="2:14" x14ac:dyDescent="0.25">
      <c r="B51" s="44" t="s">
        <v>771</v>
      </c>
      <c r="C51" s="541">
        <v>14</v>
      </c>
      <c r="D51" s="542"/>
      <c r="E51" s="543"/>
      <c r="F51" s="549">
        <v>2000</v>
      </c>
      <c r="G51" s="440">
        <f t="shared" si="2"/>
        <v>2000</v>
      </c>
      <c r="H51" s="440">
        <v>2000</v>
      </c>
      <c r="I51" s="544">
        <f t="shared" si="3"/>
        <v>0</v>
      </c>
      <c r="J51" s="543">
        <v>100</v>
      </c>
      <c r="K51" s="216"/>
      <c r="L51" s="216"/>
      <c r="M51" s="216"/>
      <c r="N51" s="216"/>
    </row>
    <row r="52" spans="2:14" x14ac:dyDescent="0.25">
      <c r="B52" s="604" t="s">
        <v>703</v>
      </c>
      <c r="C52" s="541">
        <v>15</v>
      </c>
      <c r="D52" s="542"/>
      <c r="E52" s="543"/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2:14" x14ac:dyDescent="0.25">
      <c r="B53" s="388" t="s">
        <v>638</v>
      </c>
      <c r="C53" s="551">
        <v>16</v>
      </c>
      <c r="D53" s="542"/>
      <c r="E53" s="550"/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2:14" x14ac:dyDescent="0.25">
      <c r="B54" s="388" t="s">
        <v>675</v>
      </c>
      <c r="C54" s="541">
        <v>17</v>
      </c>
      <c r="D54" s="542"/>
      <c r="E54" s="543">
        <v>400</v>
      </c>
      <c r="F54" s="544">
        <v>1600</v>
      </c>
      <c r="G54" s="440">
        <f t="shared" si="2"/>
        <v>2000</v>
      </c>
      <c r="H54" s="440">
        <v>1600</v>
      </c>
      <c r="I54" s="544">
        <f t="shared" si="3"/>
        <v>400</v>
      </c>
      <c r="J54" s="543">
        <v>100</v>
      </c>
      <c r="K54" s="216"/>
      <c r="L54" s="216"/>
      <c r="M54" s="216"/>
      <c r="N54" s="216"/>
    </row>
    <row r="55" spans="2:14" x14ac:dyDescent="0.25">
      <c r="B55" s="604" t="s">
        <v>657</v>
      </c>
      <c r="C55" s="541">
        <v>18</v>
      </c>
      <c r="D55" s="542"/>
      <c r="E55" s="543"/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16"/>
    </row>
    <row r="56" spans="2:14" x14ac:dyDescent="0.25">
      <c r="B56" s="388" t="s">
        <v>670</v>
      </c>
      <c r="C56" s="553">
        <v>19</v>
      </c>
      <c r="D56" s="542"/>
      <c r="E56" s="555"/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2:14" x14ac:dyDescent="0.25">
      <c r="B57" s="388" t="s">
        <v>701</v>
      </c>
      <c r="C57" s="541">
        <v>20</v>
      </c>
      <c r="D57" s="542"/>
      <c r="E57" s="543"/>
      <c r="F57" s="603">
        <v>1600</v>
      </c>
      <c r="G57" s="440">
        <f>D57+E57+F57</f>
        <v>1600</v>
      </c>
      <c r="H57" s="440">
        <v>1600</v>
      </c>
      <c r="I57" s="544">
        <f>G57-H57</f>
        <v>0</v>
      </c>
      <c r="J57" s="543">
        <v>100</v>
      </c>
      <c r="K57" s="216"/>
      <c r="L57" s="216"/>
      <c r="M57" s="216"/>
      <c r="N57" s="216"/>
    </row>
    <row r="58" spans="2:14" x14ac:dyDescent="0.25">
      <c r="B58" s="598" t="s">
        <v>708</v>
      </c>
      <c r="C58" s="191"/>
      <c r="D58" s="542">
        <f>SUM(D38:D57)</f>
        <v>12200</v>
      </c>
      <c r="E58" s="591">
        <v>33400</v>
      </c>
      <c r="F58" s="588">
        <f>SUM(F38:F57)</f>
        <v>53100</v>
      </c>
      <c r="G58" s="440">
        <f>D58+E58+F58</f>
        <v>98700</v>
      </c>
      <c r="H58" s="440">
        <f>SUM(H38:H57)</f>
        <v>59500</v>
      </c>
      <c r="I58" s="544">
        <f>G58-H58</f>
        <v>39200</v>
      </c>
      <c r="J58" s="591">
        <f>SUM(J38:J57)</f>
        <v>1100</v>
      </c>
      <c r="K58" s="216"/>
      <c r="L58" s="216"/>
      <c r="M58" s="216"/>
      <c r="N58" s="216"/>
    </row>
    <row r="59" spans="2:14" x14ac:dyDescent="0.25">
      <c r="B59" s="557"/>
      <c r="C59" s="489"/>
      <c r="D59" s="489"/>
      <c r="E59" s="489"/>
      <c r="F59" s="501"/>
      <c r="G59" s="502"/>
      <c r="H59" s="503"/>
      <c r="I59" s="503"/>
      <c r="J59" s="216"/>
      <c r="K59" s="216"/>
      <c r="L59" s="216"/>
      <c r="M59" s="216"/>
      <c r="N59" s="216"/>
    </row>
    <row r="60" spans="2:14" x14ac:dyDescent="0.25">
      <c r="B60" s="216" t="s">
        <v>688</v>
      </c>
      <c r="C60" s="488"/>
      <c r="D60" s="457"/>
      <c r="E60" s="489"/>
      <c r="F60" s="490"/>
      <c r="G60" s="458"/>
      <c r="H60" s="490"/>
      <c r="I60" s="216"/>
      <c r="J60" s="216"/>
      <c r="K60" s="216"/>
      <c r="L60" s="216"/>
      <c r="M60" s="216"/>
      <c r="N60" s="216"/>
    </row>
    <row r="61" spans="2:14" x14ac:dyDescent="0.25">
      <c r="B61" s="491" t="s">
        <v>615</v>
      </c>
      <c r="C61" s="491"/>
      <c r="D61" s="491"/>
      <c r="E61" s="492"/>
      <c r="F61" s="491" t="s">
        <v>3</v>
      </c>
      <c r="G61" s="216"/>
      <c r="H61" s="216"/>
      <c r="I61" s="216"/>
      <c r="J61" s="216"/>
      <c r="K61" s="216"/>
      <c r="L61" s="216"/>
      <c r="M61" s="216"/>
      <c r="N61" s="216"/>
    </row>
    <row r="62" spans="2:14" x14ac:dyDescent="0.25">
      <c r="B62" s="493" t="s">
        <v>689</v>
      </c>
      <c r="C62" s="493" t="s">
        <v>690</v>
      </c>
      <c r="D62" s="493" t="s">
        <v>691</v>
      </c>
      <c r="E62" s="493" t="s">
        <v>165</v>
      </c>
      <c r="F62" s="493" t="s">
        <v>689</v>
      </c>
      <c r="G62" s="493" t="s">
        <v>690</v>
      </c>
      <c r="H62" s="493" t="s">
        <v>691</v>
      </c>
      <c r="I62" s="493" t="s">
        <v>165</v>
      </c>
      <c r="J62" s="292"/>
      <c r="K62" s="216"/>
      <c r="L62" s="216"/>
      <c r="M62" s="216"/>
      <c r="N62" s="216"/>
    </row>
    <row r="63" spans="2:14" x14ac:dyDescent="0.25">
      <c r="B63" s="191" t="s">
        <v>755</v>
      </c>
      <c r="C63" s="494">
        <f>F58</f>
        <v>53100</v>
      </c>
      <c r="D63" s="191"/>
      <c r="E63" s="191"/>
      <c r="F63" s="191" t="s">
        <v>755</v>
      </c>
      <c r="G63" s="494">
        <f>H58</f>
        <v>59500</v>
      </c>
      <c r="H63" s="191"/>
      <c r="I63" s="191"/>
      <c r="J63" s="292"/>
      <c r="K63" s="216"/>
      <c r="L63" s="216"/>
      <c r="M63" s="216"/>
      <c r="N63" s="216"/>
    </row>
    <row r="64" spans="2:14" x14ac:dyDescent="0.25">
      <c r="B64" s="191" t="s">
        <v>347</v>
      </c>
      <c r="C64" s="494">
        <f>'JULY  '!D79</f>
        <v>-14870</v>
      </c>
      <c r="D64" s="191"/>
      <c r="E64" s="191"/>
      <c r="F64" s="191" t="s">
        <v>347</v>
      </c>
      <c r="G64" s="494">
        <f>'JULY  '!H79</f>
        <v>-69785</v>
      </c>
      <c r="H64" s="191"/>
      <c r="I64" s="191"/>
      <c r="J64" s="292"/>
      <c r="K64" s="216"/>
      <c r="L64" s="216"/>
      <c r="M64" s="216"/>
      <c r="N64" s="216"/>
    </row>
    <row r="65" spans="2:14" s="9" customFormat="1" x14ac:dyDescent="0.25">
      <c r="B65" s="191" t="s">
        <v>333</v>
      </c>
      <c r="C65" s="494">
        <f>1000+800</f>
        <v>1800</v>
      </c>
      <c r="D65" s="191"/>
      <c r="E65" s="191"/>
      <c r="F65" s="191" t="s">
        <v>333</v>
      </c>
      <c r="G65" s="494"/>
      <c r="H65" s="191"/>
      <c r="I65" s="191"/>
      <c r="J65" s="292"/>
      <c r="K65" s="216"/>
      <c r="L65" s="216"/>
      <c r="M65" s="216"/>
      <c r="N65" s="216"/>
    </row>
    <row r="66" spans="2:14" x14ac:dyDescent="0.25">
      <c r="B66" s="191" t="s">
        <v>613</v>
      </c>
      <c r="C66" s="327">
        <v>0.1</v>
      </c>
      <c r="D66" s="494">
        <f>C63*C66</f>
        <v>5310</v>
      </c>
      <c r="E66" s="191"/>
      <c r="F66" s="191" t="s">
        <v>613</v>
      </c>
      <c r="G66" s="327">
        <v>0.1</v>
      </c>
      <c r="H66" s="494">
        <f>D66</f>
        <v>5310</v>
      </c>
      <c r="I66" s="191"/>
      <c r="J66" s="292"/>
      <c r="K66" s="216"/>
      <c r="L66" s="216"/>
      <c r="M66" s="216"/>
      <c r="N66" s="216"/>
    </row>
    <row r="67" spans="2:14" x14ac:dyDescent="0.25">
      <c r="B67" s="493" t="s">
        <v>693</v>
      </c>
      <c r="C67" s="191" t="s">
        <v>163</v>
      </c>
      <c r="D67" s="191"/>
      <c r="E67" s="191"/>
      <c r="F67" s="493" t="s">
        <v>693</v>
      </c>
      <c r="G67" s="496"/>
      <c r="H67" s="191"/>
      <c r="I67" s="191"/>
      <c r="J67" s="292"/>
      <c r="K67" s="216"/>
      <c r="L67" s="216"/>
      <c r="M67" s="216"/>
      <c r="N67" s="216"/>
    </row>
    <row r="68" spans="2:14" x14ac:dyDescent="0.25">
      <c r="B68" s="495" t="s">
        <v>191</v>
      </c>
      <c r="C68" s="191"/>
      <c r="D68" s="191">
        <v>10000</v>
      </c>
      <c r="E68" s="191"/>
      <c r="F68" s="495" t="s">
        <v>191</v>
      </c>
      <c r="G68" s="191"/>
      <c r="H68" s="191">
        <v>10000</v>
      </c>
      <c r="I68" s="191"/>
      <c r="J68" s="216"/>
      <c r="K68" s="216"/>
      <c r="L68" s="216"/>
      <c r="M68" s="216"/>
      <c r="N68" s="216"/>
    </row>
    <row r="69" spans="2:14" x14ac:dyDescent="0.25">
      <c r="B69" s="496" t="s">
        <v>652</v>
      </c>
      <c r="C69" s="327">
        <v>0.3</v>
      </c>
      <c r="D69" s="292">
        <f>C69*F46</f>
        <v>750</v>
      </c>
      <c r="E69" s="191"/>
      <c r="F69" s="496" t="s">
        <v>652</v>
      </c>
      <c r="G69" s="327">
        <v>0.3</v>
      </c>
      <c r="H69" s="292">
        <f>G69*F46</f>
        <v>750</v>
      </c>
      <c r="I69" s="191"/>
      <c r="J69" s="216"/>
      <c r="K69" s="216"/>
      <c r="L69" s="216"/>
      <c r="M69" s="216"/>
      <c r="N69" s="216"/>
    </row>
    <row r="70" spans="2:14" x14ac:dyDescent="0.25">
      <c r="B70" s="496" t="s">
        <v>652</v>
      </c>
      <c r="C70" s="327">
        <v>0.3</v>
      </c>
      <c r="D70" s="301">
        <v>750</v>
      </c>
      <c r="E70" s="191"/>
      <c r="F70" s="496" t="s">
        <v>652</v>
      </c>
      <c r="G70" s="327">
        <v>0.3</v>
      </c>
      <c r="H70" s="301">
        <f>D70</f>
        <v>750</v>
      </c>
      <c r="I70" s="191"/>
      <c r="J70" s="216"/>
      <c r="K70" s="216"/>
      <c r="L70" s="216"/>
      <c r="M70" s="216"/>
      <c r="N70" s="216"/>
    </row>
    <row r="71" spans="2:14" x14ac:dyDescent="0.25">
      <c r="B71" s="496" t="s">
        <v>652</v>
      </c>
      <c r="C71" s="327">
        <v>0.3</v>
      </c>
      <c r="D71" s="191">
        <f>C71*F49</f>
        <v>810</v>
      </c>
      <c r="E71" s="191"/>
      <c r="F71" s="496" t="s">
        <v>652</v>
      </c>
      <c r="G71" s="327">
        <v>0.3</v>
      </c>
      <c r="H71" s="191">
        <f>G71*F49</f>
        <v>810</v>
      </c>
      <c r="I71" s="191"/>
      <c r="J71" s="216"/>
      <c r="K71" s="216"/>
      <c r="L71" s="216"/>
      <c r="M71" s="216"/>
      <c r="N71" s="216"/>
    </row>
    <row r="72" spans="2:14" x14ac:dyDescent="0.25">
      <c r="B72" s="496" t="s">
        <v>652</v>
      </c>
      <c r="C72" s="191"/>
      <c r="D72" s="191">
        <v>750</v>
      </c>
      <c r="E72" s="191"/>
      <c r="F72" s="496" t="s">
        <v>652</v>
      </c>
      <c r="G72" s="191"/>
      <c r="H72" s="191">
        <v>750</v>
      </c>
      <c r="I72" s="191"/>
      <c r="J72" s="216"/>
      <c r="K72" s="216"/>
      <c r="L72" s="216"/>
      <c r="M72" s="292">
        <f>H58+G65</f>
        <v>59500</v>
      </c>
      <c r="N72" s="216"/>
    </row>
    <row r="73" spans="2:14" x14ac:dyDescent="0.25">
      <c r="B73" s="496" t="s">
        <v>652</v>
      </c>
      <c r="C73" s="191"/>
      <c r="D73" s="191">
        <v>750</v>
      </c>
      <c r="E73" s="191"/>
      <c r="F73" s="496" t="s">
        <v>652</v>
      </c>
      <c r="G73" s="191"/>
      <c r="H73" s="191">
        <v>750</v>
      </c>
      <c r="I73" s="191"/>
      <c r="J73" s="216"/>
      <c r="K73" s="216"/>
      <c r="L73" s="216"/>
      <c r="M73" s="216"/>
      <c r="N73" s="216"/>
    </row>
    <row r="74" spans="2:14" x14ac:dyDescent="0.25">
      <c r="B74" s="496" t="s">
        <v>760</v>
      </c>
      <c r="C74" s="191"/>
      <c r="D74" s="191">
        <v>4140</v>
      </c>
      <c r="E74" s="191"/>
      <c r="F74" s="496" t="s">
        <v>760</v>
      </c>
      <c r="G74" s="191"/>
      <c r="H74" s="191">
        <v>4140</v>
      </c>
      <c r="I74" s="191"/>
      <c r="J74" s="216"/>
      <c r="K74" s="216"/>
      <c r="L74" s="602"/>
      <c r="M74" s="216"/>
      <c r="N74" s="216"/>
    </row>
    <row r="75" spans="2:14" x14ac:dyDescent="0.25">
      <c r="B75" s="497" t="s">
        <v>761</v>
      </c>
      <c r="C75" s="191"/>
      <c r="D75" s="191">
        <v>2875</v>
      </c>
      <c r="E75" s="191"/>
      <c r="F75" s="497" t="s">
        <v>761</v>
      </c>
      <c r="G75" s="191"/>
      <c r="H75" s="191">
        <v>2875</v>
      </c>
      <c r="I75" s="191"/>
      <c r="J75" s="216"/>
      <c r="K75" s="602"/>
      <c r="L75" s="216"/>
      <c r="M75" s="216"/>
      <c r="N75" s="216"/>
    </row>
    <row r="76" spans="2:14" s="9" customFormat="1" x14ac:dyDescent="0.25">
      <c r="B76" s="497" t="s">
        <v>763</v>
      </c>
      <c r="C76" s="191"/>
      <c r="D76" s="191">
        <v>15000</v>
      </c>
      <c r="E76" s="191"/>
      <c r="F76" s="497" t="s">
        <v>763</v>
      </c>
      <c r="G76" s="191"/>
      <c r="H76" s="191">
        <v>15000</v>
      </c>
      <c r="I76" s="191"/>
      <c r="J76" s="216"/>
      <c r="K76" s="602">
        <f>D85+D84+D83+D82+D81</f>
        <v>11130</v>
      </c>
      <c r="L76" s="216"/>
      <c r="M76" s="216"/>
      <c r="N76" s="216"/>
    </row>
    <row r="77" spans="2:14" s="9" customFormat="1" x14ac:dyDescent="0.25">
      <c r="B77" s="497" t="s">
        <v>764</v>
      </c>
      <c r="C77" s="191"/>
      <c r="D77" s="191">
        <v>2800</v>
      </c>
      <c r="E77" s="191"/>
      <c r="F77" s="497" t="s">
        <v>764</v>
      </c>
      <c r="G77" s="191"/>
      <c r="H77" s="191">
        <v>2800</v>
      </c>
      <c r="I77" s="191"/>
      <c r="J77" s="216"/>
      <c r="K77" s="602"/>
      <c r="L77" s="216"/>
      <c r="M77" s="216"/>
      <c r="N77" s="216"/>
    </row>
    <row r="78" spans="2:14" s="9" customFormat="1" x14ac:dyDescent="0.25">
      <c r="B78" s="497" t="s">
        <v>762</v>
      </c>
      <c r="C78" s="191"/>
      <c r="D78" s="191">
        <v>3750</v>
      </c>
      <c r="E78" s="191"/>
      <c r="F78" s="497" t="s">
        <v>762</v>
      </c>
      <c r="G78" s="191"/>
      <c r="H78" s="191">
        <v>3750</v>
      </c>
      <c r="I78" s="191"/>
      <c r="J78" s="216"/>
      <c r="K78" s="602"/>
      <c r="L78" s="216"/>
      <c r="M78" s="216"/>
      <c r="N78" s="216"/>
    </row>
    <row r="79" spans="2:14" s="9" customFormat="1" x14ac:dyDescent="0.25">
      <c r="B79" s="497" t="s">
        <v>718</v>
      </c>
      <c r="C79" s="191"/>
      <c r="D79" s="191">
        <v>300</v>
      </c>
      <c r="E79" s="191"/>
      <c r="F79" s="497" t="s">
        <v>718</v>
      </c>
      <c r="G79" s="191"/>
      <c r="H79" s="191">
        <v>300</v>
      </c>
      <c r="I79" s="191"/>
      <c r="J79" s="216"/>
      <c r="K79" s="602"/>
      <c r="L79" s="216"/>
      <c r="M79" s="216"/>
      <c r="N79" s="216"/>
    </row>
    <row r="80" spans="2:14" s="9" customFormat="1" x14ac:dyDescent="0.25">
      <c r="B80" s="497" t="s">
        <v>772</v>
      </c>
      <c r="C80" s="495">
        <v>43686</v>
      </c>
      <c r="D80" s="191">
        <v>2040</v>
      </c>
      <c r="E80" s="191"/>
      <c r="F80" s="497" t="s">
        <v>772</v>
      </c>
      <c r="G80" s="495">
        <v>43686</v>
      </c>
      <c r="H80" s="191">
        <v>2040</v>
      </c>
      <c r="I80" s="191"/>
      <c r="J80" s="216"/>
      <c r="K80" s="602"/>
      <c r="L80" s="216"/>
      <c r="M80" s="216"/>
      <c r="N80" s="216"/>
    </row>
    <row r="81" spans="2:14" s="9" customFormat="1" x14ac:dyDescent="0.25">
      <c r="B81" s="496" t="s">
        <v>773</v>
      </c>
      <c r="C81" s="495"/>
      <c r="D81" s="498">
        <v>1750</v>
      </c>
      <c r="E81" s="191"/>
      <c r="F81" s="496" t="s">
        <v>773</v>
      </c>
      <c r="G81" s="191"/>
      <c r="H81" s="498">
        <v>1750</v>
      </c>
      <c r="I81" s="191"/>
      <c r="J81" s="216"/>
      <c r="K81" s="602"/>
      <c r="L81" s="216"/>
      <c r="M81" s="216"/>
      <c r="N81" s="216"/>
    </row>
    <row r="82" spans="2:14" s="9" customFormat="1" x14ac:dyDescent="0.25">
      <c r="B82" s="497" t="s">
        <v>775</v>
      </c>
      <c r="C82" s="495"/>
      <c r="D82" s="191">
        <v>1900</v>
      </c>
      <c r="E82" s="191"/>
      <c r="F82" s="497" t="s">
        <v>775</v>
      </c>
      <c r="G82" s="495"/>
      <c r="H82" s="191">
        <v>1900</v>
      </c>
      <c r="I82" s="191"/>
      <c r="J82" s="216"/>
      <c r="K82" s="602"/>
      <c r="L82" s="216"/>
      <c r="M82" s="216"/>
      <c r="N82" s="216"/>
    </row>
    <row r="83" spans="2:14" s="9" customFormat="1" x14ac:dyDescent="0.25">
      <c r="B83" s="497" t="s">
        <v>774</v>
      </c>
      <c r="C83" s="495"/>
      <c r="D83" s="191">
        <v>2000</v>
      </c>
      <c r="E83" s="191"/>
      <c r="F83" s="497" t="s">
        <v>774</v>
      </c>
      <c r="G83" s="495"/>
      <c r="H83" s="191">
        <v>2000</v>
      </c>
      <c r="I83" s="191"/>
      <c r="J83" s="216"/>
      <c r="K83" s="602"/>
      <c r="L83" s="216"/>
      <c r="M83" s="216"/>
      <c r="N83" s="216"/>
    </row>
    <row r="84" spans="2:14" s="9" customFormat="1" x14ac:dyDescent="0.25">
      <c r="B84" s="606" t="s">
        <v>780</v>
      </c>
      <c r="C84" s="495"/>
      <c r="D84" s="476">
        <v>3100</v>
      </c>
      <c r="E84" s="191"/>
      <c r="F84" s="606" t="s">
        <v>780</v>
      </c>
      <c r="G84" s="495"/>
      <c r="H84" s="476">
        <v>3100</v>
      </c>
      <c r="I84" s="191"/>
      <c r="J84" s="216"/>
      <c r="K84" s="602"/>
      <c r="L84" s="216"/>
      <c r="M84" s="216"/>
      <c r="N84" s="216"/>
    </row>
    <row r="85" spans="2:14" s="9" customFormat="1" x14ac:dyDescent="0.25">
      <c r="B85" s="606" t="s">
        <v>781</v>
      </c>
      <c r="C85" s="495"/>
      <c r="D85" s="476">
        <v>2380</v>
      </c>
      <c r="E85" s="191"/>
      <c r="F85" s="606" t="s">
        <v>781</v>
      </c>
      <c r="G85" s="495"/>
      <c r="H85" s="476">
        <v>2380</v>
      </c>
      <c r="I85" s="191"/>
      <c r="J85" s="216"/>
      <c r="K85" s="602"/>
      <c r="L85" s="216"/>
      <c r="M85" s="216"/>
      <c r="N85" s="216"/>
    </row>
    <row r="86" spans="2:14" s="9" customFormat="1" x14ac:dyDescent="0.25">
      <c r="B86" s="606"/>
      <c r="C86" s="495"/>
      <c r="D86" s="476"/>
      <c r="E86" s="191"/>
      <c r="F86" s="606"/>
      <c r="G86" s="495"/>
      <c r="H86" s="476"/>
      <c r="I86" s="191"/>
      <c r="J86" s="216"/>
      <c r="K86" s="602"/>
      <c r="L86" s="216"/>
      <c r="M86" s="216"/>
      <c r="N86" s="216"/>
    </row>
    <row r="87" spans="2:14" x14ac:dyDescent="0.25">
      <c r="B87" s="606" t="s">
        <v>789</v>
      </c>
      <c r="C87" s="191"/>
      <c r="D87">
        <f>F47</f>
        <v>2500</v>
      </c>
      <c r="E87" s="191"/>
      <c r="F87" s="606" t="s">
        <v>777</v>
      </c>
      <c r="G87" s="191"/>
      <c r="H87" s="9">
        <f>D87</f>
        <v>2500</v>
      </c>
      <c r="I87" s="191"/>
      <c r="J87" s="216"/>
      <c r="K87" s="216"/>
      <c r="L87" s="216"/>
      <c r="M87" s="216"/>
      <c r="N87" s="216"/>
    </row>
    <row r="88" spans="2:14" x14ac:dyDescent="0.25">
      <c r="B88" s="493" t="s">
        <v>2</v>
      </c>
      <c r="C88" s="499">
        <f>C65+C63+C64-D66</f>
        <v>34720</v>
      </c>
      <c r="D88" s="499">
        <f>SUM(D68:D87)</f>
        <v>58345</v>
      </c>
      <c r="E88" s="499">
        <f>C88-D88</f>
        <v>-23625</v>
      </c>
      <c r="F88" s="493" t="s">
        <v>2</v>
      </c>
      <c r="G88" s="499">
        <f>G63+G64+G65-H66</f>
        <v>-15595</v>
      </c>
      <c r="H88" s="499">
        <f>SUM(H68:H87)</f>
        <v>58345</v>
      </c>
      <c r="I88" s="499">
        <f>G88-H88</f>
        <v>-73940</v>
      </c>
      <c r="J88" s="216"/>
      <c r="K88" s="602"/>
      <c r="L88" s="216"/>
      <c r="M88" s="216"/>
      <c r="N88" s="216"/>
    </row>
    <row r="89" spans="2:14" x14ac:dyDescent="0.25"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</row>
    <row r="90" spans="2:14" x14ac:dyDescent="0.25">
      <c r="B90" s="558" t="s">
        <v>659</v>
      </c>
      <c r="C90" s="559"/>
      <c r="D90" s="559" t="s">
        <v>661</v>
      </c>
      <c r="E90" s="560"/>
      <c r="F90" s="558"/>
      <c r="G90" s="558" t="s">
        <v>662</v>
      </c>
      <c r="H90" s="216"/>
      <c r="I90" s="216"/>
      <c r="J90" s="216"/>
      <c r="K90" s="602"/>
      <c r="L90" s="216"/>
      <c r="M90" s="216"/>
      <c r="N90" s="216"/>
    </row>
    <row r="91" spans="2:14" x14ac:dyDescent="0.25">
      <c r="B91" s="558"/>
      <c r="C91" s="559"/>
      <c r="D91" s="559"/>
      <c r="E91" s="560"/>
      <c r="F91" s="558"/>
      <c r="G91" s="558"/>
      <c r="H91" s="216"/>
      <c r="I91" s="216"/>
      <c r="J91" s="216"/>
      <c r="K91" s="602"/>
      <c r="L91" s="216"/>
      <c r="M91" s="216"/>
      <c r="N91" s="216"/>
    </row>
    <row r="92" spans="2:14" x14ac:dyDescent="0.25">
      <c r="B92" s="558" t="s">
        <v>782</v>
      </c>
      <c r="C92" s="559"/>
      <c r="D92" s="559" t="s">
        <v>78</v>
      </c>
      <c r="E92" s="560"/>
      <c r="F92" s="558"/>
      <c r="G92" s="558" t="s">
        <v>663</v>
      </c>
      <c r="H92" s="216"/>
      <c r="I92" s="216"/>
      <c r="J92" s="216"/>
      <c r="K92" s="602"/>
      <c r="L92" s="216"/>
      <c r="M92" s="216"/>
      <c r="N92" s="216"/>
    </row>
    <row r="93" spans="2:14" x14ac:dyDescent="0.25">
      <c r="B93" s="216"/>
      <c r="C93" s="216"/>
      <c r="D93" s="216"/>
      <c r="E93" s="216"/>
      <c r="F93" s="216"/>
      <c r="G93" s="216"/>
      <c r="H93" s="216"/>
      <c r="I93" s="216"/>
      <c r="J93" s="216"/>
      <c r="K93" s="602"/>
      <c r="L93" s="216"/>
      <c r="M93" s="216"/>
      <c r="N93" s="216"/>
    </row>
    <row r="94" spans="2:14" x14ac:dyDescent="0.25"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1" workbookViewId="0">
      <selection activeCell="K89" sqref="K89"/>
    </sheetView>
  </sheetViews>
  <sheetFormatPr defaultRowHeight="15" x14ac:dyDescent="0.25"/>
  <cols>
    <col min="2" max="2" width="26.5703125" bestFit="1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1:14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1:14" ht="15.75" x14ac:dyDescent="0.25">
      <c r="A4" s="9"/>
      <c r="B4" s="216"/>
      <c r="C4" s="518" t="s">
        <v>776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1:14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1:14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1:14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1:14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1:14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1:14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1:14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1:14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1:14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1:14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1:14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1:14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1:14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1:14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1:14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1:14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1:14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1:14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1:14" x14ac:dyDescent="0.25">
      <c r="A23" s="9"/>
      <c r="B23" s="216"/>
      <c r="C23" s="494">
        <f>'AUGUST 2019'!E32</f>
        <v>9800</v>
      </c>
      <c r="D23" s="191"/>
      <c r="E23" s="191"/>
      <c r="F23" s="191" t="s">
        <v>347</v>
      </c>
      <c r="G23" s="494">
        <f>'AUGUST 2019'!I32</f>
        <v>9800</v>
      </c>
      <c r="H23" s="191"/>
      <c r="I23" s="191"/>
      <c r="J23" s="535"/>
      <c r="K23" s="216"/>
      <c r="L23" s="216"/>
      <c r="M23" s="216"/>
      <c r="N23" s="216"/>
    </row>
    <row r="24" spans="1:14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1:14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1:14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1:14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1:14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1:14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1:14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1:14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1:14" x14ac:dyDescent="0.25">
      <c r="A32" s="9"/>
      <c r="B32" s="216"/>
      <c r="C32" s="499">
        <f>C22+C23-D24</f>
        <v>13400</v>
      </c>
      <c r="D32" s="499">
        <f>SUM(D26:D31)</f>
        <v>4000</v>
      </c>
      <c r="E32" s="499">
        <f>C32-D32</f>
        <v>9400</v>
      </c>
      <c r="F32" s="493" t="s">
        <v>2</v>
      </c>
      <c r="G32" s="499">
        <f>G22+G23-H24</f>
        <v>13400</v>
      </c>
      <c r="H32" s="499">
        <f>SUM(H26:H31)</f>
        <v>4000</v>
      </c>
      <c r="I32" s="499">
        <f>G32-H32</f>
        <v>9400</v>
      </c>
      <c r="J32" s="216"/>
      <c r="K32" s="216"/>
      <c r="L32" s="216"/>
      <c r="M32" s="216"/>
      <c r="N32" s="216"/>
    </row>
    <row r="33" spans="1:14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1:14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1:14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1:14" ht="18.75" x14ac:dyDescent="0.3">
      <c r="A36" s="9"/>
      <c r="B36" s="536"/>
      <c r="C36" s="537" t="s">
        <v>776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1:14" x14ac:dyDescent="0.25">
      <c r="A37" s="9"/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1:14" x14ac:dyDescent="0.25">
      <c r="A38" s="9"/>
      <c r="B38" s="388" t="s">
        <v>765</v>
      </c>
      <c r="C38" s="541">
        <v>1</v>
      </c>
      <c r="D38" s="542"/>
      <c r="E38" s="543">
        <f>'AUGUST 2019'!I38:I58</f>
        <v>28500</v>
      </c>
      <c r="F38" s="440">
        <v>4500</v>
      </c>
      <c r="G38" s="440">
        <f>D38+E38+F38</f>
        <v>33000</v>
      </c>
      <c r="H38" s="440">
        <v>3660</v>
      </c>
      <c r="I38" s="544">
        <f>G38-H38</f>
        <v>29340</v>
      </c>
      <c r="J38" s="543"/>
      <c r="K38" s="216"/>
      <c r="L38" s="216"/>
      <c r="M38" s="216"/>
      <c r="N38" s="292"/>
    </row>
    <row r="39" spans="1:14" x14ac:dyDescent="0.25">
      <c r="A39" s="9"/>
      <c r="B39" s="604" t="s">
        <v>766</v>
      </c>
      <c r="C39" s="541">
        <v>2</v>
      </c>
      <c r="D39" s="542"/>
      <c r="E39" s="543">
        <f>'AUGUST 2019'!I39:I59</f>
        <v>0</v>
      </c>
      <c r="F39" s="443">
        <v>4500</v>
      </c>
      <c r="G39" s="440">
        <f t="shared" ref="G39:G60" si="2">D39+E39+F39</f>
        <v>4500</v>
      </c>
      <c r="H39" s="440">
        <v>4500</v>
      </c>
      <c r="I39" s="544">
        <f t="shared" ref="I39:I61" si="3">G39-H39</f>
        <v>0</v>
      </c>
      <c r="J39" s="543"/>
      <c r="K39" s="216"/>
      <c r="L39" s="216"/>
      <c r="M39" s="216"/>
      <c r="N39" s="216"/>
    </row>
    <row r="40" spans="1:14" x14ac:dyDescent="0.25">
      <c r="A40" s="9"/>
      <c r="B40" s="604" t="s">
        <v>638</v>
      </c>
      <c r="C40" s="541">
        <v>3</v>
      </c>
      <c r="D40" s="542"/>
      <c r="E40" s="543">
        <f>'AUGUST 2019'!I40:I60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  <c r="N40" s="216"/>
    </row>
    <row r="41" spans="1:14" x14ac:dyDescent="0.25">
      <c r="A41" s="9"/>
      <c r="B41" s="44" t="s">
        <v>758</v>
      </c>
      <c r="C41" s="541">
        <v>4</v>
      </c>
      <c r="D41" s="542"/>
      <c r="E41" s="543">
        <v>2000</v>
      </c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  <c r="L41" s="216"/>
      <c r="M41" s="216"/>
      <c r="N41" s="216"/>
    </row>
    <row r="42" spans="1:14" x14ac:dyDescent="0.25">
      <c r="A42" s="9"/>
      <c r="B42" s="388" t="s">
        <v>767</v>
      </c>
      <c r="C42" s="541">
        <v>5</v>
      </c>
      <c r="D42" s="542"/>
      <c r="E42" s="543">
        <f>'AUGUST 2019'!I42:I62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1:14" x14ac:dyDescent="0.25">
      <c r="A43" s="9"/>
      <c r="B43" s="604" t="s">
        <v>759</v>
      </c>
      <c r="C43" s="541">
        <v>6</v>
      </c>
      <c r="D43" s="542"/>
      <c r="E43" s="543">
        <f>'AUGUST 2019'!I43:I63</f>
        <v>1500</v>
      </c>
      <c r="F43" s="443">
        <v>2500</v>
      </c>
      <c r="G43" s="440">
        <f t="shared" si="2"/>
        <v>4000</v>
      </c>
      <c r="H43" s="440">
        <v>2350</v>
      </c>
      <c r="I43" s="544">
        <f t="shared" si="3"/>
        <v>1650</v>
      </c>
      <c r="J43" s="543">
        <v>100</v>
      </c>
      <c r="K43" s="216"/>
      <c r="L43" s="216"/>
      <c r="M43" s="216"/>
      <c r="N43" s="216"/>
    </row>
    <row r="44" spans="1:14" x14ac:dyDescent="0.25">
      <c r="A44" s="9"/>
      <c r="B44" s="388" t="s">
        <v>704</v>
      </c>
      <c r="C44" s="541">
        <v>7</v>
      </c>
      <c r="D44" s="542">
        <v>1500</v>
      </c>
      <c r="E44" s="543">
        <f>'AUGUST 2019'!I44:I64</f>
        <v>0</v>
      </c>
      <c r="F44" s="546">
        <v>2500</v>
      </c>
      <c r="G44" s="440">
        <f t="shared" si="2"/>
        <v>4000</v>
      </c>
      <c r="H44" s="440">
        <v>3000</v>
      </c>
      <c r="I44" s="544">
        <f t="shared" si="3"/>
        <v>1000</v>
      </c>
      <c r="J44" s="543">
        <v>100</v>
      </c>
      <c r="K44" s="216"/>
      <c r="L44" s="216"/>
      <c r="M44" s="216"/>
      <c r="N44" s="216"/>
    </row>
    <row r="45" spans="1:14" x14ac:dyDescent="0.25">
      <c r="A45" s="9"/>
      <c r="B45" s="605" t="s">
        <v>768</v>
      </c>
      <c r="C45" s="541">
        <v>8</v>
      </c>
      <c r="D45" s="542"/>
      <c r="E45" s="543">
        <f>'AUGUST 2019'!I45:I65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1:14" x14ac:dyDescent="0.25">
      <c r="A46" s="9"/>
      <c r="B46" s="388" t="s">
        <v>749</v>
      </c>
      <c r="C46" s="541">
        <v>9</v>
      </c>
      <c r="D46" s="542"/>
      <c r="E46" s="543">
        <f>'AUGUST 2019'!I46:I66</f>
        <v>2500</v>
      </c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  <c r="N46" s="216"/>
    </row>
    <row r="47" spans="1:14" x14ac:dyDescent="0.25">
      <c r="A47" s="9"/>
      <c r="B47" s="382" t="s">
        <v>801</v>
      </c>
      <c r="C47" s="601">
        <v>10</v>
      </c>
      <c r="D47" s="542">
        <v>2500</v>
      </c>
      <c r="E47" s="543">
        <f>'AUGUST 2019'!I47:I67</f>
        <v>0</v>
      </c>
      <c r="F47" s="191">
        <v>2000</v>
      </c>
      <c r="G47" s="440">
        <f t="shared" si="2"/>
        <v>4500</v>
      </c>
      <c r="H47" s="440">
        <v>2583</v>
      </c>
      <c r="I47" s="544">
        <f t="shared" si="3"/>
        <v>1917</v>
      </c>
      <c r="J47" s="543"/>
      <c r="K47" s="216" t="s">
        <v>803</v>
      </c>
      <c r="L47" s="216"/>
      <c r="M47" s="216"/>
      <c r="N47" s="216"/>
    </row>
    <row r="48" spans="1:14" x14ac:dyDescent="0.25">
      <c r="A48" s="9"/>
      <c r="B48" s="44" t="s">
        <v>757</v>
      </c>
      <c r="C48" s="541">
        <v>11</v>
      </c>
      <c r="D48" s="542"/>
      <c r="E48" s="543">
        <f>'AUGUST 2019'!I48:I68</f>
        <v>2500</v>
      </c>
      <c r="F48" s="443">
        <v>2500</v>
      </c>
      <c r="G48" s="440">
        <f t="shared" si="2"/>
        <v>5000</v>
      </c>
      <c r="H48" s="440">
        <v>3300</v>
      </c>
      <c r="I48" s="544">
        <f t="shared" si="3"/>
        <v>1700</v>
      </c>
      <c r="J48" s="543">
        <v>100</v>
      </c>
      <c r="K48" s="216"/>
      <c r="L48" s="216"/>
      <c r="M48" s="216"/>
      <c r="N48" s="216"/>
    </row>
    <row r="49" spans="1:14" x14ac:dyDescent="0.25">
      <c r="A49" s="9"/>
      <c r="B49" s="604" t="s">
        <v>770</v>
      </c>
      <c r="C49" s="541">
        <v>12</v>
      </c>
      <c r="D49" s="542"/>
      <c r="E49" s="543">
        <f>'AUGUST 2019'!I49:I69</f>
        <v>1800</v>
      </c>
      <c r="F49" s="603">
        <v>2700</v>
      </c>
      <c r="G49" s="440">
        <f>D49+E49+F49</f>
        <v>4500</v>
      </c>
      <c r="H49" s="440">
        <v>4500</v>
      </c>
      <c r="I49" s="544">
        <f t="shared" si="3"/>
        <v>0</v>
      </c>
      <c r="J49" s="543">
        <v>100</v>
      </c>
      <c r="K49" s="216"/>
      <c r="L49" s="216"/>
      <c r="M49" s="216"/>
      <c r="N49" s="216"/>
    </row>
    <row r="50" spans="1:14" x14ac:dyDescent="0.25">
      <c r="A50" s="9"/>
      <c r="B50" s="388" t="s">
        <v>649</v>
      </c>
      <c r="C50" s="541">
        <v>13</v>
      </c>
      <c r="D50" s="542"/>
      <c r="E50" s="543">
        <f>'AUGUST 2019'!I50:I70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  <c r="N50" s="216"/>
    </row>
    <row r="51" spans="1:14" x14ac:dyDescent="0.25">
      <c r="A51" s="9"/>
      <c r="B51" s="44" t="s">
        <v>800</v>
      </c>
      <c r="C51" s="541">
        <v>14</v>
      </c>
      <c r="D51" s="542"/>
      <c r="E51" s="543">
        <f>'AUGUST 2019'!I51:I71</f>
        <v>0</v>
      </c>
      <c r="F51" s="549"/>
      <c r="G51" s="440">
        <f t="shared" si="2"/>
        <v>0</v>
      </c>
      <c r="H51" s="440"/>
      <c r="I51" s="544">
        <f t="shared" si="3"/>
        <v>0</v>
      </c>
      <c r="J51" s="543"/>
      <c r="K51" s="216" t="s">
        <v>107</v>
      </c>
      <c r="L51" s="216"/>
      <c r="M51" s="216"/>
      <c r="N51" s="216"/>
    </row>
    <row r="52" spans="1:14" x14ac:dyDescent="0.25">
      <c r="A52" s="9"/>
      <c r="B52" s="604" t="s">
        <v>703</v>
      </c>
      <c r="C52" s="541">
        <v>15</v>
      </c>
      <c r="D52" s="542"/>
      <c r="E52" s="543">
        <f>'AUGUST 2019'!I52:I72</f>
        <v>0</v>
      </c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1:14" x14ac:dyDescent="0.25">
      <c r="A53" s="9"/>
      <c r="B53" s="388" t="s">
        <v>638</v>
      </c>
      <c r="C53" s="551">
        <v>16</v>
      </c>
      <c r="D53" s="542"/>
      <c r="E53" s="543">
        <f>'AUGUST 2019'!I53:I73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1:14" x14ac:dyDescent="0.25">
      <c r="A54" s="9"/>
      <c r="B54" s="388" t="s">
        <v>675</v>
      </c>
      <c r="C54" s="541">
        <v>17</v>
      </c>
      <c r="D54" s="542"/>
      <c r="E54" s="543">
        <f>'AUGUST 2019'!I54:I74</f>
        <v>400</v>
      </c>
      <c r="F54" s="544">
        <v>1600</v>
      </c>
      <c r="G54" s="440">
        <f t="shared" si="2"/>
        <v>2000</v>
      </c>
      <c r="H54" s="440">
        <v>1600</v>
      </c>
      <c r="I54" s="544">
        <f>G54-H54</f>
        <v>400</v>
      </c>
      <c r="J54" s="543">
        <v>100</v>
      </c>
      <c r="K54" s="216"/>
      <c r="L54" s="216"/>
      <c r="M54" s="216"/>
      <c r="N54" s="216"/>
    </row>
    <row r="55" spans="1:14" x14ac:dyDescent="0.25">
      <c r="A55" s="9"/>
      <c r="B55" s="604" t="s">
        <v>657</v>
      </c>
      <c r="C55" s="541">
        <v>18</v>
      </c>
      <c r="D55" s="542"/>
      <c r="E55" s="543">
        <f>'AUGUST 2019'!I55:I75</f>
        <v>0</v>
      </c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92">
        <f>F62-F51</f>
        <v>51600</v>
      </c>
    </row>
    <row r="56" spans="1:14" x14ac:dyDescent="0.25">
      <c r="A56" s="9"/>
      <c r="B56" s="388" t="s">
        <v>670</v>
      </c>
      <c r="C56" s="553">
        <v>19</v>
      </c>
      <c r="D56" s="542"/>
      <c r="E56" s="543">
        <f>'AUGUST 2019'!I56:I76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1:14" s="9" customFormat="1" x14ac:dyDescent="0.25">
      <c r="B57" s="388" t="s">
        <v>701</v>
      </c>
      <c r="C57" s="553">
        <v>20</v>
      </c>
      <c r="D57" s="542"/>
      <c r="E57" s="543"/>
      <c r="F57" s="608">
        <v>1600</v>
      </c>
      <c r="G57" s="440">
        <f t="shared" si="2"/>
        <v>1600</v>
      </c>
      <c r="H57" s="440">
        <v>1600</v>
      </c>
      <c r="I57" s="544">
        <f t="shared" si="3"/>
        <v>0</v>
      </c>
      <c r="J57" s="543">
        <v>100</v>
      </c>
      <c r="K57" s="216"/>
      <c r="L57" s="216"/>
      <c r="M57" s="216"/>
      <c r="N57" s="216"/>
    </row>
    <row r="58" spans="1:14" s="9" customFormat="1" x14ac:dyDescent="0.25">
      <c r="B58" s="388" t="s">
        <v>806</v>
      </c>
      <c r="C58" s="553">
        <v>21</v>
      </c>
      <c r="D58" s="542">
        <v>2000</v>
      </c>
      <c r="E58" s="543"/>
      <c r="F58" s="608">
        <v>1000</v>
      </c>
      <c r="G58" s="440">
        <f t="shared" si="2"/>
        <v>3000</v>
      </c>
      <c r="H58" s="440">
        <v>2000</v>
      </c>
      <c r="I58" s="544">
        <f>G58-H58</f>
        <v>1000</v>
      </c>
      <c r="J58" s="543"/>
      <c r="K58" s="216"/>
      <c r="L58" s="216"/>
      <c r="M58" s="216"/>
      <c r="N58" s="216"/>
    </row>
    <row r="59" spans="1:14" s="9" customFormat="1" x14ac:dyDescent="0.25">
      <c r="B59" s="388"/>
      <c r="C59" s="553">
        <v>22</v>
      </c>
      <c r="D59" s="542"/>
      <c r="E59" s="543"/>
      <c r="F59" s="608"/>
      <c r="G59" s="440">
        <f t="shared" si="2"/>
        <v>0</v>
      </c>
      <c r="H59" s="440"/>
      <c r="I59" s="544">
        <f t="shared" si="3"/>
        <v>0</v>
      </c>
      <c r="J59" s="543"/>
      <c r="K59" s="216"/>
      <c r="L59" s="216"/>
      <c r="M59" s="216"/>
      <c r="N59" s="216"/>
    </row>
    <row r="60" spans="1:14" s="9" customFormat="1" x14ac:dyDescent="0.25">
      <c r="B60" s="388"/>
      <c r="C60" s="553">
        <v>23</v>
      </c>
      <c r="D60" s="542"/>
      <c r="E60" s="543"/>
      <c r="F60" s="608"/>
      <c r="G60" s="440">
        <f t="shared" si="2"/>
        <v>0</v>
      </c>
      <c r="H60" s="440"/>
      <c r="I60" s="544">
        <f t="shared" si="3"/>
        <v>0</v>
      </c>
      <c r="J60" s="543"/>
      <c r="K60" s="216"/>
      <c r="L60" s="216"/>
      <c r="M60" s="216"/>
      <c r="N60" s="216"/>
    </row>
    <row r="61" spans="1:14" x14ac:dyDescent="0.25">
      <c r="A61" s="9"/>
      <c r="B61" s="388"/>
      <c r="C61" s="541">
        <v>24</v>
      </c>
      <c r="D61" s="542"/>
      <c r="E61" s="543"/>
      <c r="F61" s="603"/>
      <c r="G61" s="440"/>
      <c r="H61" s="440"/>
      <c r="I61" s="544">
        <f t="shared" si="3"/>
        <v>0</v>
      </c>
      <c r="J61" s="543"/>
      <c r="K61" s="216"/>
      <c r="L61" s="216"/>
      <c r="M61" s="216"/>
      <c r="N61" s="216"/>
    </row>
    <row r="62" spans="1:14" x14ac:dyDescent="0.25">
      <c r="A62" s="9"/>
      <c r="B62" s="598" t="s">
        <v>708</v>
      </c>
      <c r="C62" s="191"/>
      <c r="D62" s="542">
        <f>SUM(D38:D61)</f>
        <v>6000</v>
      </c>
      <c r="E62" s="543">
        <f>SUM(E38:E61)</f>
        <v>39200</v>
      </c>
      <c r="F62" s="588">
        <f>SUM(F38:F61)</f>
        <v>51600</v>
      </c>
      <c r="G62" s="440">
        <f>D62+E62+F62</f>
        <v>96800</v>
      </c>
      <c r="H62" s="440">
        <f>SUM(H38:H61)</f>
        <v>55293</v>
      </c>
      <c r="I62" s="544">
        <f>G62-H62</f>
        <v>41507</v>
      </c>
      <c r="J62" s="591">
        <f>SUM(J38:J61)</f>
        <v>1100</v>
      </c>
      <c r="K62" s="216"/>
      <c r="L62" s="216"/>
      <c r="M62" s="216"/>
      <c r="N62" s="216"/>
    </row>
    <row r="63" spans="1:14" x14ac:dyDescent="0.25">
      <c r="A63" s="9"/>
      <c r="J63" s="216"/>
      <c r="K63" s="216"/>
      <c r="L63" s="216"/>
      <c r="M63" s="216"/>
      <c r="N63" s="216"/>
    </row>
    <row r="64" spans="1:14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K64" s="216"/>
      <c r="L64" s="216"/>
      <c r="M64" s="216"/>
      <c r="N64" s="216"/>
    </row>
    <row r="65" spans="1:14" x14ac:dyDescent="0.25">
      <c r="A65" s="9"/>
      <c r="B65" s="491" t="s">
        <v>615</v>
      </c>
      <c r="C65" s="491"/>
      <c r="D65" s="491"/>
      <c r="E65" s="492"/>
      <c r="F65" s="491"/>
      <c r="G65" s="216"/>
      <c r="H65" s="216"/>
      <c r="I65" s="216"/>
      <c r="J65" s="216"/>
      <c r="K65" s="216"/>
      <c r="L65" s="216"/>
      <c r="M65" s="216"/>
      <c r="N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  <c r="N66" s="216"/>
    </row>
    <row r="67" spans="1:14" x14ac:dyDescent="0.25">
      <c r="A67" s="9"/>
      <c r="B67" s="191" t="s">
        <v>783</v>
      </c>
      <c r="C67" s="494">
        <f>F62</f>
        <v>51600</v>
      </c>
      <c r="D67" s="191"/>
      <c r="E67" s="191"/>
      <c r="F67" s="191" t="s">
        <v>783</v>
      </c>
      <c r="G67" s="494">
        <f>H62</f>
        <v>55293</v>
      </c>
      <c r="H67" s="191"/>
      <c r="I67" s="191"/>
      <c r="J67" s="292"/>
      <c r="K67" s="216"/>
      <c r="L67" s="216"/>
      <c r="M67" s="216"/>
      <c r="N67" s="216"/>
    </row>
    <row r="68" spans="1:14" x14ac:dyDescent="0.25">
      <c r="A68" s="9"/>
      <c r="B68" s="191" t="s">
        <v>347</v>
      </c>
      <c r="C68" s="494">
        <f>'AUGUST 2019'!E88</f>
        <v>-23625</v>
      </c>
      <c r="D68" s="191"/>
      <c r="E68" s="191"/>
      <c r="F68" s="191" t="s">
        <v>347</v>
      </c>
      <c r="G68" s="494">
        <f>'AUGUST 2019'!I88</f>
        <v>-73940</v>
      </c>
      <c r="H68" s="191"/>
      <c r="I68" s="191"/>
      <c r="J68" s="292"/>
      <c r="K68" s="216"/>
      <c r="L68" s="216"/>
      <c r="M68" s="216"/>
      <c r="N68" s="216"/>
    </row>
    <row r="69" spans="1:14" x14ac:dyDescent="0.25">
      <c r="A69" s="9"/>
      <c r="B69" s="191" t="s">
        <v>333</v>
      </c>
      <c r="C69" s="494">
        <f>1300+500+1800+1000</f>
        <v>4600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  <c r="N69" s="216"/>
    </row>
    <row r="70" spans="1:14" x14ac:dyDescent="0.25">
      <c r="A70" s="9"/>
      <c r="B70" s="191" t="s">
        <v>613</v>
      </c>
      <c r="C70" s="327">
        <v>0.1</v>
      </c>
      <c r="D70" s="494">
        <f>C70*N55</f>
        <v>5160</v>
      </c>
      <c r="E70" s="191"/>
      <c r="F70" s="191" t="s">
        <v>613</v>
      </c>
      <c r="G70" s="327">
        <v>0.1</v>
      </c>
      <c r="H70" s="494">
        <f>D70</f>
        <v>5160</v>
      </c>
      <c r="I70" s="191"/>
      <c r="J70" s="292"/>
      <c r="K70" s="216"/>
      <c r="L70" s="216"/>
      <c r="M70" s="216"/>
      <c r="N70" s="216"/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  <c r="N71" s="216"/>
    </row>
    <row r="72" spans="1:14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92">
        <f>D73+D74+D75+D76+D78+D79+D80+D81+D82+D83+D84+D86+D88+D89+D90+D91</f>
        <v>65010</v>
      </c>
      <c r="M72" s="216"/>
      <c r="N72" s="216"/>
    </row>
    <row r="73" spans="1:14" x14ac:dyDescent="0.25">
      <c r="A73" s="9"/>
      <c r="B73" s="496" t="s">
        <v>778</v>
      </c>
      <c r="C73" s="327"/>
      <c r="D73" s="301">
        <v>8112</v>
      </c>
      <c r="E73" s="191"/>
      <c r="F73" s="496" t="s">
        <v>778</v>
      </c>
      <c r="G73" s="327"/>
      <c r="H73" s="301">
        <v>8112</v>
      </c>
      <c r="I73" s="191"/>
      <c r="J73" s="216"/>
      <c r="K73" s="216"/>
      <c r="L73" s="216"/>
      <c r="M73" s="216"/>
      <c r="N73" s="216"/>
    </row>
    <row r="74" spans="1:14" x14ac:dyDescent="0.25">
      <c r="A74" s="9"/>
      <c r="B74" s="496" t="s">
        <v>779</v>
      </c>
      <c r="C74" s="327"/>
      <c r="D74" s="191">
        <v>19720</v>
      </c>
      <c r="E74" s="191"/>
      <c r="F74" s="496" t="s">
        <v>779</v>
      </c>
      <c r="G74" s="327"/>
      <c r="H74" s="191">
        <v>19720</v>
      </c>
      <c r="I74" s="191"/>
      <c r="J74" s="216"/>
      <c r="K74" s="216"/>
      <c r="L74" s="216"/>
      <c r="M74" s="216"/>
      <c r="N74" s="216"/>
    </row>
    <row r="75" spans="1:14" x14ac:dyDescent="0.25">
      <c r="A75" s="9"/>
      <c r="B75" s="496" t="s">
        <v>784</v>
      </c>
      <c r="C75" s="191" t="s">
        <v>787</v>
      </c>
      <c r="D75" s="191">
        <v>8010</v>
      </c>
      <c r="E75" s="191"/>
      <c r="F75" s="496" t="s">
        <v>786</v>
      </c>
      <c r="G75" s="191"/>
      <c r="H75" s="191">
        <f>D75</f>
        <v>8010</v>
      </c>
      <c r="I75" s="191"/>
      <c r="J75" s="216"/>
      <c r="K75" s="216"/>
      <c r="L75" s="216"/>
      <c r="M75" s="292"/>
      <c r="N75" s="216"/>
    </row>
    <row r="76" spans="1:14" x14ac:dyDescent="0.25">
      <c r="A76" s="9"/>
      <c r="B76" s="496" t="s">
        <v>785</v>
      </c>
      <c r="C76" s="495">
        <v>43713</v>
      </c>
      <c r="D76" s="191">
        <v>3000</v>
      </c>
      <c r="E76" s="191"/>
      <c r="F76" s="496" t="s">
        <v>788</v>
      </c>
      <c r="G76" s="191"/>
      <c r="H76" s="191">
        <f>D76</f>
        <v>3000</v>
      </c>
      <c r="I76" s="191"/>
      <c r="J76" s="216"/>
      <c r="K76" s="216"/>
      <c r="L76" s="216"/>
      <c r="M76" s="216"/>
      <c r="N76" s="216"/>
    </row>
    <row r="77" spans="1:14" x14ac:dyDescent="0.25">
      <c r="A77" s="9"/>
      <c r="B77" s="496" t="s">
        <v>790</v>
      </c>
      <c r="C77" s="191"/>
      <c r="D77" s="191">
        <v>15000</v>
      </c>
      <c r="E77" s="191"/>
      <c r="F77" s="496" t="s">
        <v>790</v>
      </c>
      <c r="G77" s="191"/>
      <c r="H77" s="191">
        <v>15000</v>
      </c>
      <c r="I77" s="191"/>
      <c r="J77" s="216"/>
      <c r="K77" s="216"/>
      <c r="L77" s="602">
        <f>C67+C68+C69-D70</f>
        <v>27415</v>
      </c>
      <c r="M77" s="216"/>
      <c r="N77" s="216"/>
    </row>
    <row r="78" spans="1:14" x14ac:dyDescent="0.25">
      <c r="A78" s="9"/>
      <c r="B78" s="497" t="s">
        <v>793</v>
      </c>
      <c r="C78" s="191"/>
      <c r="D78" s="191">
        <v>1800</v>
      </c>
      <c r="E78" s="191"/>
      <c r="F78" s="497" t="s">
        <v>793</v>
      </c>
      <c r="G78" s="191"/>
      <c r="H78" s="191">
        <v>1800</v>
      </c>
      <c r="I78" s="191"/>
      <c r="J78" s="216"/>
      <c r="K78" s="602"/>
      <c r="L78" s="216"/>
      <c r="M78" s="216"/>
      <c r="N78" s="216"/>
    </row>
    <row r="79" spans="1:14" x14ac:dyDescent="0.25">
      <c r="A79" s="9"/>
      <c r="B79" s="497" t="s">
        <v>795</v>
      </c>
      <c r="C79" s="191"/>
      <c r="D79" s="191">
        <v>2500</v>
      </c>
      <c r="E79" s="191"/>
      <c r="F79" s="497" t="s">
        <v>795</v>
      </c>
      <c r="G79" s="191"/>
      <c r="H79" s="191">
        <v>2500</v>
      </c>
      <c r="I79" s="191"/>
      <c r="J79" s="216"/>
      <c r="K79" s="602"/>
      <c r="L79" s="216"/>
      <c r="M79" s="216"/>
      <c r="N79" s="216"/>
    </row>
    <row r="80" spans="1:14" x14ac:dyDescent="0.25">
      <c r="A80" s="9"/>
      <c r="B80" s="497" t="s">
        <v>794</v>
      </c>
      <c r="C80" s="191"/>
      <c r="D80" s="191">
        <v>3460</v>
      </c>
      <c r="E80" s="191"/>
      <c r="F80" s="497" t="s">
        <v>794</v>
      </c>
      <c r="G80" s="191"/>
      <c r="H80" s="191">
        <v>3460</v>
      </c>
      <c r="I80" s="191"/>
      <c r="J80" s="216"/>
      <c r="K80" s="602"/>
      <c r="L80" s="602">
        <f>L77-D72</f>
        <v>17415</v>
      </c>
      <c r="M80" s="216"/>
      <c r="N80" s="216"/>
    </row>
    <row r="81" spans="1:14" x14ac:dyDescent="0.25">
      <c r="A81" s="9"/>
      <c r="B81" s="497" t="s">
        <v>791</v>
      </c>
      <c r="C81" s="191"/>
      <c r="D81" s="191">
        <v>2000</v>
      </c>
      <c r="E81" s="191"/>
      <c r="F81" s="497" t="s">
        <v>791</v>
      </c>
      <c r="G81" s="191"/>
      <c r="H81" s="191">
        <v>2000</v>
      </c>
      <c r="I81" s="191"/>
      <c r="J81" s="216"/>
      <c r="K81" s="602"/>
      <c r="L81" s="292"/>
      <c r="M81" s="216"/>
      <c r="N81" s="216"/>
    </row>
    <row r="82" spans="1:14" x14ac:dyDescent="0.25">
      <c r="A82" s="9"/>
      <c r="B82" s="497" t="s">
        <v>792</v>
      </c>
      <c r="C82" s="191"/>
      <c r="D82" s="191">
        <v>4000</v>
      </c>
      <c r="E82" s="191"/>
      <c r="F82" s="497" t="s">
        <v>792</v>
      </c>
      <c r="G82" s="191"/>
      <c r="H82" s="191">
        <v>4000</v>
      </c>
      <c r="I82" s="191"/>
      <c r="J82" s="216"/>
      <c r="K82" s="602"/>
      <c r="L82" s="292"/>
      <c r="M82" s="216"/>
      <c r="N82" s="216"/>
    </row>
    <row r="83" spans="1:14" x14ac:dyDescent="0.25">
      <c r="A83" s="9"/>
      <c r="B83" s="497" t="s">
        <v>796</v>
      </c>
      <c r="C83" s="495"/>
      <c r="D83" s="191">
        <v>4020</v>
      </c>
      <c r="E83" s="191"/>
      <c r="F83" s="497" t="s">
        <v>796</v>
      </c>
      <c r="G83" s="495"/>
      <c r="H83" s="191">
        <v>4020</v>
      </c>
      <c r="I83" s="191"/>
      <c r="J83" s="216"/>
      <c r="K83" s="602"/>
      <c r="L83" s="292"/>
      <c r="M83" s="216"/>
      <c r="N83" s="216"/>
    </row>
    <row r="84" spans="1:14" x14ac:dyDescent="0.25">
      <c r="A84" s="9"/>
      <c r="B84" s="496" t="s">
        <v>797</v>
      </c>
      <c r="C84" s="495"/>
      <c r="D84" s="498">
        <v>888</v>
      </c>
      <c r="E84" s="191"/>
      <c r="F84" s="496" t="s">
        <v>797</v>
      </c>
      <c r="G84" s="495"/>
      <c r="H84" s="498">
        <v>888</v>
      </c>
      <c r="I84" s="191"/>
      <c r="J84" s="216"/>
      <c r="K84" s="602"/>
      <c r="L84" s="292"/>
      <c r="M84" s="216"/>
      <c r="N84" s="602">
        <f>I94-G68</f>
        <v>-45794</v>
      </c>
    </row>
    <row r="85" spans="1:14" x14ac:dyDescent="0.25">
      <c r="A85" s="9"/>
      <c r="B85" s="497" t="s">
        <v>798</v>
      </c>
      <c r="C85" s="495"/>
      <c r="D85" s="191">
        <v>5000</v>
      </c>
      <c r="E85" s="191"/>
      <c r="F85" s="497" t="s">
        <v>798</v>
      </c>
      <c r="G85" s="495"/>
      <c r="H85" s="191">
        <v>5000</v>
      </c>
      <c r="I85" s="191"/>
      <c r="J85" s="216"/>
      <c r="K85" s="602"/>
      <c r="L85" s="216"/>
      <c r="M85" s="216"/>
      <c r="N85" s="216"/>
    </row>
    <row r="86" spans="1:14" x14ac:dyDescent="0.25">
      <c r="A86" s="9"/>
      <c r="B86" s="606" t="s">
        <v>802</v>
      </c>
      <c r="D86" s="607">
        <v>2300</v>
      </c>
      <c r="F86" s="606" t="s">
        <v>802</v>
      </c>
      <c r="G86" s="9"/>
      <c r="H86" s="607">
        <v>2300</v>
      </c>
      <c r="I86" s="191"/>
      <c r="J86" s="216"/>
      <c r="K86" s="602"/>
      <c r="L86" s="216"/>
      <c r="M86" s="216"/>
      <c r="N86" s="216"/>
    </row>
    <row r="87" spans="1:14" x14ac:dyDescent="0.25">
      <c r="A87" s="9"/>
      <c r="B87" s="497" t="s">
        <v>799</v>
      </c>
      <c r="C87" s="495"/>
      <c r="D87" s="301">
        <v>917</v>
      </c>
      <c r="E87" s="191"/>
      <c r="F87" s="497" t="s">
        <v>799</v>
      </c>
      <c r="G87" s="495"/>
      <c r="H87" s="301">
        <v>917</v>
      </c>
      <c r="I87" s="191"/>
      <c r="J87" s="216"/>
      <c r="K87" s="216"/>
      <c r="L87" s="216"/>
      <c r="M87" s="216"/>
      <c r="N87" s="216"/>
    </row>
    <row r="88" spans="1:14" s="9" customFormat="1" x14ac:dyDescent="0.25">
      <c r="B88" s="497" t="s">
        <v>804</v>
      </c>
      <c r="C88" s="495"/>
      <c r="D88" s="301">
        <v>4000</v>
      </c>
      <c r="E88" s="191"/>
      <c r="F88" s="497" t="s">
        <v>804</v>
      </c>
      <c r="G88" s="495"/>
      <c r="H88" s="301">
        <v>4000</v>
      </c>
      <c r="I88" s="191"/>
      <c r="J88" s="216"/>
      <c r="K88" s="292">
        <f>E94+L72</f>
        <v>-3502</v>
      </c>
      <c r="L88" s="216"/>
      <c r="M88" s="216"/>
      <c r="N88" s="216"/>
    </row>
    <row r="89" spans="1:14" s="9" customFormat="1" x14ac:dyDescent="0.25">
      <c r="B89" s="497" t="s">
        <v>805</v>
      </c>
      <c r="C89" s="495"/>
      <c r="D89" s="301">
        <v>550</v>
      </c>
      <c r="E89" s="191"/>
      <c r="F89" s="497" t="s">
        <v>805</v>
      </c>
      <c r="G89" s="495"/>
      <c r="H89" s="301">
        <v>550</v>
      </c>
      <c r="I89" s="191"/>
      <c r="J89" s="216"/>
      <c r="K89" s="216"/>
      <c r="L89" s="216"/>
      <c r="M89" s="216"/>
      <c r="N89" s="216"/>
    </row>
    <row r="90" spans="1:14" s="9" customFormat="1" x14ac:dyDescent="0.25">
      <c r="B90" s="497" t="s">
        <v>815</v>
      </c>
      <c r="C90" s="495"/>
      <c r="D90" s="301">
        <v>450</v>
      </c>
      <c r="E90" s="191"/>
      <c r="F90" s="497" t="s">
        <v>807</v>
      </c>
      <c r="G90" s="495"/>
      <c r="H90" s="301">
        <v>450</v>
      </c>
      <c r="I90" s="191"/>
      <c r="J90" s="216"/>
      <c r="K90" s="216"/>
      <c r="L90" s="216"/>
      <c r="M90" s="216"/>
      <c r="N90" s="216"/>
    </row>
    <row r="91" spans="1:14" s="9" customFormat="1" x14ac:dyDescent="0.25">
      <c r="B91" s="497" t="s">
        <v>814</v>
      </c>
      <c r="C91" s="495"/>
      <c r="D91" s="301">
        <v>200</v>
      </c>
      <c r="E91" s="191"/>
      <c r="F91" s="497" t="s">
        <v>813</v>
      </c>
      <c r="G91" s="495"/>
      <c r="H91" s="301">
        <v>200</v>
      </c>
      <c r="I91" s="191"/>
      <c r="J91" s="216"/>
      <c r="K91" s="602"/>
      <c r="L91" s="216"/>
      <c r="M91" s="216"/>
      <c r="N91" s="216"/>
    </row>
    <row r="92" spans="1:14" s="9" customFormat="1" x14ac:dyDescent="0.25"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  <c r="N92" s="216"/>
    </row>
    <row r="93" spans="1:14" s="9" customFormat="1" x14ac:dyDescent="0.25"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  <c r="N93" s="216"/>
    </row>
    <row r="94" spans="1:14" x14ac:dyDescent="0.25">
      <c r="A94" s="9"/>
      <c r="B94" s="493" t="s">
        <v>2</v>
      </c>
      <c r="C94" s="499">
        <f>C69+C67+C68-D70</f>
        <v>27415</v>
      </c>
      <c r="D94" s="499">
        <f>SUM(D72:D93)</f>
        <v>95927</v>
      </c>
      <c r="E94" s="499">
        <f>C94-D94</f>
        <v>-68512</v>
      </c>
      <c r="F94" s="493" t="s">
        <v>2</v>
      </c>
      <c r="G94" s="499">
        <f>G67+G68+G69-H70</f>
        <v>-23807</v>
      </c>
      <c r="H94" s="499">
        <f>SUM(H72:H93)</f>
        <v>95927</v>
      </c>
      <c r="I94" s="499">
        <f>G94-H94</f>
        <v>-119734</v>
      </c>
      <c r="J94" s="216"/>
      <c r="K94" s="602"/>
      <c r="L94" s="216"/>
      <c r="M94" s="216"/>
      <c r="N94" s="216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  <c r="N96" s="216"/>
    </row>
    <row r="97" spans="1:14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  <c r="N97" s="216"/>
    </row>
    <row r="98" spans="1:14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  <c r="N98" s="216"/>
    </row>
    <row r="99" spans="1:14" x14ac:dyDescent="0.25">
      <c r="A99" s="9"/>
      <c r="J99" s="216"/>
      <c r="K99" s="602"/>
      <c r="L99" s="216"/>
      <c r="M99" s="216"/>
      <c r="N99" s="216"/>
    </row>
    <row r="100" spans="1:14" x14ac:dyDescent="0.25">
      <c r="A100" s="9"/>
      <c r="K100" s="216"/>
      <c r="L100" s="216"/>
      <c r="M100" s="216"/>
      <c r="N100" s="21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64" workbookViewId="0">
      <selection activeCell="M81" sqref="M81"/>
    </sheetView>
  </sheetViews>
  <sheetFormatPr defaultRowHeight="15" x14ac:dyDescent="0.25"/>
  <cols>
    <col min="2" max="2" width="23.1406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</row>
    <row r="3" spans="1:13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</row>
    <row r="4" spans="1:13" ht="15.75" x14ac:dyDescent="0.25">
      <c r="A4" s="9"/>
      <c r="B4" s="216"/>
      <c r="C4" s="518" t="s">
        <v>812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</row>
    <row r="5" spans="1:13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</row>
    <row r="6" spans="1:13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</row>
    <row r="7" spans="1:13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</row>
    <row r="8" spans="1:13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</row>
    <row r="9" spans="1:13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</row>
    <row r="10" spans="1:13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</row>
    <row r="11" spans="1:13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</row>
    <row r="12" spans="1:13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</row>
    <row r="13" spans="1:13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</row>
    <row r="14" spans="1:13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</row>
    <row r="15" spans="1:13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</row>
    <row r="16" spans="1:13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</row>
    <row r="17" spans="1:13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</row>
    <row r="18" spans="1:13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</row>
    <row r="19" spans="1:13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</row>
    <row r="20" spans="1:13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</row>
    <row r="21" spans="1:13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</row>
    <row r="22" spans="1:13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</row>
    <row r="23" spans="1:13" x14ac:dyDescent="0.25">
      <c r="A23" s="9"/>
      <c r="B23" s="216"/>
      <c r="C23" s="494">
        <f>'SEPTEMBER 19'!E32</f>
        <v>9400</v>
      </c>
      <c r="D23" s="191"/>
      <c r="E23" s="191"/>
      <c r="F23" s="191" t="s">
        <v>347</v>
      </c>
      <c r="G23" s="494">
        <f>'SEPTEMBER 19'!I32</f>
        <v>9400</v>
      </c>
      <c r="H23" s="191"/>
      <c r="I23" s="191"/>
      <c r="J23" s="535"/>
      <c r="K23" s="216"/>
      <c r="L23" s="216"/>
      <c r="M23" s="216"/>
    </row>
    <row r="24" spans="1:13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</row>
    <row r="25" spans="1:13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</row>
    <row r="26" spans="1:13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</row>
    <row r="27" spans="1:13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</row>
    <row r="28" spans="1:13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</row>
    <row r="29" spans="1:13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</row>
    <row r="30" spans="1:13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</row>
    <row r="31" spans="1:13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</row>
    <row r="32" spans="1:13" x14ac:dyDescent="0.25">
      <c r="A32" s="9"/>
      <c r="B32" s="216"/>
      <c r="C32" s="499">
        <f>C22+C23-D24</f>
        <v>13000</v>
      </c>
      <c r="D32" s="499">
        <f>SUM(D26:D31)</f>
        <v>4000</v>
      </c>
      <c r="E32" s="499">
        <f>C32-D32</f>
        <v>9000</v>
      </c>
      <c r="F32" s="493" t="s">
        <v>2</v>
      </c>
      <c r="G32" s="499">
        <f>G22+G23-H24</f>
        <v>13000</v>
      </c>
      <c r="H32" s="499">
        <f>SUM(H26:H31)</f>
        <v>4000</v>
      </c>
      <c r="I32" s="499">
        <f>G32-H32</f>
        <v>9000</v>
      </c>
      <c r="J32" s="216"/>
      <c r="K32" s="216"/>
      <c r="L32" s="216"/>
      <c r="M32" s="216"/>
    </row>
    <row r="33" spans="1:13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</row>
    <row r="34" spans="1:13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</row>
    <row r="35" spans="1:13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</row>
    <row r="36" spans="1:13" ht="18.75" x14ac:dyDescent="0.3">
      <c r="A36" s="9"/>
      <c r="B36" s="536"/>
      <c r="C36" s="537" t="s">
        <v>811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</row>
    <row r="37" spans="1:13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</row>
    <row r="38" spans="1:13" x14ac:dyDescent="0.25">
      <c r="A38" s="9"/>
      <c r="B38" s="388" t="s">
        <v>765</v>
      </c>
      <c r="C38" s="541">
        <v>1</v>
      </c>
      <c r="D38" s="542"/>
      <c r="E38" s="543">
        <f>'SEPTEMBER 19'!I38:I58</f>
        <v>29340</v>
      </c>
      <c r="F38" s="440">
        <v>4500</v>
      </c>
      <c r="G38" s="440">
        <f>D38+E38+F38</f>
        <v>33840</v>
      </c>
      <c r="H38" s="440">
        <f>9000</f>
        <v>9000</v>
      </c>
      <c r="I38" s="544">
        <f>G38-H38</f>
        <v>24840</v>
      </c>
      <c r="J38" s="543"/>
      <c r="K38" s="216"/>
      <c r="L38" s="216"/>
      <c r="M38" s="216"/>
    </row>
    <row r="39" spans="1:13" x14ac:dyDescent="0.25">
      <c r="A39" s="9"/>
      <c r="B39" s="604" t="s">
        <v>820</v>
      </c>
      <c r="C39" s="541">
        <v>2</v>
      </c>
      <c r="D39" s="542"/>
      <c r="E39" s="543">
        <f>'SEPTEMBER 19'!I39:I59</f>
        <v>0</v>
      </c>
      <c r="F39" s="443">
        <v>4500</v>
      </c>
      <c r="G39" s="440">
        <f t="shared" ref="G39:G60" si="2">D39+E39+F39</f>
        <v>4500</v>
      </c>
      <c r="H39" s="440">
        <v>4000</v>
      </c>
      <c r="I39" s="544">
        <f t="shared" ref="I39:I61" si="3">G39-H39</f>
        <v>500</v>
      </c>
      <c r="J39" s="543"/>
      <c r="K39" s="216"/>
      <c r="L39" s="216"/>
      <c r="M39" s="216"/>
    </row>
    <row r="40" spans="1:13" x14ac:dyDescent="0.25">
      <c r="A40" s="9"/>
      <c r="B40" s="604" t="s">
        <v>638</v>
      </c>
      <c r="C40" s="541">
        <v>3</v>
      </c>
      <c r="D40" s="542"/>
      <c r="E40" s="543">
        <f>'SEPTEMBER 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</row>
    <row r="41" spans="1:13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100</v>
      </c>
      <c r="K41" s="216"/>
      <c r="L41" s="216"/>
      <c r="M41" s="216"/>
    </row>
    <row r="42" spans="1:13" x14ac:dyDescent="0.25">
      <c r="A42" s="9"/>
      <c r="B42" s="388" t="s">
        <v>767</v>
      </c>
      <c r="C42" s="541">
        <v>5</v>
      </c>
      <c r="D42" s="542"/>
      <c r="E42" s="543">
        <f>'SEPTEMBER 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</row>
    <row r="43" spans="1:13" x14ac:dyDescent="0.25">
      <c r="A43" s="9"/>
      <c r="B43" s="604" t="s">
        <v>759</v>
      </c>
      <c r="C43" s="541">
        <v>6</v>
      </c>
      <c r="D43" s="542">
        <v>1500</v>
      </c>
      <c r="E43" s="543">
        <v>150</v>
      </c>
      <c r="F43" s="443">
        <v>2500</v>
      </c>
      <c r="G43" s="440">
        <f t="shared" si="2"/>
        <v>4150</v>
      </c>
      <c r="H43" s="440">
        <f>1550+1100</f>
        <v>2650</v>
      </c>
      <c r="I43" s="544">
        <f t="shared" si="3"/>
        <v>1500</v>
      </c>
      <c r="J43" s="543">
        <v>100</v>
      </c>
      <c r="K43" s="216"/>
      <c r="L43" s="216"/>
      <c r="M43" s="216"/>
    </row>
    <row r="44" spans="1:13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  <c r="L44" s="216"/>
      <c r="M44" s="216"/>
    </row>
    <row r="45" spans="1:13" x14ac:dyDescent="0.25">
      <c r="A45" s="9"/>
      <c r="B45" s="605" t="s">
        <v>768</v>
      </c>
      <c r="C45" s="541">
        <v>8</v>
      </c>
      <c r="D45" s="542"/>
      <c r="E45" s="543">
        <f>'SEPTEMBER 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/>
      <c r="K45" s="216"/>
      <c r="L45" s="216"/>
      <c r="M45" s="216"/>
    </row>
    <row r="46" spans="1:13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</row>
    <row r="47" spans="1:13" x14ac:dyDescent="0.25">
      <c r="A47" s="9"/>
      <c r="B47" s="382" t="s">
        <v>827</v>
      </c>
      <c r="C47" s="601">
        <v>10</v>
      </c>
      <c r="D47" s="542">
        <v>2500</v>
      </c>
      <c r="E47" s="543"/>
      <c r="F47" s="191">
        <v>833</v>
      </c>
      <c r="G47" s="440">
        <f t="shared" si="2"/>
        <v>3333</v>
      </c>
      <c r="H47" s="440">
        <v>3000</v>
      </c>
      <c r="I47" s="544">
        <f t="shared" si="3"/>
        <v>333</v>
      </c>
      <c r="J47" s="543"/>
      <c r="K47" s="216"/>
      <c r="L47" s="216"/>
      <c r="M47" s="216"/>
    </row>
    <row r="48" spans="1:13" x14ac:dyDescent="0.25">
      <c r="A48" s="9"/>
      <c r="B48" s="44" t="s">
        <v>757</v>
      </c>
      <c r="C48" s="541">
        <v>11</v>
      </c>
      <c r="D48" s="542">
        <v>1700</v>
      </c>
      <c r="E48" s="543"/>
      <c r="F48" s="443">
        <v>2500</v>
      </c>
      <c r="G48" s="440">
        <f t="shared" si="2"/>
        <v>4200</v>
      </c>
      <c r="H48" s="440">
        <v>4000</v>
      </c>
      <c r="I48" s="544">
        <f t="shared" si="3"/>
        <v>200</v>
      </c>
      <c r="J48" s="543">
        <v>100</v>
      </c>
      <c r="K48" s="216"/>
      <c r="L48" s="216"/>
      <c r="M48" s="216"/>
    </row>
    <row r="49" spans="1:13" x14ac:dyDescent="0.25">
      <c r="A49" s="9"/>
      <c r="B49" s="604" t="s">
        <v>770</v>
      </c>
      <c r="C49" s="541">
        <v>12</v>
      </c>
      <c r="D49" s="542"/>
      <c r="E49" s="543">
        <f>'SEPTEMBER 19'!I49:I69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>
        <v>100</v>
      </c>
      <c r="K49" s="216"/>
      <c r="L49" s="216"/>
      <c r="M49" s="216"/>
    </row>
    <row r="50" spans="1:13" x14ac:dyDescent="0.25">
      <c r="A50" s="9"/>
      <c r="B50" s="388" t="s">
        <v>649</v>
      </c>
      <c r="C50" s="541">
        <v>13</v>
      </c>
      <c r="D50" s="542"/>
      <c r="E50" s="543">
        <f>'SEPTEMBER 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</row>
    <row r="51" spans="1:13" x14ac:dyDescent="0.25">
      <c r="A51" s="9"/>
      <c r="B51" s="44" t="s">
        <v>800</v>
      </c>
      <c r="C51" s="541">
        <v>14</v>
      </c>
      <c r="D51" s="542"/>
      <c r="E51" s="543">
        <f>'SEPTEMBER 19'!I51:I71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  <c r="L51" s="216"/>
      <c r="M51" s="216"/>
    </row>
    <row r="52" spans="1:13" x14ac:dyDescent="0.25">
      <c r="A52" s="9"/>
      <c r="B52" s="604" t="s">
        <v>703</v>
      </c>
      <c r="C52" s="541">
        <v>15</v>
      </c>
      <c r="D52" s="542"/>
      <c r="E52" s="543">
        <f>'SEPTEMBER 19'!I52:I72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</row>
    <row r="53" spans="1:13" x14ac:dyDescent="0.25">
      <c r="A53" s="9"/>
      <c r="B53" s="388" t="s">
        <v>638</v>
      </c>
      <c r="C53" s="551">
        <v>16</v>
      </c>
      <c r="D53" s="542"/>
      <c r="E53" s="543">
        <f>'SEPTEMBER 19'!I53:I72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</row>
    <row r="54" spans="1:13" x14ac:dyDescent="0.25">
      <c r="A54" s="9"/>
      <c r="B54" s="388" t="s">
        <v>675</v>
      </c>
      <c r="C54" s="541">
        <v>17</v>
      </c>
      <c r="D54" s="542"/>
      <c r="E54" s="543">
        <f>'SEPTEMBER 19'!I54:I73</f>
        <v>400</v>
      </c>
      <c r="F54" s="544">
        <v>1600</v>
      </c>
      <c r="G54" s="440">
        <f t="shared" si="2"/>
        <v>2000</v>
      </c>
      <c r="H54" s="440">
        <v>1400</v>
      </c>
      <c r="I54" s="544">
        <f t="shared" si="3"/>
        <v>600</v>
      </c>
      <c r="J54" s="543">
        <v>100</v>
      </c>
      <c r="K54" s="216"/>
      <c r="L54" s="216"/>
      <c r="M54" s="216"/>
    </row>
    <row r="55" spans="1:13" x14ac:dyDescent="0.25">
      <c r="A55" s="9"/>
      <c r="B55" s="604"/>
      <c r="C55" s="541">
        <v>18</v>
      </c>
      <c r="D55" s="542"/>
      <c r="E55" s="543">
        <f>'SEPTEMBER 19'!I55:I74</f>
        <v>0</v>
      </c>
      <c r="F55" s="544"/>
      <c r="G55" s="440">
        <f t="shared" si="2"/>
        <v>0</v>
      </c>
      <c r="H55" s="440"/>
      <c r="I55" s="544">
        <f t="shared" si="3"/>
        <v>0</v>
      </c>
      <c r="J55" s="543"/>
      <c r="K55" s="216"/>
      <c r="L55" s="216"/>
      <c r="M55" s="216"/>
    </row>
    <row r="56" spans="1:13" x14ac:dyDescent="0.25">
      <c r="A56" s="9"/>
      <c r="B56" s="388" t="s">
        <v>670</v>
      </c>
      <c r="C56" s="553">
        <v>19</v>
      </c>
      <c r="D56" s="542"/>
      <c r="E56" s="543">
        <f>'SEPTEMBER 19'!I56:I75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</row>
    <row r="57" spans="1:13" x14ac:dyDescent="0.25">
      <c r="A57" s="9"/>
      <c r="B57" s="388"/>
      <c r="C57" s="553">
        <v>20</v>
      </c>
      <c r="D57" s="542"/>
      <c r="E57" s="543">
        <f>'SEPTEMBER 19'!I57:I76</f>
        <v>0</v>
      </c>
      <c r="F57" s="608"/>
      <c r="G57" s="440">
        <f t="shared" si="2"/>
        <v>0</v>
      </c>
      <c r="H57" s="440"/>
      <c r="I57" s="544">
        <f t="shared" si="3"/>
        <v>0</v>
      </c>
      <c r="J57" s="543"/>
      <c r="K57" s="216"/>
      <c r="L57" s="216"/>
      <c r="M57" s="216"/>
    </row>
    <row r="58" spans="1:13" x14ac:dyDescent="0.25">
      <c r="A58" s="9"/>
      <c r="B58" s="388" t="s">
        <v>821</v>
      </c>
      <c r="C58" s="553">
        <v>21</v>
      </c>
      <c r="D58" s="542"/>
      <c r="E58" s="543"/>
      <c r="F58" s="608">
        <v>2000</v>
      </c>
      <c r="G58" s="440">
        <f t="shared" si="2"/>
        <v>2000</v>
      </c>
      <c r="H58" s="440">
        <v>2000</v>
      </c>
      <c r="I58" s="544">
        <f>G58-H58</f>
        <v>0</v>
      </c>
      <c r="J58" s="543"/>
      <c r="K58" s="216"/>
      <c r="L58" s="216"/>
      <c r="M58" s="216"/>
    </row>
    <row r="59" spans="1:13" x14ac:dyDescent="0.25">
      <c r="A59" s="9"/>
      <c r="B59" s="388" t="s">
        <v>701</v>
      </c>
      <c r="C59" s="553">
        <v>22</v>
      </c>
      <c r="D59" s="542">
        <v>400</v>
      </c>
      <c r="E59" s="543">
        <f>'SEPTEMBER 19'!I59:I78</f>
        <v>0</v>
      </c>
      <c r="F59" s="608">
        <v>2000</v>
      </c>
      <c r="G59" s="440">
        <f t="shared" si="2"/>
        <v>2400</v>
      </c>
      <c r="H59" s="440">
        <f>400+2000</f>
        <v>2400</v>
      </c>
      <c r="I59" s="544">
        <f t="shared" si="3"/>
        <v>0</v>
      </c>
      <c r="J59" s="543"/>
      <c r="K59" s="216"/>
      <c r="L59" s="216"/>
      <c r="M59" s="216"/>
    </row>
    <row r="60" spans="1:13" x14ac:dyDescent="0.25">
      <c r="A60" s="9"/>
      <c r="B60" s="388" t="s">
        <v>657</v>
      </c>
      <c r="C60" s="553">
        <v>23</v>
      </c>
      <c r="D60" s="542">
        <v>2000</v>
      </c>
      <c r="E60" s="543">
        <f>'SEPTEMBER 19'!I60:I79</f>
        <v>0</v>
      </c>
      <c r="F60" s="608">
        <v>2000</v>
      </c>
      <c r="G60" s="440">
        <f t="shared" si="2"/>
        <v>4000</v>
      </c>
      <c r="H60" s="440">
        <f>2000+2000</f>
        <v>4000</v>
      </c>
      <c r="I60" s="544">
        <f>G60-H60</f>
        <v>0</v>
      </c>
      <c r="J60" s="543">
        <v>100</v>
      </c>
      <c r="K60" s="216"/>
      <c r="L60" s="216"/>
      <c r="M60" s="216"/>
    </row>
    <row r="61" spans="1:13" x14ac:dyDescent="0.25">
      <c r="A61" s="9"/>
      <c r="B61" s="388"/>
      <c r="C61" s="541">
        <v>24</v>
      </c>
      <c r="D61" s="542"/>
      <c r="E61" s="543">
        <f>'SEPTEMBER 19'!I61:I80</f>
        <v>0</v>
      </c>
      <c r="F61" s="603"/>
      <c r="G61" s="440"/>
      <c r="H61" s="440"/>
      <c r="I61" s="544">
        <f t="shared" si="3"/>
        <v>0</v>
      </c>
      <c r="J61" s="543"/>
      <c r="K61" s="292">
        <f>F62-F51</f>
        <v>52233</v>
      </c>
      <c r="L61" s="216"/>
      <c r="M61" s="216"/>
    </row>
    <row r="62" spans="1:13" x14ac:dyDescent="0.25">
      <c r="A62" s="9"/>
      <c r="B62" s="598" t="s">
        <v>708</v>
      </c>
      <c r="C62" s="191"/>
      <c r="D62" s="542">
        <f>SUM(D38:D61)</f>
        <v>13600</v>
      </c>
      <c r="E62" s="543">
        <f>SUM(E38:E61)</f>
        <v>29890</v>
      </c>
      <c r="F62" s="588">
        <f>SUM(F38:F61)</f>
        <v>52233</v>
      </c>
      <c r="G62" s="440">
        <f>D62+E62+F62</f>
        <v>95723</v>
      </c>
      <c r="H62" s="440">
        <f>SUM(H38:H61)</f>
        <v>62250</v>
      </c>
      <c r="I62" s="544">
        <f>G62-H62</f>
        <v>33473</v>
      </c>
      <c r="J62" s="591">
        <f>SUM(J38:J61)</f>
        <v>1000</v>
      </c>
      <c r="K62" s="216"/>
      <c r="L62" s="216"/>
      <c r="M62" s="216"/>
    </row>
    <row r="63" spans="1:13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  <c r="L63" s="216"/>
      <c r="M63" s="216"/>
    </row>
    <row r="64" spans="1:13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  <c r="L64" s="216"/>
      <c r="M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  <c r="L65" s="216"/>
      <c r="M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</row>
    <row r="67" spans="1:13" x14ac:dyDescent="0.25">
      <c r="A67" s="9"/>
      <c r="B67" s="191" t="s">
        <v>809</v>
      </c>
      <c r="C67" s="494">
        <f>F62</f>
        <v>52233</v>
      </c>
      <c r="D67" s="191"/>
      <c r="E67" s="191"/>
      <c r="F67" s="191" t="s">
        <v>810</v>
      </c>
      <c r="G67" s="494">
        <f>H62</f>
        <v>62250</v>
      </c>
      <c r="H67" s="191"/>
      <c r="I67" s="191"/>
      <c r="J67" s="292"/>
      <c r="K67" s="216"/>
      <c r="L67" s="216"/>
      <c r="M67" s="216"/>
    </row>
    <row r="68" spans="1:13" x14ac:dyDescent="0.25">
      <c r="A68" s="9"/>
      <c r="B68" s="191" t="s">
        <v>347</v>
      </c>
      <c r="C68" s="494">
        <f>'SEPTEMBER 19'!E94</f>
        <v>-68512</v>
      </c>
      <c r="D68" s="191"/>
      <c r="E68" s="191"/>
      <c r="F68" s="191" t="s">
        <v>347</v>
      </c>
      <c r="G68" s="494">
        <f>'SEPTEMBER 19'!I94</f>
        <v>-119734</v>
      </c>
      <c r="H68" s="191"/>
      <c r="I68" s="191"/>
      <c r="J68" s="292"/>
      <c r="K68" s="216"/>
      <c r="L68" s="216"/>
      <c r="M68" s="216"/>
    </row>
    <row r="69" spans="1:13" x14ac:dyDescent="0.25">
      <c r="A69" s="9"/>
      <c r="B69" s="191" t="s">
        <v>333</v>
      </c>
      <c r="C69" s="494">
        <f>D60+D59+2167</f>
        <v>4567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</row>
    <row r="70" spans="1:13" x14ac:dyDescent="0.25">
      <c r="A70" s="9"/>
      <c r="B70" s="191" t="s">
        <v>613</v>
      </c>
      <c r="C70" s="327">
        <v>0.1</v>
      </c>
      <c r="D70" s="494">
        <f>C70*K61</f>
        <v>5223.3</v>
      </c>
      <c r="E70" s="191"/>
      <c r="F70" s="191" t="s">
        <v>613</v>
      </c>
      <c r="G70" s="327">
        <v>0.1</v>
      </c>
      <c r="H70" s="494">
        <f>D70</f>
        <v>5223.3</v>
      </c>
      <c r="I70" s="191"/>
      <c r="J70" s="292"/>
      <c r="K70" s="216"/>
      <c r="L70" s="216"/>
      <c r="M70" s="216"/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</row>
    <row r="72" spans="1:13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16"/>
      <c r="M72" s="216"/>
    </row>
    <row r="73" spans="1:13" x14ac:dyDescent="0.25">
      <c r="A73" s="9"/>
      <c r="B73" s="496"/>
      <c r="C73" s="327"/>
      <c r="D73" s="301"/>
      <c r="E73" s="191"/>
      <c r="F73" s="496"/>
      <c r="G73" s="327"/>
      <c r="H73" s="301"/>
      <c r="I73" s="191"/>
      <c r="J73" s="216"/>
      <c r="K73" s="216"/>
      <c r="L73" s="216"/>
      <c r="M73" s="216"/>
    </row>
    <row r="74" spans="1:13" x14ac:dyDescent="0.25">
      <c r="A74" s="9"/>
      <c r="B74" s="496" t="s">
        <v>816</v>
      </c>
      <c r="C74" s="327"/>
      <c r="D74" s="191">
        <f>2580+650</f>
        <v>3230</v>
      </c>
      <c r="E74" s="191"/>
      <c r="F74" s="496" t="s">
        <v>816</v>
      </c>
      <c r="G74" s="327"/>
      <c r="H74" s="191">
        <f>2580+650</f>
        <v>3230</v>
      </c>
      <c r="I74" s="191"/>
      <c r="J74" s="216"/>
      <c r="K74" s="216"/>
      <c r="L74" s="216"/>
      <c r="M74" s="216"/>
    </row>
    <row r="75" spans="1:13" x14ac:dyDescent="0.25">
      <c r="A75" s="9"/>
      <c r="B75" s="496" t="s">
        <v>817</v>
      </c>
      <c r="C75" s="191" t="s">
        <v>818</v>
      </c>
      <c r="D75" s="191">
        <v>2580</v>
      </c>
      <c r="E75" s="191"/>
      <c r="F75" s="496" t="s">
        <v>817</v>
      </c>
      <c r="G75" s="191" t="s">
        <v>818</v>
      </c>
      <c r="H75" s="191">
        <v>2580</v>
      </c>
      <c r="I75" s="191"/>
      <c r="J75" s="216"/>
      <c r="K75" s="216"/>
      <c r="L75" s="216"/>
      <c r="M75" s="292"/>
    </row>
    <row r="76" spans="1:13" x14ac:dyDescent="0.25">
      <c r="A76" s="9"/>
      <c r="B76" s="496" t="s">
        <v>819</v>
      </c>
      <c r="C76" s="495"/>
      <c r="D76" s="191">
        <v>15000</v>
      </c>
      <c r="E76" s="191"/>
      <c r="F76" s="496" t="s">
        <v>819</v>
      </c>
      <c r="G76" s="495"/>
      <c r="H76" s="191">
        <v>15000</v>
      </c>
      <c r="I76" s="191"/>
      <c r="J76" s="216"/>
      <c r="K76" s="216"/>
      <c r="L76" s="216"/>
      <c r="M76" s="216"/>
    </row>
    <row r="77" spans="1:13" x14ac:dyDescent="0.25">
      <c r="A77" s="9"/>
      <c r="B77" s="496" t="s">
        <v>825</v>
      </c>
      <c r="C77" s="191"/>
      <c r="D77" s="191">
        <v>1400</v>
      </c>
      <c r="E77" s="191"/>
      <c r="F77" s="496" t="s">
        <v>822</v>
      </c>
      <c r="G77" s="191"/>
      <c r="H77" s="191">
        <v>1400</v>
      </c>
      <c r="I77" s="191"/>
      <c r="J77" s="216"/>
      <c r="K77" s="216">
        <f>21670*3</f>
        <v>65010</v>
      </c>
      <c r="L77" s="602"/>
      <c r="M77" s="216"/>
    </row>
    <row r="78" spans="1:13" x14ac:dyDescent="0.25">
      <c r="A78" s="9"/>
      <c r="B78" s="497" t="s">
        <v>823</v>
      </c>
      <c r="C78" s="191"/>
      <c r="D78" s="191">
        <v>1500</v>
      </c>
      <c r="E78" s="191"/>
      <c r="F78" s="497" t="s">
        <v>823</v>
      </c>
      <c r="G78" s="191"/>
      <c r="H78" s="191">
        <v>1500</v>
      </c>
      <c r="I78" s="191"/>
      <c r="J78" s="216"/>
      <c r="K78" s="602"/>
      <c r="L78" s="216"/>
      <c r="M78" s="216"/>
    </row>
    <row r="79" spans="1:13" x14ac:dyDescent="0.25">
      <c r="A79" s="9"/>
      <c r="B79" s="497" t="s">
        <v>824</v>
      </c>
      <c r="C79" s="191"/>
      <c r="D79" s="191">
        <f>300+200+1500+1000</f>
        <v>3000</v>
      </c>
      <c r="E79" s="191"/>
      <c r="F79" s="497" t="s">
        <v>824</v>
      </c>
      <c r="G79" s="191"/>
      <c r="H79" s="191">
        <f>300+200+1500+1000</f>
        <v>3000</v>
      </c>
      <c r="I79" s="191"/>
      <c r="J79" s="216"/>
      <c r="K79" s="602"/>
      <c r="L79" s="216"/>
      <c r="M79" s="216"/>
    </row>
    <row r="80" spans="1:13" x14ac:dyDescent="0.25">
      <c r="A80" s="9"/>
      <c r="B80" s="497" t="s">
        <v>821</v>
      </c>
      <c r="C80" s="191"/>
      <c r="D80" s="191">
        <v>2000</v>
      </c>
      <c r="E80" s="191"/>
      <c r="F80" s="497" t="s">
        <v>821</v>
      </c>
      <c r="G80" s="191"/>
      <c r="H80" s="191">
        <v>2000</v>
      </c>
      <c r="I80" s="191"/>
      <c r="J80" s="216"/>
      <c r="K80" s="602"/>
      <c r="L80" s="216"/>
      <c r="M80" s="292">
        <f>K77-D73</f>
        <v>65010</v>
      </c>
    </row>
    <row r="81" spans="1:13" x14ac:dyDescent="0.25">
      <c r="A81" s="9"/>
      <c r="B81" s="497" t="s">
        <v>826</v>
      </c>
      <c r="C81" s="191"/>
      <c r="D81" s="191">
        <v>5000</v>
      </c>
      <c r="E81" s="191"/>
      <c r="F81" s="497" t="s">
        <v>826</v>
      </c>
      <c r="G81" s="191"/>
      <c r="H81" s="191">
        <v>5000</v>
      </c>
      <c r="I81" s="191"/>
      <c r="J81" s="216"/>
      <c r="K81" s="602"/>
      <c r="L81" s="216"/>
      <c r="M81" s="216"/>
    </row>
    <row r="82" spans="1:13" x14ac:dyDescent="0.25">
      <c r="A82" s="9"/>
      <c r="B82" s="497" t="s">
        <v>831</v>
      </c>
      <c r="C82" s="191"/>
      <c r="D82" s="191">
        <v>8087</v>
      </c>
      <c r="E82" s="191"/>
      <c r="F82" s="497" t="s">
        <v>831</v>
      </c>
      <c r="G82" s="191"/>
      <c r="H82" s="191">
        <v>8087</v>
      </c>
      <c r="I82" s="191"/>
      <c r="J82" s="216"/>
      <c r="K82" s="602"/>
      <c r="L82" s="216"/>
      <c r="M82" s="216"/>
    </row>
    <row r="83" spans="1:13" x14ac:dyDescent="0.25">
      <c r="A83" s="9"/>
      <c r="B83" s="497" t="s">
        <v>832</v>
      </c>
      <c r="C83" s="495"/>
      <c r="D83" s="191">
        <f>1591+1015</f>
        <v>2606</v>
      </c>
      <c r="E83" s="191"/>
      <c r="F83" s="497" t="s">
        <v>832</v>
      </c>
      <c r="G83" s="495"/>
      <c r="H83" s="191">
        <f>1591+1015</f>
        <v>2606</v>
      </c>
      <c r="I83" s="191"/>
      <c r="J83" s="216"/>
      <c r="K83" s="602">
        <v>3502</v>
      </c>
      <c r="L83" s="216"/>
      <c r="M83" s="216"/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L84" s="216"/>
      <c r="M84" s="216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216"/>
      <c r="M85" s="216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  <c r="L86" s="216"/>
      <c r="M86" s="216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  <c r="L87" s="216"/>
      <c r="M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  <c r="L88" s="216"/>
      <c r="M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  <c r="L89" s="216"/>
      <c r="M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  <c r="L90" s="216"/>
      <c r="M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  <c r="L91" s="216"/>
      <c r="M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</row>
    <row r="94" spans="1:13" x14ac:dyDescent="0.25">
      <c r="A94" s="9"/>
      <c r="B94" s="493" t="s">
        <v>2</v>
      </c>
      <c r="C94" s="499">
        <f>C69+C67+C68-D70</f>
        <v>-16935.3</v>
      </c>
      <c r="D94" s="499">
        <f>SUM(D72:D93)</f>
        <v>54403</v>
      </c>
      <c r="E94" s="499">
        <f>C94-D94</f>
        <v>-71338.3</v>
      </c>
      <c r="F94" s="493" t="s">
        <v>2</v>
      </c>
      <c r="G94" s="499">
        <f>G67+G68+G69-H70</f>
        <v>-62707.3</v>
      </c>
      <c r="H94" s="499">
        <f>SUM(H72:H93)</f>
        <v>54403</v>
      </c>
      <c r="I94" s="499">
        <f>G94-H94</f>
        <v>-117110.3</v>
      </c>
      <c r="J94" s="216"/>
      <c r="K94" s="602"/>
      <c r="L94" s="216"/>
      <c r="M94" s="216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</row>
    <row r="97" spans="1:13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</row>
    <row r="98" spans="1:13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</row>
    <row r="99" spans="1:13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  <c r="L99" s="216"/>
      <c r="M99" s="216"/>
    </row>
    <row r="100" spans="1:13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  <c r="L100" s="216"/>
      <c r="M100" s="21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6" workbookViewId="0">
      <selection activeCell="K78" sqref="K78"/>
    </sheetView>
  </sheetViews>
  <sheetFormatPr defaultRowHeight="15" x14ac:dyDescent="0.25"/>
  <cols>
    <col min="2" max="2" width="18.28515625" customWidth="1"/>
  </cols>
  <sheetData>
    <row r="1" spans="1:11" x14ac:dyDescent="0.25"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830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/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'OCTOBER 19 '!E32</f>
        <v>9000</v>
      </c>
      <c r="D23" s="191"/>
      <c r="E23" s="191"/>
      <c r="F23" s="191" t="s">
        <v>347</v>
      </c>
      <c r="G23" s="494">
        <f>'OCTOBER 19 '!I32</f>
        <v>9000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12600</v>
      </c>
      <c r="D32" s="499">
        <f>SUM(D26:D31)</f>
        <v>4000</v>
      </c>
      <c r="E32" s="499">
        <f>C32-D32</f>
        <v>8600</v>
      </c>
      <c r="F32" s="493" t="s">
        <v>2</v>
      </c>
      <c r="G32" s="499">
        <f>G22+G23-H24</f>
        <v>12600</v>
      </c>
      <c r="H32" s="499">
        <f>SUM(H26:H31)</f>
        <v>4000</v>
      </c>
      <c r="I32" s="499">
        <f>G32-H32</f>
        <v>8600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828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'OCTOBER 19 '!I38:I60</f>
        <v>24840</v>
      </c>
      <c r="F38" s="440">
        <v>4500</v>
      </c>
      <c r="G38" s="440">
        <f>D38+E38+F38</f>
        <v>29340</v>
      </c>
      <c r="H38" s="440">
        <v>4500</v>
      </c>
      <c r="I38" s="544">
        <f>G38-H38</f>
        <v>24840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'OCTOBER 19 '!I39:I61</f>
        <v>500</v>
      </c>
      <c r="F39" s="443">
        <v>4500</v>
      </c>
      <c r="G39" s="440">
        <f t="shared" ref="G39:G60" si="2">D39+E39+F39</f>
        <v>5000</v>
      </c>
      <c r="H39" s="440">
        <v>5000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'OCTOBER 19 '!I40:I62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90</v>
      </c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'OCTOBER 19 '!I42:I64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'OCTOBER 19 '!I45:I67</f>
        <v>0</v>
      </c>
      <c r="F45" s="543">
        <v>2500</v>
      </c>
      <c r="G45" s="440">
        <f t="shared" si="2"/>
        <v>2500</v>
      </c>
      <c r="H45" s="440">
        <f>1500+800</f>
        <v>2300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>
        <v>333</v>
      </c>
      <c r="E47" s="543"/>
      <c r="F47" s="191">
        <v>2500</v>
      </c>
      <c r="G47" s="440">
        <f t="shared" si="2"/>
        <v>2833</v>
      </c>
      <c r="H47" s="440">
        <v>2800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'OCTOBER 19 '!I48:I70</f>
        <v>200</v>
      </c>
      <c r="F48" s="443">
        <v>2500</v>
      </c>
      <c r="G48" s="440">
        <f t="shared" si="2"/>
        <v>2700</v>
      </c>
      <c r="H48" s="440">
        <v>2500</v>
      </c>
      <c r="I48" s="544">
        <f t="shared" si="3"/>
        <v>200</v>
      </c>
      <c r="J48" s="543">
        <v>100</v>
      </c>
      <c r="K48" s="216"/>
    </row>
    <row r="49" spans="1:11" x14ac:dyDescent="0.25">
      <c r="A49" s="9"/>
      <c r="B49" s="604" t="s">
        <v>770</v>
      </c>
      <c r="C49" s="541">
        <v>12</v>
      </c>
      <c r="D49" s="542"/>
      <c r="E49" s="543">
        <f>'OCTOBER 19 '!I49:I71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1" x14ac:dyDescent="0.25">
      <c r="A50" s="9"/>
      <c r="B50" s="388" t="s">
        <v>649</v>
      </c>
      <c r="C50" s="541">
        <v>13</v>
      </c>
      <c r="D50" s="542"/>
      <c r="E50" s="543">
        <f>'OCTOBER 19 '!I50:I72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</row>
    <row r="51" spans="1:11" x14ac:dyDescent="0.25">
      <c r="A51" s="9"/>
      <c r="B51" s="113" t="s">
        <v>800</v>
      </c>
      <c r="C51" s="541">
        <v>14</v>
      </c>
      <c r="D51" s="542"/>
      <c r="E51" s="543">
        <f>'OCTOBER 19 '!I51:I73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1" x14ac:dyDescent="0.25">
      <c r="A52" s="9"/>
      <c r="B52" s="604" t="s">
        <v>703</v>
      </c>
      <c r="C52" s="541">
        <v>15</v>
      </c>
      <c r="D52" s="542"/>
      <c r="E52" s="543">
        <f>'OCTOBER 19 '!I52:I74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1" x14ac:dyDescent="0.25">
      <c r="A53" s="9"/>
      <c r="B53" s="388" t="s">
        <v>638</v>
      </c>
      <c r="C53" s="551">
        <v>16</v>
      </c>
      <c r="D53" s="542"/>
      <c r="E53" s="543">
        <f>'OCTOBER 19 '!I53:I75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1" x14ac:dyDescent="0.25">
      <c r="A54" s="9"/>
      <c r="B54" s="388" t="s">
        <v>675</v>
      </c>
      <c r="C54" s="541">
        <v>17</v>
      </c>
      <c r="D54" s="542"/>
      <c r="E54" s="543">
        <f>'OCTOBER 19 '!I54:I76</f>
        <v>600</v>
      </c>
      <c r="F54" s="544">
        <v>1600</v>
      </c>
      <c r="G54" s="440">
        <f t="shared" si="2"/>
        <v>2200</v>
      </c>
      <c r="H54" s="440">
        <v>1600</v>
      </c>
      <c r="I54" s="544">
        <f t="shared" si="3"/>
        <v>600</v>
      </c>
      <c r="J54" s="543">
        <v>100</v>
      </c>
      <c r="K54" s="216"/>
    </row>
    <row r="55" spans="1:11" x14ac:dyDescent="0.25">
      <c r="A55" s="9"/>
      <c r="B55" s="382" t="s">
        <v>833</v>
      </c>
      <c r="C55" s="541">
        <v>18</v>
      </c>
      <c r="D55" s="542">
        <v>1600</v>
      </c>
      <c r="E55" s="543">
        <f>'OCTOBER 19 '!I55:I77</f>
        <v>0</v>
      </c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</row>
    <row r="56" spans="1:11" x14ac:dyDescent="0.25">
      <c r="A56" s="9"/>
      <c r="B56" s="388" t="s">
        <v>670</v>
      </c>
      <c r="C56" s="553">
        <v>19</v>
      </c>
      <c r="D56" s="542"/>
      <c r="E56" s="543">
        <f>'OCTOBER 19 '!I56:I78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/>
      <c r="K56" s="216"/>
    </row>
    <row r="57" spans="1:11" x14ac:dyDescent="0.25">
      <c r="A57" s="9"/>
      <c r="B57" s="379" t="s">
        <v>839</v>
      </c>
      <c r="C57" s="553">
        <v>20</v>
      </c>
      <c r="D57" s="542">
        <v>1600</v>
      </c>
      <c r="E57" s="543">
        <f>'OCTOBER 19 '!I57:I79</f>
        <v>0</v>
      </c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1" x14ac:dyDescent="0.25">
      <c r="A58" s="9"/>
      <c r="B58" s="384" t="s">
        <v>834</v>
      </c>
      <c r="C58" s="553">
        <v>21</v>
      </c>
      <c r="D58" s="542">
        <v>2000</v>
      </c>
      <c r="E58" s="543">
        <f>'OCTOBER 19 '!I58:I80</f>
        <v>0</v>
      </c>
      <c r="F58" s="608">
        <v>2000</v>
      </c>
      <c r="G58" s="440">
        <f t="shared" si="2"/>
        <v>4000</v>
      </c>
      <c r="H58" s="440">
        <v>2000</v>
      </c>
      <c r="I58" s="544">
        <f>G58-H58</f>
        <v>2000</v>
      </c>
      <c r="J58" s="543"/>
      <c r="K58" s="216"/>
    </row>
    <row r="59" spans="1:11" x14ac:dyDescent="0.25">
      <c r="A59" s="9"/>
      <c r="B59" s="388" t="s">
        <v>701</v>
      </c>
      <c r="C59" s="553">
        <v>22</v>
      </c>
      <c r="D59" s="542"/>
      <c r="E59" s="543">
        <f>'OCTOBER 19 '!I59:I81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1" x14ac:dyDescent="0.25">
      <c r="A60" s="9"/>
      <c r="B60" s="388" t="s">
        <v>657</v>
      </c>
      <c r="C60" s="553">
        <v>23</v>
      </c>
      <c r="D60" s="542"/>
      <c r="E60" s="543">
        <f>'OCTOBER 19 '!I60:I82</f>
        <v>0</v>
      </c>
      <c r="F60" s="608">
        <v>2000</v>
      </c>
      <c r="G60" s="440">
        <f t="shared" si="2"/>
        <v>2000</v>
      </c>
      <c r="H60" s="440">
        <v>2000</v>
      </c>
      <c r="I60" s="544">
        <f>G60-H60</f>
        <v>0</v>
      </c>
      <c r="J60" s="543">
        <v>100</v>
      </c>
      <c r="K60" s="216"/>
    </row>
    <row r="61" spans="1:11" x14ac:dyDescent="0.25">
      <c r="A61" s="9"/>
      <c r="B61" s="388"/>
      <c r="C61" s="541">
        <v>24</v>
      </c>
      <c r="D61" s="542"/>
      <c r="E61" s="543">
        <f>'OCTOBER 19 '!I61:I83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1" x14ac:dyDescent="0.25">
      <c r="A62" s="9"/>
      <c r="B62" s="598" t="s">
        <v>708</v>
      </c>
      <c r="C62" s="191"/>
      <c r="D62" s="542">
        <f>SUM(D38:D61)</f>
        <v>12533</v>
      </c>
      <c r="E62" s="543">
        <f>SUM(E38:E61)</f>
        <v>26140</v>
      </c>
      <c r="F62" s="588">
        <f>SUM(F38:F61)</f>
        <v>57100</v>
      </c>
      <c r="G62" s="440">
        <f>D62+E62+F62</f>
        <v>95773</v>
      </c>
      <c r="H62" s="440">
        <f>SUM(H38:H61)</f>
        <v>57700</v>
      </c>
      <c r="I62" s="544">
        <f>G62-H62</f>
        <v>38073</v>
      </c>
      <c r="J62" s="591">
        <f>SUM(J38:J61)</f>
        <v>1090</v>
      </c>
      <c r="K62" s="216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</row>
    <row r="64" spans="1:11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4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4" x14ac:dyDescent="0.25">
      <c r="A67" s="9"/>
      <c r="B67" s="191" t="s">
        <v>829</v>
      </c>
      <c r="C67" s="494">
        <f>F62</f>
        <v>57100</v>
      </c>
      <c r="D67" s="191"/>
      <c r="E67" s="191"/>
      <c r="F67" s="191" t="s">
        <v>829</v>
      </c>
      <c r="G67" s="494">
        <f>H62</f>
        <v>57700</v>
      </c>
      <c r="H67" s="191"/>
      <c r="I67" s="191"/>
      <c r="J67" s="292"/>
      <c r="K67" s="216"/>
    </row>
    <row r="68" spans="1:14" x14ac:dyDescent="0.25">
      <c r="A68" s="9"/>
      <c r="B68" s="191" t="s">
        <v>347</v>
      </c>
      <c r="C68" s="494">
        <f>'OCTOBER 19 '!E94</f>
        <v>-71338.3</v>
      </c>
      <c r="D68" s="191"/>
      <c r="E68" s="191"/>
      <c r="F68" s="191" t="s">
        <v>347</v>
      </c>
      <c r="G68" s="494">
        <f>'OCTOBER 19 '!I94</f>
        <v>-117110.3</v>
      </c>
      <c r="H68" s="191"/>
      <c r="I68" s="191"/>
      <c r="J68" s="292"/>
      <c r="K68" s="216"/>
    </row>
    <row r="69" spans="1:14" x14ac:dyDescent="0.25">
      <c r="A69" s="9"/>
      <c r="B69" s="191" t="s">
        <v>333</v>
      </c>
      <c r="C69" s="494">
        <v>300</v>
      </c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4" x14ac:dyDescent="0.25">
      <c r="A70" s="9"/>
      <c r="B70" s="191" t="s">
        <v>613</v>
      </c>
      <c r="C70" s="327">
        <v>0.1</v>
      </c>
      <c r="D70" s="494">
        <f>C70*C67</f>
        <v>5710</v>
      </c>
      <c r="E70" s="191"/>
      <c r="F70" s="191" t="s">
        <v>613</v>
      </c>
      <c r="G70" s="327">
        <v>0.1</v>
      </c>
      <c r="H70" s="494">
        <f>D70</f>
        <v>5710</v>
      </c>
      <c r="I70" s="191"/>
      <c r="J70" s="292"/>
      <c r="K70" s="216">
        <v>55800</v>
      </c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50090</v>
      </c>
    </row>
    <row r="72" spans="1:14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4" x14ac:dyDescent="0.25">
      <c r="A73" s="9"/>
      <c r="B73" s="495"/>
      <c r="C73" s="191"/>
      <c r="D73" s="191"/>
      <c r="E73" s="191"/>
      <c r="F73" s="495"/>
      <c r="G73" s="191"/>
      <c r="H73" s="191"/>
      <c r="I73" s="191"/>
      <c r="J73" s="216"/>
      <c r="K73" s="602"/>
      <c r="M73" s="147">
        <f>K74+C68</f>
        <v>-71338.3</v>
      </c>
    </row>
    <row r="74" spans="1:14" x14ac:dyDescent="0.25">
      <c r="A74" s="9"/>
      <c r="B74" s="496" t="s">
        <v>835</v>
      </c>
      <c r="C74" s="327"/>
      <c r="D74" s="191">
        <f>760+300</f>
        <v>1060</v>
      </c>
      <c r="E74" s="191"/>
      <c r="F74" s="496" t="s">
        <v>835</v>
      </c>
      <c r="G74" s="327"/>
      <c r="H74" s="191">
        <f>760+300</f>
        <v>1060</v>
      </c>
      <c r="I74" s="191"/>
      <c r="J74" s="216"/>
      <c r="K74" s="602"/>
      <c r="M74" s="147">
        <f>M73-D74</f>
        <v>-72398.3</v>
      </c>
    </row>
    <row r="75" spans="1:14" x14ac:dyDescent="0.25">
      <c r="A75" s="9"/>
      <c r="B75" s="496" t="s">
        <v>836</v>
      </c>
      <c r="C75" s="191"/>
      <c r="D75" s="191">
        <v>15000</v>
      </c>
      <c r="E75" s="191"/>
      <c r="F75" s="496" t="s">
        <v>836</v>
      </c>
      <c r="G75" s="191"/>
      <c r="H75" s="191">
        <v>15000</v>
      </c>
      <c r="I75" s="191"/>
      <c r="J75" s="216"/>
      <c r="K75" s="216"/>
    </row>
    <row r="76" spans="1:14" x14ac:dyDescent="0.25">
      <c r="A76" s="9"/>
      <c r="B76" s="496" t="s">
        <v>837</v>
      </c>
      <c r="C76" s="495"/>
      <c r="D76" s="191">
        <v>1000</v>
      </c>
      <c r="E76" s="191"/>
      <c r="F76" s="496" t="s">
        <v>838</v>
      </c>
      <c r="G76" s="495"/>
      <c r="H76" s="191">
        <v>1000</v>
      </c>
      <c r="I76" s="191"/>
      <c r="J76" s="216"/>
      <c r="K76" s="216"/>
    </row>
    <row r="77" spans="1:14" x14ac:dyDescent="0.25">
      <c r="A77" s="9"/>
      <c r="B77" s="496" t="s">
        <v>841</v>
      </c>
      <c r="C77" s="191"/>
      <c r="D77" s="191">
        <v>550</v>
      </c>
      <c r="E77" s="191"/>
      <c r="F77" s="496" t="s">
        <v>841</v>
      </c>
      <c r="G77" s="191"/>
      <c r="H77" s="191">
        <v>550</v>
      </c>
      <c r="I77" s="191"/>
      <c r="J77" s="216"/>
      <c r="K77" s="216">
        <f>21670*3</f>
        <v>65010</v>
      </c>
    </row>
    <row r="78" spans="1:14" x14ac:dyDescent="0.25">
      <c r="A78" s="9"/>
      <c r="B78" s="497" t="s">
        <v>842</v>
      </c>
      <c r="C78" s="191"/>
      <c r="D78" s="191">
        <v>650</v>
      </c>
      <c r="E78" s="191"/>
      <c r="F78" s="497" t="s">
        <v>842</v>
      </c>
      <c r="G78" s="191"/>
      <c r="H78" s="191">
        <v>650</v>
      </c>
      <c r="I78" s="191"/>
      <c r="J78" s="216"/>
      <c r="K78" s="602"/>
    </row>
    <row r="79" spans="1:14" x14ac:dyDescent="0.25">
      <c r="A79" s="9"/>
      <c r="B79" s="497" t="s">
        <v>843</v>
      </c>
      <c r="C79" s="191"/>
      <c r="D79" s="191">
        <v>500</v>
      </c>
      <c r="E79" s="191"/>
      <c r="F79" s="497" t="s">
        <v>843</v>
      </c>
      <c r="G79" s="191"/>
      <c r="H79" s="191">
        <v>500</v>
      </c>
      <c r="I79" s="191"/>
      <c r="J79" s="216"/>
      <c r="K79" s="602"/>
    </row>
    <row r="80" spans="1:14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C67-D70</f>
        <v>51390</v>
      </c>
      <c r="N80" s="147"/>
    </row>
    <row r="81" spans="1:14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M80-D72</f>
        <v>41390</v>
      </c>
      <c r="N81" s="147"/>
    </row>
    <row r="82" spans="1:14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  <c r="N82" s="147"/>
    </row>
    <row r="83" spans="1:14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  <c r="N83" s="147"/>
    </row>
    <row r="84" spans="1:14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N84" s="147"/>
    </row>
    <row r="85" spans="1:14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147"/>
    </row>
    <row r="86" spans="1:14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4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4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4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4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4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4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4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4" x14ac:dyDescent="0.25">
      <c r="A94" s="9"/>
      <c r="B94" s="493" t="s">
        <v>2</v>
      </c>
      <c r="C94" s="499">
        <f>C69+C67+C68-D70</f>
        <v>-19648.300000000003</v>
      </c>
      <c r="D94" s="499">
        <f>SUM(D72:D93)</f>
        <v>28760</v>
      </c>
      <c r="E94" s="499">
        <f>C94-D94</f>
        <v>-48408.3</v>
      </c>
      <c r="F94" s="493" t="s">
        <v>2</v>
      </c>
      <c r="G94" s="499">
        <f>G67+G68+G69-H70</f>
        <v>-65120.3</v>
      </c>
      <c r="H94" s="499">
        <f>SUM(H72:H93)</f>
        <v>28760</v>
      </c>
      <c r="I94" s="499">
        <f>G94-H94</f>
        <v>-93880.3</v>
      </c>
      <c r="J94" s="216"/>
      <c r="K94" s="602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2" workbookViewId="0">
      <selection activeCell="I75" sqref="I75"/>
    </sheetView>
  </sheetViews>
  <sheetFormatPr defaultRowHeight="15" x14ac:dyDescent="0.25"/>
  <cols>
    <col min="2" max="2" width="20.85546875" customWidth="1"/>
    <col min="8" max="8" width="9.5703125" bestFit="1" customWidth="1"/>
  </cols>
  <sheetData>
    <row r="1" spans="1:11" x14ac:dyDescent="0.25"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845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'NOVEMBER 19'!E32</f>
        <v>8600</v>
      </c>
      <c r="D23" s="191"/>
      <c r="E23" s="191"/>
      <c r="F23" s="191" t="s">
        <v>347</v>
      </c>
      <c r="G23" s="494">
        <f>'NOVEMBER 19'!I32</f>
        <v>8600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12200</v>
      </c>
      <c r="D32" s="499">
        <f>SUM(D26:D31)</f>
        <v>4000</v>
      </c>
      <c r="E32" s="499">
        <f>C32-D32</f>
        <v>8200</v>
      </c>
      <c r="F32" s="493" t="s">
        <v>2</v>
      </c>
      <c r="G32" s="499">
        <f>G22+G23-H24</f>
        <v>12200</v>
      </c>
      <c r="H32" s="499">
        <f>SUM(H26:H31)</f>
        <v>4000</v>
      </c>
      <c r="I32" s="499">
        <f>G32-H32</f>
        <v>8200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844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'NOVEMBER 19'!I38:I61</f>
        <v>24840</v>
      </c>
      <c r="F38" s="440">
        <v>4500</v>
      </c>
      <c r="G38" s="440">
        <f>D38+E38+F38</f>
        <v>29340</v>
      </c>
      <c r="H38" s="440"/>
      <c r="I38" s="544">
        <f>G38-H38</f>
        <v>29340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'NOVEMBER 19'!I39:I62</f>
        <v>0</v>
      </c>
      <c r="F39" s="443">
        <v>4500</v>
      </c>
      <c r="G39" s="440">
        <f t="shared" ref="G39:G60" si="2">D39+E39+F39</f>
        <v>4500</v>
      </c>
      <c r="H39" s="440">
        <f>3000+1500</f>
        <v>4500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'NOVEMBER 19'!I40:I63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'NOVEMBER 19'!I42:I65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'NOVEMBER 19'!I45:I68</f>
        <v>200</v>
      </c>
      <c r="F45" s="543">
        <v>2500</v>
      </c>
      <c r="G45" s="440">
        <f t="shared" si="2"/>
        <v>2700</v>
      </c>
      <c r="H45" s="440">
        <v>2500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/>
      <c r="E47" s="543">
        <f>'NOVEMBER 19'!I47:I70</f>
        <v>33</v>
      </c>
      <c r="F47" s="191">
        <v>2500</v>
      </c>
      <c r="G47" s="440">
        <f t="shared" si="2"/>
        <v>2533</v>
      </c>
      <c r="H47" s="440">
        <f>2000+500</f>
        <v>2500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'NOVEMBER 19'!I48:I71</f>
        <v>200</v>
      </c>
      <c r="F48" s="443">
        <v>2500</v>
      </c>
      <c r="G48" s="440">
        <f t="shared" si="2"/>
        <v>2700</v>
      </c>
      <c r="H48" s="440">
        <v>2700</v>
      </c>
      <c r="I48" s="544">
        <f t="shared" si="3"/>
        <v>0</v>
      </c>
      <c r="J48" s="543"/>
      <c r="K48" s="216"/>
    </row>
    <row r="49" spans="1:12" x14ac:dyDescent="0.25">
      <c r="A49" s="9"/>
      <c r="B49" s="604" t="s">
        <v>770</v>
      </c>
      <c r="C49" s="541">
        <v>12</v>
      </c>
      <c r="D49" s="542"/>
      <c r="E49" s="543">
        <f>'NOVEMBER 19'!I49:I72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2" x14ac:dyDescent="0.25">
      <c r="A50" s="9"/>
      <c r="B50" s="388" t="s">
        <v>649</v>
      </c>
      <c r="C50" s="541">
        <v>13</v>
      </c>
      <c r="D50" s="542"/>
      <c r="E50" s="543">
        <f>'NOVEMBER 19'!I50:I73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</row>
    <row r="51" spans="1:12" x14ac:dyDescent="0.25">
      <c r="A51" s="9"/>
      <c r="B51" s="113" t="s">
        <v>800</v>
      </c>
      <c r="C51" s="541">
        <v>14</v>
      </c>
      <c r="D51" s="542"/>
      <c r="E51" s="543">
        <f>'NOVEMBER 19'!I51:I74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2" x14ac:dyDescent="0.25">
      <c r="A52" s="9"/>
      <c r="B52" s="604" t="s">
        <v>703</v>
      </c>
      <c r="C52" s="541">
        <v>15</v>
      </c>
      <c r="D52" s="542"/>
      <c r="E52" s="543">
        <f>'NOVEMBER 19'!I52:I75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2" x14ac:dyDescent="0.25">
      <c r="A53" s="9"/>
      <c r="B53" s="388" t="s">
        <v>638</v>
      </c>
      <c r="C53" s="551">
        <v>16</v>
      </c>
      <c r="D53" s="542"/>
      <c r="E53" s="543">
        <f>'NOVEMBER 19'!I53:I76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2" x14ac:dyDescent="0.25">
      <c r="A54" s="9"/>
      <c r="B54" s="388" t="s">
        <v>675</v>
      </c>
      <c r="C54" s="541">
        <v>17</v>
      </c>
      <c r="D54" s="542"/>
      <c r="E54" s="543">
        <f>'NOVEMBER 19'!I54:I77</f>
        <v>600</v>
      </c>
      <c r="F54" s="544">
        <v>1600</v>
      </c>
      <c r="G54" s="440">
        <f t="shared" si="2"/>
        <v>2200</v>
      </c>
      <c r="H54" s="440"/>
      <c r="I54" s="544">
        <f t="shared" si="3"/>
        <v>2200</v>
      </c>
      <c r="J54" s="543"/>
      <c r="K54" s="216"/>
    </row>
    <row r="55" spans="1:12" x14ac:dyDescent="0.25">
      <c r="A55" s="9"/>
      <c r="B55" s="382" t="s">
        <v>833</v>
      </c>
      <c r="C55" s="541">
        <v>18</v>
      </c>
      <c r="D55" s="542">
        <v>1600</v>
      </c>
      <c r="E55" s="543"/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  <c r="L55" s="252">
        <f>I38+I39+I45+I47+I54</f>
        <v>31773</v>
      </c>
    </row>
    <row r="56" spans="1:12" x14ac:dyDescent="0.25">
      <c r="A56" s="9"/>
      <c r="B56" s="388" t="s">
        <v>670</v>
      </c>
      <c r="C56" s="553">
        <v>19</v>
      </c>
      <c r="D56" s="542"/>
      <c r="E56" s="543">
        <f>'NOVEMBER 19'!I56:I79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</row>
    <row r="57" spans="1:12" x14ac:dyDescent="0.25">
      <c r="A57" s="9"/>
      <c r="B57" s="379" t="s">
        <v>839</v>
      </c>
      <c r="C57" s="553">
        <v>20</v>
      </c>
      <c r="D57" s="542">
        <v>1600</v>
      </c>
      <c r="E57" s="543"/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2" x14ac:dyDescent="0.25">
      <c r="A58" s="9"/>
      <c r="B58" s="384" t="s">
        <v>847</v>
      </c>
      <c r="C58" s="553">
        <v>21</v>
      </c>
      <c r="D58" s="542"/>
      <c r="E58" s="543"/>
      <c r="F58" s="608"/>
      <c r="G58" s="440">
        <f t="shared" si="2"/>
        <v>0</v>
      </c>
      <c r="H58" s="440"/>
      <c r="I58" s="544">
        <f>G58-H58</f>
        <v>0</v>
      </c>
      <c r="J58" s="543"/>
      <c r="K58" s="216"/>
    </row>
    <row r="59" spans="1:12" x14ac:dyDescent="0.25">
      <c r="A59" s="9"/>
      <c r="B59" s="388" t="s">
        <v>701</v>
      </c>
      <c r="C59" s="553">
        <v>22</v>
      </c>
      <c r="D59" s="542"/>
      <c r="E59" s="543">
        <f>'NOVEMBER 19'!I59:I82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2" x14ac:dyDescent="0.25">
      <c r="A60" s="9"/>
      <c r="B60" s="388" t="s">
        <v>657</v>
      </c>
      <c r="C60" s="553">
        <v>23</v>
      </c>
      <c r="D60" s="542"/>
      <c r="E60" s="543">
        <f>'NOVEMBER 19'!I60:I83</f>
        <v>0</v>
      </c>
      <c r="F60" s="608">
        <v>2000</v>
      </c>
      <c r="G60" s="440">
        <f t="shared" si="2"/>
        <v>2000</v>
      </c>
      <c r="H60" s="440">
        <f>1750+250</f>
        <v>2000</v>
      </c>
      <c r="I60" s="544">
        <f>G60-H60</f>
        <v>0</v>
      </c>
      <c r="J60" s="543">
        <v>100</v>
      </c>
      <c r="K60" s="216"/>
    </row>
    <row r="61" spans="1:12" x14ac:dyDescent="0.25">
      <c r="A61" s="9"/>
      <c r="B61" s="388"/>
      <c r="C61" s="541">
        <v>24</v>
      </c>
      <c r="D61" s="542"/>
      <c r="E61" s="543">
        <f>'NOVEMBER 19'!I61:I84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2" x14ac:dyDescent="0.25">
      <c r="A62" s="9"/>
      <c r="B62" s="598" t="s">
        <v>708</v>
      </c>
      <c r="C62" s="191"/>
      <c r="D62" s="542">
        <f>SUM(D38:D61)</f>
        <v>10200</v>
      </c>
      <c r="E62" s="543">
        <f>SUM(E38:E61)</f>
        <v>25873</v>
      </c>
      <c r="F62" s="588">
        <f>SUM(F38:F61)</f>
        <v>55100</v>
      </c>
      <c r="G62" s="440">
        <f>D62+E62+F62</f>
        <v>91173</v>
      </c>
      <c r="H62" s="440">
        <f>SUM(H38:H61)</f>
        <v>49200</v>
      </c>
      <c r="I62" s="544">
        <f>G62-H62</f>
        <v>41973</v>
      </c>
      <c r="J62" s="591">
        <f>SUM(J38:J61)</f>
        <v>1000</v>
      </c>
      <c r="K62" s="216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252">
        <f>I38+I39+I45+I50+I54</f>
        <v>31740</v>
      </c>
      <c r="J63" s="216"/>
      <c r="K63" s="216"/>
    </row>
    <row r="64" spans="1:12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3" x14ac:dyDescent="0.25">
      <c r="A67" s="9"/>
      <c r="B67" s="191" t="s">
        <v>840</v>
      </c>
      <c r="C67" s="494">
        <f>F62</f>
        <v>55100</v>
      </c>
      <c r="D67" s="191"/>
      <c r="E67" s="191"/>
      <c r="F67" s="191" t="s">
        <v>840</v>
      </c>
      <c r="G67" s="494">
        <f>H62</f>
        <v>49200</v>
      </c>
      <c r="H67" s="191"/>
      <c r="I67" s="191"/>
      <c r="J67" s="292"/>
      <c r="K67" s="216"/>
    </row>
    <row r="68" spans="1:13" x14ac:dyDescent="0.25">
      <c r="A68" s="9"/>
      <c r="B68" s="191" t="s">
        <v>347</v>
      </c>
      <c r="C68" s="494">
        <f>'NOVEMBER 19'!E94</f>
        <v>-48408.3</v>
      </c>
      <c r="D68" s="191"/>
      <c r="E68" s="191"/>
      <c r="F68" s="191" t="s">
        <v>347</v>
      </c>
      <c r="G68" s="494">
        <f>'NOVEMBER 19'!I94</f>
        <v>-93880.3</v>
      </c>
      <c r="H68" s="191"/>
      <c r="I68" s="191"/>
      <c r="J68" s="292"/>
      <c r="K68" s="216"/>
    </row>
    <row r="69" spans="1:13" x14ac:dyDescent="0.25">
      <c r="A69" s="9"/>
      <c r="B69" s="191" t="s">
        <v>333</v>
      </c>
      <c r="C69" s="494"/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3" x14ac:dyDescent="0.25">
      <c r="A70" s="9"/>
      <c r="B70" s="191" t="s">
        <v>613</v>
      </c>
      <c r="C70" s="327">
        <v>0.1</v>
      </c>
      <c r="D70" s="494">
        <f>C70*C67</f>
        <v>5510</v>
      </c>
      <c r="E70" s="191"/>
      <c r="F70" s="191" t="s">
        <v>613</v>
      </c>
      <c r="G70" s="327">
        <v>0.1</v>
      </c>
      <c r="H70" s="494">
        <f>D70</f>
        <v>5510</v>
      </c>
      <c r="I70" s="191"/>
      <c r="J70" s="292"/>
      <c r="K70" s="216">
        <v>55800</v>
      </c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50290</v>
      </c>
    </row>
    <row r="72" spans="1:13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3" x14ac:dyDescent="0.25">
      <c r="A73" s="9"/>
      <c r="B73" s="495" t="s">
        <v>846</v>
      </c>
      <c r="C73" s="191"/>
      <c r="D73" s="191">
        <v>400</v>
      </c>
      <c r="E73" s="191"/>
      <c r="F73" s="495" t="s">
        <v>846</v>
      </c>
      <c r="G73" s="191"/>
      <c r="H73" s="191">
        <v>400</v>
      </c>
      <c r="I73" s="191"/>
      <c r="J73" s="216"/>
      <c r="K73" s="602"/>
    </row>
    <row r="74" spans="1:13" x14ac:dyDescent="0.25">
      <c r="A74" s="9"/>
      <c r="B74" s="496" t="s">
        <v>849</v>
      </c>
      <c r="C74" s="327"/>
      <c r="D74" s="191">
        <v>1000</v>
      </c>
      <c r="E74" s="191"/>
      <c r="F74" s="496" t="s">
        <v>849</v>
      </c>
      <c r="G74" s="327"/>
      <c r="H74" s="191">
        <v>1000</v>
      </c>
      <c r="I74" s="191"/>
      <c r="J74" s="216"/>
      <c r="K74" s="602"/>
    </row>
    <row r="75" spans="1:13" x14ac:dyDescent="0.25">
      <c r="A75" s="9"/>
      <c r="B75" s="496" t="s">
        <v>848</v>
      </c>
      <c r="C75" s="327"/>
      <c r="D75" s="191">
        <v>15000</v>
      </c>
      <c r="E75" s="191"/>
      <c r="F75" s="496" t="s">
        <v>848</v>
      </c>
      <c r="G75" s="327"/>
      <c r="H75" s="191">
        <v>15000</v>
      </c>
      <c r="I75" s="191"/>
      <c r="J75" s="216"/>
      <c r="K75" s="216"/>
    </row>
    <row r="76" spans="1:13" x14ac:dyDescent="0.25">
      <c r="A76" s="9"/>
      <c r="B76" s="496" t="s">
        <v>850</v>
      </c>
      <c r="C76" s="495"/>
      <c r="D76" s="191">
        <v>23150</v>
      </c>
      <c r="E76" s="191"/>
      <c r="F76" s="496" t="s">
        <v>850</v>
      </c>
      <c r="G76" s="495"/>
      <c r="H76" s="191">
        <v>23150</v>
      </c>
      <c r="I76" s="191"/>
      <c r="J76" s="216"/>
      <c r="K76" s="216"/>
    </row>
    <row r="77" spans="1:13" x14ac:dyDescent="0.25">
      <c r="A77" s="9"/>
      <c r="B77" s="496"/>
      <c r="C77" s="191"/>
      <c r="D77" s="191"/>
      <c r="E77" s="191"/>
      <c r="F77" s="496"/>
      <c r="G77" s="191"/>
      <c r="H77" s="191"/>
      <c r="I77" s="191"/>
      <c r="J77" s="216"/>
      <c r="K77" s="216">
        <f>21670*3</f>
        <v>65010</v>
      </c>
    </row>
    <row r="78" spans="1:13" x14ac:dyDescent="0.25">
      <c r="A78" s="9"/>
      <c r="B78" s="497"/>
      <c r="C78" s="191"/>
      <c r="D78" s="191"/>
      <c r="E78" s="191"/>
      <c r="F78" s="497"/>
      <c r="G78" s="191"/>
      <c r="H78" s="191"/>
      <c r="I78" s="191"/>
      <c r="J78" s="216"/>
      <c r="K78" s="602"/>
      <c r="M78" s="147">
        <f>C67-D70</f>
        <v>49590</v>
      </c>
    </row>
    <row r="79" spans="1:13" x14ac:dyDescent="0.25">
      <c r="A79" s="9"/>
      <c r="B79" s="497"/>
      <c r="C79" s="191"/>
      <c r="D79" s="191"/>
      <c r="E79" s="191"/>
      <c r="F79" s="497"/>
      <c r="G79" s="191"/>
      <c r="H79" s="191"/>
      <c r="I79" s="191"/>
      <c r="J79" s="216"/>
      <c r="K79" s="602"/>
      <c r="M79" s="147">
        <f>M78-D72</f>
        <v>39590</v>
      </c>
    </row>
    <row r="80" spans="1:13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M79-D75</f>
        <v>24590</v>
      </c>
    </row>
    <row r="81" spans="1:13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M80-D73-D74</f>
        <v>23190</v>
      </c>
    </row>
    <row r="82" spans="1:13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</row>
    <row r="83" spans="1:13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3" x14ac:dyDescent="0.25">
      <c r="A94" s="9"/>
      <c r="B94" s="493" t="s">
        <v>2</v>
      </c>
      <c r="C94" s="499">
        <f>C69+C67+C68-D70</f>
        <v>1181.6999999999971</v>
      </c>
      <c r="D94" s="499">
        <f>SUM(D72:D93)</f>
        <v>49550</v>
      </c>
      <c r="E94" s="499">
        <f>C94-D94</f>
        <v>-48368.3</v>
      </c>
      <c r="F94" s="493" t="s">
        <v>2</v>
      </c>
      <c r="G94" s="499">
        <f>G67+G68+G69-H70</f>
        <v>-50190.3</v>
      </c>
      <c r="H94" s="499">
        <f>SUM(H72:H93)</f>
        <v>49550</v>
      </c>
      <c r="I94" s="499">
        <f>G94-H94</f>
        <v>-99740.3</v>
      </c>
      <c r="J94" s="216"/>
      <c r="K94" s="602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G49" sqref="G49"/>
    </sheetView>
  </sheetViews>
  <sheetFormatPr defaultRowHeight="15" x14ac:dyDescent="0.25"/>
  <cols>
    <col min="1" max="1" width="19.425781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  <c r="M2" s="9"/>
    </row>
    <row r="3" spans="1:13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  <c r="M3" s="9"/>
    </row>
    <row r="4" spans="1:13" ht="15.75" x14ac:dyDescent="0.25">
      <c r="A4" s="216"/>
      <c r="B4" s="518" t="s">
        <v>852</v>
      </c>
      <c r="C4" s="518"/>
      <c r="D4" s="519"/>
      <c r="E4" s="518"/>
      <c r="F4" s="520"/>
      <c r="G4" s="520"/>
      <c r="H4" s="216"/>
      <c r="I4" s="216"/>
      <c r="J4" s="216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  <c r="M33" s="9"/>
    </row>
    <row r="34" spans="1:13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  <c r="M35" s="9"/>
    </row>
    <row r="36" spans="1:13" ht="18.75" x14ac:dyDescent="0.3">
      <c r="A36" s="536"/>
      <c r="B36" s="537" t="s">
        <v>852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'DECEMBER 19'!I38:I62</f>
        <v>29340</v>
      </c>
      <c r="E38" s="440">
        <v>4500</v>
      </c>
      <c r="F38" s="440">
        <f>C38+D38+E38</f>
        <v>33840</v>
      </c>
      <c r="G38" s="440">
        <v>6880</v>
      </c>
      <c r="H38" s="544">
        <f>F38-G38</f>
        <v>26960</v>
      </c>
      <c r="I38" s="543"/>
      <c r="J38" s="216"/>
      <c r="K38" s="9"/>
      <c r="L38" s="9"/>
      <c r="M38" s="9"/>
    </row>
    <row r="39" spans="1:13" x14ac:dyDescent="0.25">
      <c r="A39" s="604" t="s">
        <v>820</v>
      </c>
      <c r="B39" s="541">
        <v>2</v>
      </c>
      <c r="C39" s="542"/>
      <c r="D39" s="543">
        <f>'DECEMBER 19'!I39:I63</f>
        <v>0</v>
      </c>
      <c r="E39" s="443">
        <v>4500</v>
      </c>
      <c r="F39" s="440">
        <f t="shared" ref="F39:F60" si="2">C39+D39+E39</f>
        <v>4500</v>
      </c>
      <c r="G39" s="440">
        <v>4500</v>
      </c>
      <c r="H39" s="544">
        <f>F39-G39</f>
        <v>0</v>
      </c>
      <c r="I39" s="543"/>
      <c r="J39" s="216" t="s">
        <v>614</v>
      </c>
      <c r="K39" s="9"/>
      <c r="L39" s="9"/>
      <c r="M39" s="9"/>
    </row>
    <row r="40" spans="1:13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f>1800+2700</f>
        <v>4500</v>
      </c>
      <c r="H40" s="544">
        <f t="shared" ref="H40:H61" si="3">F40-G40</f>
        <v>0</v>
      </c>
      <c r="I40" s="543"/>
      <c r="J40" s="216"/>
      <c r="K40" s="9"/>
      <c r="L40" s="9"/>
      <c r="M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/>
      <c r="J41" s="216"/>
      <c r="K41" s="9"/>
      <c r="L41" s="9"/>
      <c r="M41" s="9"/>
    </row>
    <row r="42" spans="1:13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  <c r="K42" s="9"/>
      <c r="L42" s="9"/>
      <c r="M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1000</v>
      </c>
      <c r="H43" s="544">
        <f t="shared" si="3"/>
        <v>3000</v>
      </c>
      <c r="I43" s="543"/>
      <c r="J43" s="216"/>
      <c r="K43" s="9"/>
      <c r="L43" s="9"/>
      <c r="M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  <c r="M44" s="9"/>
    </row>
    <row r="45" spans="1:13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 t="shared" si="3"/>
        <v>200</v>
      </c>
      <c r="I45" s="543"/>
      <c r="J45" s="216"/>
      <c r="K45" s="9"/>
      <c r="L45" s="9"/>
      <c r="M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  <c r="M46" s="9"/>
    </row>
    <row r="47" spans="1:13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600+1900</f>
        <v>2500</v>
      </c>
      <c r="H47" s="544">
        <f t="shared" si="3"/>
        <v>33</v>
      </c>
      <c r="I47" s="543">
        <v>100</v>
      </c>
      <c r="J47" s="216"/>
      <c r="K47" s="9"/>
      <c r="L47" s="9"/>
      <c r="M47" s="9"/>
    </row>
    <row r="48" spans="1:13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216"/>
      <c r="K48" s="9"/>
      <c r="L48" s="9"/>
      <c r="M48" s="9"/>
    </row>
    <row r="49" spans="1:13" x14ac:dyDescent="0.25">
      <c r="A49" s="604" t="s">
        <v>770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  <c r="M49" s="9"/>
    </row>
    <row r="50" spans="1:13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  <c r="M50" s="9"/>
    </row>
    <row r="51" spans="1:13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 t="s">
        <v>107</v>
      </c>
      <c r="K51" s="9"/>
      <c r="L51" s="9"/>
      <c r="M51" s="9"/>
    </row>
    <row r="52" spans="1:13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  <c r="M52" s="9"/>
    </row>
    <row r="53" spans="1:13" x14ac:dyDescent="0.25">
      <c r="A53" s="388" t="s">
        <v>638</v>
      </c>
      <c r="B53" s="551">
        <v>16</v>
      </c>
      <c r="C53" s="542"/>
      <c r="D53" s="543"/>
      <c r="E53" s="552">
        <v>2500</v>
      </c>
      <c r="F53" s="440">
        <f t="shared" si="2"/>
        <v>2500</v>
      </c>
      <c r="G53" s="440">
        <f>1800+100</f>
        <v>1900</v>
      </c>
      <c r="H53" s="544">
        <f t="shared" si="3"/>
        <v>600</v>
      </c>
      <c r="I53" s="543"/>
      <c r="J53" s="216"/>
      <c r="L53" s="9"/>
      <c r="M53" s="9"/>
    </row>
    <row r="54" spans="1:13" x14ac:dyDescent="0.25">
      <c r="A54" s="388" t="s">
        <v>856</v>
      </c>
      <c r="B54" s="541">
        <v>17</v>
      </c>
      <c r="C54" s="542">
        <v>1600</v>
      </c>
      <c r="D54" s="543"/>
      <c r="E54" s="544">
        <v>1600</v>
      </c>
      <c r="F54" s="440">
        <f t="shared" si="2"/>
        <v>3200</v>
      </c>
      <c r="G54" s="440">
        <v>2000</v>
      </c>
      <c r="H54" s="544">
        <f t="shared" si="3"/>
        <v>1200</v>
      </c>
      <c r="I54" s="543"/>
      <c r="J54" s="216"/>
      <c r="K54" s="9"/>
      <c r="L54" s="9"/>
      <c r="M54" s="9"/>
    </row>
    <row r="55" spans="1:13" x14ac:dyDescent="0.25">
      <c r="A55" s="382" t="s">
        <v>675</v>
      </c>
      <c r="B55" s="541">
        <v>18</v>
      </c>
      <c r="C55" s="542"/>
      <c r="D55" s="543">
        <v>2200</v>
      </c>
      <c r="E55" s="544">
        <v>1600</v>
      </c>
      <c r="F55" s="440">
        <f t="shared" si="2"/>
        <v>3800</v>
      </c>
      <c r="G55" s="440">
        <v>1000</v>
      </c>
      <c r="H55" s="544">
        <f t="shared" si="3"/>
        <v>2800</v>
      </c>
      <c r="I55" s="543"/>
      <c r="J55" s="216"/>
      <c r="K55" s="9"/>
      <c r="L55" s="9"/>
      <c r="M55" s="9"/>
    </row>
    <row r="56" spans="1:13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  <c r="M56" s="9"/>
    </row>
    <row r="57" spans="1:13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  <c r="M57" s="9"/>
    </row>
    <row r="58" spans="1:13" x14ac:dyDescent="0.25">
      <c r="A58" s="384" t="s">
        <v>855</v>
      </c>
      <c r="B58" s="553">
        <v>21</v>
      </c>
      <c r="C58" s="542">
        <v>2000</v>
      </c>
      <c r="D58" s="543">
        <f>'DECEMBER 19'!I58:I82</f>
        <v>0</v>
      </c>
      <c r="E58" s="608">
        <v>2000</v>
      </c>
      <c r="F58" s="440">
        <f t="shared" si="2"/>
        <v>4000</v>
      </c>
      <c r="G58" s="440">
        <v>3000</v>
      </c>
      <c r="H58" s="544">
        <f>F58-G58</f>
        <v>1000</v>
      </c>
      <c r="I58" s="543"/>
      <c r="K58" s="9"/>
      <c r="L58" s="9"/>
      <c r="M58" s="9"/>
    </row>
    <row r="59" spans="1:13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  <c r="M59" s="9"/>
    </row>
    <row r="60" spans="1:13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f>1750+250</f>
        <v>2000</v>
      </c>
      <c r="H60" s="544">
        <f>F60-G60</f>
        <v>0</v>
      </c>
      <c r="I60" s="543">
        <v>100</v>
      </c>
      <c r="J60" s="216"/>
      <c r="K60" s="9"/>
      <c r="L60" s="9"/>
      <c r="M60" s="9"/>
    </row>
    <row r="61" spans="1:13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  <c r="M61" s="9"/>
    </row>
    <row r="62" spans="1:13" x14ac:dyDescent="0.25">
      <c r="A62" s="598" t="s">
        <v>708</v>
      </c>
      <c r="B62" s="191"/>
      <c r="C62" s="542">
        <f>SUM(C38:C61)</f>
        <v>12200</v>
      </c>
      <c r="D62" s="543">
        <f>SUM(D38:D61)</f>
        <v>31773</v>
      </c>
      <c r="E62" s="588">
        <f>SUM(E38:E61)</f>
        <v>57100</v>
      </c>
      <c r="F62" s="440">
        <f>C62+D62+E62</f>
        <v>101073</v>
      </c>
      <c r="G62" s="440">
        <f>SUM(G38:G61)</f>
        <v>58180</v>
      </c>
      <c r="H62" s="544">
        <f>F62-G62</f>
        <v>42893</v>
      </c>
      <c r="I62" s="591">
        <f>SUM(I38:I61)</f>
        <v>1000</v>
      </c>
      <c r="J62" s="216"/>
      <c r="K62" s="9"/>
      <c r="L62" s="9"/>
      <c r="M62" s="9"/>
    </row>
    <row r="63" spans="1:13" x14ac:dyDescent="0.25">
      <c r="A63" s="9"/>
      <c r="B63" s="9"/>
      <c r="C63" s="9"/>
      <c r="D63" s="9"/>
      <c r="E63" s="9"/>
      <c r="F63" s="9"/>
      <c r="G63" s="9"/>
      <c r="H63" s="252">
        <f>H38+H39+H45+H50+H54</f>
        <v>28360</v>
      </c>
      <c r="I63" s="216"/>
      <c r="J63" s="216"/>
      <c r="K63" s="9"/>
      <c r="L63" s="9"/>
      <c r="M63" s="9"/>
    </row>
    <row r="64" spans="1:13" x14ac:dyDescent="0.25">
      <c r="A64" s="216" t="s">
        <v>688</v>
      </c>
      <c r="B64" s="488"/>
      <c r="C64" s="457"/>
      <c r="D64" s="489"/>
      <c r="E64" s="490"/>
      <c r="F64" s="458"/>
      <c r="G64" s="490"/>
      <c r="H64" s="216"/>
      <c r="I64" s="9"/>
      <c r="J64" s="216"/>
      <c r="K64" s="9"/>
      <c r="L64" s="9"/>
      <c r="M64" s="9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  <c r="M65" s="9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  <c r="M66" s="9"/>
    </row>
    <row r="67" spans="1:13" x14ac:dyDescent="0.25">
      <c r="A67" s="191" t="s">
        <v>851</v>
      </c>
      <c r="B67" s="494">
        <f>E62</f>
        <v>57100</v>
      </c>
      <c r="C67" s="191"/>
      <c r="D67" s="191"/>
      <c r="E67" s="191" t="s">
        <v>851</v>
      </c>
      <c r="F67" s="494">
        <f>G62</f>
        <v>58180</v>
      </c>
      <c r="G67" s="191"/>
      <c r="H67" s="191"/>
      <c r="I67" s="292"/>
      <c r="J67" s="216"/>
      <c r="K67" s="9"/>
      <c r="L67" s="9"/>
      <c r="M67" s="9"/>
    </row>
    <row r="68" spans="1:13" x14ac:dyDescent="0.25">
      <c r="A68" s="191" t="s">
        <v>347</v>
      </c>
      <c r="B68" s="494">
        <f>'DECEMBER 19'!E94</f>
        <v>-48368.3</v>
      </c>
      <c r="C68" s="191"/>
      <c r="D68" s="191"/>
      <c r="E68" s="191" t="s">
        <v>347</v>
      </c>
      <c r="F68" s="494">
        <f>'DECEMBER 19'!I94</f>
        <v>-99740.3</v>
      </c>
      <c r="G68" s="191"/>
      <c r="H68" s="191"/>
      <c r="I68" s="292"/>
      <c r="J68" s="216"/>
      <c r="K68" s="9"/>
      <c r="L68" s="9"/>
      <c r="M68" s="9"/>
    </row>
    <row r="69" spans="1:13" x14ac:dyDescent="0.25">
      <c r="A69" s="191" t="s">
        <v>333</v>
      </c>
      <c r="B69" s="494">
        <f>1000+400</f>
        <v>1400</v>
      </c>
      <c r="C69" s="191"/>
      <c r="D69" s="191"/>
      <c r="E69" s="191"/>
      <c r="F69" s="494"/>
      <c r="G69" s="191"/>
      <c r="H69" s="191"/>
      <c r="I69" s="292"/>
      <c r="J69" s="216"/>
      <c r="K69" s="9"/>
      <c r="L69" s="9"/>
      <c r="M69" s="9"/>
    </row>
    <row r="70" spans="1:13" x14ac:dyDescent="0.25">
      <c r="A70" s="191" t="s">
        <v>613</v>
      </c>
      <c r="B70" s="327">
        <v>0.1</v>
      </c>
      <c r="C70" s="494">
        <f>B70*B67</f>
        <v>5710</v>
      </c>
      <c r="D70" s="191"/>
      <c r="E70" s="191" t="s">
        <v>613</v>
      </c>
      <c r="F70" s="327">
        <v>0.1</v>
      </c>
      <c r="G70" s="494">
        <f>C70</f>
        <v>5710</v>
      </c>
      <c r="H70" s="191"/>
      <c r="I70" s="292"/>
      <c r="J70" s="216"/>
      <c r="K70" s="9"/>
    </row>
    <row r="71" spans="1:13" s="9" customFormat="1" x14ac:dyDescent="0.25">
      <c r="A71" s="191" t="s">
        <v>652</v>
      </c>
      <c r="B71" s="327">
        <v>0.3</v>
      </c>
      <c r="C71" s="494">
        <f>B71*E58+(B71*E54)</f>
        <v>1080</v>
      </c>
      <c r="D71" s="191"/>
      <c r="E71" s="191" t="s">
        <v>652</v>
      </c>
      <c r="F71" s="327">
        <v>0.3</v>
      </c>
      <c r="G71" s="494">
        <f>F71*E58+(F71*E54)</f>
        <v>1080</v>
      </c>
      <c r="H71" s="191"/>
      <c r="I71" s="292"/>
      <c r="J71" s="216"/>
    </row>
    <row r="72" spans="1:13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  <c r="M72" s="9"/>
    </row>
    <row r="73" spans="1:13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  <c r="M73" s="9"/>
    </row>
    <row r="74" spans="1:13" x14ac:dyDescent="0.25">
      <c r="A74" s="495" t="s">
        <v>854</v>
      </c>
      <c r="B74" s="191"/>
      <c r="C74" s="191">
        <v>15000</v>
      </c>
      <c r="D74" s="191"/>
      <c r="E74" s="495" t="s">
        <v>854</v>
      </c>
      <c r="F74" s="191"/>
      <c r="G74" s="191">
        <v>15000</v>
      </c>
      <c r="H74" s="191"/>
      <c r="I74" s="216"/>
      <c r="J74" s="602"/>
      <c r="K74" s="9"/>
      <c r="L74" s="9"/>
      <c r="M74" s="9"/>
    </row>
    <row r="75" spans="1:13" x14ac:dyDescent="0.25">
      <c r="A75" s="496" t="s">
        <v>858</v>
      </c>
      <c r="B75" s="327"/>
      <c r="C75" s="191">
        <v>8000</v>
      </c>
      <c r="D75" s="191"/>
      <c r="E75" s="496" t="s">
        <v>858</v>
      </c>
      <c r="F75" s="327"/>
      <c r="G75" s="191">
        <v>8000</v>
      </c>
      <c r="H75" s="191"/>
      <c r="I75" s="216"/>
      <c r="J75" s="602"/>
      <c r="K75" s="9"/>
      <c r="L75" s="9"/>
      <c r="M75" s="9"/>
    </row>
    <row r="76" spans="1:13" x14ac:dyDescent="0.25">
      <c r="A76" s="496" t="s">
        <v>820</v>
      </c>
      <c r="B76" s="327"/>
      <c r="C76" s="191">
        <f>4500</f>
        <v>4500</v>
      </c>
      <c r="D76" s="191"/>
      <c r="E76" s="496" t="s">
        <v>820</v>
      </c>
      <c r="F76" s="327"/>
      <c r="G76" s="191">
        <f>4500</f>
        <v>4500</v>
      </c>
      <c r="H76" s="191"/>
      <c r="I76" s="216"/>
      <c r="J76" s="216"/>
      <c r="K76" s="9"/>
      <c r="L76" s="9"/>
      <c r="M76" s="9"/>
    </row>
    <row r="77" spans="1:13" x14ac:dyDescent="0.25">
      <c r="A77" s="496" t="s">
        <v>675</v>
      </c>
      <c r="B77" s="495"/>
      <c r="C77" s="191">
        <v>2000</v>
      </c>
      <c r="D77" s="191"/>
      <c r="E77" s="496" t="s">
        <v>675</v>
      </c>
      <c r="F77" s="495"/>
      <c r="G77" s="191">
        <v>2000</v>
      </c>
      <c r="H77" s="191"/>
      <c r="I77" s="216"/>
      <c r="J77" s="216"/>
      <c r="K77" s="9"/>
      <c r="L77" s="9"/>
      <c r="M77" s="9"/>
    </row>
    <row r="78" spans="1:13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  <c r="M78" s="9"/>
    </row>
    <row r="79" spans="1:13" x14ac:dyDescent="0.25">
      <c r="A79" s="493" t="s">
        <v>2</v>
      </c>
      <c r="B79" s="499">
        <f>B69+B67+B68-C70-C71</f>
        <v>3341.6999999999971</v>
      </c>
      <c r="C79" s="499">
        <f>SUM(C73:C78)</f>
        <v>39500</v>
      </c>
      <c r="D79" s="499">
        <f>B79-C79</f>
        <v>-36158.300000000003</v>
      </c>
      <c r="E79" s="493" t="s">
        <v>2</v>
      </c>
      <c r="F79" s="499">
        <f>F67+F68+F69-G70-G71</f>
        <v>-48350.3</v>
      </c>
      <c r="G79" s="499">
        <f>SUM(G73:G78)</f>
        <v>39500</v>
      </c>
      <c r="H79" s="499">
        <f>F79-G79</f>
        <v>-87850.3</v>
      </c>
      <c r="I79" s="216"/>
      <c r="J79" s="602"/>
      <c r="K79" s="9"/>
      <c r="L79" s="9"/>
      <c r="M79" s="9"/>
    </row>
    <row r="80" spans="1:13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  <c r="M80" s="9"/>
    </row>
    <row r="81" spans="1:13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  <c r="M81" s="9"/>
    </row>
    <row r="82" spans="1:13" x14ac:dyDescent="0.25">
      <c r="A82" s="558"/>
      <c r="B82" s="559"/>
      <c r="C82" s="559"/>
      <c r="D82" s="560"/>
      <c r="E82" s="558"/>
      <c r="F82" s="558"/>
      <c r="H82" s="216"/>
      <c r="I82" s="216"/>
      <c r="J82" s="602"/>
      <c r="K82" s="9"/>
      <c r="L82" s="9"/>
      <c r="M82" s="9"/>
    </row>
    <row r="83" spans="1:13" x14ac:dyDescent="0.25">
      <c r="A83" s="558" t="s">
        <v>782</v>
      </c>
      <c r="B83" s="559"/>
      <c r="C83" s="559" t="s">
        <v>78</v>
      </c>
      <c r="D83" s="560"/>
      <c r="E83" s="558"/>
      <c r="F83" s="558" t="s">
        <v>663</v>
      </c>
      <c r="G83" s="216"/>
      <c r="H83" s="216"/>
      <c r="I83" s="216"/>
      <c r="J83" s="602"/>
      <c r="K83" s="9"/>
      <c r="L83" s="9"/>
      <c r="M83" s="9"/>
    </row>
    <row r="84" spans="1:13" x14ac:dyDescent="0.25">
      <c r="A84" s="9"/>
      <c r="B84" s="9"/>
      <c r="C84" s="9"/>
      <c r="D84" s="9"/>
      <c r="E84" s="9"/>
      <c r="H84" s="216"/>
      <c r="J84" s="602"/>
      <c r="K84" s="9"/>
      <c r="L84" s="9"/>
      <c r="M84" s="9"/>
    </row>
  </sheetData>
  <pageMargins left="0.7" right="0.7" top="0.75" bottom="0.75" header="0.3" footer="0.3"/>
  <pageSetup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42" workbookViewId="0">
      <selection activeCell="E56" sqref="E56"/>
    </sheetView>
  </sheetViews>
  <sheetFormatPr defaultRowHeight="15" x14ac:dyDescent="0.25"/>
  <cols>
    <col min="1" max="1" width="17" customWidth="1"/>
    <col min="2" max="2" width="9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</row>
    <row r="3" spans="1:10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</row>
    <row r="4" spans="1:10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</row>
    <row r="36" spans="1:10" ht="18.75" x14ac:dyDescent="0.3">
      <c r="A36" s="536"/>
      <c r="B36" s="537" t="s">
        <v>859</v>
      </c>
      <c r="C36" s="537"/>
      <c r="D36" s="537"/>
      <c r="E36" s="537"/>
      <c r="F36" s="540"/>
      <c r="G36" s="520"/>
      <c r="H36" s="216"/>
      <c r="I36" s="216"/>
      <c r="J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</row>
    <row r="38" spans="1:10" x14ac:dyDescent="0.25">
      <c r="A38" s="388" t="s">
        <v>765</v>
      </c>
      <c r="B38" s="541">
        <v>1</v>
      </c>
      <c r="C38" s="542"/>
      <c r="D38" s="543">
        <f>'JANUARY 20'!H38</f>
        <v>26960</v>
      </c>
      <c r="E38" s="440">
        <v>4500</v>
      </c>
      <c r="F38" s="440">
        <f>C38+D38+E38</f>
        <v>31460</v>
      </c>
      <c r="G38" s="440">
        <v>14388</v>
      </c>
      <c r="H38" s="544">
        <f>F38-G38</f>
        <v>17072</v>
      </c>
      <c r="I38" s="543"/>
      <c r="J38" s="216"/>
    </row>
    <row r="39" spans="1:10" x14ac:dyDescent="0.25">
      <c r="A39" s="604"/>
      <c r="B39" s="541">
        <v>2</v>
      </c>
      <c r="C39" s="542"/>
      <c r="D39" s="543">
        <f>'DECEMBER 19'!I39:I63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  <c r="J39" s="216"/>
    </row>
    <row r="40" spans="1:10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</row>
    <row r="41" spans="1:10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>
        <v>80</v>
      </c>
      <c r="J41" s="216"/>
    </row>
    <row r="42" spans="1:10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</row>
    <row r="43" spans="1:10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2500</v>
      </c>
      <c r="H43" s="544">
        <f t="shared" si="3"/>
        <v>1500</v>
      </c>
      <c r="I43" s="543"/>
      <c r="J43" s="216"/>
    </row>
    <row r="44" spans="1:10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</row>
    <row r="45" spans="1:10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>F45-G45</f>
        <v>200</v>
      </c>
      <c r="I45" s="543"/>
      <c r="J45" s="216"/>
    </row>
    <row r="46" spans="1:10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</row>
    <row r="47" spans="1:10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1000+1000</f>
        <v>2000</v>
      </c>
      <c r="H47" s="544">
        <f>F47-G47</f>
        <v>533</v>
      </c>
      <c r="I47" s="543"/>
      <c r="J47" s="216"/>
    </row>
    <row r="48" spans="1:10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f>2000+500</f>
        <v>2500</v>
      </c>
      <c r="H48" s="544">
        <f t="shared" si="3"/>
        <v>0</v>
      </c>
      <c r="I48" s="543">
        <v>100</v>
      </c>
      <c r="J48" s="216"/>
    </row>
    <row r="49" spans="1:10" x14ac:dyDescent="0.25">
      <c r="A49" s="604" t="s">
        <v>757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</row>
    <row r="50" spans="1:10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</row>
    <row r="51" spans="1:10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/>
    </row>
    <row r="52" spans="1:10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</row>
    <row r="53" spans="1:10" x14ac:dyDescent="0.25">
      <c r="A53" s="388" t="s">
        <v>638</v>
      </c>
      <c r="B53" s="551">
        <v>16</v>
      </c>
      <c r="C53" s="542"/>
      <c r="D53" s="543">
        <f>'JANUARY 20'!H53</f>
        <v>600</v>
      </c>
      <c r="E53" s="552">
        <v>2500</v>
      </c>
      <c r="F53" s="440">
        <f t="shared" si="2"/>
        <v>3100</v>
      </c>
      <c r="G53" s="440">
        <v>3000</v>
      </c>
      <c r="H53" s="544">
        <f t="shared" si="3"/>
        <v>100</v>
      </c>
      <c r="I53" s="543"/>
      <c r="J53" s="216"/>
    </row>
    <row r="54" spans="1:10" x14ac:dyDescent="0.25">
      <c r="A54" s="388" t="s">
        <v>866</v>
      </c>
      <c r="B54" s="541">
        <v>17</v>
      </c>
      <c r="C54" s="542">
        <v>1600</v>
      </c>
      <c r="D54" s="543"/>
      <c r="E54" s="544">
        <v>640</v>
      </c>
      <c r="F54" s="440">
        <f t="shared" si="2"/>
        <v>2240</v>
      </c>
      <c r="G54" s="440">
        <v>1650</v>
      </c>
      <c r="H54" s="544">
        <f>F54-G54</f>
        <v>590</v>
      </c>
      <c r="I54" s="543"/>
      <c r="J54" s="216"/>
    </row>
    <row r="55" spans="1:10" x14ac:dyDescent="0.25">
      <c r="A55" s="382" t="s">
        <v>865</v>
      </c>
      <c r="B55" s="541">
        <v>18</v>
      </c>
      <c r="C55" s="542">
        <v>1600</v>
      </c>
      <c r="D55" s="543"/>
      <c r="E55" s="544">
        <v>533</v>
      </c>
      <c r="F55" s="440">
        <f t="shared" si="2"/>
        <v>2133</v>
      </c>
      <c r="G55" s="440">
        <v>1400</v>
      </c>
      <c r="H55" s="544">
        <f>F55-G55</f>
        <v>733</v>
      </c>
      <c r="I55" s="543">
        <v>100</v>
      </c>
      <c r="J55" s="216"/>
    </row>
    <row r="56" spans="1:10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</row>
    <row r="57" spans="1:10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</row>
    <row r="58" spans="1:10" x14ac:dyDescent="0.25">
      <c r="A58" s="384" t="s">
        <v>855</v>
      </c>
      <c r="B58" s="553">
        <v>21</v>
      </c>
      <c r="C58" s="542">
        <v>1000</v>
      </c>
      <c r="D58" s="543">
        <f>'DECEMBER 19'!I58:I82</f>
        <v>0</v>
      </c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</row>
    <row r="59" spans="1:10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</row>
    <row r="60" spans="1:10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v>1850</v>
      </c>
      <c r="H60" s="544">
        <f>F60-G60</f>
        <v>150</v>
      </c>
      <c r="I60" s="543"/>
      <c r="J60" s="216"/>
    </row>
    <row r="61" spans="1:10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</row>
    <row r="62" spans="1:10" x14ac:dyDescent="0.25">
      <c r="A62" s="598" t="s">
        <v>708</v>
      </c>
      <c r="B62" s="191"/>
      <c r="C62" s="542">
        <f>SUM(C38:C61)</f>
        <v>12800</v>
      </c>
      <c r="D62" s="543">
        <f>SUM(D38:D61)</f>
        <v>27793</v>
      </c>
      <c r="E62" s="588">
        <f>SUM(E38:E61)</f>
        <v>50573</v>
      </c>
      <c r="F62" s="440">
        <f>C62+D62+E62</f>
        <v>91166</v>
      </c>
      <c r="G62" s="440">
        <f>SUM(G38:G61)</f>
        <v>62188</v>
      </c>
      <c r="H62" s="544">
        <f>F62-G62</f>
        <v>28978</v>
      </c>
      <c r="I62" s="591">
        <f>SUM(I38:I61)</f>
        <v>1080</v>
      </c>
      <c r="J62" s="216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216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H38+H40+500+H48+H49+H53+H60</f>
        <v>17822</v>
      </c>
      <c r="I64" s="9"/>
      <c r="J64" s="216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</row>
    <row r="67" spans="1:13" x14ac:dyDescent="0.25">
      <c r="A67" s="191" t="s">
        <v>862</v>
      </c>
      <c r="B67" s="494">
        <f>E62</f>
        <v>50573</v>
      </c>
      <c r="C67" s="191"/>
      <c r="D67" s="191"/>
      <c r="E67" s="191" t="s">
        <v>862</v>
      </c>
      <c r="F67" s="494">
        <f>G62</f>
        <v>62188</v>
      </c>
      <c r="G67" s="191"/>
      <c r="H67" s="191"/>
      <c r="I67" s="292"/>
      <c r="J67" s="216"/>
    </row>
    <row r="68" spans="1:13" x14ac:dyDescent="0.25">
      <c r="A68" s="191" t="s">
        <v>347</v>
      </c>
      <c r="B68" s="494">
        <f>'JANUARY 20'!D79</f>
        <v>-36158.300000000003</v>
      </c>
      <c r="C68" s="191"/>
      <c r="D68" s="191"/>
      <c r="E68" s="191" t="s">
        <v>347</v>
      </c>
      <c r="F68" s="494">
        <f>'JANUARY 20'!H79</f>
        <v>-87850.3</v>
      </c>
      <c r="G68" s="191"/>
      <c r="H68" s="191"/>
      <c r="I68" s="292"/>
      <c r="J68" s="216"/>
      <c r="K68" s="147">
        <f>B67+B68</f>
        <v>14414.699999999997</v>
      </c>
    </row>
    <row r="69" spans="1:13" x14ac:dyDescent="0.25">
      <c r="A69" s="191" t="s">
        <v>333</v>
      </c>
      <c r="B69" s="494">
        <f>1010+867</f>
        <v>1877</v>
      </c>
      <c r="C69" s="191"/>
      <c r="D69" s="191"/>
      <c r="E69" s="191"/>
      <c r="F69" s="494"/>
      <c r="G69" s="191"/>
      <c r="H69" s="191"/>
      <c r="I69" s="292"/>
      <c r="J69" s="216"/>
      <c r="K69" s="147">
        <f>K68-C70</f>
        <v>9357.3999999999978</v>
      </c>
    </row>
    <row r="70" spans="1:13" x14ac:dyDescent="0.25">
      <c r="A70" s="191" t="s">
        <v>613</v>
      </c>
      <c r="B70" s="327">
        <v>0.1</v>
      </c>
      <c r="C70" s="494">
        <f>B70*B67</f>
        <v>5057.3</v>
      </c>
      <c r="D70" s="191"/>
      <c r="E70" s="191" t="s">
        <v>613</v>
      </c>
      <c r="F70" s="327">
        <v>0.1</v>
      </c>
      <c r="G70" s="494">
        <f>C70</f>
        <v>5057.3</v>
      </c>
      <c r="H70" s="191"/>
      <c r="I70" s="292"/>
      <c r="J70" s="216"/>
      <c r="K70" s="147">
        <f>K69+B69</f>
        <v>11234.399999999998</v>
      </c>
    </row>
    <row r="71" spans="1:13" x14ac:dyDescent="0.25">
      <c r="A71" s="493" t="s">
        <v>693</v>
      </c>
      <c r="B71" s="191" t="s">
        <v>163</v>
      </c>
      <c r="C71" s="191"/>
      <c r="D71" s="191"/>
      <c r="E71" s="493" t="s">
        <v>693</v>
      </c>
      <c r="F71" s="496"/>
      <c r="G71" s="191"/>
      <c r="H71" s="191"/>
      <c r="I71" s="292"/>
      <c r="J71" s="602"/>
      <c r="K71" s="147">
        <f>K70-C72</f>
        <v>1234.3999999999978</v>
      </c>
    </row>
    <row r="72" spans="1:13" x14ac:dyDescent="0.25">
      <c r="A72" s="495" t="s">
        <v>605</v>
      </c>
      <c r="B72" s="191"/>
      <c r="C72" s="191">
        <v>10000</v>
      </c>
      <c r="D72" s="191"/>
      <c r="E72" s="495" t="s">
        <v>605</v>
      </c>
      <c r="F72" s="191"/>
      <c r="G72" s="191">
        <v>10000</v>
      </c>
      <c r="H72" s="191"/>
      <c r="I72" s="292"/>
      <c r="J72" s="602"/>
      <c r="K72" s="147">
        <f>K71-C73</f>
        <v>-13765.600000000002</v>
      </c>
    </row>
    <row r="73" spans="1:13" x14ac:dyDescent="0.25">
      <c r="A73" s="495" t="s">
        <v>860</v>
      </c>
      <c r="B73" s="191"/>
      <c r="C73" s="191">
        <v>15000</v>
      </c>
      <c r="D73" s="191"/>
      <c r="E73" s="495" t="s">
        <v>860</v>
      </c>
      <c r="F73" s="191"/>
      <c r="G73" s="191">
        <v>15000</v>
      </c>
      <c r="H73" s="191"/>
      <c r="I73" s="216"/>
      <c r="J73" s="602"/>
      <c r="K73" s="147">
        <f>K72-C74-C75-C76</f>
        <v>-26365.600000000002</v>
      </c>
    </row>
    <row r="74" spans="1:13" x14ac:dyDescent="0.25">
      <c r="A74" s="496" t="s">
        <v>861</v>
      </c>
      <c r="B74" s="327"/>
      <c r="C74" s="191">
        <v>1600</v>
      </c>
      <c r="D74" s="191"/>
      <c r="E74" s="496" t="s">
        <v>861</v>
      </c>
      <c r="F74" s="327"/>
      <c r="G74" s="191">
        <v>1600</v>
      </c>
      <c r="H74" s="191"/>
      <c r="I74" s="216"/>
      <c r="J74" s="602"/>
    </row>
    <row r="75" spans="1:13" x14ac:dyDescent="0.25">
      <c r="A75" s="496" t="s">
        <v>863</v>
      </c>
      <c r="B75" s="327"/>
      <c r="C75" s="191">
        <v>1000</v>
      </c>
      <c r="D75" s="191"/>
      <c r="E75" s="496" t="s">
        <v>863</v>
      </c>
      <c r="F75" s="327"/>
      <c r="G75" s="191">
        <v>1000</v>
      </c>
      <c r="H75" s="191"/>
      <c r="I75" s="216"/>
      <c r="J75" s="216"/>
      <c r="L75" s="147">
        <f>K73-20120</f>
        <v>-46485.600000000006</v>
      </c>
    </row>
    <row r="76" spans="1:13" x14ac:dyDescent="0.25">
      <c r="A76" s="496" t="s">
        <v>864</v>
      </c>
      <c r="B76" s="495"/>
      <c r="C76" s="191">
        <v>10000</v>
      </c>
      <c r="D76" s="191"/>
      <c r="E76" s="496" t="s">
        <v>864</v>
      </c>
      <c r="F76" s="495"/>
      <c r="G76" s="191">
        <v>10000</v>
      </c>
      <c r="H76" s="191"/>
      <c r="I76" s="216"/>
      <c r="J76" s="216"/>
    </row>
    <row r="77" spans="1:13" s="9" customFormat="1" x14ac:dyDescent="0.25">
      <c r="A77" s="496" t="s">
        <v>872</v>
      </c>
      <c r="B77" s="495"/>
      <c r="C77" s="191">
        <v>1000</v>
      </c>
      <c r="D77" s="191"/>
      <c r="E77" s="496" t="s">
        <v>867</v>
      </c>
      <c r="F77" s="495"/>
      <c r="G77" s="191">
        <v>1000</v>
      </c>
      <c r="H77" s="191"/>
      <c r="I77" s="216"/>
      <c r="J77" s="216"/>
    </row>
    <row r="78" spans="1:13" s="9" customFormat="1" x14ac:dyDescent="0.25">
      <c r="A78" s="496" t="s">
        <v>868</v>
      </c>
      <c r="B78" s="495"/>
      <c r="C78" s="191">
        <v>12250</v>
      </c>
      <c r="D78" s="191"/>
      <c r="E78" s="496" t="s">
        <v>868</v>
      </c>
      <c r="F78" s="495"/>
      <c r="G78" s="191">
        <v>12250</v>
      </c>
      <c r="H78" s="191"/>
      <c r="I78" s="216"/>
      <c r="J78" s="216"/>
      <c r="M78" s="252"/>
    </row>
    <row r="79" spans="1:13" s="9" customFormat="1" x14ac:dyDescent="0.25">
      <c r="A79" s="496" t="s">
        <v>869</v>
      </c>
      <c r="B79" s="495"/>
      <c r="C79" s="191">
        <v>120</v>
      </c>
      <c r="D79" s="191"/>
      <c r="E79" s="496" t="s">
        <v>869</v>
      </c>
      <c r="F79" s="495"/>
      <c r="G79" s="191">
        <v>120</v>
      </c>
      <c r="H79" s="191"/>
      <c r="I79" s="216"/>
      <c r="J79" s="216"/>
    </row>
    <row r="80" spans="1:13" s="9" customFormat="1" x14ac:dyDescent="0.25">
      <c r="A80" s="496" t="s">
        <v>873</v>
      </c>
      <c r="B80" s="495"/>
      <c r="C80" s="191">
        <v>2750</v>
      </c>
      <c r="D80" s="191"/>
      <c r="E80" s="496" t="s">
        <v>873</v>
      </c>
      <c r="F80" s="495"/>
      <c r="G80" s="191">
        <v>2750</v>
      </c>
      <c r="H80" s="191"/>
      <c r="I80" s="216"/>
      <c r="J80" s="216"/>
      <c r="L80" s="252"/>
    </row>
    <row r="81" spans="1:10" s="9" customFormat="1" x14ac:dyDescent="0.25">
      <c r="A81" s="496" t="s">
        <v>874</v>
      </c>
      <c r="B81" s="495"/>
      <c r="C81" s="191">
        <v>200</v>
      </c>
      <c r="D81" s="191"/>
      <c r="E81" s="496" t="s">
        <v>874</v>
      </c>
      <c r="F81" s="495"/>
      <c r="G81" s="191">
        <v>200</v>
      </c>
      <c r="H81" s="191"/>
      <c r="I81" s="216"/>
      <c r="J81" s="216"/>
    </row>
    <row r="82" spans="1:10" s="9" customFormat="1" x14ac:dyDescent="0.25">
      <c r="A82" s="496" t="s">
        <v>870</v>
      </c>
      <c r="B82" s="495"/>
      <c r="C82" s="191">
        <v>300</v>
      </c>
      <c r="D82" s="191"/>
      <c r="E82" s="496" t="s">
        <v>870</v>
      </c>
      <c r="F82" s="495"/>
      <c r="G82" s="191">
        <v>300</v>
      </c>
      <c r="H82" s="191"/>
      <c r="I82" s="216">
        <f>C77+C78+C79+C80+C81+C82</f>
        <v>16620</v>
      </c>
      <c r="J82" s="216"/>
    </row>
    <row r="83" spans="1:10" s="9" customFormat="1" x14ac:dyDescent="0.25">
      <c r="A83" s="497" t="s">
        <v>871</v>
      </c>
      <c r="B83" s="495"/>
      <c r="C83" s="301">
        <v>3500</v>
      </c>
      <c r="D83" s="191"/>
      <c r="E83" s="497" t="s">
        <v>871</v>
      </c>
      <c r="F83" s="495"/>
      <c r="G83" s="301">
        <v>3500</v>
      </c>
      <c r="H83" s="191"/>
      <c r="I83" s="216">
        <f>C84+C85+C86</f>
        <v>2460</v>
      </c>
      <c r="J83" s="216"/>
    </row>
    <row r="84" spans="1:10" s="9" customFormat="1" x14ac:dyDescent="0.25">
      <c r="A84" s="496" t="s">
        <v>876</v>
      </c>
      <c r="B84" s="495"/>
      <c r="C84" s="191">
        <v>1680</v>
      </c>
      <c r="D84" s="191"/>
      <c r="E84" s="496" t="s">
        <v>876</v>
      </c>
      <c r="F84" s="495"/>
      <c r="G84" s="191">
        <v>1680</v>
      </c>
      <c r="H84" s="191"/>
      <c r="I84" s="216"/>
      <c r="J84" s="216">
        <f>I82+3500</f>
        <v>20120</v>
      </c>
    </row>
    <row r="85" spans="1:10" s="9" customFormat="1" x14ac:dyDescent="0.25">
      <c r="A85" s="496" t="s">
        <v>877</v>
      </c>
      <c r="B85" s="495"/>
      <c r="C85" s="191">
        <v>400</v>
      </c>
      <c r="D85" s="191"/>
      <c r="E85" s="496" t="s">
        <v>877</v>
      </c>
      <c r="F85" s="495"/>
      <c r="G85" s="191">
        <v>400</v>
      </c>
      <c r="H85" s="191"/>
      <c r="I85" s="292">
        <f>I82+I83+C87+C88</f>
        <v>21080</v>
      </c>
      <c r="J85" s="216"/>
    </row>
    <row r="86" spans="1:10" s="9" customFormat="1" x14ac:dyDescent="0.25">
      <c r="A86" s="496" t="s">
        <v>878</v>
      </c>
      <c r="B86" s="495"/>
      <c r="C86" s="191">
        <f>380</f>
        <v>380</v>
      </c>
      <c r="D86" s="191"/>
      <c r="E86" s="496" t="s">
        <v>878</v>
      </c>
      <c r="F86" s="495"/>
      <c r="G86" s="191">
        <v>380</v>
      </c>
      <c r="H86" s="191"/>
      <c r="I86" s="216"/>
      <c r="J86" s="216"/>
    </row>
    <row r="87" spans="1:10" s="9" customFormat="1" x14ac:dyDescent="0.25">
      <c r="A87" s="496" t="s">
        <v>879</v>
      </c>
      <c r="B87" s="495"/>
      <c r="C87" s="191">
        <v>1000</v>
      </c>
      <c r="D87" s="191"/>
      <c r="E87" s="496" t="s">
        <v>879</v>
      </c>
      <c r="F87" s="495"/>
      <c r="G87" s="191">
        <v>1000</v>
      </c>
      <c r="H87" s="191"/>
      <c r="I87" s="216"/>
      <c r="J87" s="216"/>
    </row>
    <row r="88" spans="1:10" x14ac:dyDescent="0.25">
      <c r="A88" s="497" t="s">
        <v>823</v>
      </c>
      <c r="B88" s="495"/>
      <c r="C88" s="301">
        <v>1000</v>
      </c>
      <c r="D88" s="191"/>
      <c r="E88" s="497" t="s">
        <v>823</v>
      </c>
      <c r="F88" s="495"/>
      <c r="G88" s="301">
        <v>1000</v>
      </c>
      <c r="H88" s="191"/>
      <c r="I88" s="292">
        <f>C88+C87+C86+C85+C84</f>
        <v>4460</v>
      </c>
      <c r="J88" s="216"/>
    </row>
    <row r="89" spans="1:10" x14ac:dyDescent="0.25">
      <c r="A89" s="493" t="s">
        <v>2</v>
      </c>
      <c r="B89" s="499">
        <f>B69+B67+B68-C70</f>
        <v>11234.399999999998</v>
      </c>
      <c r="C89" s="499">
        <f>SUM(C72:C88)</f>
        <v>62180</v>
      </c>
      <c r="D89" s="499">
        <f>B89-C89</f>
        <v>-50945.600000000006</v>
      </c>
      <c r="E89" s="493" t="s">
        <v>2</v>
      </c>
      <c r="F89" s="499">
        <f>F67+F68+F69-G70</f>
        <v>-30719.600000000002</v>
      </c>
      <c r="G89" s="499">
        <f>SUM(G72:G88)</f>
        <v>62180</v>
      </c>
      <c r="H89" s="499">
        <f>F89-G89</f>
        <v>-92899.6</v>
      </c>
      <c r="I89" s="216"/>
      <c r="J89" s="602"/>
    </row>
    <row r="90" spans="1:10" x14ac:dyDescent="0.25">
      <c r="A90" s="216"/>
      <c r="B90" s="216"/>
      <c r="C90" s="216"/>
      <c r="D90" s="216"/>
      <c r="E90" s="216"/>
      <c r="F90" s="216"/>
      <c r="G90" s="216"/>
      <c r="H90" s="216"/>
      <c r="I90" s="216"/>
      <c r="J90" s="216"/>
    </row>
    <row r="91" spans="1:10" x14ac:dyDescent="0.25">
      <c r="A91" s="558" t="s">
        <v>659</v>
      </c>
      <c r="B91" s="559"/>
      <c r="C91" s="559" t="s">
        <v>661</v>
      </c>
      <c r="D91" s="560"/>
      <c r="E91" s="216"/>
      <c r="F91" s="558" t="s">
        <v>662</v>
      </c>
      <c r="G91" s="216"/>
      <c r="H91" s="216"/>
      <c r="I91" s="216"/>
      <c r="J91" s="602"/>
    </row>
    <row r="92" spans="1:10" x14ac:dyDescent="0.25">
      <c r="A92" s="558"/>
      <c r="B92" s="559"/>
      <c r="C92" s="559"/>
      <c r="D92" s="560"/>
      <c r="E92" s="558"/>
      <c r="F92" s="558"/>
      <c r="G92" s="9"/>
      <c r="H92" s="216"/>
      <c r="I92" s="216"/>
      <c r="J92" s="602"/>
    </row>
    <row r="93" spans="1:10" x14ac:dyDescent="0.25">
      <c r="A93" s="558" t="s">
        <v>782</v>
      </c>
      <c r="B93" s="559"/>
      <c r="C93" s="559" t="s">
        <v>78</v>
      </c>
      <c r="D93" s="560"/>
      <c r="E93" s="558"/>
      <c r="F93" s="558" t="s">
        <v>663</v>
      </c>
      <c r="G93" s="216"/>
      <c r="H93" s="216"/>
      <c r="I93" s="216"/>
      <c r="J93" s="602"/>
    </row>
    <row r="94" spans="1:10" x14ac:dyDescent="0.25">
      <c r="A94" s="9"/>
      <c r="B94" s="9"/>
      <c r="C94" s="9"/>
      <c r="D94" s="9"/>
      <c r="E94" s="9"/>
      <c r="F94" s="9"/>
      <c r="G94" s="9"/>
      <c r="H94" s="216"/>
      <c r="I94" s="9"/>
      <c r="J94" s="602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E82" sqref="E82"/>
    </sheetView>
  </sheetViews>
  <sheetFormatPr defaultRowHeight="15" x14ac:dyDescent="0.25"/>
  <cols>
    <col min="1" max="1" width="20" customWidth="1"/>
    <col min="9" max="9" width="11.28515625" bestFit="1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</row>
    <row r="3" spans="1:12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</row>
    <row r="4" spans="1:12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</row>
    <row r="36" spans="1:13" ht="18.75" x14ac:dyDescent="0.3">
      <c r="A36" s="536"/>
      <c r="B36" s="537" t="s">
        <v>875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</row>
    <row r="38" spans="1:13" x14ac:dyDescent="0.25">
      <c r="A38" s="388" t="s">
        <v>765</v>
      </c>
      <c r="B38" s="541">
        <v>1</v>
      </c>
      <c r="C38" s="542"/>
      <c r="D38" s="543">
        <f>'FEBRUARY 20'!H38:H61</f>
        <v>17072</v>
      </c>
      <c r="E38" s="440">
        <v>4500</v>
      </c>
      <c r="F38" s="440">
        <f>C38+D38+E38</f>
        <v>21572</v>
      </c>
      <c r="G38" s="440"/>
      <c r="H38" s="440">
        <f>F38-G38</f>
        <v>21572</v>
      </c>
      <c r="I38" s="544"/>
      <c r="J38" s="543"/>
      <c r="K38" s="216"/>
      <c r="L38" s="9"/>
      <c r="M38" s="9"/>
    </row>
    <row r="39" spans="1:13" x14ac:dyDescent="0.25">
      <c r="A39" s="604" t="s">
        <v>880</v>
      </c>
      <c r="B39" s="541">
        <v>2</v>
      </c>
      <c r="C39" s="542">
        <v>2500</v>
      </c>
      <c r="D39" s="543">
        <f>'FEBRUARY 20'!H39:H62</f>
        <v>0</v>
      </c>
      <c r="E39" s="443">
        <v>2500</v>
      </c>
      <c r="F39" s="440">
        <f t="shared" ref="F39:F60" si="2">C39+D39+E39</f>
        <v>5000</v>
      </c>
      <c r="G39" s="440">
        <v>5000</v>
      </c>
      <c r="H39" s="544">
        <f>F39-G39</f>
        <v>0</v>
      </c>
      <c r="I39" s="543"/>
      <c r="J39" s="216"/>
      <c r="K39" s="9"/>
      <c r="L39" s="9"/>
    </row>
    <row r="40" spans="1:13" x14ac:dyDescent="0.25">
      <c r="A40" s="604" t="s">
        <v>638</v>
      </c>
      <c r="B40" s="541">
        <v>3</v>
      </c>
      <c r="C40" s="542"/>
      <c r="D40" s="543">
        <f>'FEBRUARY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  <c r="K40" s="9"/>
      <c r="L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>F41-G41</f>
        <v>2000</v>
      </c>
      <c r="I41" s="543">
        <v>100</v>
      </c>
      <c r="J41" s="216"/>
      <c r="K41" s="9"/>
      <c r="L41" s="9"/>
    </row>
    <row r="42" spans="1:13" x14ac:dyDescent="0.25">
      <c r="A42" s="388" t="s">
        <v>767</v>
      </c>
      <c r="B42" s="541">
        <v>5</v>
      </c>
      <c r="C42" s="542"/>
      <c r="D42" s="543">
        <f>'FEBRUARY 20'!H42:H65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/>
      <c r="J42" s="216"/>
      <c r="K42" s="9"/>
      <c r="L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2000</v>
      </c>
      <c r="H43" s="544">
        <f t="shared" si="3"/>
        <v>2000</v>
      </c>
      <c r="I43" s="543"/>
      <c r="J43" s="216"/>
      <c r="K43" s="9"/>
      <c r="L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</row>
    <row r="45" spans="1:13" x14ac:dyDescent="0.25">
      <c r="A45" s="605" t="s">
        <v>768</v>
      </c>
      <c r="B45" s="541">
        <v>8</v>
      </c>
      <c r="C45" s="542"/>
      <c r="D45" s="543">
        <f>'FEBRUARY 20'!H45:H68</f>
        <v>200</v>
      </c>
      <c r="E45" s="543">
        <v>2500</v>
      </c>
      <c r="F45" s="440">
        <f t="shared" si="2"/>
        <v>2700</v>
      </c>
      <c r="G45" s="440">
        <v>2600</v>
      </c>
      <c r="H45" s="544">
        <f>F45-G45</f>
        <v>100</v>
      </c>
      <c r="I45" s="543"/>
      <c r="J45" s="216"/>
      <c r="K45" s="9"/>
      <c r="L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</row>
    <row r="47" spans="1:13" x14ac:dyDescent="0.25">
      <c r="A47" s="382" t="s">
        <v>885</v>
      </c>
      <c r="B47" s="601">
        <v>10</v>
      </c>
      <c r="C47" s="542"/>
      <c r="D47" s="543">
        <f>'FEBRUARY 20'!H47:H70</f>
        <v>533</v>
      </c>
      <c r="E47" s="191">
        <v>2500</v>
      </c>
      <c r="F47" s="440">
        <f t="shared" si="2"/>
        <v>3033</v>
      </c>
      <c r="G47" s="440">
        <f>1500+1000</f>
        <v>2500</v>
      </c>
      <c r="H47" s="544">
        <f>F47-G47</f>
        <v>533</v>
      </c>
      <c r="I47" s="543"/>
      <c r="J47" s="216"/>
      <c r="K47" s="9"/>
      <c r="L47" s="9"/>
    </row>
    <row r="48" spans="1:13" x14ac:dyDescent="0.25">
      <c r="A48" s="44" t="s">
        <v>757</v>
      </c>
      <c r="B48" s="541">
        <v>11</v>
      </c>
      <c r="C48" s="542"/>
      <c r="D48" s="543">
        <f>'FEBRUARY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216"/>
      <c r="K48" s="9"/>
      <c r="L48" s="9"/>
    </row>
    <row r="49" spans="1:12" x14ac:dyDescent="0.25">
      <c r="A49" s="604" t="s">
        <v>757</v>
      </c>
      <c r="B49" s="541">
        <v>12</v>
      </c>
      <c r="C49" s="542"/>
      <c r="D49" s="543">
        <f>'FEBRUARY 20'!H49:H72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'FEBRUARY 20'!H50:H73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'FEBRUARY 20'!H51:H74</f>
        <v>0</v>
      </c>
      <c r="E51" s="549">
        <v>0</v>
      </c>
      <c r="F51" s="440">
        <v>0</v>
      </c>
      <c r="G51" s="440"/>
      <c r="H51" s="544"/>
      <c r="I51" s="543"/>
      <c r="J51" s="216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'FEBRUARY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'FEBRUARY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>
        <v>100</v>
      </c>
      <c r="J53" s="216"/>
      <c r="K53" s="9"/>
      <c r="L53" s="9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  <c r="J54" s="216"/>
      <c r="K54" s="9"/>
      <c r="L54" s="9"/>
    </row>
    <row r="55" spans="1:12" x14ac:dyDescent="0.25">
      <c r="A55" s="382" t="s">
        <v>884</v>
      </c>
      <c r="B55" s="541">
        <v>18</v>
      </c>
      <c r="C55" s="542"/>
      <c r="D55" s="543"/>
      <c r="E55" s="544">
        <v>340</v>
      </c>
      <c r="F55" s="440">
        <f t="shared" si="2"/>
        <v>340</v>
      </c>
      <c r="G55" s="440">
        <v>340</v>
      </c>
      <c r="H55" s="544">
        <f>F55-G55</f>
        <v>0</v>
      </c>
      <c r="I55" s="543"/>
      <c r="J55" s="216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'FEBRUARY 20'!H56:H90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/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'FEBRUARY 20'!H59:H93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'FEBRUARY 20'!H60:H94</f>
        <v>150</v>
      </c>
      <c r="E60" s="608">
        <v>2000</v>
      </c>
      <c r="F60" s="440">
        <f t="shared" si="2"/>
        <v>2150</v>
      </c>
      <c r="G60" s="440">
        <v>2000</v>
      </c>
      <c r="H60" s="544"/>
      <c r="I60" s="543">
        <v>100</v>
      </c>
      <c r="J60" s="216"/>
      <c r="K60" s="9"/>
      <c r="L60" s="9"/>
    </row>
    <row r="61" spans="1:12" x14ac:dyDescent="0.25">
      <c r="A61" s="388"/>
      <c r="B61" s="541">
        <v>24</v>
      </c>
      <c r="C61" s="542"/>
      <c r="D61" s="543">
        <f>'FEBRUARY 20'!H61:H95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</row>
    <row r="62" spans="1:12" x14ac:dyDescent="0.25">
      <c r="A62" s="598" t="s">
        <v>708</v>
      </c>
      <c r="B62" s="191"/>
      <c r="C62" s="542">
        <f>SUM(C38:C61)</f>
        <v>12690</v>
      </c>
      <c r="D62" s="543">
        <f>SUM(D38:D61)</f>
        <v>18055</v>
      </c>
      <c r="E62" s="588">
        <f>SUM(E38:E61)</f>
        <v>53840</v>
      </c>
      <c r="F62" s="440">
        <f>C62+D62+E62</f>
        <v>84585</v>
      </c>
      <c r="G62" s="440">
        <f>SUM(G38:G61)</f>
        <v>51440</v>
      </c>
      <c r="H62" s="544">
        <f>F62-G62</f>
        <v>33145</v>
      </c>
      <c r="I62" s="591">
        <f>SUM(I38:I61)</f>
        <v>1000</v>
      </c>
      <c r="J62" s="216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>
        <f>H62-H57-H58-H54-H46-H44-H41-C43</f>
        <v>22955</v>
      </c>
      <c r="I63" s="216"/>
      <c r="J63" s="216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9"/>
      <c r="J64" s="216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</row>
    <row r="67" spans="1:12" x14ac:dyDescent="0.25">
      <c r="A67" s="191" t="s">
        <v>712</v>
      </c>
      <c r="B67" s="494">
        <f>E62</f>
        <v>53840</v>
      </c>
      <c r="C67" s="191"/>
      <c r="D67" s="191"/>
      <c r="E67" s="191" t="s">
        <v>712</v>
      </c>
      <c r="F67" s="494">
        <f>G62</f>
        <v>51440</v>
      </c>
      <c r="G67" s="191"/>
      <c r="H67" s="191"/>
      <c r="I67" s="292"/>
      <c r="J67" s="216"/>
      <c r="K67" s="9"/>
      <c r="L67" s="9"/>
    </row>
    <row r="68" spans="1:12" x14ac:dyDescent="0.25">
      <c r="A68" s="191" t="s">
        <v>347</v>
      </c>
      <c r="B68" s="494">
        <f>'FEBRUARY 20'!D89</f>
        <v>-50945.600000000006</v>
      </c>
      <c r="C68" s="191"/>
      <c r="D68" s="191"/>
      <c r="E68" s="191" t="s">
        <v>347</v>
      </c>
      <c r="F68" s="494">
        <f>'FEBRUARY 20'!H89</f>
        <v>-92899.6</v>
      </c>
      <c r="G68" s="191"/>
      <c r="H68" s="191"/>
      <c r="I68" s="292"/>
      <c r="J68" s="216"/>
      <c r="K68" s="147">
        <f>B67+B68</f>
        <v>2894.3999999999942</v>
      </c>
      <c r="L68" s="9"/>
    </row>
    <row r="69" spans="1:12" x14ac:dyDescent="0.25">
      <c r="A69" s="191" t="s">
        <v>333</v>
      </c>
      <c r="B69" s="494">
        <v>2500</v>
      </c>
      <c r="C69" s="191"/>
      <c r="D69" s="191"/>
      <c r="E69" s="191"/>
      <c r="F69" s="494"/>
      <c r="G69" s="191"/>
      <c r="H69" s="191"/>
      <c r="I69" s="292"/>
      <c r="J69" s="216"/>
      <c r="K69" s="147">
        <f>K68-C71</f>
        <v>-2489.6000000000058</v>
      </c>
      <c r="L69" s="9"/>
    </row>
    <row r="70" spans="1:12" s="9" customFormat="1" x14ac:dyDescent="0.25">
      <c r="A70" s="191" t="s">
        <v>652</v>
      </c>
      <c r="B70" s="494">
        <v>0.3</v>
      </c>
      <c r="C70" s="301">
        <f>(B70*E54)</f>
        <v>480</v>
      </c>
      <c r="D70" s="191"/>
      <c r="E70" s="191" t="s">
        <v>652</v>
      </c>
      <c r="F70" s="494">
        <v>0.3</v>
      </c>
      <c r="G70" s="301">
        <f>F70*E55+(F70*E54)</f>
        <v>582</v>
      </c>
      <c r="H70" s="191"/>
      <c r="I70" s="292"/>
      <c r="J70" s="216"/>
      <c r="K70" s="147"/>
    </row>
    <row r="71" spans="1:12" x14ac:dyDescent="0.25">
      <c r="A71" s="191" t="s">
        <v>613</v>
      </c>
      <c r="B71" s="327">
        <v>0.1</v>
      </c>
      <c r="C71" s="494">
        <f>B71*B67</f>
        <v>5384</v>
      </c>
      <c r="D71" s="191"/>
      <c r="E71" s="191" t="s">
        <v>613</v>
      </c>
      <c r="F71" s="327">
        <v>0.1</v>
      </c>
      <c r="G71" s="494">
        <f>C71</f>
        <v>5384</v>
      </c>
      <c r="H71" s="191"/>
      <c r="I71" s="292"/>
      <c r="J71" s="216"/>
      <c r="K71" s="9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</row>
    <row r="74" spans="1:12" x14ac:dyDescent="0.25">
      <c r="A74" s="495" t="s">
        <v>881</v>
      </c>
      <c r="B74" s="191"/>
      <c r="C74" s="191">
        <v>15000</v>
      </c>
      <c r="D74" s="191"/>
      <c r="E74" s="495" t="s">
        <v>881</v>
      </c>
      <c r="F74" s="191"/>
      <c r="G74" s="191">
        <v>15000</v>
      </c>
      <c r="H74" s="191"/>
      <c r="I74" s="371">
        <f>C70-B68</f>
        <v>51425.600000000006</v>
      </c>
      <c r="J74" s="602"/>
      <c r="K74" s="9"/>
      <c r="L74" s="9"/>
    </row>
    <row r="75" spans="1:12" x14ac:dyDescent="0.25">
      <c r="A75" s="496" t="s">
        <v>882</v>
      </c>
      <c r="B75" s="327"/>
      <c r="C75" s="191">
        <v>10000</v>
      </c>
      <c r="D75" s="191"/>
      <c r="E75" s="496" t="s">
        <v>882</v>
      </c>
      <c r="F75" s="327"/>
      <c r="G75" s="191">
        <v>10000</v>
      </c>
      <c r="H75" s="191"/>
      <c r="I75" s="216"/>
      <c r="J75" s="602"/>
      <c r="K75" s="9"/>
      <c r="L75" s="147">
        <f>B67+B69</f>
        <v>56340</v>
      </c>
    </row>
    <row r="76" spans="1:12" x14ac:dyDescent="0.25">
      <c r="A76" s="496"/>
      <c r="B76" s="327"/>
      <c r="C76" s="191"/>
      <c r="D76" s="191"/>
      <c r="E76" s="496"/>
      <c r="F76" s="327"/>
      <c r="G76" s="191"/>
      <c r="H76" s="191"/>
      <c r="I76" s="216"/>
      <c r="J76" s="216"/>
      <c r="K76" s="9"/>
      <c r="L76" s="252">
        <f>L75-C71-C70</f>
        <v>50476</v>
      </c>
    </row>
    <row r="77" spans="1:12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216"/>
      <c r="K77" s="9"/>
      <c r="L77" s="252">
        <f>L76+B68</f>
        <v>-469.60000000000582</v>
      </c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</row>
    <row r="79" spans="1:12" x14ac:dyDescent="0.25">
      <c r="A79" s="493" t="s">
        <v>2</v>
      </c>
      <c r="B79" s="499">
        <f>B69+B67+B68-C71-C70</f>
        <v>-469.60000000000582</v>
      </c>
      <c r="C79" s="499">
        <f>SUM(C73:C78)</f>
        <v>35000</v>
      </c>
      <c r="D79" s="499">
        <f>B79-C79</f>
        <v>-35469.600000000006</v>
      </c>
      <c r="E79" s="493" t="s">
        <v>2</v>
      </c>
      <c r="F79" s="499">
        <f>F67+F68+F69-G71-G70</f>
        <v>-47425.600000000006</v>
      </c>
      <c r="G79" s="499">
        <f>SUM(G73:G78)</f>
        <v>35000</v>
      </c>
      <c r="H79" s="499">
        <f>F79-G79</f>
        <v>-82425.600000000006</v>
      </c>
      <c r="I79" s="216"/>
      <c r="J79" s="602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216"/>
      <c r="I82" s="216"/>
      <c r="J82" s="602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5864</v>
      </c>
      <c r="F83" s="558" t="s">
        <v>663</v>
      </c>
      <c r="G83" s="216"/>
      <c r="H83" s="216"/>
      <c r="I83" s="216"/>
      <c r="J83" s="602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602"/>
      <c r="K84" s="9"/>
      <c r="L84" s="9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46" workbookViewId="0">
      <selection activeCell="C70" sqref="C70"/>
    </sheetView>
  </sheetViews>
  <sheetFormatPr defaultRowHeight="15" x14ac:dyDescent="0.25"/>
  <cols>
    <col min="1" max="1" width="22.8554687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</row>
    <row r="3" spans="1:9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</row>
    <row r="4" spans="1:9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</row>
    <row r="7" spans="1:9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</row>
    <row r="18" spans="1:9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</row>
    <row r="23" spans="1:9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</row>
    <row r="33" spans="1:9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9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9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9" ht="18.75" x14ac:dyDescent="0.3">
      <c r="A36" s="536"/>
      <c r="B36" s="537" t="s">
        <v>883</v>
      </c>
      <c r="C36" s="537"/>
      <c r="D36" s="537"/>
      <c r="E36" s="537"/>
      <c r="F36" s="540"/>
      <c r="G36" s="520"/>
      <c r="H36" s="216"/>
      <c r="I36" s="216"/>
    </row>
    <row r="37" spans="1:9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</row>
    <row r="38" spans="1:9" x14ac:dyDescent="0.25">
      <c r="A38" s="388" t="s">
        <v>765</v>
      </c>
      <c r="B38" s="541">
        <v>1</v>
      </c>
      <c r="C38" s="542"/>
      <c r="D38" s="543">
        <f>'MARCH 20'!H38:H61</f>
        <v>21572</v>
      </c>
      <c r="E38" s="440">
        <v>4500</v>
      </c>
      <c r="F38" s="440">
        <f>C38+D38+E38</f>
        <v>26072</v>
      </c>
      <c r="G38" s="440">
        <v>11101</v>
      </c>
      <c r="H38" s="544">
        <f>F38-G38</f>
        <v>14971</v>
      </c>
      <c r="I38" s="543"/>
    </row>
    <row r="39" spans="1:9" x14ac:dyDescent="0.25">
      <c r="A39" s="604" t="s">
        <v>880</v>
      </c>
      <c r="B39" s="541">
        <v>2</v>
      </c>
      <c r="C39" s="542"/>
      <c r="D39" s="543">
        <f>'MARCH 20'!H39:H62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</row>
    <row r="40" spans="1:9" x14ac:dyDescent="0.25">
      <c r="A40" s="604" t="s">
        <v>638</v>
      </c>
      <c r="B40" s="541">
        <v>3</v>
      </c>
      <c r="C40" s="542"/>
      <c r="D40" s="543">
        <f>'MARCH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</row>
    <row r="41" spans="1:9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1000</v>
      </c>
      <c r="H41" s="544">
        <f t="shared" si="3"/>
        <v>3000</v>
      </c>
      <c r="I41" s="543"/>
    </row>
    <row r="42" spans="1:9" x14ac:dyDescent="0.25">
      <c r="A42" s="388" t="s">
        <v>767</v>
      </c>
      <c r="B42" s="541">
        <v>5</v>
      </c>
      <c r="C42" s="542"/>
      <c r="D42" s="543">
        <f>'MARCH 20'!H42:H65</f>
        <v>0</v>
      </c>
      <c r="E42" s="443">
        <v>2500</v>
      </c>
      <c r="F42" s="440">
        <f t="shared" si="2"/>
        <v>2500</v>
      </c>
      <c r="G42" s="440">
        <v>1700</v>
      </c>
      <c r="H42" s="544">
        <f t="shared" si="3"/>
        <v>800</v>
      </c>
      <c r="I42" s="543"/>
    </row>
    <row r="43" spans="1:9" x14ac:dyDescent="0.25">
      <c r="A43" s="604" t="s">
        <v>759</v>
      </c>
      <c r="B43" s="541">
        <v>6</v>
      </c>
      <c r="C43" s="542">
        <v>1500</v>
      </c>
      <c r="D43" s="543">
        <v>500</v>
      </c>
      <c r="E43" s="443">
        <v>2500</v>
      </c>
      <c r="F43" s="440">
        <f t="shared" si="2"/>
        <v>4500</v>
      </c>
      <c r="G43" s="440">
        <f>500+550</f>
        <v>1050</v>
      </c>
      <c r="H43" s="544">
        <f t="shared" si="3"/>
        <v>3450</v>
      </c>
      <c r="I43" s="543"/>
    </row>
    <row r="44" spans="1:9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</row>
    <row r="45" spans="1:9" x14ac:dyDescent="0.25">
      <c r="A45" s="605" t="s">
        <v>768</v>
      </c>
      <c r="B45" s="541">
        <v>8</v>
      </c>
      <c r="C45" s="542"/>
      <c r="D45" s="543">
        <f>'MARCH 20'!H45:H68</f>
        <v>100</v>
      </c>
      <c r="E45" s="543">
        <v>2500</v>
      </c>
      <c r="F45" s="440">
        <f t="shared" si="2"/>
        <v>2600</v>
      </c>
      <c r="G45" s="440">
        <v>2500</v>
      </c>
      <c r="H45" s="544">
        <f>F45-G45</f>
        <v>100</v>
      </c>
      <c r="I45" s="543">
        <v>100</v>
      </c>
    </row>
    <row r="46" spans="1:9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</row>
    <row r="47" spans="1:9" x14ac:dyDescent="0.25">
      <c r="A47" s="382" t="s">
        <v>827</v>
      </c>
      <c r="B47" s="601">
        <v>10</v>
      </c>
      <c r="C47" s="542"/>
      <c r="D47" s="543">
        <f>'MARCH 20'!H47:H70</f>
        <v>533</v>
      </c>
      <c r="E47" s="191">
        <v>2500</v>
      </c>
      <c r="F47" s="440">
        <f t="shared" si="2"/>
        <v>3033</v>
      </c>
      <c r="G47" s="440">
        <v>2500</v>
      </c>
      <c r="H47" s="544">
        <f>F47-G47</f>
        <v>533</v>
      </c>
      <c r="I47" s="543"/>
    </row>
    <row r="48" spans="1:9" x14ac:dyDescent="0.25">
      <c r="A48" s="44" t="s">
        <v>757</v>
      </c>
      <c r="B48" s="541">
        <v>11</v>
      </c>
      <c r="C48" s="542"/>
      <c r="D48" s="543">
        <f>'MARCH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</row>
    <row r="49" spans="1:12" x14ac:dyDescent="0.25">
      <c r="A49" s="604" t="s">
        <v>757</v>
      </c>
      <c r="B49" s="541">
        <v>12</v>
      </c>
      <c r="C49" s="542"/>
      <c r="D49" s="543">
        <f>'MARCH 20'!H49:H72</f>
        <v>0</v>
      </c>
      <c r="E49" s="603">
        <v>2700</v>
      </c>
      <c r="F49" s="440">
        <f>C49+D49+E49</f>
        <v>2700</v>
      </c>
      <c r="G49" s="440">
        <v>1400</v>
      </c>
      <c r="H49" s="544">
        <f t="shared" si="3"/>
        <v>1300</v>
      </c>
      <c r="I49" s="543"/>
    </row>
    <row r="50" spans="1:12" x14ac:dyDescent="0.25">
      <c r="A50" s="388" t="s">
        <v>649</v>
      </c>
      <c r="B50" s="541">
        <v>13</v>
      </c>
      <c r="C50" s="542"/>
      <c r="D50" s="543">
        <f>'MARCH 20'!H50:H73</f>
        <v>0</v>
      </c>
      <c r="E50" s="544">
        <v>4000</v>
      </c>
      <c r="F50" s="440">
        <f t="shared" si="2"/>
        <v>4000</v>
      </c>
      <c r="G50" s="440">
        <v>2000</v>
      </c>
      <c r="H50" s="544">
        <f t="shared" si="3"/>
        <v>2000</v>
      </c>
      <c r="I50" s="543"/>
    </row>
    <row r="51" spans="1:12" x14ac:dyDescent="0.25">
      <c r="A51" s="113" t="s">
        <v>800</v>
      </c>
      <c r="B51" s="541">
        <v>14</v>
      </c>
      <c r="C51" s="542"/>
      <c r="D51" s="543">
        <f>'MARCH 20'!H51:H74</f>
        <v>0</v>
      </c>
      <c r="E51" s="549">
        <v>0</v>
      </c>
      <c r="F51" s="440">
        <v>0</v>
      </c>
      <c r="G51" s="440"/>
      <c r="H51" s="544"/>
      <c r="I51" s="543"/>
    </row>
    <row r="52" spans="1:12" x14ac:dyDescent="0.25">
      <c r="A52" s="604" t="s">
        <v>703</v>
      </c>
      <c r="B52" s="541">
        <v>15</v>
      </c>
      <c r="C52" s="542"/>
      <c r="D52" s="543">
        <f>'MARCH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</row>
    <row r="53" spans="1:12" x14ac:dyDescent="0.25">
      <c r="A53" s="388" t="s">
        <v>638</v>
      </c>
      <c r="B53" s="551">
        <v>16</v>
      </c>
      <c r="C53" s="542"/>
      <c r="D53" s="543">
        <f>'MARCH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</row>
    <row r="55" spans="1:12" x14ac:dyDescent="0.25">
      <c r="A55" s="382" t="s">
        <v>799</v>
      </c>
      <c r="B55" s="541">
        <v>18</v>
      </c>
      <c r="C55" s="542">
        <v>1600</v>
      </c>
      <c r="D55" s="543"/>
      <c r="E55" s="544">
        <v>1600</v>
      </c>
      <c r="F55" s="440">
        <f t="shared" si="2"/>
        <v>3200</v>
      </c>
      <c r="G55" s="440">
        <f>1600+1000</f>
        <v>2600</v>
      </c>
      <c r="H55" s="544">
        <f>F55-G55</f>
        <v>600</v>
      </c>
      <c r="I55" s="543">
        <v>100</v>
      </c>
    </row>
    <row r="56" spans="1:12" x14ac:dyDescent="0.25">
      <c r="A56" s="388" t="s">
        <v>670</v>
      </c>
      <c r="B56" s="553">
        <v>19</v>
      </c>
      <c r="C56" s="542"/>
      <c r="D56" s="543">
        <f>'MARCH 20'!H56:H79</f>
        <v>0</v>
      </c>
      <c r="E56" s="556">
        <v>1600</v>
      </c>
      <c r="F56" s="440">
        <f t="shared" si="2"/>
        <v>1600</v>
      </c>
      <c r="G56" s="440"/>
      <c r="H56" s="544">
        <f t="shared" si="3"/>
        <v>1600</v>
      </c>
      <c r="I56" s="543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1500</v>
      </c>
      <c r="H57" s="544">
        <f t="shared" si="3"/>
        <v>1700</v>
      </c>
      <c r="I57" s="543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L58" s="252">
        <f>G60+G59+G58+G56+G55+G54+G53+G52+G47+G46+G44+G43+G41+G40+E38</f>
        <v>33750</v>
      </c>
    </row>
    <row r="59" spans="1:12" x14ac:dyDescent="0.25">
      <c r="A59" s="388" t="s">
        <v>701</v>
      </c>
      <c r="B59" s="553">
        <v>22</v>
      </c>
      <c r="C59" s="542"/>
      <c r="D59" s="543">
        <f>'MARCH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</row>
    <row r="60" spans="1:12" x14ac:dyDescent="0.25">
      <c r="A60" s="388" t="s">
        <v>657</v>
      </c>
      <c r="B60" s="553">
        <v>23</v>
      </c>
      <c r="C60" s="542"/>
      <c r="D60" s="543">
        <f>'MARCH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/>
    </row>
    <row r="61" spans="1:12" x14ac:dyDescent="0.25">
      <c r="A61" s="388"/>
      <c r="B61" s="541">
        <v>24</v>
      </c>
      <c r="C61" s="542"/>
      <c r="D61" s="543">
        <f>'MARCH 20'!H61:H84</f>
        <v>0</v>
      </c>
      <c r="E61" s="603"/>
      <c r="F61" s="440"/>
      <c r="G61" s="440"/>
      <c r="H61" s="544">
        <f>F61-G61</f>
        <v>0</v>
      </c>
      <c r="I61" s="543"/>
    </row>
    <row r="62" spans="1:12" x14ac:dyDescent="0.25">
      <c r="A62" s="598" t="s">
        <v>708</v>
      </c>
      <c r="B62" s="191"/>
      <c r="C62" s="542">
        <f>SUM(C38:C61)</f>
        <v>11790</v>
      </c>
      <c r="D62" s="543">
        <f>SUM(D38:D61)</f>
        <v>22805</v>
      </c>
      <c r="E62" s="588">
        <f>SUM(E38:E61)</f>
        <v>52600</v>
      </c>
      <c r="F62" s="440">
        <f>C62+D62+E62</f>
        <v>87195</v>
      </c>
      <c r="G62" s="440">
        <f>SUM(G38:G61)</f>
        <v>51951</v>
      </c>
      <c r="H62" s="544">
        <f>F62-G62</f>
        <v>35244</v>
      </c>
      <c r="I62" s="591">
        <f>SUM(I38:I61)</f>
        <v>900</v>
      </c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H62-C62</f>
        <v>23454</v>
      </c>
      <c r="I64" s="9"/>
    </row>
    <row r="65" spans="1: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</row>
    <row r="66" spans="1: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</row>
    <row r="67" spans="1:9" x14ac:dyDescent="0.25">
      <c r="A67" s="191" t="s">
        <v>720</v>
      </c>
      <c r="B67" s="494">
        <f>E62</f>
        <v>52600</v>
      </c>
      <c r="C67" s="191"/>
      <c r="D67" s="191"/>
      <c r="E67" s="191" t="s">
        <v>720</v>
      </c>
      <c r="F67" s="494">
        <f>G62</f>
        <v>51951</v>
      </c>
      <c r="G67" s="191"/>
      <c r="H67" s="191"/>
      <c r="I67" s="292"/>
    </row>
    <row r="68" spans="1:9" x14ac:dyDescent="0.25">
      <c r="A68" s="191" t="s">
        <v>347</v>
      </c>
      <c r="B68" s="494">
        <f>'MARCH 20'!D79</f>
        <v>-35469.600000000006</v>
      </c>
      <c r="C68" s="191"/>
      <c r="D68" s="191"/>
      <c r="E68" s="191" t="s">
        <v>347</v>
      </c>
      <c r="F68" s="494">
        <f>'MARCH 20'!H79</f>
        <v>-82425.600000000006</v>
      </c>
      <c r="G68" s="191"/>
      <c r="H68" s="191"/>
      <c r="I68" s="292"/>
    </row>
    <row r="69" spans="1:9" x14ac:dyDescent="0.25">
      <c r="A69" s="191" t="s">
        <v>333</v>
      </c>
      <c r="B69" s="494">
        <v>1000</v>
      </c>
      <c r="C69" s="191"/>
      <c r="D69" s="191"/>
      <c r="E69" s="191"/>
      <c r="F69" s="494"/>
      <c r="G69" s="191"/>
      <c r="H69" s="191"/>
      <c r="I69" s="292"/>
    </row>
    <row r="70" spans="1:9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</row>
    <row r="71" spans="1:9" x14ac:dyDescent="0.25">
      <c r="A71" s="191" t="s">
        <v>613</v>
      </c>
      <c r="B71" s="327">
        <v>0.1</v>
      </c>
      <c r="C71" s="494">
        <f>B71*B67</f>
        <v>5260</v>
      </c>
      <c r="D71" s="191"/>
      <c r="E71" s="191" t="s">
        <v>613</v>
      </c>
      <c r="F71" s="327">
        <v>0.1</v>
      </c>
      <c r="G71" s="494">
        <f>C71</f>
        <v>5260</v>
      </c>
      <c r="H71" s="191"/>
      <c r="I71" s="292"/>
    </row>
    <row r="72" spans="1: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</row>
    <row r="73" spans="1: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</row>
    <row r="74" spans="1:9" x14ac:dyDescent="0.25">
      <c r="A74" s="495" t="s">
        <v>886</v>
      </c>
      <c r="B74" s="191"/>
      <c r="C74" s="191">
        <v>15000</v>
      </c>
      <c r="D74" s="191"/>
      <c r="E74" s="495" t="s">
        <v>886</v>
      </c>
      <c r="F74" s="191"/>
      <c r="G74" s="191">
        <v>15000</v>
      </c>
      <c r="H74" s="191"/>
      <c r="I74" s="371"/>
    </row>
    <row r="75" spans="1:9" x14ac:dyDescent="0.25">
      <c r="A75" s="496" t="s">
        <v>887</v>
      </c>
      <c r="B75" s="327"/>
      <c r="C75" s="191">
        <v>10000</v>
      </c>
      <c r="D75" s="191"/>
      <c r="E75" s="496" t="s">
        <v>887</v>
      </c>
      <c r="F75" s="327"/>
      <c r="G75" s="191">
        <v>10000</v>
      </c>
      <c r="H75" s="191"/>
      <c r="I75" s="216"/>
    </row>
    <row r="76" spans="1:9" x14ac:dyDescent="0.25">
      <c r="A76" s="496" t="s">
        <v>888</v>
      </c>
      <c r="B76" s="327"/>
      <c r="C76" s="191">
        <v>540</v>
      </c>
      <c r="D76" s="191"/>
      <c r="E76" s="496" t="s">
        <v>888</v>
      </c>
      <c r="F76" s="327"/>
      <c r="G76" s="191">
        <v>540</v>
      </c>
      <c r="H76" s="191"/>
      <c r="I76" s="216"/>
    </row>
    <row r="77" spans="1:9" x14ac:dyDescent="0.25">
      <c r="A77" s="496" t="s">
        <v>629</v>
      </c>
      <c r="B77" s="495"/>
      <c r="C77" s="191">
        <v>8087</v>
      </c>
      <c r="D77" s="191"/>
      <c r="E77" s="496" t="s">
        <v>629</v>
      </c>
      <c r="F77" s="495"/>
      <c r="G77" s="191">
        <v>8087</v>
      </c>
      <c r="H77" s="191"/>
      <c r="I77" s="216"/>
    </row>
    <row r="78" spans="1:9" x14ac:dyDescent="0.25">
      <c r="A78" s="191" t="s">
        <v>652</v>
      </c>
      <c r="B78" s="494">
        <v>0.3</v>
      </c>
      <c r="C78" s="301">
        <f>B78*E55</f>
        <v>480</v>
      </c>
      <c r="D78" s="191"/>
      <c r="E78" s="191" t="s">
        <v>652</v>
      </c>
      <c r="F78" s="494">
        <v>0.3</v>
      </c>
      <c r="G78" s="301">
        <f>C78</f>
        <v>480</v>
      </c>
      <c r="H78" s="191"/>
      <c r="I78" s="216"/>
    </row>
    <row r="79" spans="1:9" x14ac:dyDescent="0.25">
      <c r="A79" s="493" t="s">
        <v>2</v>
      </c>
      <c r="B79" s="499">
        <f>B69+B67+B68-C71-C70</f>
        <v>12870.399999999994</v>
      </c>
      <c r="C79" s="499">
        <f>SUM(C73:C78)</f>
        <v>44107</v>
      </c>
      <c r="D79" s="499">
        <f>B79-C79</f>
        <v>-31236.600000000006</v>
      </c>
      <c r="E79" s="493" t="s">
        <v>2</v>
      </c>
      <c r="F79" s="499">
        <f>F67+F68+F69-G71-G70</f>
        <v>-35734.600000000006</v>
      </c>
      <c r="G79" s="499">
        <f>SUM(G73:G78)</f>
        <v>44107</v>
      </c>
      <c r="H79" s="499">
        <f>F79-G79</f>
        <v>-79841.600000000006</v>
      </c>
      <c r="I79" s="216"/>
    </row>
    <row r="80" spans="1:9" x14ac:dyDescent="0.25">
      <c r="A80" s="216"/>
      <c r="B80" s="216"/>
      <c r="C80" s="216"/>
      <c r="D80" s="216"/>
      <c r="E80" s="216"/>
      <c r="F80" s="216"/>
      <c r="G80" s="216"/>
      <c r="H80" s="216"/>
      <c r="I80" s="216"/>
    </row>
    <row r="81" spans="1:9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</row>
    <row r="82" spans="1:9" x14ac:dyDescent="0.25">
      <c r="A82" s="558"/>
      <c r="B82" s="559"/>
      <c r="C82" s="559"/>
      <c r="D82" s="560"/>
      <c r="E82" s="558"/>
      <c r="F82" s="558"/>
      <c r="G82" s="9"/>
      <c r="H82" s="216"/>
      <c r="I82" s="216"/>
    </row>
    <row r="83" spans="1:9" x14ac:dyDescent="0.25">
      <c r="A83" s="558" t="s">
        <v>782</v>
      </c>
      <c r="B83" s="559"/>
      <c r="C83" s="559" t="s">
        <v>78</v>
      </c>
      <c r="D83" s="560"/>
      <c r="E83" s="558">
        <f>C71+C70</f>
        <v>5260</v>
      </c>
      <c r="F83" s="558" t="s">
        <v>663</v>
      </c>
      <c r="G83" s="216"/>
      <c r="H83" s="216"/>
      <c r="I83" s="216"/>
    </row>
    <row r="84" spans="1:9" x14ac:dyDescent="0.25">
      <c r="A84" s="9"/>
      <c r="B84" s="9"/>
      <c r="C84" s="9"/>
      <c r="D84" s="9"/>
      <c r="E84" s="9"/>
      <c r="F84" s="9"/>
      <c r="G84" s="9"/>
      <c r="H84" s="216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43" workbookViewId="0">
      <selection activeCell="E57" sqref="E57"/>
    </sheetView>
  </sheetViews>
  <sheetFormatPr defaultRowHeight="15" x14ac:dyDescent="0.25"/>
  <cols>
    <col min="1" max="1" width="19" customWidth="1"/>
    <col min="9" max="9" width="10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9"/>
      <c r="K2" s="9"/>
    </row>
    <row r="3" spans="1:11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9"/>
      <c r="K3" s="9"/>
    </row>
    <row r="4" spans="1:11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889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'APRIL 20'!H38:H61</f>
        <v>14971</v>
      </c>
      <c r="E38" s="440">
        <v>4500</v>
      </c>
      <c r="F38" s="440">
        <f>C38+D38+E38</f>
        <v>19471</v>
      </c>
      <c r="G38" s="440">
        <v>19471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'APRIL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'APRIL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1000</v>
      </c>
      <c r="E41" s="543">
        <v>2000</v>
      </c>
      <c r="F41" s="440">
        <f>C41+D41+E41</f>
        <v>5000</v>
      </c>
      <c r="G41" s="440">
        <f>1500+500</f>
        <v>2000</v>
      </c>
      <c r="H41" s="544">
        <f t="shared" si="3"/>
        <v>3000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'APRIL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f>3450-1500</f>
        <v>1950</v>
      </c>
      <c r="E43" s="443">
        <v>2500</v>
      </c>
      <c r="F43" s="440">
        <f t="shared" si="2"/>
        <v>5950</v>
      </c>
      <c r="G43" s="440">
        <f>500+1000+1000+500</f>
        <v>3000</v>
      </c>
      <c r="H43" s="544">
        <f>F43-G43</f>
        <v>2950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768</v>
      </c>
      <c r="B45" s="541">
        <v>8</v>
      </c>
      <c r="C45" s="542"/>
      <c r="D45" s="543">
        <f>'APRIL 20'!H45:H68</f>
        <v>100</v>
      </c>
      <c r="E45" s="543">
        <v>2500</v>
      </c>
      <c r="F45" s="440">
        <f t="shared" si="2"/>
        <v>2600</v>
      </c>
      <c r="G45" s="440">
        <f>1500</f>
        <v>1500</v>
      </c>
      <c r="H45" s="544">
        <f>F45-G45</f>
        <v>1100</v>
      </c>
      <c r="I45" s="543"/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1900</v>
      </c>
      <c r="H46" s="544">
        <f t="shared" si="3"/>
        <v>3100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'APRIL 20'!H47:H70</f>
        <v>533</v>
      </c>
      <c r="E47" s="191">
        <v>2500</v>
      </c>
      <c r="F47" s="440">
        <f t="shared" si="2"/>
        <v>3033</v>
      </c>
      <c r="G47" s="440">
        <f>1500</f>
        <v>1500</v>
      </c>
      <c r="H47" s="544">
        <f>F47-G47</f>
        <v>1533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'APRIL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200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'APRIL 20'!H49:H72</f>
        <v>1300</v>
      </c>
      <c r="E49" s="603">
        <v>2700</v>
      </c>
      <c r="F49" s="440">
        <f>C49+D49+E49</f>
        <v>4000</v>
      </c>
      <c r="G49" s="440"/>
      <c r="H49" s="544">
        <f t="shared" si="3"/>
        <v>4000</v>
      </c>
      <c r="I49" s="543"/>
      <c r="J49" s="9"/>
      <c r="K49" s="9"/>
    </row>
    <row r="50" spans="1:11" x14ac:dyDescent="0.25">
      <c r="A50" s="388" t="s">
        <v>649</v>
      </c>
      <c r="B50" s="541">
        <v>13</v>
      </c>
      <c r="C50" s="542"/>
      <c r="D50" s="543">
        <f>'APRIL 20'!H50:H73</f>
        <v>2000</v>
      </c>
      <c r="E50" s="544">
        <v>4000</v>
      </c>
      <c r="F50" s="440">
        <f t="shared" si="2"/>
        <v>6000</v>
      </c>
      <c r="G50" s="440">
        <f>3000</f>
        <v>3000</v>
      </c>
      <c r="H50" s="544">
        <f t="shared" si="3"/>
        <v>3000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'APRIL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'APRIL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 t="s">
        <v>638</v>
      </c>
      <c r="B53" s="551">
        <v>16</v>
      </c>
      <c r="C53" s="542"/>
      <c r="D53" s="543">
        <f>'APRIL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</row>
    <row r="54" spans="1:11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f>1600</f>
        <v>1600</v>
      </c>
      <c r="H54" s="544">
        <f>F54-G54</f>
        <v>590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/>
      <c r="D56" s="543">
        <f>'APRIL 20'!H56:H79</f>
        <v>1600</v>
      </c>
      <c r="E56" s="556">
        <v>1600</v>
      </c>
      <c r="F56" s="440">
        <f t="shared" si="2"/>
        <v>3200</v>
      </c>
      <c r="G56" s="440">
        <f>1600+1000+600</f>
        <v>3200</v>
      </c>
      <c r="H56" s="544">
        <f>F56-G56</f>
        <v>0</v>
      </c>
      <c r="I56" s="543">
        <f>100+100</f>
        <v>200</v>
      </c>
      <c r="J56" s="9"/>
      <c r="K56" s="9"/>
    </row>
    <row r="57" spans="1:11" x14ac:dyDescent="0.25">
      <c r="A57" s="379" t="s">
        <v>839</v>
      </c>
      <c r="B57" s="553">
        <v>20</v>
      </c>
      <c r="C57" s="542">
        <v>1600</v>
      </c>
      <c r="D57" s="543">
        <f>100</f>
        <v>100</v>
      </c>
      <c r="E57" s="608">
        <v>1600</v>
      </c>
      <c r="F57" s="440">
        <f t="shared" si="2"/>
        <v>3300</v>
      </c>
      <c r="G57" s="440">
        <f>1000+700</f>
        <v>1700</v>
      </c>
      <c r="H57" s="544">
        <f t="shared" si="3"/>
        <v>1600</v>
      </c>
      <c r="I57" s="543"/>
      <c r="J57" s="9"/>
      <c r="K57" s="9"/>
    </row>
    <row r="58" spans="1:11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'APRIL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 t="s">
        <v>657</v>
      </c>
      <c r="B60" s="553">
        <v>23</v>
      </c>
      <c r="C60" s="542"/>
      <c r="D60" s="543">
        <f>'APRIL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>
        <v>100</v>
      </c>
      <c r="J60" s="9"/>
      <c r="K60" s="9"/>
    </row>
    <row r="61" spans="1:11" x14ac:dyDescent="0.25">
      <c r="A61" s="388"/>
      <c r="B61" s="541">
        <v>24</v>
      </c>
      <c r="C61" s="542"/>
      <c r="D61" s="543">
        <f>'APRIL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10780</v>
      </c>
      <c r="D62" s="543">
        <f>SUM(D38:D61)</f>
        <v>24454</v>
      </c>
      <c r="E62" s="588">
        <f>SUM(E38:E61)</f>
        <v>55100</v>
      </c>
      <c r="F62" s="440">
        <f>C62+D62+E62</f>
        <v>90334</v>
      </c>
      <c r="G62" s="440">
        <f>SUM(G38:G61)</f>
        <v>65971</v>
      </c>
      <c r="H62" s="544">
        <f>F62-G62</f>
        <v>24363</v>
      </c>
      <c r="I62" s="591">
        <f>SUM(I38:I61)</f>
        <v>1300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13583</v>
      </c>
      <c r="J64" s="9"/>
      <c r="K64" s="9"/>
    </row>
    <row r="65" spans="1:11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1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1" x14ac:dyDescent="0.25">
      <c r="A67" s="191" t="s">
        <v>725</v>
      </c>
      <c r="B67" s="494">
        <f>E62</f>
        <v>55100</v>
      </c>
      <c r="C67" s="191"/>
      <c r="D67" s="191"/>
      <c r="E67" s="191" t="s">
        <v>725</v>
      </c>
      <c r="F67" s="494">
        <f>G62</f>
        <v>65971</v>
      </c>
      <c r="G67" s="191"/>
      <c r="H67" s="191"/>
      <c r="I67" s="292"/>
      <c r="J67" s="9"/>
      <c r="K67" s="9"/>
    </row>
    <row r="68" spans="1:11" x14ac:dyDescent="0.25">
      <c r="A68" s="191" t="s">
        <v>347</v>
      </c>
      <c r="B68" s="494">
        <f>'APRIL 20'!D79</f>
        <v>-31236.600000000006</v>
      </c>
      <c r="C68" s="191"/>
      <c r="D68" s="191"/>
      <c r="E68" s="191" t="s">
        <v>347</v>
      </c>
      <c r="F68" s="494">
        <f>'APRIL 20'!H79</f>
        <v>-79841.600000000006</v>
      </c>
      <c r="G68" s="191"/>
      <c r="H68" s="191"/>
      <c r="I68" s="292"/>
      <c r="J68" s="9"/>
      <c r="K68" s="9"/>
    </row>
    <row r="69" spans="1:11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</row>
    <row r="70" spans="1:11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B71*B67</f>
        <v>5510</v>
      </c>
      <c r="D71" s="191"/>
      <c r="E71" s="191" t="s">
        <v>613</v>
      </c>
      <c r="F71" s="327">
        <v>0.1</v>
      </c>
      <c r="G71" s="494">
        <f>C71</f>
        <v>5510</v>
      </c>
      <c r="H71" s="191"/>
      <c r="I71" s="292"/>
      <c r="J71" s="9"/>
      <c r="K71" s="147"/>
    </row>
    <row r="72" spans="1:11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49590</v>
      </c>
      <c r="K72" s="147"/>
    </row>
    <row r="73" spans="1:11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J72-25000</f>
        <v>24590</v>
      </c>
      <c r="K73" s="9"/>
    </row>
    <row r="74" spans="1:11" x14ac:dyDescent="0.25">
      <c r="A74" s="495" t="s">
        <v>890</v>
      </c>
      <c r="B74" s="191"/>
      <c r="C74" s="191">
        <v>10000</v>
      </c>
      <c r="D74" s="191"/>
      <c r="E74" s="495" t="s">
        <v>890</v>
      </c>
      <c r="F74" s="191"/>
      <c r="G74" s="191">
        <v>10000</v>
      </c>
      <c r="H74" s="191"/>
      <c r="I74" s="371"/>
      <c r="J74" s="147">
        <f>J73-10000</f>
        <v>14590</v>
      </c>
      <c r="K74" s="9"/>
    </row>
    <row r="75" spans="1:11" x14ac:dyDescent="0.25">
      <c r="A75" s="496" t="s">
        <v>891</v>
      </c>
      <c r="B75" s="327"/>
      <c r="C75" s="191">
        <v>15000</v>
      </c>
      <c r="D75" s="191"/>
      <c r="E75" s="496" t="s">
        <v>891</v>
      </c>
      <c r="F75" s="327"/>
      <c r="G75" s="191">
        <v>15000</v>
      </c>
      <c r="H75" s="191"/>
      <c r="I75" s="602"/>
      <c r="J75" s="9"/>
      <c r="K75" s="9"/>
    </row>
    <row r="76" spans="1:11" x14ac:dyDescent="0.25">
      <c r="A76" s="496" t="s">
        <v>893</v>
      </c>
      <c r="B76" s="327"/>
      <c r="C76" s="191">
        <v>200</v>
      </c>
      <c r="D76" s="191"/>
      <c r="E76" s="496" t="s">
        <v>893</v>
      </c>
      <c r="F76" s="327"/>
      <c r="G76" s="191">
        <v>200</v>
      </c>
      <c r="H76" s="191"/>
      <c r="I76" s="216"/>
      <c r="J76" s="9"/>
      <c r="K76" s="9"/>
    </row>
    <row r="77" spans="1:11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9"/>
      <c r="K77" s="9"/>
    </row>
    <row r="78" spans="1:11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</row>
    <row r="79" spans="1:11" x14ac:dyDescent="0.25">
      <c r="A79" s="493" t="s">
        <v>2</v>
      </c>
      <c r="B79" s="499">
        <f>B69+B67+B68-C71-C70</f>
        <v>18353.399999999994</v>
      </c>
      <c r="C79" s="499">
        <f>SUM(C73:C78)</f>
        <v>35200</v>
      </c>
      <c r="D79" s="499">
        <f>B79-C79</f>
        <v>-16846.600000000006</v>
      </c>
      <c r="E79" s="493" t="s">
        <v>2</v>
      </c>
      <c r="F79" s="499">
        <f>F67+F68+F69-G71-G70</f>
        <v>-19380.600000000006</v>
      </c>
      <c r="G79" s="499">
        <f>SUM(G73:G78)</f>
        <v>35200</v>
      </c>
      <c r="H79" s="499">
        <f>F79-G79</f>
        <v>-54580.600000000006</v>
      </c>
      <c r="I79" s="216"/>
      <c r="J79" s="9"/>
      <c r="K79" s="9"/>
    </row>
    <row r="80" spans="1:11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</row>
    <row r="81" spans="1:11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</row>
    <row r="82" spans="1:11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</row>
    <row r="83" spans="1:11" x14ac:dyDescent="0.25">
      <c r="A83" s="558" t="s">
        <v>782</v>
      </c>
      <c r="B83" s="559"/>
      <c r="C83" s="559" t="s">
        <v>78</v>
      </c>
      <c r="D83" s="560"/>
      <c r="E83" s="558">
        <f>C71+C70</f>
        <v>5510</v>
      </c>
      <c r="F83" s="558" t="s">
        <v>663</v>
      </c>
      <c r="G83" s="216"/>
      <c r="H83" s="216"/>
      <c r="I83" s="216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43" workbookViewId="0">
      <selection activeCell="E54" sqref="E54"/>
    </sheetView>
  </sheetViews>
  <sheetFormatPr defaultRowHeight="15" x14ac:dyDescent="0.25"/>
  <cols>
    <col min="1" max="1" width="19.1406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D4" s="518" t="s">
        <v>892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892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'MAY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'MAY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  <c r="L39" s="9"/>
    </row>
    <row r="40" spans="1:12" x14ac:dyDescent="0.25">
      <c r="A40" s="604" t="s">
        <v>638</v>
      </c>
      <c r="B40" s="541">
        <v>3</v>
      </c>
      <c r="C40" s="542"/>
      <c r="D40" s="543">
        <f>'MAY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  <c r="K40" s="9"/>
      <c r="L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f>1000</f>
        <v>1000</v>
      </c>
      <c r="E41" s="543">
        <v>2000</v>
      </c>
      <c r="F41" s="440">
        <f>C41+D41+E41</f>
        <v>5000</v>
      </c>
      <c r="G41" s="440">
        <f>1000+500</f>
        <v>1500</v>
      </c>
      <c r="H41" s="544">
        <f t="shared" si="3"/>
        <v>3500</v>
      </c>
      <c r="I41" s="543"/>
      <c r="J41" s="9"/>
      <c r="K41" s="9"/>
      <c r="L41" s="9"/>
    </row>
    <row r="42" spans="1:12" x14ac:dyDescent="0.25">
      <c r="A42" s="388" t="s">
        <v>767</v>
      </c>
      <c r="B42" s="541">
        <v>5</v>
      </c>
      <c r="C42" s="542"/>
      <c r="D42" s="543">
        <f>'MAY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  <c r="L42" s="9"/>
    </row>
    <row r="43" spans="1:12" x14ac:dyDescent="0.25">
      <c r="A43" s="604" t="s">
        <v>759</v>
      </c>
      <c r="B43" s="541">
        <v>6</v>
      </c>
      <c r="C43" s="542">
        <v>1500</v>
      </c>
      <c r="D43" s="543">
        <f>1450</f>
        <v>1450</v>
      </c>
      <c r="E43" s="443">
        <v>2500</v>
      </c>
      <c r="F43" s="440">
        <f t="shared" si="2"/>
        <v>5450</v>
      </c>
      <c r="G43" s="440">
        <f>500+1500+1000</f>
        <v>3000</v>
      </c>
      <c r="H43" s="544">
        <f t="shared" si="3"/>
        <v>2450</v>
      </c>
      <c r="I43" s="543"/>
      <c r="J43" s="9"/>
      <c r="K43" s="9"/>
      <c r="L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1000+1500</f>
        <v>2500</v>
      </c>
      <c r="H44" s="544">
        <f t="shared" si="3"/>
        <v>1000</v>
      </c>
      <c r="I44" s="543">
        <v>100</v>
      </c>
      <c r="J44" s="9"/>
      <c r="K44" s="9"/>
      <c r="L44" s="9"/>
    </row>
    <row r="45" spans="1:12" x14ac:dyDescent="0.25">
      <c r="A45" s="605" t="s">
        <v>768</v>
      </c>
      <c r="B45" s="541">
        <v>8</v>
      </c>
      <c r="C45" s="542"/>
      <c r="D45" s="543">
        <f>'MAY 20'!H45:H68</f>
        <v>1100</v>
      </c>
      <c r="E45" s="543">
        <v>2500</v>
      </c>
      <c r="F45" s="440">
        <f t="shared" si="2"/>
        <v>3600</v>
      </c>
      <c r="G45" s="440">
        <f>2500+1100</f>
        <v>3600</v>
      </c>
      <c r="H45" s="544">
        <f>F45-G45</f>
        <v>0</v>
      </c>
      <c r="I45" s="543"/>
      <c r="J45" s="9"/>
      <c r="K45" s="9"/>
      <c r="L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600</v>
      </c>
      <c r="E46" s="443">
        <v>2500</v>
      </c>
      <c r="F46" s="440">
        <f>C46+D46+E46</f>
        <v>5600</v>
      </c>
      <c r="G46" s="440"/>
      <c r="H46" s="544">
        <f t="shared" si="3"/>
        <v>5600</v>
      </c>
      <c r="I46" s="543"/>
      <c r="J46" s="9"/>
      <c r="K46" s="9">
        <v>3450</v>
      </c>
      <c r="L46" s="9"/>
    </row>
    <row r="47" spans="1:12" x14ac:dyDescent="0.25">
      <c r="A47" s="382" t="s">
        <v>827</v>
      </c>
      <c r="B47" s="601">
        <v>10</v>
      </c>
      <c r="C47" s="542"/>
      <c r="D47" s="543">
        <f>'MAY 20'!H47:H70</f>
        <v>1533</v>
      </c>
      <c r="E47" s="191">
        <v>2500</v>
      </c>
      <c r="F47" s="440">
        <f t="shared" si="2"/>
        <v>4033</v>
      </c>
      <c r="G47" s="440">
        <v>2600</v>
      </c>
      <c r="H47" s="544">
        <f>F47-G47</f>
        <v>1433</v>
      </c>
      <c r="I47" s="543">
        <v>100</v>
      </c>
      <c r="J47" s="9"/>
      <c r="K47" s="9">
        <f>K46-1500</f>
        <v>1950</v>
      </c>
      <c r="L47" s="9"/>
    </row>
    <row r="48" spans="1:12" x14ac:dyDescent="0.25">
      <c r="A48" s="44" t="s">
        <v>757</v>
      </c>
      <c r="B48" s="541">
        <v>11</v>
      </c>
      <c r="C48" s="542"/>
      <c r="D48" s="543">
        <f>'MAY 20'!H48:H71</f>
        <v>0</v>
      </c>
      <c r="E48" s="443">
        <v>2500</v>
      </c>
      <c r="F48" s="440">
        <f t="shared" si="2"/>
        <v>2500</v>
      </c>
      <c r="G48" s="440">
        <f>1000</f>
        <v>1000</v>
      </c>
      <c r="H48" s="544">
        <f t="shared" si="3"/>
        <v>1500</v>
      </c>
      <c r="I48" s="543"/>
      <c r="J48" s="9"/>
      <c r="K48" s="9">
        <f>K47-500</f>
        <v>1450</v>
      </c>
      <c r="L48" s="9"/>
    </row>
    <row r="49" spans="1:12" x14ac:dyDescent="0.25">
      <c r="A49" s="604" t="s">
        <v>757</v>
      </c>
      <c r="B49" s="541">
        <v>12</v>
      </c>
      <c r="C49" s="542"/>
      <c r="D49" s="543">
        <f>'MAY 20'!H49:H72</f>
        <v>4000</v>
      </c>
      <c r="E49" s="603">
        <v>2700</v>
      </c>
      <c r="F49" s="440">
        <f>C49+D49+E49</f>
        <v>6700</v>
      </c>
      <c r="G49" s="440">
        <f>1400+5300</f>
        <v>6700</v>
      </c>
      <c r="H49" s="544">
        <f t="shared" si="3"/>
        <v>0</v>
      </c>
      <c r="I49" s="543"/>
      <c r="J49" s="9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'MAY 20'!H50:H73</f>
        <v>3000</v>
      </c>
      <c r="E50" s="544">
        <v>4000</v>
      </c>
      <c r="F50" s="440">
        <f t="shared" si="2"/>
        <v>7000</v>
      </c>
      <c r="G50" s="440">
        <f>4000+2000+1000</f>
        <v>7000</v>
      </c>
      <c r="H50" s="544">
        <f t="shared" si="3"/>
        <v>0</v>
      </c>
      <c r="I50" s="543"/>
      <c r="J50" s="9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'MAY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'MAY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'MAY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  <c r="L53" s="9"/>
    </row>
    <row r="54" spans="1:12" x14ac:dyDescent="0.25">
      <c r="A54" s="388"/>
      <c r="B54" s="541">
        <v>17</v>
      </c>
      <c r="C54" s="542"/>
      <c r="D54" s="543"/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  <c r="L54" s="9"/>
    </row>
    <row r="55" spans="1:12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'MAY 20'!H56:H79</f>
        <v>0</v>
      </c>
      <c r="E56" s="556">
        <v>1600</v>
      </c>
      <c r="F56" s="440">
        <f t="shared" si="2"/>
        <v>1600</v>
      </c>
      <c r="G56" s="440">
        <v>1600</v>
      </c>
      <c r="H56" s="544">
        <f>F56-G56</f>
        <v>0</v>
      </c>
      <c r="I56" s="543">
        <v>100</v>
      </c>
      <c r="J56" s="9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f>50</f>
        <v>50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'MAY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'MAY 20'!H60:H83</f>
        <v>0</v>
      </c>
      <c r="E60" s="608">
        <v>2000</v>
      </c>
      <c r="F60" s="440">
        <f t="shared" si="2"/>
        <v>2000</v>
      </c>
      <c r="G60" s="440">
        <f>1300+700</f>
        <v>2000</v>
      </c>
      <c r="H60" s="544">
        <f>F60-G60</f>
        <v>0</v>
      </c>
      <c r="I60" s="543">
        <v>200</v>
      </c>
      <c r="J60" s="9"/>
      <c r="K60" s="9"/>
      <c r="L60" s="9"/>
    </row>
    <row r="61" spans="1:12" x14ac:dyDescent="0.25">
      <c r="A61" s="388"/>
      <c r="B61" s="541">
        <v>24</v>
      </c>
      <c r="C61" s="542"/>
      <c r="D61" s="543">
        <f>'MAY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  <c r="L61" s="9"/>
    </row>
    <row r="62" spans="1:12" x14ac:dyDescent="0.25">
      <c r="A62" s="598" t="s">
        <v>708</v>
      </c>
      <c r="B62" s="191"/>
      <c r="C62" s="542">
        <f>SUM(C38:C61)</f>
        <v>10190</v>
      </c>
      <c r="D62" s="543">
        <f>SUM(D38:D61)</f>
        <v>13583</v>
      </c>
      <c r="E62" s="588">
        <f>SUM(E38:E61)</f>
        <v>53500</v>
      </c>
      <c r="F62" s="440">
        <f>C62+D62+E62</f>
        <v>77273</v>
      </c>
      <c r="G62" s="440">
        <f>SUM(G38:G61)</f>
        <v>57700</v>
      </c>
      <c r="H62" s="544">
        <f>F62-G62</f>
        <v>19573</v>
      </c>
      <c r="I62" s="591">
        <f>SUM(I38:I61)</f>
        <v>1050</v>
      </c>
      <c r="J62" s="9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9383</v>
      </c>
      <c r="J64" s="9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  <c r="L66" s="9"/>
    </row>
    <row r="67" spans="1:12" x14ac:dyDescent="0.25">
      <c r="A67" s="191" t="s">
        <v>728</v>
      </c>
      <c r="B67" s="494">
        <f>E62</f>
        <v>53500</v>
      </c>
      <c r="C67" s="191"/>
      <c r="D67" s="191"/>
      <c r="E67" s="191" t="s">
        <v>728</v>
      </c>
      <c r="F67" s="494">
        <f>G62</f>
        <v>57700</v>
      </c>
      <c r="G67" s="191"/>
      <c r="H67" s="191"/>
      <c r="I67" s="292"/>
      <c r="J67" s="9"/>
      <c r="K67" s="9"/>
      <c r="L67" s="9"/>
    </row>
    <row r="68" spans="1:12" x14ac:dyDescent="0.25">
      <c r="A68" s="191" t="s">
        <v>347</v>
      </c>
      <c r="B68" s="494">
        <f>'MAY 20'!D79</f>
        <v>-16846.600000000006</v>
      </c>
      <c r="C68" s="191"/>
      <c r="D68" s="191"/>
      <c r="E68" s="191" t="s">
        <v>347</v>
      </c>
      <c r="F68" s="494">
        <f>'MAY 20'!H79</f>
        <v>-54580.600000000006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  <c r="L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B71*B67</f>
        <v>5350</v>
      </c>
      <c r="D71" s="191"/>
      <c r="E71" s="191" t="s">
        <v>613</v>
      </c>
      <c r="F71" s="327">
        <v>0.1</v>
      </c>
      <c r="G71" s="494">
        <f>C71</f>
        <v>5350</v>
      </c>
      <c r="H71" s="191"/>
      <c r="I71" s="292"/>
      <c r="J71" s="9"/>
      <c r="K71" s="147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9"/>
      <c r="L73" s="9"/>
    </row>
    <row r="74" spans="1:12" x14ac:dyDescent="0.25">
      <c r="A74" s="607" t="s">
        <v>894</v>
      </c>
      <c r="B74" s="495"/>
      <c r="C74" s="191">
        <v>15000</v>
      </c>
      <c r="D74" s="191"/>
      <c r="E74" s="607" t="s">
        <v>894</v>
      </c>
      <c r="F74" s="495"/>
      <c r="G74" s="191">
        <v>15000</v>
      </c>
      <c r="H74" s="191"/>
      <c r="I74" s="371"/>
      <c r="J74" s="9"/>
      <c r="K74" s="9"/>
      <c r="L74" s="9"/>
    </row>
    <row r="75" spans="1:12" x14ac:dyDescent="0.25">
      <c r="A75" s="496" t="s">
        <v>895</v>
      </c>
      <c r="B75" s="327"/>
      <c r="C75" s="191">
        <v>10000</v>
      </c>
      <c r="D75" s="191"/>
      <c r="E75" s="496" t="s">
        <v>895</v>
      </c>
      <c r="F75" s="327"/>
      <c r="G75" s="191">
        <v>10000</v>
      </c>
      <c r="H75" s="191"/>
      <c r="I75" s="602"/>
      <c r="J75" s="9"/>
      <c r="K75" s="9"/>
      <c r="L75" s="9"/>
    </row>
    <row r="76" spans="1:12" x14ac:dyDescent="0.25">
      <c r="A76" s="496" t="s">
        <v>823</v>
      </c>
      <c r="B76" s="327"/>
      <c r="C76" s="191">
        <v>1500</v>
      </c>
      <c r="D76" s="191"/>
      <c r="E76" s="496" t="s">
        <v>823</v>
      </c>
      <c r="F76" s="327"/>
      <c r="G76" s="191">
        <f>1000+500</f>
        <v>1500</v>
      </c>
      <c r="H76" s="191"/>
      <c r="I76" s="216"/>
      <c r="J76" s="9"/>
      <c r="K76" s="9"/>
      <c r="L76" s="9"/>
    </row>
    <row r="77" spans="1:12" x14ac:dyDescent="0.25">
      <c r="A77" s="496" t="s">
        <v>897</v>
      </c>
      <c r="B77" s="495"/>
      <c r="C77" s="191">
        <v>1000</v>
      </c>
      <c r="D77" s="191"/>
      <c r="E77" s="496" t="s">
        <v>897</v>
      </c>
      <c r="F77" s="495"/>
      <c r="G77" s="191">
        <v>1000</v>
      </c>
      <c r="H77" s="191"/>
      <c r="I77" s="216"/>
      <c r="J77" s="9"/>
      <c r="K77" s="9"/>
      <c r="L77" s="9"/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  <c r="L78" s="9"/>
    </row>
    <row r="79" spans="1:12" x14ac:dyDescent="0.25">
      <c r="A79" s="493" t="s">
        <v>2</v>
      </c>
      <c r="B79" s="499">
        <f>B69+B67+B68-C71-C70</f>
        <v>31303.399999999994</v>
      </c>
      <c r="C79" s="499">
        <f>SUM(C73:C78)</f>
        <v>37500</v>
      </c>
      <c r="D79" s="499">
        <f>B79-C79</f>
        <v>-6196.6000000000058</v>
      </c>
      <c r="E79" s="493" t="s">
        <v>2</v>
      </c>
      <c r="F79" s="499">
        <f>F67+F68+F69-G71-G70</f>
        <v>-2230.6000000000058</v>
      </c>
      <c r="G79" s="499">
        <f>SUM(G73:G78)</f>
        <v>37500</v>
      </c>
      <c r="H79" s="499">
        <f>F79-G79</f>
        <v>-39730.600000000006</v>
      </c>
      <c r="I79" s="216"/>
      <c r="J79" s="9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5350</v>
      </c>
      <c r="F83" s="558" t="s">
        <v>663</v>
      </c>
      <c r="G83" s="216"/>
      <c r="H83" s="216"/>
      <c r="I83" s="216"/>
      <c r="J83" s="9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  <c r="L84" s="9"/>
    </row>
    <row r="85" spans="1:1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25">
      <c r="B86" s="147">
        <f>B67+B68</f>
        <v>36653.399999999994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51" workbookViewId="0">
      <selection activeCell="I66" sqref="I66"/>
    </sheetView>
  </sheetViews>
  <sheetFormatPr defaultRowHeight="15" x14ac:dyDescent="0.25"/>
  <cols>
    <col min="1" max="1" width="20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892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2" ht="18.75" x14ac:dyDescent="0.3">
      <c r="A36" s="536"/>
      <c r="B36" s="537" t="s">
        <v>896</v>
      </c>
      <c r="C36" s="537"/>
      <c r="D36" s="537"/>
      <c r="E36" s="537"/>
      <c r="F36" s="540"/>
      <c r="G36" s="520"/>
      <c r="H36" s="216"/>
      <c r="I36" s="216"/>
      <c r="J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2" x14ac:dyDescent="0.25">
      <c r="A38" s="388" t="s">
        <v>765</v>
      </c>
      <c r="B38" s="541">
        <v>1</v>
      </c>
      <c r="C38" s="542"/>
      <c r="D38" s="543">
        <f>'JUNE 20'!H38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</row>
    <row r="39" spans="1:12" x14ac:dyDescent="0.25">
      <c r="A39" s="604" t="s">
        <v>880</v>
      </c>
      <c r="B39" s="541">
        <v>2</v>
      </c>
      <c r="C39" s="542"/>
      <c r="D39" s="543">
        <f>'JUNE 20'!H39</f>
        <v>0</v>
      </c>
      <c r="E39" s="443">
        <v>2500</v>
      </c>
      <c r="F39" s="440">
        <f t="shared" ref="F39:F60" si="2">C39+D39+E39</f>
        <v>2500</v>
      </c>
      <c r="G39" s="440">
        <f>2500</f>
        <v>2500</v>
      </c>
      <c r="H39" s="544">
        <f>F39-G39</f>
        <v>0</v>
      </c>
      <c r="I39" s="543"/>
      <c r="J39" s="9"/>
    </row>
    <row r="40" spans="1:12" x14ac:dyDescent="0.25">
      <c r="A40" s="604" t="s">
        <v>638</v>
      </c>
      <c r="B40" s="541">
        <v>3</v>
      </c>
      <c r="C40" s="542"/>
      <c r="D40" s="543">
        <f>'JUNE 20'!H40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2000</f>
        <v>2000</v>
      </c>
      <c r="H41" s="544">
        <f t="shared" si="3"/>
        <v>3500</v>
      </c>
      <c r="I41" s="543"/>
      <c r="J41" s="9"/>
    </row>
    <row r="42" spans="1:12" x14ac:dyDescent="0.25">
      <c r="A42" s="388" t="s">
        <v>767</v>
      </c>
      <c r="B42" s="541">
        <v>5</v>
      </c>
      <c r="C42" s="542"/>
      <c r="D42" s="543">
        <f>'JUNE 20'!H42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>
        <f>5600-2500</f>
        <v>3100</v>
      </c>
    </row>
    <row r="43" spans="1:12" x14ac:dyDescent="0.25">
      <c r="A43" s="604" t="s">
        <v>759</v>
      </c>
      <c r="B43" s="541">
        <v>6</v>
      </c>
      <c r="C43" s="542">
        <v>1500</v>
      </c>
      <c r="D43" s="543">
        <v>950</v>
      </c>
      <c r="E43" s="443">
        <v>2500</v>
      </c>
      <c r="F43" s="440">
        <f t="shared" si="2"/>
        <v>4950</v>
      </c>
      <c r="G43" s="440">
        <v>2000</v>
      </c>
      <c r="H43" s="544">
        <f t="shared" si="3"/>
        <v>2950</v>
      </c>
      <c r="I43" s="543"/>
      <c r="J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</f>
        <v>1000</v>
      </c>
      <c r="H44" s="544">
        <f t="shared" si="3"/>
        <v>2500</v>
      </c>
      <c r="I44" s="543">
        <v>100</v>
      </c>
      <c r="J44" s="9"/>
    </row>
    <row r="45" spans="1:12" x14ac:dyDescent="0.25">
      <c r="A45" s="605" t="s">
        <v>855</v>
      </c>
      <c r="B45" s="541">
        <v>8</v>
      </c>
      <c r="C45" s="542">
        <v>1500</v>
      </c>
      <c r="D45" s="543">
        <f>'JUNE 20'!H45</f>
        <v>0</v>
      </c>
      <c r="E45" s="543">
        <v>2500</v>
      </c>
      <c r="F45" s="440">
        <f t="shared" si="2"/>
        <v>4000</v>
      </c>
      <c r="G45" s="440">
        <v>2500</v>
      </c>
      <c r="H45" s="544">
        <f>F45-G45</f>
        <v>1500</v>
      </c>
      <c r="I45" s="543">
        <v>100</v>
      </c>
      <c r="J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3100</v>
      </c>
      <c r="E46" s="443">
        <v>2500</v>
      </c>
      <c r="F46" s="440">
        <f>C46+D46+E46</f>
        <v>8100</v>
      </c>
      <c r="G46" s="440">
        <f>4000</f>
        <v>4000</v>
      </c>
      <c r="H46" s="544">
        <f t="shared" si="3"/>
        <v>4100</v>
      </c>
      <c r="I46" s="543"/>
      <c r="J46" s="9"/>
      <c r="L46">
        <f>2450-1500</f>
        <v>950</v>
      </c>
    </row>
    <row r="47" spans="1:12" x14ac:dyDescent="0.25">
      <c r="A47" s="382" t="s">
        <v>827</v>
      </c>
      <c r="B47" s="601">
        <v>10</v>
      </c>
      <c r="C47" s="542"/>
      <c r="D47" s="543">
        <f>'JUNE 20'!H47</f>
        <v>1433</v>
      </c>
      <c r="E47" s="191">
        <v>2500</v>
      </c>
      <c r="F47" s="440">
        <f t="shared" si="2"/>
        <v>3933</v>
      </c>
      <c r="G47" s="440">
        <f>2500</f>
        <v>2500</v>
      </c>
      <c r="H47" s="544">
        <f>F47-G47</f>
        <v>1433</v>
      </c>
      <c r="I47" s="543"/>
      <c r="J47" s="9"/>
    </row>
    <row r="48" spans="1:12" x14ac:dyDescent="0.25">
      <c r="A48" s="44" t="s">
        <v>757</v>
      </c>
      <c r="B48" s="541">
        <v>11</v>
      </c>
      <c r="C48" s="542"/>
      <c r="D48" s="543">
        <f>'JUNE 20'!H48</f>
        <v>1500</v>
      </c>
      <c r="E48" s="443">
        <v>2500</v>
      </c>
      <c r="F48" s="440">
        <f t="shared" si="2"/>
        <v>4000</v>
      </c>
      <c r="G48" s="440">
        <v>4000</v>
      </c>
      <c r="H48" s="544">
        <f t="shared" si="3"/>
        <v>0</v>
      </c>
      <c r="I48" s="543"/>
      <c r="J48" s="9"/>
      <c r="K48">
        <f>5600-C46</f>
        <v>3100</v>
      </c>
    </row>
    <row r="49" spans="1:10" x14ac:dyDescent="0.25">
      <c r="A49" s="604" t="s">
        <v>757</v>
      </c>
      <c r="B49" s="541">
        <v>12</v>
      </c>
      <c r="C49" s="542"/>
      <c r="D49" s="543">
        <f>'JUNE 20'!H49</f>
        <v>0</v>
      </c>
      <c r="E49" s="603">
        <v>2700</v>
      </c>
      <c r="F49" s="440">
        <f>C49+D49+E49</f>
        <v>2700</v>
      </c>
      <c r="G49" s="440">
        <f>1000</f>
        <v>1000</v>
      </c>
      <c r="H49" s="544">
        <f t="shared" si="3"/>
        <v>1700</v>
      </c>
      <c r="I49" s="543"/>
      <c r="J49" s="9"/>
    </row>
    <row r="50" spans="1:10" x14ac:dyDescent="0.25">
      <c r="A50" s="388" t="s">
        <v>521</v>
      </c>
      <c r="B50" s="541">
        <v>13</v>
      </c>
      <c r="C50" s="542"/>
      <c r="D50" s="543">
        <f>'JUNE 20'!H50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</row>
    <row r="51" spans="1:10" x14ac:dyDescent="0.25">
      <c r="A51" s="113" t="s">
        <v>800</v>
      </c>
      <c r="B51" s="541">
        <v>14</v>
      </c>
      <c r="C51" s="542"/>
      <c r="D51" s="543">
        <f>'JUNE 20'!H51</f>
        <v>0</v>
      </c>
      <c r="E51" s="549">
        <v>0</v>
      </c>
      <c r="F51" s="440">
        <v>0</v>
      </c>
      <c r="G51" s="440"/>
      <c r="H51" s="544"/>
      <c r="I51" s="543"/>
      <c r="J51" s="9"/>
    </row>
    <row r="52" spans="1:10" x14ac:dyDescent="0.25">
      <c r="A52" s="604" t="s">
        <v>703</v>
      </c>
      <c r="B52" s="541">
        <v>15</v>
      </c>
      <c r="C52" s="542"/>
      <c r="D52" s="543">
        <f>'JUNE 20'!H52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</row>
    <row r="53" spans="1:10" x14ac:dyDescent="0.25">
      <c r="A53" s="388" t="s">
        <v>638</v>
      </c>
      <c r="B53" s="551">
        <v>16</v>
      </c>
      <c r="C53" s="542"/>
      <c r="D53" s="543">
        <f>'JUNE 20'!H53</f>
        <v>100</v>
      </c>
      <c r="E53" s="552">
        <v>2500</v>
      </c>
      <c r="F53" s="440">
        <f t="shared" si="2"/>
        <v>2600</v>
      </c>
      <c r="G53" s="440">
        <v>2600</v>
      </c>
      <c r="H53" s="544">
        <f t="shared" si="3"/>
        <v>0</v>
      </c>
      <c r="I53" s="543"/>
      <c r="J53" s="9"/>
    </row>
    <row r="54" spans="1:10" x14ac:dyDescent="0.25">
      <c r="A54" s="388"/>
      <c r="B54" s="541">
        <v>17</v>
      </c>
      <c r="C54" s="542"/>
      <c r="D54" s="543">
        <f>'JUNE 20'!H54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</row>
    <row r="55" spans="1:10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</row>
    <row r="56" spans="1:10" x14ac:dyDescent="0.25">
      <c r="A56" s="388" t="s">
        <v>670</v>
      </c>
      <c r="B56" s="553">
        <v>19</v>
      </c>
      <c r="C56" s="542">
        <v>1600</v>
      </c>
      <c r="D56" s="543">
        <f>'JUNE 20'!H56</f>
        <v>0</v>
      </c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</row>
    <row r="57" spans="1:10" x14ac:dyDescent="0.25">
      <c r="A57" s="379"/>
      <c r="B57" s="553">
        <v>20</v>
      </c>
      <c r="C57" s="542"/>
      <c r="D57" s="543"/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</row>
    <row r="58" spans="1:10" x14ac:dyDescent="0.25">
      <c r="A58" s="384"/>
      <c r="B58" s="553">
        <v>21</v>
      </c>
      <c r="C58" s="542"/>
      <c r="D58" s="543"/>
      <c r="E58" s="608"/>
      <c r="F58" s="440">
        <f t="shared" si="2"/>
        <v>0</v>
      </c>
      <c r="G58" s="440"/>
      <c r="H58" s="544">
        <f>F58-G58</f>
        <v>0</v>
      </c>
      <c r="I58" s="543"/>
      <c r="J58" s="9"/>
    </row>
    <row r="59" spans="1:10" x14ac:dyDescent="0.25">
      <c r="A59" s="388" t="s">
        <v>701</v>
      </c>
      <c r="B59" s="553">
        <v>22</v>
      </c>
      <c r="C59" s="542"/>
      <c r="D59" s="543">
        <f>'JUNE 20'!H59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</row>
    <row r="60" spans="1:10" x14ac:dyDescent="0.25">
      <c r="A60" s="388" t="s">
        <v>657</v>
      </c>
      <c r="B60" s="553">
        <v>23</v>
      </c>
      <c r="C60" s="542"/>
      <c r="D60" s="543">
        <f>'JUNE 20'!H60</f>
        <v>0</v>
      </c>
      <c r="E60" s="608">
        <v>2000</v>
      </c>
      <c r="F60" s="440">
        <f t="shared" si="2"/>
        <v>2000</v>
      </c>
      <c r="G60" s="440">
        <v>2000</v>
      </c>
      <c r="H60" s="544">
        <f>F60-G60</f>
        <v>0</v>
      </c>
      <c r="I60" s="543">
        <v>100</v>
      </c>
      <c r="J60" s="9"/>
    </row>
    <row r="61" spans="1:10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</row>
    <row r="62" spans="1:10" x14ac:dyDescent="0.25">
      <c r="A62" s="598" t="s">
        <v>708</v>
      </c>
      <c r="B62" s="191"/>
      <c r="C62" s="542">
        <f>SUM(C38:C61)</f>
        <v>10690</v>
      </c>
      <c r="D62" s="543">
        <f>SUM(D38:D61)</f>
        <v>9383</v>
      </c>
      <c r="E62" s="588">
        <f>SUM(E38:E61)</f>
        <v>45900</v>
      </c>
      <c r="F62" s="440">
        <f>C62+D62+E62</f>
        <v>65973</v>
      </c>
      <c r="G62" s="440">
        <f>SUM(G38:G61)</f>
        <v>45300</v>
      </c>
      <c r="H62" s="544">
        <f>F62-G62</f>
        <v>20673</v>
      </c>
      <c r="I62" s="591">
        <f>SUM(I38:I61)</f>
        <v>800</v>
      </c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9983</v>
      </c>
      <c r="J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</row>
    <row r="67" spans="1:12" x14ac:dyDescent="0.25">
      <c r="A67" s="191" t="s">
        <v>740</v>
      </c>
      <c r="B67" s="494">
        <f>E62</f>
        <v>45900</v>
      </c>
      <c r="C67" s="191"/>
      <c r="D67" s="191"/>
      <c r="E67" s="191" t="s">
        <v>740</v>
      </c>
      <c r="F67" s="494">
        <f>G62</f>
        <v>45300</v>
      </c>
      <c r="G67" s="191"/>
      <c r="H67" s="191"/>
      <c r="I67" s="292"/>
      <c r="J67" s="9"/>
    </row>
    <row r="68" spans="1:12" x14ac:dyDescent="0.25">
      <c r="A68" s="191" t="s">
        <v>347</v>
      </c>
      <c r="B68" s="494">
        <f>'JUNE 20'!D79</f>
        <v>-6196.6000000000058</v>
      </c>
      <c r="C68" s="191"/>
      <c r="D68" s="191"/>
      <c r="E68" s="191" t="s">
        <v>347</v>
      </c>
      <c r="F68" s="494">
        <f>'JUNE 20'!H79</f>
        <v>-39730.600000000006</v>
      </c>
      <c r="G68" s="191"/>
      <c r="H68" s="191"/>
      <c r="I68" s="292"/>
      <c r="J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</row>
    <row r="71" spans="1:12" x14ac:dyDescent="0.25">
      <c r="A71" s="191" t="s">
        <v>613</v>
      </c>
      <c r="B71" s="327">
        <v>0.1</v>
      </c>
      <c r="C71" s="494">
        <f>B71*B67</f>
        <v>4590</v>
      </c>
      <c r="D71" s="191"/>
      <c r="E71" s="191" t="s">
        <v>613</v>
      </c>
      <c r="F71" s="327">
        <v>0.1</v>
      </c>
      <c r="G71" s="494">
        <f>C71</f>
        <v>4590</v>
      </c>
      <c r="H71" s="191"/>
      <c r="I71" s="292"/>
      <c r="J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41310</v>
      </c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J72+B68</f>
        <v>35113.399999999994</v>
      </c>
    </row>
    <row r="74" spans="1:12" x14ac:dyDescent="0.25">
      <c r="A74" s="607" t="s">
        <v>898</v>
      </c>
      <c r="B74" s="495"/>
      <c r="C74" s="191">
        <v>16000</v>
      </c>
      <c r="D74" s="191"/>
      <c r="E74" s="607" t="s">
        <v>898</v>
      </c>
      <c r="F74" s="495"/>
      <c r="G74" s="191">
        <v>16000</v>
      </c>
      <c r="H74" s="191"/>
      <c r="I74" s="371"/>
      <c r="J74" s="147">
        <f>J73-C73</f>
        <v>25113.399999999994</v>
      </c>
    </row>
    <row r="75" spans="1:12" x14ac:dyDescent="0.25">
      <c r="A75" s="496" t="s">
        <v>899</v>
      </c>
      <c r="B75" s="327"/>
      <c r="C75" s="191">
        <v>10000</v>
      </c>
      <c r="D75" s="191"/>
      <c r="E75" s="496" t="s">
        <v>899</v>
      </c>
      <c r="F75" s="327"/>
      <c r="G75" s="191">
        <v>10000</v>
      </c>
      <c r="H75" s="191"/>
      <c r="I75" s="602"/>
      <c r="J75" s="147">
        <f>J74-C74</f>
        <v>9113.3999999999942</v>
      </c>
    </row>
    <row r="76" spans="1:12" x14ac:dyDescent="0.25">
      <c r="A76" s="496" t="s">
        <v>900</v>
      </c>
      <c r="B76" s="327"/>
      <c r="C76" s="191">
        <f>1006</f>
        <v>1006</v>
      </c>
      <c r="D76" s="191"/>
      <c r="E76" s="496" t="s">
        <v>900</v>
      </c>
      <c r="F76" s="327"/>
      <c r="G76" s="191">
        <f>1006</f>
        <v>1006</v>
      </c>
      <c r="H76" s="191"/>
      <c r="I76" s="216"/>
      <c r="J76" s="147">
        <f>J75-C75</f>
        <v>-886.60000000000582</v>
      </c>
      <c r="L76">
        <f>C76+C77</f>
        <v>3556</v>
      </c>
    </row>
    <row r="77" spans="1:12" x14ac:dyDescent="0.25">
      <c r="A77" s="496" t="s">
        <v>901</v>
      </c>
      <c r="B77" s="495"/>
      <c r="C77" s="191">
        <f>2550</f>
        <v>2550</v>
      </c>
      <c r="D77" s="191"/>
      <c r="E77" s="496" t="s">
        <v>901</v>
      </c>
      <c r="F77" s="495"/>
      <c r="G77" s="191">
        <f>2550</f>
        <v>2550</v>
      </c>
      <c r="H77" s="191"/>
      <c r="I77" s="216"/>
      <c r="J77" s="9"/>
      <c r="L77" s="252">
        <f>L76+C78+C79</f>
        <v>5056</v>
      </c>
    </row>
    <row r="78" spans="1:12" s="9" customFormat="1" x14ac:dyDescent="0.25">
      <c r="A78" s="497" t="s">
        <v>902</v>
      </c>
      <c r="B78" s="495"/>
      <c r="C78" s="301">
        <v>1000</v>
      </c>
      <c r="D78" s="191"/>
      <c r="E78" s="497" t="s">
        <v>902</v>
      </c>
      <c r="F78" s="495"/>
      <c r="G78" s="301">
        <v>1000</v>
      </c>
      <c r="H78" s="191"/>
      <c r="I78" s="216"/>
      <c r="L78" s="252">
        <f>L77+887</f>
        <v>5943</v>
      </c>
    </row>
    <row r="79" spans="1:12" x14ac:dyDescent="0.25">
      <c r="A79" s="497" t="s">
        <v>905</v>
      </c>
      <c r="B79" s="495"/>
      <c r="C79" s="301">
        <v>500</v>
      </c>
      <c r="D79" s="191"/>
      <c r="E79" s="497" t="s">
        <v>905</v>
      </c>
      <c r="F79" s="495"/>
      <c r="G79" s="301">
        <v>500</v>
      </c>
      <c r="H79" s="191"/>
      <c r="I79" s="216"/>
      <c r="J79" s="9"/>
    </row>
    <row r="80" spans="1:12" x14ac:dyDescent="0.25">
      <c r="A80" s="493" t="s">
        <v>2</v>
      </c>
      <c r="B80" s="499">
        <f>B69+B67+B68-C71-C70</f>
        <v>35113.399999999994</v>
      </c>
      <c r="C80" s="499">
        <f>SUM(C73:C79)</f>
        <v>41056</v>
      </c>
      <c r="D80" s="499">
        <f>B80-C80</f>
        <v>-5942.6000000000058</v>
      </c>
      <c r="E80" s="493" t="s">
        <v>2</v>
      </c>
      <c r="F80" s="499">
        <f>F67+F68+F69-G71-G70</f>
        <v>979.39999999999418</v>
      </c>
      <c r="G80" s="499">
        <f>SUM(G73:G79)</f>
        <v>41056</v>
      </c>
      <c r="H80" s="499">
        <f>F80-G80</f>
        <v>-40076.600000000006</v>
      </c>
      <c r="I80" s="216"/>
      <c r="J80" s="9"/>
    </row>
    <row r="81" spans="1:10" x14ac:dyDescent="0.25">
      <c r="A81" s="216"/>
      <c r="B81" s="216"/>
      <c r="C81" s="216"/>
      <c r="D81" s="216"/>
      <c r="E81" s="216"/>
      <c r="F81" s="216"/>
      <c r="G81" s="216"/>
      <c r="H81" s="216"/>
      <c r="I81" s="216"/>
      <c r="J81" s="9"/>
    </row>
    <row r="82" spans="1:10" x14ac:dyDescent="0.25">
      <c r="A82" s="558" t="s">
        <v>659</v>
      </c>
      <c r="B82" s="559"/>
      <c r="C82" s="559" t="s">
        <v>661</v>
      </c>
      <c r="D82" s="560"/>
      <c r="E82" s="216"/>
      <c r="F82" s="558" t="s">
        <v>662</v>
      </c>
      <c r="G82" s="216"/>
      <c r="H82" s="216"/>
      <c r="I82" s="216"/>
      <c r="J82" s="9"/>
    </row>
    <row r="83" spans="1:10" x14ac:dyDescent="0.25">
      <c r="A83" s="558"/>
      <c r="B83" s="559"/>
      <c r="C83" s="559"/>
      <c r="D83" s="560"/>
      <c r="E83" s="558"/>
      <c r="F83" s="558"/>
      <c r="G83" s="9"/>
      <c r="H83" s="602"/>
      <c r="I83" s="216"/>
      <c r="J83" s="9"/>
    </row>
    <row r="84" spans="1:10" x14ac:dyDescent="0.25">
      <c r="A84" s="558" t="s">
        <v>782</v>
      </c>
      <c r="B84" s="559"/>
      <c r="C84" s="559" t="s">
        <v>78</v>
      </c>
      <c r="D84" s="560"/>
      <c r="E84" s="558">
        <f>C71+C70</f>
        <v>4590</v>
      </c>
      <c r="F84" s="558" t="s">
        <v>663</v>
      </c>
      <c r="G84" s="216"/>
      <c r="H84" s="216"/>
      <c r="I84" s="216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216"/>
      <c r="I85" s="9"/>
      <c r="J85" s="9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52" workbookViewId="0">
      <selection activeCell="H37" sqref="H37"/>
    </sheetView>
  </sheetViews>
  <sheetFormatPr defaultRowHeight="15" x14ac:dyDescent="0.25"/>
  <cols>
    <col min="1" max="1" width="19.85546875" bestFit="1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903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755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216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903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'JULY 20'!H38:H60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'JULY 20'!H39:H61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/>
      <c r="B40" s="541">
        <v>3</v>
      </c>
      <c r="C40" s="542"/>
      <c r="D40" s="543">
        <f>'JULY 20'!H40:H62</f>
        <v>0</v>
      </c>
      <c r="E40" s="443"/>
      <c r="F40" s="440">
        <f>C40+D40+E40</f>
        <v>0</v>
      </c>
      <c r="G40" s="440"/>
      <c r="H40" s="544">
        <f t="shared" ref="H40:H59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1790</f>
        <v>1790</v>
      </c>
      <c r="H41" s="544">
        <f t="shared" si="3"/>
        <v>3710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'JULY 20'!H42:H64</f>
        <v>800</v>
      </c>
      <c r="E42" s="443">
        <v>2500</v>
      </c>
      <c r="F42" s="440">
        <f t="shared" si="2"/>
        <v>3300</v>
      </c>
      <c r="G42" s="440">
        <f>2500</f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1450</v>
      </c>
      <c r="E43" s="443">
        <v>2500</v>
      </c>
      <c r="F43" s="440">
        <f t="shared" si="2"/>
        <v>5450</v>
      </c>
      <c r="G43" s="440">
        <v>2000</v>
      </c>
      <c r="H43" s="544">
        <f t="shared" si="3"/>
        <v>3450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2500</f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1500</v>
      </c>
      <c r="D45" s="543"/>
      <c r="E45" s="543">
        <v>2500</v>
      </c>
      <c r="F45" s="440">
        <f t="shared" si="2"/>
        <v>4000</v>
      </c>
      <c r="G45" s="440">
        <v>3000</v>
      </c>
      <c r="H45" s="544">
        <f>F45-G45</f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>
        <v>1600</v>
      </c>
      <c r="E46" s="443">
        <v>2500</v>
      </c>
      <c r="F46" s="440">
        <f>C46+D46+E46</f>
        <v>6600</v>
      </c>
      <c r="G46" s="440">
        <f>4000</f>
        <v>4000</v>
      </c>
      <c r="H46" s="544">
        <f t="shared" si="3"/>
        <v>2600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'JULY 20'!H47:H69</f>
        <v>1433</v>
      </c>
      <c r="E47" s="191">
        <v>2500</v>
      </c>
      <c r="F47" s="440">
        <f t="shared" si="2"/>
        <v>3933</v>
      </c>
      <c r="G47" s="440">
        <f>3000</f>
        <v>3000</v>
      </c>
      <c r="H47" s="544">
        <f>F47-G47</f>
        <v>933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'JULY 20'!H48:H70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'JULY 20'!H49:H71</f>
        <v>1700</v>
      </c>
      <c r="E49" s="603">
        <v>2700</v>
      </c>
      <c r="F49" s="440">
        <f>C49+D49+E49</f>
        <v>4400</v>
      </c>
      <c r="G49" s="440">
        <f>2400</f>
        <v>2400</v>
      </c>
      <c r="H49" s="544">
        <f t="shared" si="3"/>
        <v>2000</v>
      </c>
      <c r="I49" s="543"/>
      <c r="J49" s="9"/>
      <c r="K49" s="9"/>
    </row>
    <row r="50" spans="1:11" x14ac:dyDescent="0.25">
      <c r="A50" s="388" t="s">
        <v>521</v>
      </c>
      <c r="B50" s="541">
        <v>13</v>
      </c>
      <c r="C50" s="542"/>
      <c r="D50" s="543">
        <f>'JULY 20'!H50:H72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'JULY 20'!H51:H73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'JULY 20'!H52:H74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>
        <f>'JULY 20'!H53:H75</f>
        <v>0</v>
      </c>
      <c r="E53" s="552"/>
      <c r="F53" s="440">
        <f t="shared" si="2"/>
        <v>0</v>
      </c>
      <c r="G53" s="440"/>
      <c r="H53" s="544"/>
      <c r="I53" s="543"/>
      <c r="J53" s="9"/>
      <c r="K53" s="9"/>
    </row>
    <row r="54" spans="1:11" x14ac:dyDescent="0.25">
      <c r="A54" s="388"/>
      <c r="B54" s="541">
        <v>17</v>
      </c>
      <c r="C54" s="542"/>
      <c r="D54" s="543">
        <f>'JULY 20'!H54:H76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'JULY 20'!H57:H80</f>
        <v>0</v>
      </c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'JULY 20'!H58:H81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'JULY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/>
      <c r="B60" s="553">
        <v>23</v>
      </c>
      <c r="C60" s="542"/>
      <c r="D60" s="543">
        <f>'JULY 20'!H60:H83</f>
        <v>0</v>
      </c>
      <c r="E60" s="608"/>
      <c r="F60" s="440">
        <f t="shared" si="2"/>
        <v>0</v>
      </c>
      <c r="G60" s="440"/>
      <c r="H60" s="544">
        <f>F60-G60</f>
        <v>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10690</v>
      </c>
      <c r="D62" s="543">
        <f>SUM(D38:D61)</f>
        <v>8483</v>
      </c>
      <c r="E62" s="588">
        <f>SUM(E38:E61)</f>
        <v>36900</v>
      </c>
      <c r="F62" s="440">
        <f>C62+D62+E62</f>
        <v>56073</v>
      </c>
      <c r="G62" s="440">
        <f>SUM(G38:G61)</f>
        <v>38390</v>
      </c>
      <c r="H62" s="544">
        <f>F62-G62</f>
        <v>17683</v>
      </c>
      <c r="I62" s="591">
        <f>SUM(I38:I61)</f>
        <v>800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/>
      <c r="J64" s="9"/>
      <c r="K64" s="9"/>
    </row>
    <row r="65" spans="1:16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6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6" x14ac:dyDescent="0.25">
      <c r="A67" s="191" t="s">
        <v>755</v>
      </c>
      <c r="B67" s="494">
        <f>E62</f>
        <v>36900</v>
      </c>
      <c r="C67" s="191"/>
      <c r="D67" s="191"/>
      <c r="E67" s="191" t="s">
        <v>755</v>
      </c>
      <c r="F67" s="494">
        <f>G62</f>
        <v>38390</v>
      </c>
      <c r="G67" s="191"/>
      <c r="H67" s="191"/>
      <c r="I67" s="292"/>
      <c r="J67" s="9"/>
      <c r="K67" s="9"/>
    </row>
    <row r="68" spans="1:16" x14ac:dyDescent="0.25">
      <c r="A68" s="191" t="s">
        <v>347</v>
      </c>
      <c r="B68" s="494">
        <f>'JULY 20'!D80</f>
        <v>-5942.6000000000058</v>
      </c>
      <c r="C68" s="191"/>
      <c r="D68" s="191"/>
      <c r="E68" s="191" t="s">
        <v>347</v>
      </c>
      <c r="F68" s="494">
        <f>'JULY 20'!H80</f>
        <v>-40076.600000000006</v>
      </c>
      <c r="G68" s="191"/>
      <c r="H68" s="191"/>
      <c r="I68" s="292"/>
      <c r="J68" s="9"/>
      <c r="K68" s="9"/>
    </row>
    <row r="69" spans="1:16" x14ac:dyDescent="0.25">
      <c r="A69" s="191" t="s">
        <v>333</v>
      </c>
      <c r="B69" s="494">
        <v>500</v>
      </c>
      <c r="C69" s="191"/>
      <c r="D69" s="191"/>
      <c r="E69" s="191"/>
      <c r="F69" s="494"/>
      <c r="G69" s="191"/>
      <c r="H69" s="191"/>
      <c r="I69" s="292"/>
      <c r="J69" s="9"/>
      <c r="K69" s="9"/>
    </row>
    <row r="70" spans="1:16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147">
        <f>B67+500</f>
        <v>37400</v>
      </c>
    </row>
    <row r="71" spans="1:16" x14ac:dyDescent="0.25">
      <c r="A71" s="191" t="s">
        <v>613</v>
      </c>
      <c r="B71" s="327">
        <v>0.1</v>
      </c>
      <c r="C71" s="494">
        <f>B71*B67</f>
        <v>3690</v>
      </c>
      <c r="D71" s="191"/>
      <c r="E71" s="191" t="s">
        <v>613</v>
      </c>
      <c r="F71" s="327">
        <v>0.1</v>
      </c>
      <c r="G71" s="494">
        <f>C71</f>
        <v>3690</v>
      </c>
      <c r="H71" s="191"/>
      <c r="I71" s="292"/>
      <c r="J71" s="9"/>
      <c r="K71" s="147">
        <f>K70-5943</f>
        <v>31457</v>
      </c>
    </row>
    <row r="72" spans="1:16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>
        <f>K71-C71</f>
        <v>27767</v>
      </c>
    </row>
    <row r="73" spans="1:16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147"/>
    </row>
    <row r="74" spans="1:16" x14ac:dyDescent="0.25">
      <c r="D74" s="191"/>
      <c r="E74" s="607"/>
      <c r="F74" s="495"/>
      <c r="G74" s="191"/>
      <c r="H74" s="191"/>
      <c r="I74" s="371"/>
      <c r="K74" s="147">
        <f>B67+B69</f>
        <v>37400</v>
      </c>
      <c r="N74" s="609" t="s">
        <v>910</v>
      </c>
      <c r="O74" s="327"/>
    </row>
    <row r="75" spans="1:16" x14ac:dyDescent="0.25">
      <c r="D75" s="191"/>
      <c r="E75" s="496"/>
      <c r="F75" s="327"/>
      <c r="G75" s="191"/>
      <c r="H75" s="191"/>
      <c r="I75" s="602"/>
      <c r="K75" s="147">
        <f>K74-5943</f>
        <v>31457</v>
      </c>
      <c r="N75" s="496" t="s">
        <v>902</v>
      </c>
      <c r="O75" s="327"/>
      <c r="P75" s="191">
        <f>1741+1000</f>
        <v>2741</v>
      </c>
    </row>
    <row r="76" spans="1:16" x14ac:dyDescent="0.25">
      <c r="A76" s="496" t="s">
        <v>906</v>
      </c>
      <c r="B76" s="327"/>
      <c r="C76" s="191">
        <v>10000</v>
      </c>
      <c r="D76" s="191"/>
      <c r="E76" s="496" t="s">
        <v>906</v>
      </c>
      <c r="F76" s="327"/>
      <c r="G76" s="191">
        <v>10000</v>
      </c>
      <c r="H76" s="191"/>
      <c r="I76" s="216"/>
      <c r="K76" s="147">
        <f>K75-C71</f>
        <v>27767</v>
      </c>
      <c r="N76" t="s">
        <v>915</v>
      </c>
      <c r="P76" s="191">
        <v>2556</v>
      </c>
    </row>
    <row r="77" spans="1:16" s="9" customFormat="1" x14ac:dyDescent="0.25">
      <c r="A77" s="497" t="s">
        <v>912</v>
      </c>
      <c r="B77" s="495"/>
      <c r="C77" s="301">
        <v>5061</v>
      </c>
      <c r="D77" s="191"/>
      <c r="E77" s="497" t="s">
        <v>912</v>
      </c>
      <c r="F77" s="495"/>
      <c r="G77" s="301">
        <v>5061</v>
      </c>
      <c r="H77" s="191"/>
      <c r="I77" s="216"/>
      <c r="K77" s="147">
        <f>K76-C73</f>
        <v>17767</v>
      </c>
      <c r="N77" s="607" t="s">
        <v>904</v>
      </c>
      <c r="O77" s="495"/>
      <c r="P77" s="191">
        <f>1200+300</f>
        <v>1500</v>
      </c>
    </row>
    <row r="78" spans="1:16" s="9" customFormat="1" x14ac:dyDescent="0.25">
      <c r="A78" s="44" t="s">
        <v>913</v>
      </c>
      <c r="B78" s="44"/>
      <c r="C78" s="44">
        <v>10700</v>
      </c>
      <c r="D78" s="191"/>
      <c r="E78" s="44" t="s">
        <v>913</v>
      </c>
      <c r="F78" s="44"/>
      <c r="G78" s="44">
        <v>10700</v>
      </c>
      <c r="H78" s="191"/>
      <c r="I78" s="216"/>
      <c r="K78" s="147">
        <f>K77-C76</f>
        <v>7767</v>
      </c>
      <c r="N78" s="496" t="s">
        <v>902</v>
      </c>
      <c r="O78" s="327"/>
      <c r="P78" s="191">
        <f>1500+800</f>
        <v>2300</v>
      </c>
    </row>
    <row r="79" spans="1:16" s="9" customFormat="1" x14ac:dyDescent="0.25">
      <c r="A79" s="44" t="s">
        <v>962</v>
      </c>
      <c r="B79" s="44"/>
      <c r="C79" s="44">
        <v>1500</v>
      </c>
      <c r="D79" s="191"/>
      <c r="E79" s="497" t="s">
        <v>861</v>
      </c>
      <c r="F79" s="495"/>
      <c r="G79" s="301">
        <f>1500</f>
        <v>1500</v>
      </c>
      <c r="H79" s="191"/>
      <c r="I79" s="292"/>
      <c r="K79" s="252">
        <f>K78-C77</f>
        <v>2706</v>
      </c>
      <c r="N79" s="496" t="s">
        <v>907</v>
      </c>
      <c r="O79" s="327"/>
      <c r="P79" s="191">
        <f>4061</f>
        <v>4061</v>
      </c>
    </row>
    <row r="80" spans="1:16" s="9" customFormat="1" x14ac:dyDescent="0.25">
      <c r="A80" s="44"/>
      <c r="B80" s="44"/>
      <c r="C80" s="44"/>
      <c r="D80" s="191"/>
      <c r="E80" s="497"/>
      <c r="F80" s="495"/>
      <c r="G80" s="301"/>
      <c r="H80" s="191"/>
      <c r="I80" s="216"/>
      <c r="N80" s="496" t="s">
        <v>907</v>
      </c>
      <c r="O80" s="327"/>
      <c r="P80" s="191">
        <v>2541</v>
      </c>
    </row>
    <row r="81" spans="1:17" x14ac:dyDescent="0.25">
      <c r="A81" s="493" t="s">
        <v>2</v>
      </c>
      <c r="B81" s="499">
        <f>B69+B67+B68-C71-C70</f>
        <v>27767.399999999994</v>
      </c>
      <c r="C81" s="499">
        <f>SUM(C73:C80)</f>
        <v>37261</v>
      </c>
      <c r="D81" s="499">
        <f>B81-C81</f>
        <v>-9493.6000000000058</v>
      </c>
      <c r="E81" s="493" t="s">
        <v>2</v>
      </c>
      <c r="F81" s="499">
        <f>F67+F68+F69-G71-G70</f>
        <v>-5376.6000000000058</v>
      </c>
      <c r="G81" s="499">
        <f>SUM(G73:G80)</f>
        <v>37261</v>
      </c>
      <c r="H81" s="499">
        <f>F81-G81</f>
        <v>-42637.600000000006</v>
      </c>
      <c r="I81" s="216"/>
      <c r="J81" s="9"/>
      <c r="K81" s="9">
        <f>7994</f>
        <v>7994</v>
      </c>
      <c r="N81" s="44" t="s">
        <v>914</v>
      </c>
      <c r="O81" s="44"/>
      <c r="P81" s="44">
        <v>4500</v>
      </c>
    </row>
    <row r="82" spans="1:17" x14ac:dyDescent="0.25">
      <c r="A82" s="216"/>
      <c r="B82" s="216"/>
      <c r="C82" s="216"/>
      <c r="D82" s="216"/>
      <c r="E82" s="216"/>
      <c r="F82" s="216"/>
      <c r="G82" s="216"/>
      <c r="H82" s="216"/>
      <c r="I82" s="216"/>
      <c r="J82" s="9"/>
      <c r="K82" s="9">
        <v>4500</v>
      </c>
      <c r="N82" s="609"/>
      <c r="O82" s="327"/>
      <c r="P82" s="191"/>
    </row>
    <row r="83" spans="1:17" x14ac:dyDescent="0.25">
      <c r="A83" s="558" t="s">
        <v>659</v>
      </c>
      <c r="B83" s="559"/>
      <c r="C83" s="559" t="s">
        <v>661</v>
      </c>
      <c r="D83" s="560"/>
      <c r="E83" s="216"/>
      <c r="F83" s="558" t="s">
        <v>662</v>
      </c>
      <c r="G83" s="216"/>
      <c r="H83" s="216"/>
      <c r="I83" s="216"/>
      <c r="J83" s="9"/>
      <c r="K83" s="9">
        <v>1500</v>
      </c>
      <c r="N83" s="496" t="s">
        <v>907</v>
      </c>
      <c r="O83" s="327"/>
      <c r="P83" s="191">
        <f>4061</f>
        <v>4061</v>
      </c>
    </row>
    <row r="84" spans="1:17" x14ac:dyDescent="0.25">
      <c r="A84" s="558"/>
      <c r="B84" s="559"/>
      <c r="C84" s="559"/>
      <c r="D84" s="560"/>
      <c r="E84" s="558"/>
      <c r="F84" s="558"/>
      <c r="G84" s="9"/>
      <c r="H84" s="602"/>
      <c r="I84" s="216"/>
      <c r="J84" s="9"/>
      <c r="K84" s="9">
        <f>SUM(K81:K83)</f>
        <v>13994</v>
      </c>
      <c r="N84" s="496" t="s">
        <v>907</v>
      </c>
      <c r="O84" s="327"/>
      <c r="P84" s="191">
        <v>2541</v>
      </c>
    </row>
    <row r="85" spans="1:17" x14ac:dyDescent="0.25">
      <c r="A85" s="558" t="s">
        <v>782</v>
      </c>
      <c r="B85" s="559"/>
      <c r="C85" s="559" t="s">
        <v>78</v>
      </c>
      <c r="D85" s="560"/>
      <c r="E85" s="558"/>
      <c r="F85" s="558" t="s">
        <v>663</v>
      </c>
      <c r="G85" s="216"/>
      <c r="H85" s="216"/>
      <c r="I85" s="216"/>
      <c r="J85" s="9"/>
      <c r="K85" s="9"/>
      <c r="N85" s="496" t="s">
        <v>908</v>
      </c>
      <c r="O85" s="327"/>
      <c r="P85" s="191">
        <v>4061</v>
      </c>
    </row>
    <row r="86" spans="1:17" x14ac:dyDescent="0.25">
      <c r="A86" s="9"/>
      <c r="B86" s="9"/>
      <c r="C86" s="9"/>
      <c r="D86" s="9"/>
      <c r="E86" s="9"/>
      <c r="F86" s="9"/>
      <c r="G86" s="9"/>
      <c r="H86" s="216"/>
      <c r="I86" s="9"/>
      <c r="J86" s="9"/>
      <c r="K86" s="9"/>
      <c r="N86" s="496" t="s">
        <v>909</v>
      </c>
      <c r="O86" s="327"/>
      <c r="P86" s="191">
        <v>1049</v>
      </c>
    </row>
    <row r="87" spans="1:17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N87" s="496" t="s">
        <v>907</v>
      </c>
      <c r="O87" s="495"/>
      <c r="P87" s="191">
        <v>15162</v>
      </c>
    </row>
    <row r="88" spans="1:17" x14ac:dyDescent="0.25">
      <c r="N88" s="497" t="s">
        <v>871</v>
      </c>
      <c r="O88" s="495"/>
      <c r="P88" s="301">
        <v>4000</v>
      </c>
    </row>
    <row r="89" spans="1:17" x14ac:dyDescent="0.25">
      <c r="N89" s="496" t="s">
        <v>911</v>
      </c>
      <c r="O89" s="495"/>
      <c r="P89" s="191">
        <v>4800</v>
      </c>
    </row>
    <row r="90" spans="1:17" x14ac:dyDescent="0.25">
      <c r="N90" s="497" t="s">
        <v>919</v>
      </c>
      <c r="O90" s="495"/>
      <c r="P90" s="301">
        <v>2200</v>
      </c>
    </row>
    <row r="91" spans="1:17" x14ac:dyDescent="0.25">
      <c r="N91" s="496"/>
      <c r="O91" s="495"/>
      <c r="P91" s="191"/>
    </row>
    <row r="92" spans="1:17" x14ac:dyDescent="0.25">
      <c r="N92" s="497"/>
      <c r="O92" s="495"/>
      <c r="P92" s="301"/>
    </row>
    <row r="93" spans="1:17" x14ac:dyDescent="0.25">
      <c r="N93" s="497"/>
      <c r="O93" s="495"/>
      <c r="P93" s="301"/>
    </row>
    <row r="94" spans="1:17" x14ac:dyDescent="0.25">
      <c r="P94">
        <f>SUM(P75:P93)</f>
        <v>58073</v>
      </c>
      <c r="Q94" s="252"/>
    </row>
    <row r="95" spans="1:17" x14ac:dyDescent="0.25">
      <c r="P95">
        <f>P94-P81</f>
        <v>53573</v>
      </c>
    </row>
  </sheetData>
  <pageMargins left="0" right="0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31" workbookViewId="0">
      <selection activeCell="E60" sqref="E60"/>
    </sheetView>
  </sheetViews>
  <sheetFormatPr defaultRowHeight="15" x14ac:dyDescent="0.25"/>
  <cols>
    <col min="1" max="1" width="17.71093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918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916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'AUGUST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'AUGUST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'AUGUST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0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/>
      <c r="D41" s="543">
        <v>1710</v>
      </c>
      <c r="E41" s="543">
        <v>2000</v>
      </c>
      <c r="F41" s="440">
        <f>C41+D41+E41</f>
        <v>3710</v>
      </c>
      <c r="G41" s="440">
        <f>2100</f>
        <v>2100</v>
      </c>
      <c r="H41" s="544">
        <f t="shared" si="3"/>
        <v>1610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'AUGUST 20'!H42:H65</f>
        <v>800</v>
      </c>
      <c r="E42" s="443">
        <v>3000</v>
      </c>
      <c r="F42" s="440">
        <f t="shared" si="2"/>
        <v>3800</v>
      </c>
      <c r="G42" s="440"/>
      <c r="H42" s="544">
        <f t="shared" si="3"/>
        <v>3800</v>
      </c>
      <c r="I42" s="543"/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1950</v>
      </c>
      <c r="E43" s="443">
        <v>2500</v>
      </c>
      <c r="F43" s="440">
        <f t="shared" si="2"/>
        <v>5950</v>
      </c>
      <c r="G43" s="440">
        <f>500+1500+1500</f>
        <v>3500</v>
      </c>
      <c r="H43" s="544">
        <f t="shared" si="3"/>
        <v>2450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>
        <v>1500</v>
      </c>
      <c r="E44" s="546">
        <v>2500</v>
      </c>
      <c r="F44" s="440">
        <f t="shared" si="2"/>
        <v>5000</v>
      </c>
      <c r="G44" s="440">
        <f>2500</f>
        <v>2500</v>
      </c>
      <c r="H44" s="544">
        <f t="shared" si="3"/>
        <v>2500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1000</v>
      </c>
      <c r="D45" s="543"/>
      <c r="E45" s="543">
        <v>2500</v>
      </c>
      <c r="F45" s="440">
        <f t="shared" si="2"/>
        <v>3500</v>
      </c>
      <c r="G45" s="440">
        <f>2500</f>
        <v>2500</v>
      </c>
      <c r="H45" s="544">
        <f t="shared" si="3"/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/>
      <c r="D46" s="543">
        <v>100</v>
      </c>
      <c r="E46" s="443">
        <v>2500</v>
      </c>
      <c r="F46" s="440">
        <f>C46+D46+E46</f>
        <v>2600</v>
      </c>
      <c r="G46" s="440">
        <f>1400+1100</f>
        <v>2500</v>
      </c>
      <c r="H46" s="544">
        <f t="shared" si="3"/>
        <v>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'AUGUST 20'!H47:H70</f>
        <v>933</v>
      </c>
      <c r="E47" s="191">
        <v>2500</v>
      </c>
      <c r="F47" s="440">
        <f t="shared" si="2"/>
        <v>3433</v>
      </c>
      <c r="G47" s="440">
        <f>2600</f>
        <v>2600</v>
      </c>
      <c r="H47" s="544">
        <f t="shared" si="3"/>
        <v>833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'AUGUST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9" t="s">
        <v>926</v>
      </c>
      <c r="K48" s="9"/>
    </row>
    <row r="49" spans="1:11" x14ac:dyDescent="0.25">
      <c r="A49" s="604" t="s">
        <v>757</v>
      </c>
      <c r="B49" s="541">
        <v>12</v>
      </c>
      <c r="C49" s="542"/>
      <c r="D49" s="543">
        <f>'AUGUST 20'!H49:H72</f>
        <v>2000</v>
      </c>
      <c r="E49" s="603">
        <v>2700</v>
      </c>
      <c r="F49" s="440">
        <f>C49+D49+E49</f>
        <v>4700</v>
      </c>
      <c r="G49" s="440">
        <f>2000+2700</f>
        <v>4700</v>
      </c>
      <c r="H49" s="544">
        <f t="shared" si="3"/>
        <v>0</v>
      </c>
      <c r="I49" s="543"/>
      <c r="J49" s="9" t="s">
        <v>926</v>
      </c>
      <c r="K49" s="9"/>
    </row>
    <row r="50" spans="1:11" x14ac:dyDescent="0.25">
      <c r="A50" s="388"/>
      <c r="B50" s="541">
        <v>13</v>
      </c>
      <c r="C50" s="542"/>
      <c r="D50" s="543">
        <f>'AUGUST 20'!H50:H73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'AUGUST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'AUGUST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ref="H52:H59" si="4">F52-G52</f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/>
      <c r="E53" s="552"/>
      <c r="F53" s="440">
        <f t="shared" si="2"/>
        <v>0</v>
      </c>
      <c r="G53" s="440"/>
      <c r="H53" s="544">
        <f t="shared" si="4"/>
        <v>0</v>
      </c>
      <c r="I53" s="543"/>
      <c r="J53" s="9"/>
      <c r="K53" s="9"/>
    </row>
    <row r="54" spans="1:11" x14ac:dyDescent="0.25">
      <c r="A54" s="388" t="s">
        <v>703</v>
      </c>
      <c r="B54" s="541">
        <v>17</v>
      </c>
      <c r="C54" s="542"/>
      <c r="D54" s="543">
        <f>'AUGUST 20'!H54:H77</f>
        <v>0</v>
      </c>
      <c r="E54" s="544">
        <v>1600</v>
      </c>
      <c r="F54" s="440">
        <f t="shared" si="2"/>
        <v>1600</v>
      </c>
      <c r="G54" s="440">
        <v>1600</v>
      </c>
      <c r="H54" s="544">
        <f>F54-G54</f>
        <v>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f>1600</f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f>1600</f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'AUGUST 20'!H57:H80</f>
        <v>0</v>
      </c>
      <c r="E57" s="608"/>
      <c r="F57" s="440">
        <f t="shared" si="2"/>
        <v>0</v>
      </c>
      <c r="G57" s="440"/>
      <c r="H57" s="544">
        <f t="shared" si="4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'AUGUST 20'!H58:H80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'AUGUST 20'!H59:H80</f>
        <v>0</v>
      </c>
      <c r="E59" s="608">
        <v>2000</v>
      </c>
      <c r="F59" s="440">
        <f t="shared" si="2"/>
        <v>2000</v>
      </c>
      <c r="G59" s="440">
        <f>2000</f>
        <v>2000</v>
      </c>
      <c r="H59" s="544">
        <f t="shared" si="4"/>
        <v>0</v>
      </c>
      <c r="I59" s="543">
        <v>100</v>
      </c>
      <c r="J59" s="9"/>
      <c r="K59" s="9"/>
    </row>
    <row r="60" spans="1:11" x14ac:dyDescent="0.25">
      <c r="A60" s="388" t="s">
        <v>937</v>
      </c>
      <c r="B60" s="553">
        <v>23</v>
      </c>
      <c r="C60" s="542"/>
      <c r="D60" s="543">
        <f>'AUGUST 20'!H60:H80</f>
        <v>0</v>
      </c>
      <c r="E60" s="608">
        <v>2800</v>
      </c>
      <c r="F60" s="440">
        <f t="shared" si="2"/>
        <v>2800</v>
      </c>
      <c r="G60" s="440">
        <v>2500</v>
      </c>
      <c r="H60" s="544">
        <f>F60-G60</f>
        <v>300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5690</v>
      </c>
      <c r="D62" s="543">
        <f>SUM(D38:D61)</f>
        <v>8993</v>
      </c>
      <c r="E62" s="588">
        <f>SUM(E38:E61)</f>
        <v>46300</v>
      </c>
      <c r="F62" s="440">
        <f>C62+D62+E62</f>
        <v>60983</v>
      </c>
      <c r="G62" s="440">
        <f>SUM(G38:G61)</f>
        <v>46200</v>
      </c>
      <c r="H62" s="544">
        <f>F62-G62</f>
        <v>14783</v>
      </c>
      <c r="I62" s="591">
        <f>SUM(I38:I61)</f>
        <v>700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9093</v>
      </c>
      <c r="J64" s="9"/>
      <c r="K64" s="9"/>
    </row>
    <row r="65" spans="1:1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9" x14ac:dyDescent="0.25">
      <c r="A67" s="191" t="s">
        <v>917</v>
      </c>
      <c r="B67" s="494">
        <f>E62</f>
        <v>46300</v>
      </c>
      <c r="C67" s="191"/>
      <c r="D67" s="191"/>
      <c r="E67" s="191" t="s">
        <v>917</v>
      </c>
      <c r="F67" s="494">
        <f>G62</f>
        <v>46200</v>
      </c>
      <c r="G67" s="191"/>
      <c r="H67" s="191"/>
      <c r="I67" s="292"/>
      <c r="J67" s="9"/>
      <c r="K67" s="9"/>
      <c r="O67" s="147">
        <f>Q69-4500</f>
        <v>4994</v>
      </c>
    </row>
    <row r="68" spans="1:19" x14ac:dyDescent="0.25">
      <c r="A68" s="191" t="s">
        <v>347</v>
      </c>
      <c r="B68" s="494">
        <f>'AUGUST 20'!D81</f>
        <v>-9493.6000000000058</v>
      </c>
      <c r="C68" s="191"/>
      <c r="D68" s="191"/>
      <c r="E68" s="191" t="s">
        <v>347</v>
      </c>
      <c r="F68" s="494">
        <f>'AUGUST 20'!H81</f>
        <v>-42637.600000000006</v>
      </c>
      <c r="G68" s="191"/>
      <c r="H68" s="191"/>
      <c r="I68" s="292"/>
      <c r="N68" s="9" t="s">
        <v>2</v>
      </c>
      <c r="O68" s="9">
        <v>39700</v>
      </c>
      <c r="Q68">
        <f>O68+1600+4500</f>
        <v>45800</v>
      </c>
      <c r="R68">
        <f>7000*F71</f>
        <v>700</v>
      </c>
    </row>
    <row r="69" spans="1:19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N69" s="9" t="s">
        <v>55</v>
      </c>
      <c r="O69" s="9">
        <v>9494</v>
      </c>
      <c r="Q69" s="147">
        <v>9494</v>
      </c>
    </row>
    <row r="70" spans="1:19" x14ac:dyDescent="0.25">
      <c r="A70" s="191"/>
      <c r="B70" s="494">
        <v>0.3</v>
      </c>
      <c r="C70" s="301"/>
      <c r="D70" s="191"/>
      <c r="E70" s="191"/>
      <c r="F70" s="494">
        <v>0.3</v>
      </c>
      <c r="G70" s="301"/>
      <c r="H70" s="191"/>
      <c r="I70" s="292"/>
      <c r="N70" s="9"/>
      <c r="O70" s="147">
        <f>O68-O69</f>
        <v>30206</v>
      </c>
      <c r="Q70" s="147">
        <f>Q68-Q69</f>
        <v>36306</v>
      </c>
    </row>
    <row r="71" spans="1:19" x14ac:dyDescent="0.25">
      <c r="A71" s="191" t="s">
        <v>613</v>
      </c>
      <c r="B71" s="327">
        <v>0.1</v>
      </c>
      <c r="C71" s="494">
        <f>B71*B67</f>
        <v>4630</v>
      </c>
      <c r="D71" s="191"/>
      <c r="E71" s="191" t="s">
        <v>613</v>
      </c>
      <c r="F71" s="327">
        <v>0.1</v>
      </c>
      <c r="G71" s="494">
        <f>C71</f>
        <v>4630</v>
      </c>
      <c r="H71" s="191"/>
      <c r="I71" s="292"/>
      <c r="N71" s="9" t="s">
        <v>613</v>
      </c>
      <c r="O71" s="147">
        <v>3970</v>
      </c>
      <c r="Q71" s="147">
        <f>C71</f>
        <v>4630</v>
      </c>
    </row>
    <row r="72" spans="1:1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N72" s="9"/>
      <c r="O72" s="147">
        <f>O70-O71</f>
        <v>26236</v>
      </c>
      <c r="Q72" s="147">
        <f>Q70-Q71</f>
        <v>31676</v>
      </c>
    </row>
    <row r="73" spans="1:1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N73" s="9" t="s">
        <v>605</v>
      </c>
      <c r="O73" s="147">
        <v>10000</v>
      </c>
      <c r="Q73">
        <v>10000</v>
      </c>
    </row>
    <row r="74" spans="1:19" x14ac:dyDescent="0.25">
      <c r="A74" s="498" t="s">
        <v>920</v>
      </c>
      <c r="B74" s="44"/>
      <c r="C74" s="44">
        <v>1000</v>
      </c>
      <c r="D74" s="191"/>
      <c r="E74" s="607" t="s">
        <v>920</v>
      </c>
      <c r="F74" s="9"/>
      <c r="G74" s="9">
        <v>1000</v>
      </c>
      <c r="H74" s="191"/>
      <c r="I74" s="371"/>
      <c r="N74" s="147"/>
      <c r="O74" s="147">
        <f>O72-O73</f>
        <v>16236</v>
      </c>
      <c r="Q74" s="147">
        <f>Q72-Q73</f>
        <v>21676</v>
      </c>
    </row>
    <row r="75" spans="1:19" x14ac:dyDescent="0.25">
      <c r="A75" s="44" t="s">
        <v>922</v>
      </c>
      <c r="B75" s="44"/>
      <c r="C75" s="44">
        <v>12000</v>
      </c>
      <c r="D75" s="191"/>
      <c r="E75" s="44" t="s">
        <v>922</v>
      </c>
      <c r="F75" s="44"/>
      <c r="G75" s="44">
        <v>12000</v>
      </c>
      <c r="H75" s="191"/>
      <c r="I75" s="602"/>
      <c r="N75" s="147" t="s">
        <v>921</v>
      </c>
      <c r="O75" s="9">
        <v>1000</v>
      </c>
      <c r="Q75">
        <v>1000</v>
      </c>
    </row>
    <row r="76" spans="1:19" x14ac:dyDescent="0.25">
      <c r="A76" s="496" t="s">
        <v>790</v>
      </c>
      <c r="B76" s="327"/>
      <c r="C76" s="191">
        <v>3086</v>
      </c>
      <c r="D76" s="191"/>
      <c r="E76" s="496" t="s">
        <v>790</v>
      </c>
      <c r="F76" s="327"/>
      <c r="G76" s="191">
        <v>3086</v>
      </c>
      <c r="H76" s="191"/>
      <c r="I76" s="216"/>
      <c r="N76" s="147"/>
      <c r="O76" s="147">
        <f>O74-O75</f>
        <v>15236</v>
      </c>
      <c r="Q76" s="147">
        <f>Q74-Q75</f>
        <v>20676</v>
      </c>
    </row>
    <row r="77" spans="1:19" x14ac:dyDescent="0.25">
      <c r="A77" s="497" t="s">
        <v>923</v>
      </c>
      <c r="B77" s="495"/>
      <c r="C77" s="301">
        <v>10000</v>
      </c>
      <c r="D77" s="191"/>
      <c r="E77" s="497" t="s">
        <v>923</v>
      </c>
      <c r="F77" s="495"/>
      <c r="G77" s="301">
        <v>10000</v>
      </c>
      <c r="H77" s="191"/>
      <c r="I77" s="216"/>
      <c r="N77" s="147"/>
      <c r="O77" s="9">
        <v>15000</v>
      </c>
      <c r="Q77">
        <v>12000</v>
      </c>
    </row>
    <row r="78" spans="1:19" x14ac:dyDescent="0.25">
      <c r="A78" s="44" t="s">
        <v>927</v>
      </c>
      <c r="B78" s="44"/>
      <c r="C78" s="247">
        <v>5200</v>
      </c>
      <c r="D78" s="191"/>
      <c r="E78" s="44" t="s">
        <v>927</v>
      </c>
      <c r="F78" s="44"/>
      <c r="G78" s="247">
        <f>C78</f>
        <v>5200</v>
      </c>
      <c r="H78" s="191"/>
      <c r="I78" s="216"/>
      <c r="N78" s="147"/>
      <c r="O78" s="147">
        <f>O76-O77</f>
        <v>236</v>
      </c>
      <c r="Q78" s="147">
        <f>Q76-Q77</f>
        <v>8676</v>
      </c>
    </row>
    <row r="79" spans="1:19" x14ac:dyDescent="0.25">
      <c r="A79" s="44" t="s">
        <v>929</v>
      </c>
      <c r="B79" s="44"/>
      <c r="C79" s="44">
        <v>1000</v>
      </c>
      <c r="D79" s="191"/>
      <c r="E79" s="44" t="s">
        <v>929</v>
      </c>
      <c r="F79" s="44"/>
      <c r="G79" s="44">
        <v>1000</v>
      </c>
      <c r="H79" s="191"/>
      <c r="I79" s="292"/>
      <c r="N79" s="252"/>
      <c r="O79" s="9"/>
      <c r="Q79" s="147">
        <f>Q78-3086</f>
        <v>5590</v>
      </c>
      <c r="S79" s="44"/>
    </row>
    <row r="80" spans="1:19" x14ac:dyDescent="0.25">
      <c r="A80" s="44" t="s">
        <v>249</v>
      </c>
      <c r="B80" s="44"/>
      <c r="C80" s="44">
        <v>2541</v>
      </c>
      <c r="D80" s="191"/>
      <c r="E80" s="44" t="s">
        <v>249</v>
      </c>
      <c r="F80" s="44"/>
      <c r="G80" s="44">
        <v>2541</v>
      </c>
      <c r="H80" s="191"/>
      <c r="I80" s="216"/>
      <c r="N80" s="9"/>
      <c r="O80" s="9"/>
      <c r="Q80" s="147"/>
    </row>
    <row r="81" spans="1:11" x14ac:dyDescent="0.25">
      <c r="A81" s="191" t="s">
        <v>652</v>
      </c>
      <c r="B81" s="494">
        <v>0.3</v>
      </c>
      <c r="C81" s="301">
        <f>B81*E60</f>
        <v>840</v>
      </c>
      <c r="D81" s="191"/>
      <c r="E81" s="191" t="s">
        <v>652</v>
      </c>
      <c r="F81" s="494">
        <v>0.3</v>
      </c>
      <c r="G81" s="301">
        <f>C81</f>
        <v>840</v>
      </c>
      <c r="H81" s="191"/>
      <c r="I81" s="216"/>
      <c r="J81" s="9"/>
      <c r="K81" s="9"/>
    </row>
    <row r="82" spans="1:11" x14ac:dyDescent="0.25">
      <c r="A82" s="191"/>
      <c r="B82" s="494"/>
      <c r="C82" s="301"/>
      <c r="D82" s="191"/>
      <c r="E82" s="191"/>
      <c r="F82" s="494"/>
      <c r="G82" s="301"/>
      <c r="H82" s="191"/>
      <c r="I82" s="216"/>
      <c r="J82" s="9"/>
      <c r="K82" s="252"/>
    </row>
    <row r="83" spans="1:11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252"/>
      <c r="K83" s="9"/>
    </row>
    <row r="84" spans="1:11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C74+C79+C80+840+C78</f>
        <v>10581</v>
      </c>
      <c r="K84" s="9"/>
    </row>
    <row r="85" spans="1:11" x14ac:dyDescent="0.25">
      <c r="A85" s="9"/>
      <c r="B85" s="9"/>
      <c r="C85" s="9"/>
      <c r="D85" s="191"/>
      <c r="E85" s="496"/>
      <c r="F85" s="495"/>
      <c r="G85" s="191"/>
      <c r="H85" s="191"/>
      <c r="I85" s="216"/>
      <c r="J85" s="9"/>
      <c r="K85" s="9"/>
    </row>
    <row r="86" spans="1:11" x14ac:dyDescent="0.25">
      <c r="A86" s="497"/>
      <c r="B86" s="495"/>
      <c r="C86" s="301"/>
      <c r="D86" s="191"/>
      <c r="E86" s="497"/>
      <c r="F86" s="495"/>
      <c r="G86" s="301"/>
      <c r="H86" s="191"/>
      <c r="I86" s="216"/>
      <c r="J86" s="252"/>
      <c r="K86" s="9"/>
    </row>
    <row r="87" spans="1:11" x14ac:dyDescent="0.25">
      <c r="A87" s="497"/>
      <c r="B87" s="495"/>
      <c r="C87" s="301"/>
      <c r="D87" s="191"/>
      <c r="E87" s="496"/>
      <c r="F87" s="495"/>
      <c r="G87" s="191"/>
      <c r="H87" s="191"/>
      <c r="I87" s="216"/>
      <c r="J87" s="9"/>
      <c r="K87" s="9"/>
    </row>
    <row r="88" spans="1:11" x14ac:dyDescent="0.25">
      <c r="A88" s="497"/>
      <c r="B88" s="495"/>
      <c r="C88" s="301"/>
      <c r="D88" s="191"/>
      <c r="E88" s="497"/>
      <c r="F88" s="495"/>
      <c r="G88" s="301"/>
      <c r="H88" s="191"/>
      <c r="I88" s="216"/>
      <c r="J88" s="9"/>
      <c r="K88" s="9"/>
    </row>
    <row r="89" spans="1:11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  <c r="K89" s="9"/>
    </row>
    <row r="90" spans="1:11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  <c r="K90" s="9"/>
    </row>
    <row r="91" spans="1:11" x14ac:dyDescent="0.25">
      <c r="A91" s="493" t="s">
        <v>2</v>
      </c>
      <c r="B91" s="499">
        <f>B69+B67+B68-C71-C70</f>
        <v>32176.399999999994</v>
      </c>
      <c r="C91" s="499">
        <f>SUM(C73:C90)</f>
        <v>45667</v>
      </c>
      <c r="D91" s="499">
        <f>B91-C91</f>
        <v>-13490.600000000006</v>
      </c>
      <c r="E91" s="493" t="s">
        <v>2</v>
      </c>
      <c r="F91" s="499">
        <f>F67+F68+F69-G71-G70</f>
        <v>-1067.6000000000058</v>
      </c>
      <c r="G91" s="499">
        <f>SUM(G73:G90)</f>
        <v>45667</v>
      </c>
      <c r="H91" s="499">
        <f>F91-G91</f>
        <v>-46734.600000000006</v>
      </c>
      <c r="I91" s="216"/>
      <c r="J91" s="9"/>
      <c r="K91" s="9"/>
    </row>
    <row r="92" spans="1:11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</row>
    <row r="93" spans="1:11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</row>
    <row r="94" spans="1:11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/>
      <c r="K94" s="9"/>
    </row>
    <row r="95" spans="1:11" x14ac:dyDescent="0.25">
      <c r="A95" s="558" t="s">
        <v>782</v>
      </c>
      <c r="B95" s="559"/>
      <c r="C95" s="559" t="s">
        <v>78</v>
      </c>
      <c r="D95" s="560"/>
      <c r="E95" s="558">
        <f>C71+C70</f>
        <v>4630</v>
      </c>
      <c r="F95" s="558" t="s">
        <v>663</v>
      </c>
      <c r="G95" s="216"/>
      <c r="H95" s="216"/>
      <c r="I95" s="216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46" workbookViewId="0">
      <selection activeCell="C59" sqref="C59"/>
    </sheetView>
  </sheetViews>
  <sheetFormatPr defaultRowHeight="15" x14ac:dyDescent="0.25"/>
  <cols>
    <col min="1" max="1" width="20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924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0" x14ac:dyDescent="0.25">
      <c r="A38" s="388" t="s">
        <v>765</v>
      </c>
      <c r="B38" s="541">
        <v>1</v>
      </c>
      <c r="C38" s="542"/>
      <c r="D38" s="543">
        <f>'SEPTEMBER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9"/>
    </row>
    <row r="39" spans="1:10" x14ac:dyDescent="0.25">
      <c r="A39" s="604" t="s">
        <v>880</v>
      </c>
      <c r="B39" s="541">
        <v>2</v>
      </c>
      <c r="C39" s="542"/>
      <c r="D39" s="543">
        <f>'SEPTEMBER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9"/>
    </row>
    <row r="40" spans="1:10" s="9" customFormat="1" x14ac:dyDescent="0.25">
      <c r="A40" s="604" t="s">
        <v>925</v>
      </c>
      <c r="B40" s="541" t="s">
        <v>928</v>
      </c>
      <c r="C40" s="542">
        <v>2500</v>
      </c>
      <c r="D40" s="543"/>
      <c r="E40" s="443">
        <v>2500</v>
      </c>
      <c r="F40" s="440">
        <f>C40+D40+E40</f>
        <v>5000</v>
      </c>
      <c r="G40" s="440">
        <f>2500+500</f>
        <v>3000</v>
      </c>
      <c r="H40" s="544">
        <f>F40-G40</f>
        <v>2000</v>
      </c>
      <c r="I40" s="543"/>
    </row>
    <row r="41" spans="1:10" x14ac:dyDescent="0.25">
      <c r="A41" s="604" t="s">
        <v>638</v>
      </c>
      <c r="B41" s="541">
        <v>3</v>
      </c>
      <c r="C41" s="542"/>
      <c r="D41" s="543">
        <f>'SEPTEMBER 20'!H40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9"/>
    </row>
    <row r="42" spans="1:10" x14ac:dyDescent="0.25">
      <c r="A42" s="44" t="s">
        <v>758</v>
      </c>
      <c r="B42" s="541">
        <v>4</v>
      </c>
      <c r="C42" s="542">
        <v>2000</v>
      </c>
      <c r="D42" s="543">
        <f>'SEPTEMBER 20'!H41</f>
        <v>1610</v>
      </c>
      <c r="E42" s="543">
        <v>2000</v>
      </c>
      <c r="F42" s="440">
        <f>C42+D42+E42</f>
        <v>5610</v>
      </c>
      <c r="G42" s="440">
        <f>1000</f>
        <v>1000</v>
      </c>
      <c r="H42" s="544">
        <f t="shared" si="2"/>
        <v>4610</v>
      </c>
      <c r="I42" s="543"/>
      <c r="J42" s="9"/>
    </row>
    <row r="43" spans="1:10" x14ac:dyDescent="0.25">
      <c r="A43" s="388" t="s">
        <v>767</v>
      </c>
      <c r="B43" s="541">
        <v>5</v>
      </c>
      <c r="C43" s="542"/>
      <c r="D43" s="543">
        <f>'SEPTEMBER 20'!H42</f>
        <v>3800</v>
      </c>
      <c r="E43" s="443">
        <v>3000</v>
      </c>
      <c r="F43" s="440">
        <f t="shared" si="3"/>
        <v>6800</v>
      </c>
      <c r="G43" s="440">
        <f>3000</f>
        <v>3000</v>
      </c>
      <c r="H43" s="544">
        <f t="shared" si="2"/>
        <v>3800</v>
      </c>
      <c r="I43" s="543"/>
      <c r="J43" s="9"/>
    </row>
    <row r="44" spans="1:10" x14ac:dyDescent="0.25">
      <c r="A44" s="604" t="s">
        <v>759</v>
      </c>
      <c r="B44" s="541">
        <v>6</v>
      </c>
      <c r="C44" s="542">
        <v>1500</v>
      </c>
      <c r="D44" s="543">
        <f>'SEPTEMBER 20'!H43</f>
        <v>2450</v>
      </c>
      <c r="E44" s="443">
        <v>2500</v>
      </c>
      <c r="F44" s="440">
        <f t="shared" si="3"/>
        <v>6450</v>
      </c>
      <c r="G44" s="440">
        <f>2300+200+520</f>
        <v>3020</v>
      </c>
      <c r="H44" s="544">
        <f t="shared" si="2"/>
        <v>3430</v>
      </c>
      <c r="I44" s="543"/>
      <c r="J44" s="9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9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9"/>
    </row>
    <row r="47" spans="1:10" x14ac:dyDescent="0.25">
      <c r="A47" s="388" t="s">
        <v>749</v>
      </c>
      <c r="B47" s="541">
        <v>9</v>
      </c>
      <c r="C47" s="542">
        <v>2500</v>
      </c>
      <c r="D47" s="543">
        <v>100</v>
      </c>
      <c r="E47" s="443">
        <v>2500</v>
      </c>
      <c r="F47" s="440">
        <f>C47+D47+E47</f>
        <v>5100</v>
      </c>
      <c r="G47" s="440">
        <f>950+2000</f>
        <v>2950</v>
      </c>
      <c r="H47" s="544">
        <f t="shared" si="2"/>
        <v>2150</v>
      </c>
      <c r="I47" s="543"/>
      <c r="J47" s="9"/>
    </row>
    <row r="48" spans="1:10" x14ac:dyDescent="0.25">
      <c r="A48" s="382" t="s">
        <v>827</v>
      </c>
      <c r="B48" s="601">
        <v>10</v>
      </c>
      <c r="C48" s="542"/>
      <c r="D48" s="543">
        <f>'SEPTEMBER 20'!H47</f>
        <v>833</v>
      </c>
      <c r="E48" s="191">
        <v>2500</v>
      </c>
      <c r="F48" s="440">
        <f t="shared" si="3"/>
        <v>3333</v>
      </c>
      <c r="G48" s="440">
        <f>2000</f>
        <v>2000</v>
      </c>
      <c r="H48" s="544">
        <f t="shared" si="2"/>
        <v>1333</v>
      </c>
      <c r="I48" s="543"/>
      <c r="J48" s="9"/>
    </row>
    <row r="49" spans="1:10" x14ac:dyDescent="0.25">
      <c r="A49" s="113" t="s">
        <v>521</v>
      </c>
      <c r="B49" s="541">
        <v>11</v>
      </c>
      <c r="C49" s="542"/>
      <c r="D49" s="543">
        <f>'SEPTEMBER 20'!H48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9"/>
    </row>
    <row r="50" spans="1:10" x14ac:dyDescent="0.25">
      <c r="A50" s="610" t="s">
        <v>521</v>
      </c>
      <c r="B50" s="541">
        <v>12</v>
      </c>
      <c r="C50" s="542"/>
      <c r="D50" s="543">
        <f>'SEPTEMBER 20'!H49:H69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9"/>
    </row>
    <row r="51" spans="1:10" x14ac:dyDescent="0.25">
      <c r="A51" s="388" t="s">
        <v>930</v>
      </c>
      <c r="B51" s="541">
        <v>13</v>
      </c>
      <c r="C51" s="542">
        <v>2500</v>
      </c>
      <c r="D51" s="543">
        <f>'SEPTEMBER 20'!H50:H70</f>
        <v>0</v>
      </c>
      <c r="E51" s="544">
        <v>2500</v>
      </c>
      <c r="F51" s="440">
        <f t="shared" si="3"/>
        <v>5000</v>
      </c>
      <c r="G51" s="440">
        <f>3000</f>
        <v>3000</v>
      </c>
      <c r="H51" s="544">
        <f t="shared" si="2"/>
        <v>2000</v>
      </c>
      <c r="I51" s="543"/>
      <c r="J51" s="9"/>
    </row>
    <row r="52" spans="1:10" x14ac:dyDescent="0.25">
      <c r="A52" s="113" t="s">
        <v>505</v>
      </c>
      <c r="B52" s="541">
        <v>14</v>
      </c>
      <c r="C52" s="542"/>
      <c r="D52" s="543">
        <f>'SEPTEMBER 20'!H51:H71</f>
        <v>0</v>
      </c>
      <c r="E52" s="549"/>
      <c r="F52" s="440"/>
      <c r="G52" s="440"/>
      <c r="H52" s="544">
        <f>F52-G52</f>
        <v>0</v>
      </c>
      <c r="I52" s="543">
        <v>100</v>
      </c>
      <c r="J52" s="9"/>
    </row>
    <row r="53" spans="1:10" x14ac:dyDescent="0.25">
      <c r="A53" s="604" t="s">
        <v>703</v>
      </c>
      <c r="B53" s="541">
        <v>15</v>
      </c>
      <c r="C53" s="542"/>
      <c r="D53" s="543">
        <f>'SEPTEMBER 20'!H52:H72</f>
        <v>0</v>
      </c>
      <c r="E53" s="544">
        <v>2500</v>
      </c>
      <c r="F53" s="440">
        <f>C53+D53+E53</f>
        <v>2500</v>
      </c>
      <c r="G53" s="440">
        <f>2500</f>
        <v>2500</v>
      </c>
      <c r="H53" s="544">
        <f t="shared" ref="H53:H60" si="4">F53-G53</f>
        <v>0</v>
      </c>
      <c r="I53" s="543">
        <v>100</v>
      </c>
      <c r="J53" s="9"/>
    </row>
    <row r="54" spans="1:10" x14ac:dyDescent="0.25">
      <c r="A54" s="388" t="s">
        <v>938</v>
      </c>
      <c r="B54" s="551">
        <v>16</v>
      </c>
      <c r="C54" s="542">
        <v>2500</v>
      </c>
      <c r="D54" s="543">
        <f>'SEPTEMBER 20'!H53:H73</f>
        <v>0</v>
      </c>
      <c r="E54" s="552">
        <v>2500</v>
      </c>
      <c r="F54" s="440">
        <f t="shared" si="3"/>
        <v>5000</v>
      </c>
      <c r="G54" s="440">
        <v>3000</v>
      </c>
      <c r="H54" s="544">
        <f t="shared" si="4"/>
        <v>2000</v>
      </c>
      <c r="I54" s="543"/>
      <c r="J54" s="9"/>
    </row>
    <row r="55" spans="1:10" x14ac:dyDescent="0.25">
      <c r="A55" s="379" t="s">
        <v>521</v>
      </c>
      <c r="B55" s="541">
        <v>17</v>
      </c>
      <c r="C55" s="542"/>
      <c r="D55" s="543">
        <f>'SEPTEMBER 20'!H54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9"/>
    </row>
    <row r="56" spans="1:10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>
        <v>100</v>
      </c>
      <c r="J56" s="9"/>
    </row>
    <row r="57" spans="1:10" x14ac:dyDescent="0.25">
      <c r="A57" s="388" t="s">
        <v>670</v>
      </c>
      <c r="B57" s="553">
        <v>19</v>
      </c>
      <c r="C57" s="542">
        <v>1600</v>
      </c>
      <c r="D57" s="543">
        <f>'SEPTEMBER 20'!H56:H76</f>
        <v>0</v>
      </c>
      <c r="E57" s="556">
        <v>1600</v>
      </c>
      <c r="F57" s="440">
        <f t="shared" si="3"/>
        <v>3200</v>
      </c>
      <c r="G57" s="440">
        <v>1600</v>
      </c>
      <c r="H57" s="544">
        <f>F57-G57</f>
        <v>1600</v>
      </c>
      <c r="I57" s="543">
        <v>100</v>
      </c>
      <c r="J57" s="9"/>
    </row>
    <row r="58" spans="1:10" x14ac:dyDescent="0.25">
      <c r="A58" s="384" t="s">
        <v>932</v>
      </c>
      <c r="B58" s="553">
        <v>20</v>
      </c>
      <c r="C58" s="542"/>
      <c r="D58" s="543">
        <f>'SEPTEMBER 20'!H57:H77</f>
        <v>0</v>
      </c>
      <c r="E58" s="608">
        <v>1600</v>
      </c>
      <c r="F58" s="440">
        <f t="shared" si="3"/>
        <v>1600</v>
      </c>
      <c r="G58" s="440">
        <f>1600</f>
        <v>1600</v>
      </c>
      <c r="H58" s="544">
        <f t="shared" si="4"/>
        <v>0</v>
      </c>
      <c r="I58" s="543">
        <v>100</v>
      </c>
      <c r="J58" s="9"/>
    </row>
    <row r="59" spans="1:10" x14ac:dyDescent="0.25">
      <c r="A59" s="384" t="s">
        <v>934</v>
      </c>
      <c r="B59" s="553">
        <v>21</v>
      </c>
      <c r="C59" s="542">
        <v>2000</v>
      </c>
      <c r="D59" s="543">
        <f>'SEPTEMBER 20'!H58:H78</f>
        <v>0</v>
      </c>
      <c r="E59" s="608">
        <v>2000</v>
      </c>
      <c r="F59" s="440">
        <f t="shared" si="3"/>
        <v>4000</v>
      </c>
      <c r="G59" s="440">
        <f>1500+500</f>
        <v>2000</v>
      </c>
      <c r="H59" s="544">
        <f>F59-G59</f>
        <v>2000</v>
      </c>
      <c r="I59" s="543">
        <v>100</v>
      </c>
      <c r="J59" s="9"/>
    </row>
    <row r="60" spans="1:10" x14ac:dyDescent="0.25">
      <c r="A60" s="388" t="s">
        <v>701</v>
      </c>
      <c r="B60" s="553">
        <v>22</v>
      </c>
      <c r="C60" s="542"/>
      <c r="D60" s="543"/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9"/>
    </row>
    <row r="61" spans="1:10" x14ac:dyDescent="0.25">
      <c r="A61" s="379" t="s">
        <v>521</v>
      </c>
      <c r="B61" s="553">
        <v>23</v>
      </c>
      <c r="C61" s="542"/>
      <c r="D61" s="543"/>
      <c r="E61" s="608"/>
      <c r="F61" s="440">
        <f t="shared" si="3"/>
        <v>0</v>
      </c>
      <c r="G61" s="440"/>
      <c r="H61" s="544">
        <f>F61-G61</f>
        <v>0</v>
      </c>
      <c r="I61" s="543"/>
      <c r="J61" s="9"/>
    </row>
    <row r="62" spans="1:10" x14ac:dyDescent="0.25">
      <c r="A62" s="388" t="s">
        <v>935</v>
      </c>
      <c r="B62" s="541">
        <v>24</v>
      </c>
      <c r="C62" s="542"/>
      <c r="D62" s="543">
        <v>300</v>
      </c>
      <c r="E62" s="603">
        <v>2800</v>
      </c>
      <c r="F62" s="440">
        <f>C62+D62+E62</f>
        <v>3100</v>
      </c>
      <c r="G62" s="440">
        <f>2000+1100</f>
        <v>3100</v>
      </c>
      <c r="H62" s="544">
        <f>F62-G62</f>
        <v>0</v>
      </c>
      <c r="I62" s="543"/>
      <c r="J62" s="9"/>
    </row>
    <row r="63" spans="1:10" x14ac:dyDescent="0.25">
      <c r="A63" s="598" t="s">
        <v>708</v>
      </c>
      <c r="B63" s="191"/>
      <c r="C63" s="542">
        <f>SUM(C38:C62)</f>
        <v>19690</v>
      </c>
      <c r="D63" s="543">
        <f>SUM(D38:D62)</f>
        <v>10593</v>
      </c>
      <c r="E63" s="588">
        <f>SUM(E38:E62)</f>
        <v>50600</v>
      </c>
      <c r="F63" s="440">
        <f>C63+D63+E63</f>
        <v>80883</v>
      </c>
      <c r="G63" s="440">
        <f>SUM(G38:G62)</f>
        <v>51870</v>
      </c>
      <c r="H63" s="544">
        <f>F63-G63</f>
        <v>29013</v>
      </c>
      <c r="I63" s="591">
        <f>SUM(I38:I62)</f>
        <v>1000</v>
      </c>
      <c r="J63" s="9"/>
    </row>
    <row r="64" spans="1:10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9323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50600</v>
      </c>
      <c r="C68" s="191"/>
      <c r="D68" s="191"/>
      <c r="E68" s="191" t="s">
        <v>810</v>
      </c>
      <c r="F68" s="494">
        <f>G63</f>
        <v>51870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'SEPTEMBER 20'!D91</f>
        <v>-13490.600000000006</v>
      </c>
      <c r="C69" s="191"/>
      <c r="D69" s="191"/>
      <c r="E69" s="191" t="s">
        <v>347</v>
      </c>
      <c r="F69" s="494">
        <f>'SEPTEMBER 20'!H91</f>
        <v>-46734.600000000006</v>
      </c>
      <c r="G69" s="191"/>
      <c r="H69" s="191"/>
      <c r="I69" s="292"/>
      <c r="J69" s="9"/>
    </row>
    <row r="70" spans="1:10" x14ac:dyDescent="0.25">
      <c r="A70" s="191" t="s">
        <v>931</v>
      </c>
      <c r="B70" s="494">
        <f>500+500+500</f>
        <v>1500</v>
      </c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5060</v>
      </c>
      <c r="D72" s="191"/>
      <c r="E72" s="191" t="s">
        <v>613</v>
      </c>
      <c r="F72" s="327">
        <v>0.1</v>
      </c>
      <c r="G72" s="494">
        <f>C72</f>
        <v>5060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920</v>
      </c>
      <c r="B75" s="44"/>
      <c r="C75" s="44"/>
      <c r="D75" s="191"/>
      <c r="E75" s="607" t="s">
        <v>920</v>
      </c>
      <c r="F75" s="9"/>
      <c r="G75" s="9"/>
      <c r="H75" s="191"/>
      <c r="I75" s="371"/>
      <c r="J75" s="147"/>
    </row>
    <row r="76" spans="1:10" x14ac:dyDescent="0.25">
      <c r="A76" s="44"/>
      <c r="B76" s="44"/>
      <c r="C76" s="44"/>
      <c r="D76" s="191"/>
      <c r="E76" s="44"/>
      <c r="F76" s="44"/>
      <c r="G76" s="44"/>
      <c r="H76" s="191"/>
      <c r="I76" s="602"/>
      <c r="J76" s="147"/>
    </row>
    <row r="77" spans="1:10" x14ac:dyDescent="0.25">
      <c r="A77" s="496" t="s">
        <v>933</v>
      </c>
      <c r="B77" s="327"/>
      <c r="C77" s="191">
        <v>15000</v>
      </c>
      <c r="D77" s="191"/>
      <c r="E77" s="496" t="s">
        <v>933</v>
      </c>
      <c r="F77" s="327"/>
      <c r="G77" s="191">
        <v>15000</v>
      </c>
      <c r="H77" s="191"/>
      <c r="I77" s="216"/>
      <c r="J77" s="147"/>
    </row>
    <row r="78" spans="1:10" x14ac:dyDescent="0.25">
      <c r="A78" s="497" t="s">
        <v>936</v>
      </c>
      <c r="B78" s="495"/>
      <c r="C78" s="301">
        <v>10000</v>
      </c>
      <c r="D78" s="191"/>
      <c r="E78" s="497" t="s">
        <v>936</v>
      </c>
      <c r="F78" s="495"/>
      <c r="G78" s="301">
        <v>10000</v>
      </c>
      <c r="H78" s="191"/>
      <c r="I78" s="216"/>
      <c r="J78" s="147"/>
    </row>
    <row r="79" spans="1:10" x14ac:dyDescent="0.25">
      <c r="A79" s="44" t="s">
        <v>940</v>
      </c>
      <c r="B79" s="44"/>
      <c r="C79" s="44">
        <v>3106</v>
      </c>
      <c r="D79" s="191"/>
      <c r="E79" s="44" t="s">
        <v>940</v>
      </c>
      <c r="F79" s="44"/>
      <c r="G79" s="44">
        <v>3106</v>
      </c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>
        <f>C91+P84+P83+P82+P81+P80+P76</f>
        <v>0</v>
      </c>
      <c r="J80" s="252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</row>
    <row r="83" spans="1:13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9"/>
    </row>
    <row r="84" spans="1:13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P86+P85+P83+P84+P82+P81+P80+P76</f>
        <v>0</v>
      </c>
      <c r="M84">
        <f>5200+1000+2541</f>
        <v>8741</v>
      </c>
    </row>
    <row r="85" spans="1:13" x14ac:dyDescent="0.25">
      <c r="A85" s="44"/>
      <c r="B85" s="44"/>
      <c r="C85" s="44"/>
      <c r="D85" s="191"/>
      <c r="E85" s="496"/>
      <c r="F85" s="327"/>
      <c r="G85" s="191"/>
      <c r="H85" s="191"/>
      <c r="I85" s="216"/>
      <c r="J85" s="9"/>
      <c r="M85">
        <f>M84+2500</f>
        <v>11241</v>
      </c>
    </row>
    <row r="86" spans="1:13" x14ac:dyDescent="0.25">
      <c r="A86" s="9"/>
      <c r="B86" s="9"/>
      <c r="C86" s="9"/>
      <c r="D86" s="191"/>
      <c r="E86" s="496"/>
      <c r="F86" s="495"/>
      <c r="G86" s="191"/>
      <c r="H86" s="191"/>
      <c r="I86" s="216"/>
      <c r="J86" s="9"/>
    </row>
    <row r="87" spans="1:13" x14ac:dyDescent="0.25">
      <c r="A87" s="497"/>
      <c r="B87" s="495"/>
      <c r="C87" s="301"/>
      <c r="D87" s="191"/>
      <c r="E87" s="497"/>
      <c r="F87" s="495"/>
      <c r="G87" s="301"/>
      <c r="H87" s="191"/>
      <c r="I87" s="216"/>
      <c r="J87" s="252">
        <f>P76+P78+P79+P80+P81+P82+P83+P84+P85+P86</f>
        <v>0</v>
      </c>
    </row>
    <row r="88" spans="1:13" x14ac:dyDescent="0.25">
      <c r="A88" s="497"/>
      <c r="B88" s="495"/>
      <c r="C88" s="301"/>
      <c r="D88" s="191"/>
      <c r="E88" s="496"/>
      <c r="F88" s="495"/>
      <c r="G88" s="191"/>
      <c r="H88" s="191"/>
      <c r="I88" s="216"/>
      <c r="J88" s="9"/>
    </row>
    <row r="89" spans="1:13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</row>
    <row r="90" spans="1:13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</row>
    <row r="91" spans="1:13" x14ac:dyDescent="0.25">
      <c r="A91" s="497"/>
      <c r="B91" s="495"/>
      <c r="C91" s="301"/>
      <c r="D91" s="191"/>
      <c r="E91" s="497"/>
      <c r="F91" s="495"/>
      <c r="G91" s="301"/>
      <c r="H91" s="191"/>
      <c r="I91" s="216"/>
      <c r="J91" s="9"/>
    </row>
    <row r="92" spans="1:13" x14ac:dyDescent="0.25">
      <c r="A92" s="493" t="s">
        <v>2</v>
      </c>
      <c r="B92" s="499">
        <f>B70+B68+B69-C72-C71</f>
        <v>33549.399999999994</v>
      </c>
      <c r="C92" s="499">
        <f>SUM(C74:C91)</f>
        <v>38106</v>
      </c>
      <c r="D92" s="499">
        <f>B92-C92</f>
        <v>-4556.6000000000058</v>
      </c>
      <c r="E92" s="493" t="s">
        <v>2</v>
      </c>
      <c r="F92" s="499">
        <f>F68+F69+F70-G72-G71</f>
        <v>75.399999999994179</v>
      </c>
      <c r="G92" s="499">
        <f>SUM(G74:G91)</f>
        <v>38106</v>
      </c>
      <c r="H92" s="499">
        <f>F92-G92</f>
        <v>-38030.600000000006</v>
      </c>
      <c r="I92" s="216"/>
      <c r="J92" s="9"/>
    </row>
    <row r="93" spans="1:13" x14ac:dyDescent="0.25">
      <c r="A93" s="216"/>
      <c r="B93" s="216"/>
      <c r="C93" s="216"/>
      <c r="D93" s="216"/>
      <c r="E93" s="216"/>
      <c r="F93" s="216"/>
      <c r="G93" s="216"/>
      <c r="H93" s="216"/>
      <c r="I93" s="216"/>
      <c r="J93" s="9"/>
    </row>
    <row r="94" spans="1:13" x14ac:dyDescent="0.25">
      <c r="A94" s="558" t="s">
        <v>659</v>
      </c>
      <c r="B94" s="559"/>
      <c r="C94" s="559" t="s">
        <v>661</v>
      </c>
      <c r="D94" s="560"/>
      <c r="E94" s="216"/>
      <c r="F94" s="558" t="s">
        <v>662</v>
      </c>
      <c r="G94" s="216"/>
      <c r="H94" s="216"/>
      <c r="I94" s="216"/>
      <c r="J94" s="9"/>
    </row>
    <row r="95" spans="1:13" x14ac:dyDescent="0.25">
      <c r="A95" s="558"/>
      <c r="B95" s="559"/>
      <c r="C95" s="559"/>
      <c r="D95" s="560"/>
      <c r="E95" s="558"/>
      <c r="F95" s="558"/>
      <c r="G95" s="9"/>
      <c r="H95" s="602"/>
      <c r="I95" s="216"/>
      <c r="J95" s="9"/>
    </row>
    <row r="96" spans="1:13" x14ac:dyDescent="0.25">
      <c r="A96" s="558" t="s">
        <v>782</v>
      </c>
      <c r="B96" s="559"/>
      <c r="C96" s="559" t="s">
        <v>78</v>
      </c>
      <c r="D96" s="560"/>
      <c r="E96" s="558">
        <f>C72+C71</f>
        <v>5060</v>
      </c>
      <c r="F96" s="558" t="s">
        <v>663</v>
      </c>
      <c r="G96" s="216"/>
      <c r="H96" s="216"/>
      <c r="I96" s="216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216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9" workbookViewId="0">
      <selection activeCell="A56" sqref="A56"/>
    </sheetView>
  </sheetViews>
  <sheetFormatPr defaultRowHeight="15" x14ac:dyDescent="0.25"/>
  <cols>
    <col min="1" max="1" width="15.8554687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939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>
        <v>1</v>
      </c>
      <c r="C38" s="542"/>
      <c r="D38" s="543">
        <f>'OCTOBER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</row>
    <row r="39" spans="1:10" x14ac:dyDescent="0.25">
      <c r="A39" s="604" t="s">
        <v>952</v>
      </c>
      <c r="B39" s="541">
        <v>2</v>
      </c>
      <c r="C39" s="542"/>
      <c r="D39" s="543">
        <f>'OCTOBER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</row>
    <row r="40" spans="1:10" x14ac:dyDescent="0.25">
      <c r="A40" s="604" t="s">
        <v>925</v>
      </c>
      <c r="B40" s="541" t="s">
        <v>928</v>
      </c>
      <c r="C40" s="542">
        <v>2000</v>
      </c>
      <c r="D40" s="543"/>
      <c r="E40" s="443">
        <v>2500</v>
      </c>
      <c r="F40" s="440">
        <f>C40+D40+E40</f>
        <v>4500</v>
      </c>
      <c r="G40" s="440"/>
      <c r="H40" s="544">
        <f>F40-G40</f>
        <v>4500</v>
      </c>
      <c r="I40" s="543"/>
      <c r="J40" s="543"/>
    </row>
    <row r="41" spans="1:10" x14ac:dyDescent="0.25">
      <c r="A41" s="604" t="s">
        <v>638</v>
      </c>
      <c r="B41" s="541">
        <v>3</v>
      </c>
      <c r="C41" s="542"/>
      <c r="D41" s="543">
        <f>'OCTOBER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</row>
    <row r="42" spans="1:10" x14ac:dyDescent="0.25">
      <c r="A42" s="44" t="s">
        <v>758</v>
      </c>
      <c r="B42" s="541">
        <v>4</v>
      </c>
      <c r="C42" s="542"/>
      <c r="D42" s="543">
        <v>2610</v>
      </c>
      <c r="E42" s="543">
        <v>2000</v>
      </c>
      <c r="F42" s="440">
        <f>C42+D42+E42</f>
        <v>4610</v>
      </c>
      <c r="G42" s="440">
        <v>2600</v>
      </c>
      <c r="H42" s="544">
        <f t="shared" si="2"/>
        <v>2010</v>
      </c>
      <c r="I42" s="543">
        <v>100</v>
      </c>
      <c r="J42" s="543"/>
    </row>
    <row r="43" spans="1:10" x14ac:dyDescent="0.25">
      <c r="A43" s="388" t="s">
        <v>767</v>
      </c>
      <c r="B43" s="541">
        <v>5</v>
      </c>
      <c r="C43" s="542"/>
      <c r="D43" s="543">
        <f>'OCTOBER 20'!H43:H67</f>
        <v>3800</v>
      </c>
      <c r="E43" s="443">
        <v>3000</v>
      </c>
      <c r="F43" s="440">
        <f t="shared" si="3"/>
        <v>6800</v>
      </c>
      <c r="G43" s="440">
        <f>3100+3000</f>
        <v>6100</v>
      </c>
      <c r="H43" s="544">
        <f>F43-G43</f>
        <v>700</v>
      </c>
      <c r="I43" s="543">
        <v>100</v>
      </c>
      <c r="J43" s="543"/>
    </row>
    <row r="44" spans="1:10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2500</f>
        <v>2500</v>
      </c>
      <c r="H44" s="544">
        <f t="shared" si="2"/>
        <v>3430</v>
      </c>
      <c r="I44" s="543">
        <v>100</v>
      </c>
      <c r="J44" s="543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543">
        <v>150</v>
      </c>
    </row>
    <row r="47" spans="1:10" x14ac:dyDescent="0.25">
      <c r="A47" s="384"/>
      <c r="B47" s="541">
        <v>9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</row>
    <row r="48" spans="1:10" x14ac:dyDescent="0.25">
      <c r="A48" s="382" t="s">
        <v>827</v>
      </c>
      <c r="B48" s="601">
        <v>10</v>
      </c>
      <c r="C48" s="542"/>
      <c r="D48" s="543">
        <f>'OCTOBER 20'!H48:H72</f>
        <v>1333</v>
      </c>
      <c r="E48" s="191">
        <v>2500</v>
      </c>
      <c r="F48" s="440">
        <f t="shared" si="3"/>
        <v>3833</v>
      </c>
      <c r="G48" s="440">
        <f>2900</f>
        <v>2900</v>
      </c>
      <c r="H48" s="544">
        <f t="shared" si="2"/>
        <v>933</v>
      </c>
      <c r="I48" s="543"/>
      <c r="J48" s="543"/>
    </row>
    <row r="49" spans="1:11" x14ac:dyDescent="0.25">
      <c r="A49" s="113" t="s">
        <v>521</v>
      </c>
      <c r="B49" s="541">
        <v>11</v>
      </c>
      <c r="C49" s="542"/>
      <c r="D49" s="543">
        <f>'OCTOBER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'OCTOBER 20'!H50:H74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611" t="s">
        <v>930</v>
      </c>
      <c r="B51" s="541">
        <v>13</v>
      </c>
      <c r="C51" s="542"/>
      <c r="D51" s="543"/>
      <c r="E51" s="544">
        <v>2500</v>
      </c>
      <c r="F51" s="440">
        <f t="shared" si="3"/>
        <v>2500</v>
      </c>
      <c r="G51" s="440"/>
      <c r="H51" s="544"/>
      <c r="I51" s="543"/>
      <c r="J51" s="543"/>
      <c r="K51" t="s">
        <v>614</v>
      </c>
    </row>
    <row r="52" spans="1:11" x14ac:dyDescent="0.25">
      <c r="A52" s="113" t="s">
        <v>505</v>
      </c>
      <c r="B52" s="541">
        <v>14</v>
      </c>
      <c r="C52" s="542"/>
      <c r="D52" s="543">
        <f>'OCTOBER 20'!H52:H76</f>
        <v>0</v>
      </c>
      <c r="E52" s="549"/>
      <c r="F52" s="440"/>
      <c r="G52" s="440"/>
      <c r="H52" s="544">
        <f>F52-G52</f>
        <v>0</v>
      </c>
      <c r="I52" s="543"/>
      <c r="J52" s="543"/>
    </row>
    <row r="53" spans="1:11" x14ac:dyDescent="0.25">
      <c r="A53" s="604" t="s">
        <v>703</v>
      </c>
      <c r="B53" s="541">
        <v>15</v>
      </c>
      <c r="C53" s="542"/>
      <c r="D53" s="543">
        <f>'OCTOBER 20'!H53:H77</f>
        <v>0</v>
      </c>
      <c r="E53" s="544">
        <v>2500</v>
      </c>
      <c r="F53" s="440">
        <f>C53+D53+E53</f>
        <v>2500</v>
      </c>
      <c r="G53" s="440"/>
      <c r="H53" s="544">
        <f t="shared" ref="H53:H60" si="4">F53-G53</f>
        <v>2500</v>
      </c>
      <c r="I53" s="543">
        <v>100</v>
      </c>
      <c r="J53" s="543">
        <v>200</v>
      </c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/>
      <c r="J54" s="543"/>
    </row>
    <row r="55" spans="1:11" x14ac:dyDescent="0.25">
      <c r="A55" s="379" t="s">
        <v>521</v>
      </c>
      <c r="B55" s="541">
        <v>17</v>
      </c>
      <c r="C55" s="542"/>
      <c r="D55" s="543">
        <f>'OCTOBER 20'!H55:H79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</row>
    <row r="56" spans="1:11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/>
      <c r="J56" s="543">
        <v>200</v>
      </c>
    </row>
    <row r="57" spans="1:11" x14ac:dyDescent="0.25">
      <c r="A57" s="611" t="s">
        <v>670</v>
      </c>
      <c r="B57" s="553">
        <v>19</v>
      </c>
      <c r="C57" s="542"/>
      <c r="D57" s="543"/>
      <c r="E57" s="556">
        <v>1600</v>
      </c>
      <c r="F57" s="440">
        <f t="shared" si="3"/>
        <v>1600</v>
      </c>
      <c r="G57" s="440"/>
      <c r="H57" s="544"/>
      <c r="I57" s="543"/>
      <c r="J57" s="543"/>
      <c r="K57" t="s">
        <v>614</v>
      </c>
    </row>
    <row r="58" spans="1:11" x14ac:dyDescent="0.25">
      <c r="A58" s="379" t="s">
        <v>521</v>
      </c>
      <c r="B58" s="553">
        <v>20</v>
      </c>
      <c r="C58" s="542"/>
      <c r="D58" s="543">
        <f>'OCTOBER 20'!H58:H82</f>
        <v>0</v>
      </c>
      <c r="E58" s="608"/>
      <c r="F58" s="440">
        <f t="shared" si="3"/>
        <v>0</v>
      </c>
      <c r="G58" s="440"/>
      <c r="H58" s="544">
        <f t="shared" si="4"/>
        <v>0</v>
      </c>
      <c r="I58" s="543"/>
      <c r="J58" s="543"/>
    </row>
    <row r="59" spans="1:11" x14ac:dyDescent="0.25">
      <c r="A59" s="384" t="s">
        <v>521</v>
      </c>
      <c r="B59" s="553">
        <v>21</v>
      </c>
      <c r="C59" s="542"/>
      <c r="D59" s="543"/>
      <c r="E59" s="608"/>
      <c r="F59" s="440">
        <f t="shared" si="3"/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701</v>
      </c>
      <c r="B60" s="553">
        <v>22</v>
      </c>
      <c r="C60" s="542"/>
      <c r="D60" s="543">
        <f>'OCTOBER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</row>
    <row r="61" spans="1:11" x14ac:dyDescent="0.25">
      <c r="A61" s="379" t="s">
        <v>521</v>
      </c>
      <c r="B61" s="553">
        <v>23</v>
      </c>
      <c r="C61" s="542"/>
      <c r="D61" s="543">
        <f>'OCTOBER 20'!H61:H85</f>
        <v>0</v>
      </c>
      <c r="E61" s="608"/>
      <c r="F61" s="440">
        <f t="shared" si="3"/>
        <v>0</v>
      </c>
      <c r="G61" s="440"/>
      <c r="H61" s="544">
        <f>F61-G61</f>
        <v>0</v>
      </c>
      <c r="I61" s="543"/>
      <c r="J61" s="543"/>
    </row>
    <row r="62" spans="1:11" x14ac:dyDescent="0.25">
      <c r="A62" s="388" t="s">
        <v>935</v>
      </c>
      <c r="B62" s="541">
        <v>24</v>
      </c>
      <c r="C62" s="542"/>
      <c r="D62" s="543">
        <f>'OCTOBER 20'!H62:H86</f>
        <v>0</v>
      </c>
      <c r="E62" s="603">
        <v>2800</v>
      </c>
      <c r="F62" s="440">
        <f>C62+D62+E62</f>
        <v>2800</v>
      </c>
      <c r="G62" s="440">
        <v>2800</v>
      </c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5">SUM(C38:C62)</f>
        <v>8090</v>
      </c>
      <c r="D63" s="543">
        <f t="shared" si="5"/>
        <v>11173</v>
      </c>
      <c r="E63" s="588">
        <f t="shared" si="5"/>
        <v>44500</v>
      </c>
      <c r="F63" s="440">
        <f t="shared" si="5"/>
        <v>63763</v>
      </c>
      <c r="G63" s="440">
        <f>SUM(G38:G62)</f>
        <v>39500</v>
      </c>
      <c r="H63" s="544">
        <f t="shared" si="5"/>
        <v>20163</v>
      </c>
      <c r="I63" s="591">
        <f t="shared" si="5"/>
        <v>800</v>
      </c>
      <c r="J63" s="591">
        <f>SUM(J38:J62)</f>
        <v>550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12073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44500</v>
      </c>
      <c r="C68" s="191"/>
      <c r="D68" s="191"/>
      <c r="E68" s="191" t="s">
        <v>810</v>
      </c>
      <c r="F68" s="494">
        <f>G63</f>
        <v>39500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'OCTOBER 20'!D92</f>
        <v>-4556.6000000000058</v>
      </c>
      <c r="C69" s="191"/>
      <c r="D69" s="191"/>
      <c r="E69" s="191" t="s">
        <v>347</v>
      </c>
      <c r="F69" s="494">
        <f>'OCTOBER 20'!H92</f>
        <v>-38030.600000000006</v>
      </c>
      <c r="G69" s="191"/>
      <c r="H69" s="191"/>
      <c r="I69" s="292"/>
      <c r="J69" s="9"/>
    </row>
    <row r="70" spans="1:10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4450</v>
      </c>
      <c r="D72" s="191"/>
      <c r="E72" s="191" t="s">
        <v>613</v>
      </c>
      <c r="F72" s="327">
        <v>0.1</v>
      </c>
      <c r="G72" s="494">
        <f>C72</f>
        <v>4450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941</v>
      </c>
      <c r="B75" s="44"/>
      <c r="C75" s="44">
        <v>15000</v>
      </c>
      <c r="D75" s="191"/>
      <c r="E75" s="498" t="s">
        <v>941</v>
      </c>
      <c r="F75" s="44"/>
      <c r="G75" s="44">
        <v>15000</v>
      </c>
      <c r="H75" s="191"/>
      <c r="I75" s="371"/>
      <c r="J75" s="147"/>
    </row>
    <row r="76" spans="1:10" x14ac:dyDescent="0.25">
      <c r="A76" s="44" t="s">
        <v>838</v>
      </c>
      <c r="B76" s="44"/>
      <c r="C76" s="44">
        <v>10500</v>
      </c>
      <c r="D76" s="191"/>
      <c r="E76" s="44" t="s">
        <v>838</v>
      </c>
      <c r="F76" s="44"/>
      <c r="G76" s="44">
        <v>10500</v>
      </c>
      <c r="H76" s="191"/>
      <c r="I76" s="602"/>
      <c r="J76" s="147"/>
    </row>
    <row r="77" spans="1:10" x14ac:dyDescent="0.25">
      <c r="A77" s="496" t="s">
        <v>943</v>
      </c>
      <c r="B77" s="327"/>
      <c r="C77" s="191">
        <v>2500</v>
      </c>
      <c r="D77" s="191"/>
      <c r="E77" s="496"/>
      <c r="F77" s="327"/>
      <c r="G77" s="191"/>
      <c r="H77" s="191"/>
      <c r="I77" s="216"/>
      <c r="J77" s="147"/>
    </row>
    <row r="78" spans="1:10" x14ac:dyDescent="0.25">
      <c r="A78" s="497" t="s">
        <v>944</v>
      </c>
      <c r="B78" s="495"/>
      <c r="C78" s="301">
        <v>1600</v>
      </c>
      <c r="D78" s="191"/>
      <c r="E78" s="497"/>
      <c r="F78" s="495"/>
      <c r="G78" s="301"/>
      <c r="H78" s="191"/>
      <c r="I78" s="216"/>
      <c r="J78" s="147"/>
    </row>
    <row r="79" spans="1:10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L82" s="252">
        <f>C77+C78</f>
        <v>4100</v>
      </c>
    </row>
    <row r="83" spans="1:12" x14ac:dyDescent="0.25">
      <c r="A83" s="493" t="s">
        <v>2</v>
      </c>
      <c r="B83" s="499">
        <f>B70+B68+B69-C72-C71</f>
        <v>35493.399999999994</v>
      </c>
      <c r="C83" s="499">
        <f>SUM(C74:C82)</f>
        <v>39600</v>
      </c>
      <c r="D83" s="499">
        <f>B83-C83</f>
        <v>-4106.6000000000058</v>
      </c>
      <c r="E83" s="493" t="s">
        <v>2</v>
      </c>
      <c r="F83" s="499">
        <f>F68+F69+F70-G72-G71</f>
        <v>-2980.6000000000058</v>
      </c>
      <c r="G83" s="499">
        <f>SUM(G74:G82)</f>
        <v>35500</v>
      </c>
      <c r="H83" s="499">
        <f>F83-G83</f>
        <v>-38480.600000000006</v>
      </c>
      <c r="I83" s="216"/>
      <c r="J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</row>
    <row r="87" spans="1:12" x14ac:dyDescent="0.25">
      <c r="A87" s="558" t="s">
        <v>782</v>
      </c>
      <c r="B87" s="559"/>
      <c r="C87" s="559" t="s">
        <v>78</v>
      </c>
      <c r="D87" s="560"/>
      <c r="E87" s="558">
        <f>C72+C71</f>
        <v>4450</v>
      </c>
      <c r="F87" s="558" t="s">
        <v>663</v>
      </c>
      <c r="G87" s="216"/>
      <c r="H87" s="216"/>
      <c r="I87" s="216"/>
      <c r="J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A36" workbookViewId="0">
      <selection activeCell="A47" sqref="A47"/>
    </sheetView>
  </sheetViews>
  <sheetFormatPr defaultRowHeight="15" x14ac:dyDescent="0.25"/>
  <cols>
    <col min="1" max="1" width="17.710937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</row>
    <row r="3" spans="1:13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</row>
    <row r="4" spans="1:13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</row>
    <row r="36" spans="1:13" ht="18.75" x14ac:dyDescent="0.3">
      <c r="A36" s="536"/>
      <c r="B36" s="537" t="s">
        <v>947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'NOVEMBER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  <c r="M38" s="9"/>
    </row>
    <row r="39" spans="1:13" x14ac:dyDescent="0.25">
      <c r="A39" s="604" t="s">
        <v>880</v>
      </c>
      <c r="B39" s="541">
        <v>2</v>
      </c>
      <c r="C39" s="542"/>
      <c r="D39" s="543">
        <f>'NOVEMBER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</row>
    <row r="40" spans="1:13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2500</f>
        <v>2500</v>
      </c>
      <c r="H40" s="544">
        <f>F40-G40</f>
        <v>4500</v>
      </c>
      <c r="I40" s="543"/>
      <c r="J40" s="543"/>
      <c r="K40" s="9"/>
      <c r="L40" s="9"/>
      <c r="M40" s="9"/>
    </row>
    <row r="41" spans="1:13" x14ac:dyDescent="0.25">
      <c r="A41" s="604" t="s">
        <v>638</v>
      </c>
      <c r="B41" s="541">
        <v>3</v>
      </c>
      <c r="C41" s="542"/>
      <c r="D41" s="543">
        <f>'NOVEMBER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  <c r="K41" s="9"/>
      <c r="L41" s="9"/>
      <c r="M41" s="9"/>
    </row>
    <row r="42" spans="1:13" x14ac:dyDescent="0.25">
      <c r="A42" s="44" t="s">
        <v>758</v>
      </c>
      <c r="B42" s="541">
        <v>4</v>
      </c>
      <c r="C42" s="542"/>
      <c r="D42" s="543">
        <f>'NOVEMBER 20'!H42:H66</f>
        <v>2010</v>
      </c>
      <c r="E42" s="543">
        <v>2000</v>
      </c>
      <c r="F42" s="440">
        <f>C42+D42+E42</f>
        <v>4010</v>
      </c>
      <c r="G42" s="440">
        <f>1000+600</f>
        <v>1600</v>
      </c>
      <c r="H42" s="544"/>
      <c r="I42" s="543"/>
      <c r="J42" s="543"/>
      <c r="K42" s="9"/>
      <c r="L42" s="9"/>
      <c r="M42" s="9"/>
    </row>
    <row r="43" spans="1:13" x14ac:dyDescent="0.25">
      <c r="A43" s="388" t="s">
        <v>767</v>
      </c>
      <c r="B43" s="541">
        <v>5</v>
      </c>
      <c r="C43" s="542"/>
      <c r="D43" s="543">
        <f>'NOVEMBER 20'!H43:H67</f>
        <v>700</v>
      </c>
      <c r="E43" s="443">
        <v>3000</v>
      </c>
      <c r="F43" s="440">
        <f t="shared" si="3"/>
        <v>3700</v>
      </c>
      <c r="G43" s="440">
        <f>3100</f>
        <v>3100</v>
      </c>
      <c r="H43" s="544">
        <f t="shared" si="2"/>
        <v>600</v>
      </c>
      <c r="I43" s="543"/>
      <c r="J43" s="543"/>
      <c r="K43" s="9"/>
      <c r="L43" s="9"/>
      <c r="M43" s="9"/>
    </row>
    <row r="44" spans="1:13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2600</f>
        <v>2600</v>
      </c>
      <c r="H44" s="544">
        <f t="shared" si="2"/>
        <v>3330</v>
      </c>
      <c r="I44" s="543">
        <v>100</v>
      </c>
      <c r="J44" s="543"/>
      <c r="K44" s="9"/>
      <c r="L44" s="9"/>
      <c r="M44" s="9"/>
    </row>
    <row r="45" spans="1:13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  <c r="K45" s="9"/>
      <c r="L45" s="9"/>
      <c r="M45" s="9"/>
    </row>
    <row r="46" spans="1:13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150</v>
      </c>
      <c r="K46" s="9"/>
      <c r="L46" s="9"/>
      <c r="M46" s="9"/>
    </row>
    <row r="47" spans="1:13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2000+500</f>
        <v>2500</v>
      </c>
      <c r="H47" s="544">
        <f t="shared" si="2"/>
        <v>1500</v>
      </c>
      <c r="I47" s="543">
        <v>100</v>
      </c>
      <c r="J47" s="543"/>
      <c r="K47" s="9"/>
      <c r="L47" s="9"/>
      <c r="M47" s="9"/>
    </row>
    <row r="48" spans="1:13" x14ac:dyDescent="0.25">
      <c r="A48" s="382" t="s">
        <v>827</v>
      </c>
      <c r="B48" s="601">
        <v>10</v>
      </c>
      <c r="C48" s="542"/>
      <c r="D48" s="543">
        <f>'NOVEMBER 20'!H48:H72</f>
        <v>933</v>
      </c>
      <c r="E48" s="191">
        <v>2500</v>
      </c>
      <c r="F48" s="440">
        <f t="shared" si="3"/>
        <v>3433</v>
      </c>
      <c r="G48" s="440">
        <f>1000</f>
        <v>1000</v>
      </c>
      <c r="H48" s="544">
        <f t="shared" si="2"/>
        <v>2433</v>
      </c>
      <c r="I48" s="543"/>
      <c r="J48" s="543"/>
      <c r="K48" s="9"/>
      <c r="L48" s="9"/>
      <c r="M48" s="9"/>
    </row>
    <row r="49" spans="1:13" x14ac:dyDescent="0.25">
      <c r="A49" s="113"/>
      <c r="B49" s="541">
        <v>11</v>
      </c>
      <c r="C49" s="542"/>
      <c r="D49" s="543">
        <f>'NOVEMBER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  <c r="L49" s="9"/>
      <c r="M49" s="9"/>
    </row>
    <row r="50" spans="1:13" x14ac:dyDescent="0.25">
      <c r="A50" s="382" t="s">
        <v>945</v>
      </c>
      <c r="B50" s="541">
        <v>12</v>
      </c>
      <c r="C50" s="542"/>
      <c r="D50" s="543">
        <f>'NOVEMBER 20'!H50:H74</f>
        <v>0</v>
      </c>
      <c r="E50" s="603">
        <v>2700</v>
      </c>
      <c r="F50" s="440">
        <f>C50+D50+E50</f>
        <v>2700</v>
      </c>
      <c r="G50" s="440">
        <v>2700</v>
      </c>
      <c r="H50" s="544">
        <f t="shared" si="2"/>
        <v>0</v>
      </c>
      <c r="I50" s="543"/>
      <c r="J50" s="543"/>
      <c r="K50" s="9"/>
      <c r="L50" s="9"/>
      <c r="M50" s="9"/>
    </row>
    <row r="51" spans="1:13" x14ac:dyDescent="0.25">
      <c r="A51" s="611" t="s">
        <v>521</v>
      </c>
      <c r="B51" s="541">
        <v>13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  <c r="M51" s="9"/>
    </row>
    <row r="52" spans="1:13" x14ac:dyDescent="0.25">
      <c r="A52" s="113" t="s">
        <v>505</v>
      </c>
      <c r="B52" s="541">
        <v>14</v>
      </c>
      <c r="C52" s="542"/>
      <c r="D52" s="543">
        <f>'NOVEMBER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</row>
    <row r="53" spans="1:13" x14ac:dyDescent="0.25">
      <c r="A53" s="604"/>
      <c r="B53" s="541">
        <v>15</v>
      </c>
      <c r="C53" s="542"/>
      <c r="D53" s="543"/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</row>
    <row r="55" spans="1:13" x14ac:dyDescent="0.25">
      <c r="A55" s="384" t="s">
        <v>946</v>
      </c>
      <c r="B55" s="541">
        <v>17</v>
      </c>
      <c r="C55" s="542"/>
      <c r="D55" s="543">
        <f>'NOVEMBER 20'!H55:H79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>
        <v>100</v>
      </c>
      <c r="J55" s="543"/>
      <c r="K55" s="9"/>
      <c r="L55" s="9"/>
      <c r="M55" s="9"/>
    </row>
    <row r="56" spans="1:13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1900</f>
        <v>1900</v>
      </c>
      <c r="H56" s="544">
        <f>F56-G56</f>
        <v>290</v>
      </c>
      <c r="I56" s="543">
        <v>100</v>
      </c>
      <c r="J56" s="543">
        <v>200</v>
      </c>
      <c r="K56" s="9"/>
      <c r="L56" s="9"/>
      <c r="M56" s="9"/>
    </row>
    <row r="57" spans="1:13" x14ac:dyDescent="0.25">
      <c r="A57" s="611" t="s">
        <v>521</v>
      </c>
      <c r="B57" s="553">
        <v>19</v>
      </c>
      <c r="C57" s="542"/>
      <c r="D57" s="543"/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  <c r="M57" s="9"/>
    </row>
    <row r="58" spans="1:13" x14ac:dyDescent="0.25">
      <c r="A58" s="379" t="s">
        <v>956</v>
      </c>
      <c r="B58" s="553">
        <v>20</v>
      </c>
      <c r="C58" s="542"/>
      <c r="D58" s="543">
        <f>'NOVEMBER 20'!H58:H82</f>
        <v>0</v>
      </c>
      <c r="E58" s="608">
        <v>500</v>
      </c>
      <c r="F58" s="440">
        <f t="shared" si="3"/>
        <v>500</v>
      </c>
      <c r="G58" s="440">
        <v>500</v>
      </c>
      <c r="H58" s="544">
        <f t="shared" si="4"/>
        <v>0</v>
      </c>
      <c r="I58" s="543"/>
      <c r="J58" s="543"/>
      <c r="K58" s="9"/>
      <c r="L58" s="9"/>
      <c r="M58" s="9"/>
    </row>
    <row r="59" spans="1:13" x14ac:dyDescent="0.25">
      <c r="A59" s="384" t="s">
        <v>948</v>
      </c>
      <c r="B59" s="553">
        <v>21</v>
      </c>
      <c r="C59" s="542"/>
      <c r="D59" s="543">
        <f>'NOVEMBER 20'!H59:H83</f>
        <v>0</v>
      </c>
      <c r="E59" s="608">
        <v>2000</v>
      </c>
      <c r="F59" s="440">
        <f t="shared" si="3"/>
        <v>2000</v>
      </c>
      <c r="G59" s="440">
        <f>1500</f>
        <v>1500</v>
      </c>
      <c r="H59" s="544">
        <f>F59-G59</f>
        <v>500</v>
      </c>
      <c r="I59" s="543"/>
      <c r="J59" s="543"/>
      <c r="K59" s="9"/>
      <c r="L59" s="9"/>
      <c r="M59" s="9"/>
    </row>
    <row r="60" spans="1:13" x14ac:dyDescent="0.25">
      <c r="A60" s="388" t="s">
        <v>701</v>
      </c>
      <c r="B60" s="553">
        <v>22</v>
      </c>
      <c r="C60" s="542"/>
      <c r="D60" s="543">
        <f>'NOVEMBER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</row>
    <row r="61" spans="1:13" x14ac:dyDescent="0.25">
      <c r="A61" s="384" t="s">
        <v>949</v>
      </c>
      <c r="B61" s="553">
        <v>23</v>
      </c>
      <c r="C61" s="542"/>
      <c r="D61" s="543">
        <f>'NOVEMBER 20'!H61:H85</f>
        <v>0</v>
      </c>
      <c r="E61" s="608">
        <v>2000</v>
      </c>
      <c r="F61" s="440">
        <f t="shared" si="3"/>
        <v>2000</v>
      </c>
      <c r="G61" s="440">
        <f>1700</f>
        <v>1700</v>
      </c>
      <c r="H61" s="544">
        <f>F61-G61</f>
        <v>300</v>
      </c>
      <c r="I61" s="543"/>
      <c r="J61" s="543"/>
      <c r="K61" s="9"/>
      <c r="L61" s="9"/>
      <c r="M61" s="9"/>
    </row>
    <row r="62" spans="1:13" x14ac:dyDescent="0.25">
      <c r="A62" s="388" t="s">
        <v>935</v>
      </c>
      <c r="B62" s="541">
        <v>24</v>
      </c>
      <c r="C62" s="542"/>
      <c r="D62" s="543">
        <f>'NOVEMBER 20'!H62:H86</f>
        <v>0</v>
      </c>
      <c r="E62" s="603">
        <v>2800</v>
      </c>
      <c r="F62" s="440">
        <f>C62+D62+E62</f>
        <v>2800</v>
      </c>
      <c r="G62" s="440">
        <f>800+2000</f>
        <v>2800</v>
      </c>
      <c r="H62" s="544">
        <f>F62-G62</f>
        <v>0</v>
      </c>
      <c r="I62" s="543"/>
      <c r="J62" s="543"/>
      <c r="K62" s="9"/>
      <c r="L62" s="9"/>
      <c r="M62" s="9"/>
    </row>
    <row r="63" spans="1:13" x14ac:dyDescent="0.25">
      <c r="A63" s="598" t="s">
        <v>708</v>
      </c>
      <c r="B63" s="191"/>
      <c r="C63" s="542">
        <f t="shared" ref="C63:I63" si="5">SUM(C38:C62)</f>
        <v>9590</v>
      </c>
      <c r="D63" s="543">
        <f>SUM(D38:D62)</f>
        <v>9573</v>
      </c>
      <c r="E63" s="588">
        <f>SUM(E38:E62)</f>
        <v>49200</v>
      </c>
      <c r="F63" s="440">
        <f t="shared" si="5"/>
        <v>68363</v>
      </c>
      <c r="G63" s="440">
        <f t="shared" si="5"/>
        <v>47000</v>
      </c>
      <c r="H63" s="544">
        <f t="shared" si="5"/>
        <v>18953</v>
      </c>
      <c r="I63" s="591">
        <f t="shared" si="5"/>
        <v>900</v>
      </c>
      <c r="J63" s="591">
        <f>SUM(J38:J62)</f>
        <v>350</v>
      </c>
      <c r="K63" s="9"/>
      <c r="L63" s="9"/>
      <c r="M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9363</v>
      </c>
      <c r="J65" s="9"/>
      <c r="K65" s="9"/>
      <c r="L65" s="9"/>
      <c r="M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</row>
    <row r="68" spans="1:16" x14ac:dyDescent="0.25">
      <c r="A68" s="191" t="s">
        <v>810</v>
      </c>
      <c r="B68" s="494">
        <f>E63</f>
        <v>49200</v>
      </c>
      <c r="C68" s="191"/>
      <c r="D68" s="191"/>
      <c r="E68" s="191" t="s">
        <v>810</v>
      </c>
      <c r="F68" s="494">
        <f>G63</f>
        <v>47000</v>
      </c>
      <c r="G68" s="191"/>
      <c r="H68" s="191"/>
      <c r="I68" s="292"/>
      <c r="J68" s="9"/>
      <c r="K68" s="9"/>
      <c r="L68" s="9"/>
      <c r="M68" s="9"/>
    </row>
    <row r="69" spans="1:16" x14ac:dyDescent="0.25">
      <c r="A69" s="191" t="s">
        <v>347</v>
      </c>
      <c r="B69" s="494">
        <f>'NOVEMBER 20'!D83</f>
        <v>-4106.6000000000058</v>
      </c>
      <c r="C69" s="191"/>
      <c r="D69" s="191"/>
      <c r="E69" s="191" t="s">
        <v>347</v>
      </c>
      <c r="F69" s="494">
        <f>'NOVEMBER 20'!H83</f>
        <v>-38480.600000000006</v>
      </c>
      <c r="G69" s="191"/>
      <c r="H69" s="191"/>
      <c r="I69" s="292"/>
      <c r="J69" s="9"/>
      <c r="K69" s="9"/>
      <c r="L69" s="9"/>
      <c r="M69" s="9"/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</row>
    <row r="71" spans="1:16" x14ac:dyDescent="0.25">
      <c r="A71" s="191" t="s">
        <v>652</v>
      </c>
      <c r="B71" s="494">
        <v>0.3</v>
      </c>
      <c r="C71" s="301">
        <f>B71*E55+(B71*E50)</f>
        <v>1290</v>
      </c>
      <c r="D71" s="191"/>
      <c r="E71" s="191" t="s">
        <v>652</v>
      </c>
      <c r="F71" s="494">
        <v>0.3</v>
      </c>
      <c r="G71" s="301">
        <f>F71*E55+(F71*E50)</f>
        <v>1290</v>
      </c>
      <c r="H71" s="191"/>
      <c r="I71" s="292"/>
      <c r="J71" s="9"/>
      <c r="K71" s="9"/>
      <c r="L71" s="9"/>
      <c r="M71" s="9"/>
    </row>
    <row r="72" spans="1:16" x14ac:dyDescent="0.25">
      <c r="A72" s="191" t="s">
        <v>613</v>
      </c>
      <c r="B72" s="327">
        <v>0.1</v>
      </c>
      <c r="C72" s="494">
        <f>B72*B68</f>
        <v>4920</v>
      </c>
      <c r="D72" s="191"/>
      <c r="E72" s="191" t="s">
        <v>613</v>
      </c>
      <c r="F72" s="327">
        <v>0.1</v>
      </c>
      <c r="G72" s="494">
        <f>C72</f>
        <v>4920</v>
      </c>
      <c r="H72" s="191"/>
      <c r="I72" s="292"/>
      <c r="J72" s="9"/>
      <c r="K72" s="9"/>
      <c r="L72" s="9"/>
      <c r="M72" s="9"/>
    </row>
    <row r="73" spans="1:16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  <c r="M73" s="9"/>
    </row>
    <row r="74" spans="1:16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  <c r="K74" s="9"/>
      <c r="L74" s="9"/>
      <c r="M74" s="9"/>
      <c r="N74" s="496" t="s">
        <v>950</v>
      </c>
      <c r="O74" s="327"/>
      <c r="P74" s="191">
        <f>1930+400</f>
        <v>2330</v>
      </c>
    </row>
    <row r="75" spans="1:16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9"/>
      <c r="L75" s="9"/>
      <c r="M75" s="9"/>
    </row>
    <row r="76" spans="1:16" x14ac:dyDescent="0.25">
      <c r="A76" s="44" t="s">
        <v>848</v>
      </c>
      <c r="B76" s="44"/>
      <c r="C76" s="44">
        <v>10000</v>
      </c>
      <c r="D76" s="191"/>
      <c r="E76" s="44" t="s">
        <v>848</v>
      </c>
      <c r="F76" s="44"/>
      <c r="G76" s="44">
        <v>10000</v>
      </c>
      <c r="H76" s="191"/>
      <c r="I76" s="602"/>
      <c r="J76" s="147"/>
      <c r="K76" s="9"/>
      <c r="L76" s="9"/>
      <c r="M76" s="9"/>
    </row>
    <row r="77" spans="1:16" x14ac:dyDescent="0.25">
      <c r="A77" s="496"/>
      <c r="B77" s="327"/>
      <c r="C77" s="191"/>
      <c r="D77" s="191"/>
      <c r="E77" s="496"/>
      <c r="F77" s="327"/>
      <c r="G77" s="191"/>
      <c r="H77" s="191"/>
      <c r="I77" s="216"/>
      <c r="J77" s="147"/>
      <c r="K77" s="9"/>
      <c r="L77" s="9"/>
      <c r="M77" s="9"/>
    </row>
    <row r="78" spans="1:16" x14ac:dyDescent="0.25">
      <c r="A78" s="497" t="s">
        <v>951</v>
      </c>
      <c r="B78" s="495"/>
      <c r="C78" s="301">
        <v>18430</v>
      </c>
      <c r="D78" s="191"/>
      <c r="E78" s="497" t="s">
        <v>951</v>
      </c>
      <c r="F78" s="495"/>
      <c r="G78" s="301">
        <v>18430</v>
      </c>
      <c r="H78" s="191"/>
      <c r="I78" s="216"/>
      <c r="J78" s="147"/>
      <c r="K78" s="9"/>
      <c r="L78" s="9"/>
      <c r="M78" s="9"/>
    </row>
    <row r="79" spans="1:16" x14ac:dyDescent="0.25">
      <c r="A79" s="44" t="s">
        <v>958</v>
      </c>
      <c r="B79" s="44"/>
      <c r="C79" s="44">
        <v>2410</v>
      </c>
      <c r="D79" s="191"/>
      <c r="E79" s="44" t="s">
        <v>958</v>
      </c>
      <c r="F79" s="44"/>
      <c r="G79" s="44">
        <v>2410</v>
      </c>
      <c r="H79" s="191"/>
      <c r="I79" s="216"/>
      <c r="J79" s="147"/>
      <c r="K79" s="9"/>
      <c r="L79" s="9"/>
      <c r="M79" s="9"/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  <c r="M80" s="9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  <c r="M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  <c r="M82" s="9"/>
    </row>
    <row r="83" spans="1:13" x14ac:dyDescent="0.25">
      <c r="A83" s="493" t="s">
        <v>2</v>
      </c>
      <c r="B83" s="499">
        <f>B70+B68+B69-C72-C71</f>
        <v>38883.399999999994</v>
      </c>
      <c r="C83" s="499">
        <f>SUM(C74:C82)</f>
        <v>40840</v>
      </c>
      <c r="D83" s="499">
        <f>B83-C83</f>
        <v>-1956.6000000000058</v>
      </c>
      <c r="E83" s="493" t="s">
        <v>2</v>
      </c>
      <c r="F83" s="499">
        <f>F68+F69+F70-G72-G71</f>
        <v>2309.3999999999942</v>
      </c>
      <c r="G83" s="499">
        <f>SUM(G74:G82)</f>
        <v>40840</v>
      </c>
      <c r="H83" s="499">
        <f>F83-G83</f>
        <v>-38530.600000000006</v>
      </c>
      <c r="I83" s="216"/>
      <c r="J83" s="9"/>
      <c r="K83" s="9"/>
      <c r="L83" s="9"/>
      <c r="M83" s="9"/>
    </row>
    <row r="84" spans="1:13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  <c r="M84" s="9"/>
    </row>
    <row r="85" spans="1:13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  <c r="M85" s="9"/>
    </row>
    <row r="86" spans="1:13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  <c r="M86" s="9"/>
    </row>
    <row r="87" spans="1:13" x14ac:dyDescent="0.25">
      <c r="A87" s="558" t="s">
        <v>782</v>
      </c>
      <c r="B87" s="559"/>
      <c r="C87" s="559" t="s">
        <v>78</v>
      </c>
      <c r="D87" s="560"/>
      <c r="E87" s="558">
        <f>C72+C71</f>
        <v>6210</v>
      </c>
      <c r="F87" s="558" t="s">
        <v>663</v>
      </c>
      <c r="G87" s="216"/>
      <c r="H87" s="216"/>
      <c r="I87" s="216"/>
      <c r="J87" s="9"/>
      <c r="K87" s="9"/>
      <c r="L87" s="9"/>
      <c r="M87" s="9"/>
    </row>
    <row r="88" spans="1:13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  <c r="M88" s="9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34" workbookViewId="0">
      <selection activeCell="G41" sqref="G41"/>
    </sheetView>
  </sheetViews>
  <sheetFormatPr defaultRowHeight="15" x14ac:dyDescent="0.25"/>
  <cols>
    <col min="1" max="1" width="18.425781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953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'DECEMBER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'DECEMBER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2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5000+725</f>
        <v>5725</v>
      </c>
      <c r="H40" s="544">
        <f>F40-G40</f>
        <v>1275</v>
      </c>
      <c r="I40" s="543"/>
      <c r="J40" s="543">
        <v>625</v>
      </c>
      <c r="K40" s="9"/>
      <c r="L40" s="9"/>
    </row>
    <row r="41" spans="1:12" x14ac:dyDescent="0.25">
      <c r="A41" s="604" t="s">
        <v>521</v>
      </c>
      <c r="B41" s="541">
        <v>3</v>
      </c>
      <c r="C41" s="542"/>
      <c r="D41" s="543">
        <f>'DECEMBER 20'!H41:H65</f>
        <v>0</v>
      </c>
      <c r="E41" s="443"/>
      <c r="F41" s="440">
        <f>C41+D41+E41</f>
        <v>0</v>
      </c>
      <c r="G41" s="440"/>
      <c r="H41" s="544">
        <f t="shared" si="2"/>
        <v>0</v>
      </c>
      <c r="I41" s="543"/>
      <c r="J41" s="543"/>
      <c r="K41" s="9"/>
      <c r="L41" s="9"/>
    </row>
    <row r="42" spans="1:12" x14ac:dyDescent="0.25">
      <c r="A42" s="44" t="s">
        <v>956</v>
      </c>
      <c r="B42" s="541">
        <v>4</v>
      </c>
      <c r="C42" s="542"/>
      <c r="D42" s="543">
        <f>'DECEMBER 20'!H42:H66</f>
        <v>0</v>
      </c>
      <c r="E42" s="543">
        <v>1500</v>
      </c>
      <c r="F42" s="440">
        <f>C42+D42+E42</f>
        <v>1500</v>
      </c>
      <c r="G42" s="440">
        <f>1000+500</f>
        <v>1500</v>
      </c>
      <c r="H42" s="544">
        <f t="shared" si="2"/>
        <v>0</v>
      </c>
      <c r="I42" s="543"/>
      <c r="J42" s="543"/>
      <c r="K42" s="9"/>
      <c r="L42" s="9"/>
    </row>
    <row r="43" spans="1:12" x14ac:dyDescent="0.25">
      <c r="A43" s="388" t="s">
        <v>767</v>
      </c>
      <c r="B43" s="541">
        <v>5</v>
      </c>
      <c r="C43" s="542"/>
      <c r="D43" s="543">
        <f>'DECEMBER 20'!H43:H67</f>
        <v>600</v>
      </c>
      <c r="E43" s="443">
        <v>3000</v>
      </c>
      <c r="F43" s="440">
        <f t="shared" si="3"/>
        <v>3600</v>
      </c>
      <c r="G43" s="440">
        <f>3100</f>
        <v>3100</v>
      </c>
      <c r="H43" s="544">
        <f t="shared" si="2"/>
        <v>500</v>
      </c>
      <c r="I43" s="543">
        <v>100</v>
      </c>
      <c r="J43" s="543"/>
      <c r="K43" s="9"/>
      <c r="L43" s="9"/>
    </row>
    <row r="44" spans="1:12" x14ac:dyDescent="0.25">
      <c r="A44" s="604" t="s">
        <v>759</v>
      </c>
      <c r="B44" s="541">
        <v>6</v>
      </c>
      <c r="C44" s="542">
        <v>1500</v>
      </c>
      <c r="D44" s="543">
        <f>'DECEMBER 20'!H44:H68</f>
        <v>3330</v>
      </c>
      <c r="E44" s="443">
        <v>2500</v>
      </c>
      <c r="F44" s="440">
        <f t="shared" si="3"/>
        <v>7330</v>
      </c>
      <c r="G44" s="440">
        <f>1200+1000</f>
        <v>2200</v>
      </c>
      <c r="H44" s="544">
        <f t="shared" si="2"/>
        <v>5130</v>
      </c>
      <c r="I44" s="543"/>
      <c r="J44" s="543"/>
      <c r="K44" s="9"/>
      <c r="L44" s="9"/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543"/>
      <c r="K45" s="9"/>
      <c r="L45" s="252">
        <f>H40-1275</f>
        <v>0</v>
      </c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200</v>
      </c>
      <c r="K46" s="9"/>
      <c r="L46" s="9"/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1900+600</f>
        <v>2500</v>
      </c>
      <c r="H47" s="544">
        <f t="shared" si="2"/>
        <v>1500</v>
      </c>
      <c r="I47" s="543"/>
      <c r="J47" s="543"/>
      <c r="K47" s="9"/>
      <c r="L47" s="9"/>
    </row>
    <row r="48" spans="1:12" x14ac:dyDescent="0.25">
      <c r="A48" s="382" t="s">
        <v>827</v>
      </c>
      <c r="B48" s="601">
        <v>10</v>
      </c>
      <c r="C48" s="542"/>
      <c r="D48" s="543">
        <f>'DECEMBER 20'!H48:H72</f>
        <v>2433</v>
      </c>
      <c r="E48" s="191">
        <v>2500</v>
      </c>
      <c r="F48" s="440">
        <f t="shared" si="3"/>
        <v>4933</v>
      </c>
      <c r="G48" s="440">
        <f>2600</f>
        <v>2600</v>
      </c>
      <c r="H48" s="544">
        <f t="shared" si="2"/>
        <v>2333</v>
      </c>
      <c r="I48" s="543"/>
      <c r="J48" s="543"/>
      <c r="K48" s="9"/>
      <c r="L48" s="9"/>
    </row>
    <row r="49" spans="1:13" x14ac:dyDescent="0.25">
      <c r="A49" s="191" t="s">
        <v>954</v>
      </c>
      <c r="B49" s="541">
        <v>11</v>
      </c>
      <c r="C49" s="542">
        <v>2500</v>
      </c>
      <c r="D49" s="543">
        <f>'DECEMBER 20'!H49:H73</f>
        <v>0</v>
      </c>
      <c r="E49" s="443">
        <f>2500+750</f>
        <v>3250</v>
      </c>
      <c r="F49" s="440">
        <f t="shared" si="3"/>
        <v>5750</v>
      </c>
      <c r="G49" s="440">
        <f>250+3250+2250</f>
        <v>5750</v>
      </c>
      <c r="H49" s="544">
        <f t="shared" si="2"/>
        <v>0</v>
      </c>
      <c r="I49" s="543">
        <v>100</v>
      </c>
      <c r="J49" s="543"/>
      <c r="K49" s="9"/>
      <c r="L49" s="9"/>
    </row>
    <row r="50" spans="1:13" x14ac:dyDescent="0.25">
      <c r="A50" s="382" t="s">
        <v>955</v>
      </c>
      <c r="B50" s="541">
        <v>12</v>
      </c>
      <c r="C50" s="542"/>
      <c r="D50" s="543">
        <f>'DECEMBER 20'!H50:H74</f>
        <v>0</v>
      </c>
      <c r="E50" s="603">
        <v>2700</v>
      </c>
      <c r="F50" s="440">
        <f>C50+D50+E50</f>
        <v>2700</v>
      </c>
      <c r="G50" s="440">
        <f>1200+750+750</f>
        <v>2700</v>
      </c>
      <c r="H50" s="544">
        <f t="shared" si="2"/>
        <v>0</v>
      </c>
      <c r="I50" s="543"/>
      <c r="J50" s="543"/>
      <c r="K50" s="9"/>
      <c r="L50" s="9"/>
    </row>
    <row r="51" spans="1:13" x14ac:dyDescent="0.25">
      <c r="A51" s="611"/>
      <c r="B51" s="541">
        <v>13</v>
      </c>
      <c r="C51" s="542"/>
      <c r="D51" s="543">
        <f>'DECEMBER 20'!H51:H75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</row>
    <row r="52" spans="1:13" x14ac:dyDescent="0.25">
      <c r="A52" s="113" t="s">
        <v>505</v>
      </c>
      <c r="B52" s="541">
        <v>14</v>
      </c>
      <c r="C52" s="542"/>
      <c r="D52" s="543">
        <f>'DECEMBER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252"/>
    </row>
    <row r="53" spans="1:13" x14ac:dyDescent="0.25">
      <c r="A53" s="604"/>
      <c r="B53" s="541">
        <v>15</v>
      </c>
      <c r="C53" s="542"/>
      <c r="D53" s="543">
        <f>'DECEMBER 20'!H53:H77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</row>
    <row r="55" spans="1:13" x14ac:dyDescent="0.25">
      <c r="A55" s="384" t="s">
        <v>946</v>
      </c>
      <c r="B55" s="541">
        <v>17</v>
      </c>
      <c r="C55" s="542"/>
      <c r="D55" s="543">
        <f>'DECEMBER 20'!H55:H79</f>
        <v>0</v>
      </c>
      <c r="E55" s="544">
        <v>1600</v>
      </c>
      <c r="F55" s="440">
        <f t="shared" si="3"/>
        <v>1600</v>
      </c>
      <c r="G55" s="440">
        <f>1600</f>
        <v>1600</v>
      </c>
      <c r="H55" s="544">
        <f>F55-G55</f>
        <v>0</v>
      </c>
      <c r="I55" s="543"/>
      <c r="J55" s="543"/>
      <c r="K55" s="9"/>
      <c r="L55" s="9"/>
    </row>
    <row r="56" spans="1:13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v>1600</v>
      </c>
      <c r="H56" s="544">
        <f>F56-G56</f>
        <v>590</v>
      </c>
      <c r="I56" s="543">
        <v>100</v>
      </c>
      <c r="J56" s="543">
        <v>200</v>
      </c>
      <c r="K56" s="9"/>
      <c r="L56" s="9"/>
    </row>
    <row r="57" spans="1:13" x14ac:dyDescent="0.25">
      <c r="A57" s="384"/>
      <c r="B57" s="553">
        <v>19</v>
      </c>
      <c r="C57" s="542"/>
      <c r="D57" s="543">
        <f>'DECEMBER 20'!H57:H81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</row>
    <row r="58" spans="1:13" x14ac:dyDescent="0.25">
      <c r="A58" s="384" t="s">
        <v>961</v>
      </c>
      <c r="B58" s="553">
        <v>20</v>
      </c>
      <c r="C58" s="542"/>
      <c r="D58" s="543">
        <f>'DECEMBER 20'!H58:H82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>
        <v>100</v>
      </c>
      <c r="J58" s="543"/>
      <c r="K58" s="9"/>
      <c r="L58" s="9"/>
    </row>
    <row r="59" spans="1:13" x14ac:dyDescent="0.25">
      <c r="A59" s="384" t="s">
        <v>948</v>
      </c>
      <c r="B59" s="553">
        <v>21</v>
      </c>
      <c r="C59" s="542"/>
      <c r="D59" s="543">
        <f>'DECEMBER 20'!H59:H83</f>
        <v>500</v>
      </c>
      <c r="E59" s="608">
        <v>2000</v>
      </c>
      <c r="F59" s="440">
        <f t="shared" si="3"/>
        <v>2500</v>
      </c>
      <c r="G59" s="440">
        <v>1700</v>
      </c>
      <c r="H59" s="544">
        <f>F59-G59</f>
        <v>800</v>
      </c>
      <c r="I59" s="543"/>
      <c r="J59" s="543"/>
      <c r="K59" s="9"/>
      <c r="L59" s="9"/>
    </row>
    <row r="60" spans="1:13" x14ac:dyDescent="0.25">
      <c r="A60" s="388" t="s">
        <v>701</v>
      </c>
      <c r="B60" s="553">
        <v>22</v>
      </c>
      <c r="C60" s="542"/>
      <c r="D60" s="543">
        <f>'DECEMBER 20'!H60:H84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543"/>
      <c r="K60" s="9"/>
      <c r="L60" s="9"/>
    </row>
    <row r="61" spans="1:13" x14ac:dyDescent="0.25">
      <c r="A61" s="384" t="s">
        <v>949</v>
      </c>
      <c r="B61" s="553">
        <v>23</v>
      </c>
      <c r="C61" s="542"/>
      <c r="D61" s="543">
        <f>'DECEMBER 20'!H61:H85</f>
        <v>300</v>
      </c>
      <c r="E61" s="608">
        <v>2000</v>
      </c>
      <c r="F61" s="440">
        <f t="shared" si="3"/>
        <v>2300</v>
      </c>
      <c r="G61" s="440">
        <v>2300</v>
      </c>
      <c r="H61" s="544">
        <f>F61-G61</f>
        <v>0</v>
      </c>
      <c r="I61" s="543"/>
      <c r="J61" s="543"/>
      <c r="K61" s="9"/>
      <c r="L61" s="9"/>
    </row>
    <row r="62" spans="1:13" x14ac:dyDescent="0.25">
      <c r="A62" s="388" t="s">
        <v>935</v>
      </c>
      <c r="B62" s="541">
        <v>24</v>
      </c>
      <c r="C62" s="542"/>
      <c r="D62" s="543">
        <f>'DECEMBER 20'!H62:H86</f>
        <v>0</v>
      </c>
      <c r="E62" s="603">
        <v>2800</v>
      </c>
      <c r="F62" s="440">
        <f>C62+D62+E62</f>
        <v>2800</v>
      </c>
      <c r="G62" s="440">
        <f>1500</f>
        <v>1500</v>
      </c>
      <c r="H62" s="544">
        <f>F62-G62</f>
        <v>1300</v>
      </c>
      <c r="I62" s="543"/>
      <c r="J62" s="543"/>
      <c r="K62" s="9"/>
      <c r="L62" s="9"/>
    </row>
    <row r="63" spans="1:13" x14ac:dyDescent="0.25">
      <c r="A63" s="598" t="s">
        <v>708</v>
      </c>
      <c r="B63" s="191"/>
      <c r="C63" s="542">
        <f t="shared" ref="C63:I63" si="5">SUM(C38:C62)</f>
        <v>12090</v>
      </c>
      <c r="D63" s="543">
        <f>SUM(D38:D62)</f>
        <v>11163</v>
      </c>
      <c r="E63" s="588">
        <f>SUM(E38:E62)</f>
        <v>48550</v>
      </c>
      <c r="F63" s="440">
        <f t="shared" si="5"/>
        <v>71803</v>
      </c>
      <c r="G63" s="440">
        <f>SUM(G38:G62)</f>
        <v>52875</v>
      </c>
      <c r="H63" s="544">
        <f>SUM(H38:H62)</f>
        <v>18928</v>
      </c>
      <c r="I63" s="591">
        <f t="shared" si="5"/>
        <v>800</v>
      </c>
      <c r="J63" s="591">
        <f>SUM(J38:J62)</f>
        <v>1025</v>
      </c>
      <c r="K63" s="9"/>
      <c r="L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</row>
    <row r="65" spans="1:12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6838</v>
      </c>
      <c r="J65" s="9"/>
      <c r="K65" s="9"/>
      <c r="L65" s="9"/>
    </row>
    <row r="66" spans="1:12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2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2" x14ac:dyDescent="0.25">
      <c r="A68" s="191" t="s">
        <v>851</v>
      </c>
      <c r="B68" s="494">
        <f>E63</f>
        <v>48550</v>
      </c>
      <c r="C68" s="191"/>
      <c r="D68" s="191"/>
      <c r="E68" s="191" t="s">
        <v>851</v>
      </c>
      <c r="F68" s="494">
        <f>G63</f>
        <v>52875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347</v>
      </c>
      <c r="B69" s="494">
        <f>'DECEMBER 20'!D83</f>
        <v>-1956.6000000000058</v>
      </c>
      <c r="C69" s="191"/>
      <c r="D69" s="191"/>
      <c r="E69" s="191" t="s">
        <v>347</v>
      </c>
      <c r="F69" s="494">
        <f>'DECEMBER 20'!H83</f>
        <v>-38530.600000000006</v>
      </c>
      <c r="G69" s="191"/>
      <c r="H69" s="191"/>
      <c r="I69" s="292"/>
      <c r="J69" s="9"/>
      <c r="K69" s="9"/>
      <c r="L69" s="9"/>
    </row>
    <row r="70" spans="1:12" x14ac:dyDescent="0.25">
      <c r="A70" s="191" t="s">
        <v>957</v>
      </c>
      <c r="B70" s="494">
        <f>1000+1500</f>
        <v>2500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B71*B68</f>
        <v>4855</v>
      </c>
      <c r="D71" s="191"/>
      <c r="E71" s="191" t="s">
        <v>613</v>
      </c>
      <c r="F71" s="327">
        <v>0.1</v>
      </c>
      <c r="G71" s="301">
        <f>F71*E63</f>
        <v>4855</v>
      </c>
      <c r="H71" s="191"/>
      <c r="I71" s="292"/>
      <c r="J71" s="9"/>
      <c r="K71" s="9"/>
      <c r="L71" s="9"/>
    </row>
    <row r="72" spans="1:12" x14ac:dyDescent="0.25">
      <c r="A72" s="191" t="s">
        <v>652</v>
      </c>
      <c r="B72" s="494">
        <v>0.3</v>
      </c>
      <c r="C72" s="301">
        <f>B72*E42+(B72*C49)+(B72*2500)</f>
        <v>1950</v>
      </c>
      <c r="D72" s="191"/>
      <c r="E72" s="191" t="s">
        <v>652</v>
      </c>
      <c r="F72" s="494">
        <v>0.3</v>
      </c>
      <c r="G72" s="494">
        <f>C72</f>
        <v>1950</v>
      </c>
      <c r="H72" s="191"/>
      <c r="I72" s="292"/>
      <c r="J72" s="9"/>
      <c r="K72" s="9"/>
      <c r="L72" s="9"/>
    </row>
    <row r="73" spans="1:12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</row>
    <row r="74" spans="1:12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  <c r="L74" s="9"/>
    </row>
    <row r="75" spans="1:12" x14ac:dyDescent="0.25">
      <c r="A75" s="498" t="s">
        <v>959</v>
      </c>
      <c r="B75" s="44"/>
      <c r="C75" s="44">
        <v>20000</v>
      </c>
      <c r="D75" s="191"/>
      <c r="E75" s="498" t="s">
        <v>959</v>
      </c>
      <c r="F75" s="44"/>
      <c r="G75" s="44">
        <v>20000</v>
      </c>
      <c r="H75" s="191"/>
      <c r="I75" s="371"/>
      <c r="J75" s="147"/>
      <c r="K75" s="9"/>
      <c r="L75" s="9"/>
    </row>
    <row r="76" spans="1:12" x14ac:dyDescent="0.25">
      <c r="A76" s="44" t="s">
        <v>960</v>
      </c>
      <c r="B76" s="44"/>
      <c r="C76" s="44">
        <v>22370</v>
      </c>
      <c r="D76" s="191"/>
      <c r="E76" s="44" t="s">
        <v>960</v>
      </c>
      <c r="F76" s="44"/>
      <c r="G76" s="44">
        <v>22370</v>
      </c>
      <c r="H76" s="191"/>
      <c r="I76" s="602"/>
      <c r="J76" s="147"/>
      <c r="K76" s="9"/>
      <c r="L76" s="9"/>
    </row>
    <row r="77" spans="1:12" x14ac:dyDescent="0.25">
      <c r="A77" s="496" t="s">
        <v>966</v>
      </c>
      <c r="B77" s="327"/>
      <c r="C77" s="191">
        <v>1000</v>
      </c>
      <c r="D77" s="191"/>
      <c r="E77" s="496" t="s">
        <v>966</v>
      </c>
      <c r="F77" s="327"/>
      <c r="G77" s="191">
        <v>1000</v>
      </c>
      <c r="H77" s="191"/>
      <c r="I77" s="216"/>
      <c r="J77" s="147"/>
      <c r="K77" s="9"/>
      <c r="L77" s="9"/>
    </row>
    <row r="78" spans="1:12" x14ac:dyDescent="0.25">
      <c r="A78" s="497" t="s">
        <v>967</v>
      </c>
      <c r="B78" s="495"/>
      <c r="C78" s="301">
        <v>200</v>
      </c>
      <c r="D78" s="191"/>
      <c r="E78" s="497" t="s">
        <v>967</v>
      </c>
      <c r="F78" s="495"/>
      <c r="G78" s="301">
        <v>200</v>
      </c>
      <c r="H78" s="191"/>
      <c r="I78" s="216"/>
      <c r="J78" s="147"/>
      <c r="K78" s="9"/>
      <c r="L78" s="9"/>
    </row>
    <row r="79" spans="1:12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  <c r="K79" s="9"/>
      <c r="L79" s="9"/>
    </row>
    <row r="80" spans="1:12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</row>
    <row r="83" spans="1:12" x14ac:dyDescent="0.25">
      <c r="A83" s="493" t="s">
        <v>2</v>
      </c>
      <c r="B83" s="499">
        <f>B70+B68+B69-C71</f>
        <v>44238.399999999994</v>
      </c>
      <c r="C83" s="499">
        <f>SUM(C72:C82)</f>
        <v>45520</v>
      </c>
      <c r="D83" s="499">
        <f>B83-C83</f>
        <v>-1281.6000000000058</v>
      </c>
      <c r="E83" s="493" t="s">
        <v>2</v>
      </c>
      <c r="F83" s="499">
        <f>F68+F69+F70-G71</f>
        <v>9489.3999999999942</v>
      </c>
      <c r="G83" s="499">
        <f>SUM(G72:G82)</f>
        <v>45520</v>
      </c>
      <c r="H83" s="499">
        <f>F83-G83</f>
        <v>-36030.600000000006</v>
      </c>
      <c r="I83" s="216"/>
      <c r="J83" s="9"/>
      <c r="K83" s="9"/>
      <c r="L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</row>
    <row r="87" spans="1:12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  <c r="L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1" workbookViewId="0">
      <selection activeCell="G83" sqref="G83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2" ht="18.75" x14ac:dyDescent="0.3">
      <c r="A36" s="536"/>
      <c r="B36" s="537" t="s">
        <v>965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2" x14ac:dyDescent="0.25">
      <c r="A38" s="388" t="s">
        <v>765</v>
      </c>
      <c r="B38" s="541">
        <v>1</v>
      </c>
      <c r="C38" s="542"/>
      <c r="D38" s="543">
        <f>'JANUARY 21'!H38:H62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2" x14ac:dyDescent="0.25">
      <c r="A39" s="604" t="s">
        <v>880</v>
      </c>
      <c r="B39" s="541">
        <v>2</v>
      </c>
      <c r="C39" s="542"/>
      <c r="D39" s="543">
        <f>'JANUARY 21'!H39:H63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2" x14ac:dyDescent="0.25">
      <c r="A40" s="604" t="s">
        <v>925</v>
      </c>
      <c r="B40" s="541" t="s">
        <v>928</v>
      </c>
      <c r="C40" s="542">
        <v>700</v>
      </c>
      <c r="D40" s="543"/>
      <c r="E40" s="443">
        <v>2500</v>
      </c>
      <c r="F40" s="440">
        <f>C40+D40+E40</f>
        <v>3200</v>
      </c>
      <c r="G40" s="440">
        <f>500</f>
        <v>500</v>
      </c>
      <c r="H40" s="544">
        <f t="shared" ref="H40:H46" si="4">F40-G40</f>
        <v>2700</v>
      </c>
      <c r="I40" s="543"/>
      <c r="J40" s="543"/>
      <c r="K40" s="9"/>
    </row>
    <row r="41" spans="1:12" x14ac:dyDescent="0.25">
      <c r="A41" s="604" t="s">
        <v>639</v>
      </c>
      <c r="B41" s="541">
        <v>3</v>
      </c>
      <c r="C41" s="542"/>
      <c r="D41" s="543">
        <f>'JANUARY 21'!H41:H65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4"/>
        <v>0</v>
      </c>
      <c r="I41" s="543"/>
      <c r="J41" s="543"/>
      <c r="K41" s="9"/>
    </row>
    <row r="42" spans="1:12" x14ac:dyDescent="0.25">
      <c r="A42" s="113" t="s">
        <v>964</v>
      </c>
      <c r="B42" s="541">
        <v>4</v>
      </c>
      <c r="C42" s="542"/>
      <c r="D42" s="543">
        <f>'JANUARY 21'!H42:H66</f>
        <v>0</v>
      </c>
      <c r="E42" s="543">
        <v>2000</v>
      </c>
      <c r="F42" s="440">
        <f>C42+D42+E42</f>
        <v>2000</v>
      </c>
      <c r="G42" s="440"/>
      <c r="H42" s="544">
        <f t="shared" si="4"/>
        <v>2000</v>
      </c>
      <c r="I42" s="543"/>
      <c r="J42" s="543"/>
      <c r="K42" s="9" t="s">
        <v>614</v>
      </c>
    </row>
    <row r="43" spans="1:12" x14ac:dyDescent="0.25">
      <c r="A43" s="388" t="s">
        <v>767</v>
      </c>
      <c r="B43" s="541">
        <v>5</v>
      </c>
      <c r="C43" s="542"/>
      <c r="D43" s="543">
        <f>'JANUARY 21'!H43:H67</f>
        <v>500</v>
      </c>
      <c r="E43" s="443">
        <v>3000</v>
      </c>
      <c r="F43" s="440">
        <f t="shared" si="3"/>
        <v>3500</v>
      </c>
      <c r="G43" s="440">
        <v>3500</v>
      </c>
      <c r="H43" s="544">
        <f t="shared" si="4"/>
        <v>0</v>
      </c>
      <c r="I43" s="543">
        <v>100</v>
      </c>
      <c r="J43" s="543"/>
      <c r="K43" s="9"/>
    </row>
    <row r="44" spans="1:12" x14ac:dyDescent="0.25">
      <c r="A44" s="610" t="s">
        <v>759</v>
      </c>
      <c r="B44" s="541">
        <v>6</v>
      </c>
      <c r="C44" s="542">
        <v>1500</v>
      </c>
      <c r="D44" s="543">
        <v>3630</v>
      </c>
      <c r="E44" s="443">
        <v>2500</v>
      </c>
      <c r="F44" s="440">
        <f t="shared" si="3"/>
        <v>7630</v>
      </c>
      <c r="G44" s="440">
        <f>300+450</f>
        <v>750</v>
      </c>
      <c r="H44" s="544">
        <f t="shared" si="4"/>
        <v>6880</v>
      </c>
      <c r="I44" s="543"/>
      <c r="J44" s="543"/>
      <c r="K44" s="9" t="s">
        <v>614</v>
      </c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3000</v>
      </c>
      <c r="H45" s="544">
        <f t="shared" si="4"/>
        <v>2000</v>
      </c>
      <c r="I45" s="543">
        <v>100</v>
      </c>
      <c r="J45" s="543"/>
      <c r="K45" s="9"/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4"/>
        <v>1000</v>
      </c>
      <c r="I46" s="543">
        <v>100</v>
      </c>
      <c r="J46" s="543"/>
      <c r="K46" s="9"/>
      <c r="L46" s="252">
        <f>D44+E44</f>
        <v>6130</v>
      </c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1500</f>
        <v>1500</v>
      </c>
      <c r="H47" s="544">
        <f t="shared" si="2"/>
        <v>2500</v>
      </c>
      <c r="I47" s="543"/>
      <c r="J47" s="543"/>
      <c r="K47" s="9"/>
      <c r="L47" s="252">
        <f>L46-G44</f>
        <v>5380</v>
      </c>
    </row>
    <row r="48" spans="1:12" x14ac:dyDescent="0.25">
      <c r="A48" s="382" t="s">
        <v>968</v>
      </c>
      <c r="B48" s="601">
        <v>10</v>
      </c>
      <c r="C48" s="542"/>
      <c r="D48" s="543">
        <f>'JANUARY 21'!H48:H72</f>
        <v>2333</v>
      </c>
      <c r="E48" s="191">
        <v>2500</v>
      </c>
      <c r="F48" s="440">
        <f t="shared" si="3"/>
        <v>4833</v>
      </c>
      <c r="G48" s="440">
        <f>2600</f>
        <v>2600</v>
      </c>
      <c r="H48" s="544">
        <f t="shared" si="2"/>
        <v>2233</v>
      </c>
      <c r="I48" s="543"/>
      <c r="J48" s="543"/>
      <c r="K48" s="9"/>
    </row>
    <row r="49" spans="1:11" x14ac:dyDescent="0.25">
      <c r="A49" s="191" t="s">
        <v>954</v>
      </c>
      <c r="B49" s="541">
        <v>11</v>
      </c>
      <c r="C49" s="542"/>
      <c r="D49" s="543">
        <f>'JANUARY 21'!H49:H73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'JANUARY 21'!H50:H74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>
        <f>5130-1500</f>
        <v>3630</v>
      </c>
    </row>
    <row r="51" spans="1:11" x14ac:dyDescent="0.25">
      <c r="A51" s="384" t="s">
        <v>963</v>
      </c>
      <c r="B51" s="541">
        <v>13</v>
      </c>
      <c r="C51" s="542"/>
      <c r="D51" s="543">
        <f>'JANUARY 21'!H51:H75</f>
        <v>0</v>
      </c>
      <c r="E51" s="544">
        <v>2500</v>
      </c>
      <c r="F51" s="440">
        <f t="shared" si="3"/>
        <v>2500</v>
      </c>
      <c r="G51" s="440">
        <f>1500+1000</f>
        <v>2500</v>
      </c>
      <c r="H51" s="544">
        <f t="shared" si="2"/>
        <v>0</v>
      </c>
      <c r="I51" s="543">
        <v>100</v>
      </c>
      <c r="J51" s="543"/>
      <c r="K51" s="9"/>
    </row>
    <row r="52" spans="1:11" x14ac:dyDescent="0.25">
      <c r="A52" s="113" t="s">
        <v>505</v>
      </c>
      <c r="B52" s="541">
        <v>14</v>
      </c>
      <c r="C52" s="542"/>
      <c r="D52" s="543">
        <f>'JANUARY 21'!H52:H76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</row>
    <row r="53" spans="1:11" x14ac:dyDescent="0.25">
      <c r="A53" s="610" t="s">
        <v>521</v>
      </c>
      <c r="B53" s="541">
        <v>15</v>
      </c>
      <c r="C53" s="542"/>
      <c r="D53" s="543">
        <f>'JANUARY 21'!H53:H77</f>
        <v>0</v>
      </c>
      <c r="E53" s="544"/>
      <c r="F53" s="440">
        <f>C53+D53+E53</f>
        <v>0</v>
      </c>
      <c r="G53" s="440"/>
      <c r="H53" s="544">
        <f t="shared" ref="H53:H60" si="5">F53-G53</f>
        <v>0</v>
      </c>
      <c r="I53" s="543"/>
      <c r="J53" s="543"/>
      <c r="K53" s="9"/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5"/>
        <v>2000</v>
      </c>
      <c r="I54" s="543"/>
      <c r="J54" s="543"/>
      <c r="K54" s="9"/>
    </row>
    <row r="55" spans="1:11" x14ac:dyDescent="0.25">
      <c r="A55" s="384" t="s">
        <v>946</v>
      </c>
      <c r="B55" s="541">
        <v>17</v>
      </c>
      <c r="C55" s="542"/>
      <c r="D55" s="543">
        <f>'JANUARY 21'!H55:H79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/>
      <c r="J55" s="543"/>
      <c r="K55" s="9"/>
    </row>
    <row r="56" spans="1:11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/>
      <c r="H56" s="544">
        <f>F56-G56</f>
        <v>2190</v>
      </c>
      <c r="I56" s="543"/>
      <c r="J56" s="543"/>
      <c r="K56" s="9" t="s">
        <v>974</v>
      </c>
    </row>
    <row r="57" spans="1:11" x14ac:dyDescent="0.25">
      <c r="A57" s="379" t="s">
        <v>521</v>
      </c>
      <c r="B57" s="553">
        <v>19</v>
      </c>
      <c r="C57" s="542"/>
      <c r="D57" s="543">
        <f>'JANUARY 21'!H57:H81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</row>
    <row r="58" spans="1:11" x14ac:dyDescent="0.25">
      <c r="A58" s="384" t="s">
        <v>961</v>
      </c>
      <c r="B58" s="553">
        <v>20</v>
      </c>
      <c r="C58" s="542"/>
      <c r="D58" s="543">
        <f>'JANUARY 21'!H58:H82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5"/>
        <v>0</v>
      </c>
      <c r="I58" s="543">
        <v>100</v>
      </c>
      <c r="J58" s="543"/>
      <c r="K58" s="9"/>
    </row>
    <row r="59" spans="1:11" x14ac:dyDescent="0.25">
      <c r="A59" s="384" t="s">
        <v>948</v>
      </c>
      <c r="B59" s="553">
        <v>21</v>
      </c>
      <c r="C59" s="542"/>
      <c r="D59" s="543">
        <f>'JANUARY 21'!H59:H83</f>
        <v>800</v>
      </c>
      <c r="E59" s="608">
        <v>2000</v>
      </c>
      <c r="F59" s="440">
        <f t="shared" si="3"/>
        <v>2800</v>
      </c>
      <c r="G59" s="440"/>
      <c r="H59" s="544">
        <f>F59-G59</f>
        <v>2800</v>
      </c>
      <c r="I59" s="543"/>
      <c r="J59" s="543"/>
      <c r="K59" s="9" t="s">
        <v>614</v>
      </c>
    </row>
    <row r="60" spans="1:11" x14ac:dyDescent="0.25">
      <c r="A60" s="388" t="s">
        <v>701</v>
      </c>
      <c r="B60" s="553">
        <v>22</v>
      </c>
      <c r="C60" s="542"/>
      <c r="D60" s="543">
        <f>'JANUARY 21'!H60:H84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5"/>
        <v>0</v>
      </c>
      <c r="I60" s="543">
        <v>100</v>
      </c>
      <c r="J60" s="543"/>
      <c r="K60" s="9"/>
    </row>
    <row r="61" spans="1:11" x14ac:dyDescent="0.25">
      <c r="A61" s="384" t="s">
        <v>949</v>
      </c>
      <c r="B61" s="553">
        <v>23</v>
      </c>
      <c r="C61" s="542"/>
      <c r="D61" s="543">
        <f>'JANUARY 21'!H61:H85</f>
        <v>0</v>
      </c>
      <c r="E61" s="608">
        <v>2000</v>
      </c>
      <c r="F61" s="440">
        <f t="shared" si="3"/>
        <v>2000</v>
      </c>
      <c r="G61" s="440"/>
      <c r="H61" s="544">
        <f>F61-G61</f>
        <v>2000</v>
      </c>
      <c r="I61" s="543"/>
      <c r="J61" s="543"/>
      <c r="K61" s="9" t="s">
        <v>614</v>
      </c>
    </row>
    <row r="62" spans="1:11" x14ac:dyDescent="0.25">
      <c r="A62" s="388" t="s">
        <v>935</v>
      </c>
      <c r="B62" s="541">
        <v>24</v>
      </c>
      <c r="C62" s="542"/>
      <c r="D62" s="543">
        <f>'JANUARY 21'!H62:H86</f>
        <v>1300</v>
      </c>
      <c r="E62" s="603">
        <v>2800</v>
      </c>
      <c r="F62" s="440">
        <f>C62+D62+E62</f>
        <v>4100</v>
      </c>
      <c r="G62" s="440"/>
      <c r="H62" s="544">
        <f>F62-G62</f>
        <v>4100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6">SUM(C38:C62)</f>
        <v>8290</v>
      </c>
      <c r="D63" s="543">
        <f>SUM(D38:D62)</f>
        <v>10063</v>
      </c>
      <c r="E63" s="588">
        <f>SUM(E38:E62)</f>
        <v>52600</v>
      </c>
      <c r="F63" s="440">
        <f t="shared" si="6"/>
        <v>70953</v>
      </c>
      <c r="G63" s="440">
        <f>SUM(G38:G62)</f>
        <v>38550</v>
      </c>
      <c r="H63" s="544">
        <f t="shared" si="6"/>
        <v>32403</v>
      </c>
      <c r="I63" s="591">
        <f t="shared" si="6"/>
        <v>600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1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24113</v>
      </c>
      <c r="J65" s="9"/>
      <c r="K65" s="9"/>
    </row>
    <row r="66" spans="1:11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1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1" x14ac:dyDescent="0.25">
      <c r="A68" s="191" t="s">
        <v>862</v>
      </c>
      <c r="B68" s="494">
        <f>E63</f>
        <v>52600</v>
      </c>
      <c r="C68" s="191"/>
      <c r="D68" s="191"/>
      <c r="E68" s="191" t="s">
        <v>862</v>
      </c>
      <c r="F68" s="494">
        <f>G63</f>
        <v>38550</v>
      </c>
      <c r="G68" s="191"/>
      <c r="H68" s="191"/>
      <c r="I68" s="292"/>
      <c r="J68" s="9"/>
      <c r="K68" s="9"/>
    </row>
    <row r="69" spans="1:11" x14ac:dyDescent="0.25">
      <c r="A69" s="191" t="s">
        <v>347</v>
      </c>
      <c r="B69" s="494">
        <f>'JANUARY 21'!D83</f>
        <v>-1281.6000000000058</v>
      </c>
      <c r="C69" s="191"/>
      <c r="D69" s="191"/>
      <c r="E69" s="191" t="s">
        <v>347</v>
      </c>
      <c r="F69" s="494">
        <f>'JANUARY 21'!H83</f>
        <v>-36030.600000000006</v>
      </c>
      <c r="G69" s="191"/>
      <c r="H69" s="191"/>
      <c r="I69" s="292"/>
      <c r="J69" s="9"/>
      <c r="K69" s="9"/>
    </row>
    <row r="70" spans="1:11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B71*B68</f>
        <v>5260</v>
      </c>
      <c r="D71" s="191"/>
      <c r="E71" s="191" t="s">
        <v>613</v>
      </c>
      <c r="F71" s="327">
        <v>0.1</v>
      </c>
      <c r="G71" s="301">
        <f>F71*E63</f>
        <v>5260</v>
      </c>
      <c r="H71" s="191"/>
      <c r="I71" s="292"/>
      <c r="J71" s="9"/>
      <c r="K71" s="9"/>
    </row>
    <row r="72" spans="1:11" x14ac:dyDescent="0.25">
      <c r="A72" s="191" t="s">
        <v>652</v>
      </c>
      <c r="B72" s="494">
        <v>0.3</v>
      </c>
      <c r="C72" s="301">
        <f>B72*E42+(B72*E51)</f>
        <v>1350</v>
      </c>
      <c r="D72" s="191"/>
      <c r="E72" s="191" t="s">
        <v>652</v>
      </c>
      <c r="F72" s="494">
        <v>0.3</v>
      </c>
      <c r="G72" s="494">
        <f>C72</f>
        <v>1350</v>
      </c>
      <c r="H72" s="191"/>
      <c r="I72" s="292"/>
      <c r="J72" s="9"/>
      <c r="K72" s="9"/>
    </row>
    <row r="73" spans="1:11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</row>
    <row r="74" spans="1:11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</row>
    <row r="75" spans="1:11" x14ac:dyDescent="0.25">
      <c r="A75" s="498" t="s">
        <v>969</v>
      </c>
      <c r="B75" s="44"/>
      <c r="C75" s="44">
        <f>10087+10000+2000</f>
        <v>22087</v>
      </c>
      <c r="D75" s="191"/>
      <c r="E75" s="498" t="s">
        <v>969</v>
      </c>
      <c r="F75" s="44"/>
      <c r="G75" s="44">
        <f>10087+10000+2000</f>
        <v>22087</v>
      </c>
      <c r="H75" s="191"/>
      <c r="I75" s="371"/>
      <c r="J75" s="147"/>
      <c r="K75" s="9"/>
    </row>
    <row r="76" spans="1:11" x14ac:dyDescent="0.25">
      <c r="A76" s="44" t="s">
        <v>970</v>
      </c>
      <c r="B76" s="44"/>
      <c r="C76" s="44">
        <v>22600</v>
      </c>
      <c r="D76" s="191"/>
      <c r="E76" s="44" t="s">
        <v>970</v>
      </c>
      <c r="F76" s="44"/>
      <c r="G76" s="44">
        <v>22600</v>
      </c>
      <c r="H76" s="191"/>
      <c r="I76" s="602"/>
      <c r="J76" s="147"/>
      <c r="K76" s="9"/>
    </row>
    <row r="77" spans="1:11" x14ac:dyDescent="0.25">
      <c r="A77" s="496" t="s">
        <v>971</v>
      </c>
      <c r="B77" s="327"/>
      <c r="C77" s="301">
        <f>F59+F61</f>
        <v>4800</v>
      </c>
      <c r="D77" s="191"/>
      <c r="E77" s="496"/>
      <c r="F77" s="327"/>
      <c r="G77" s="191"/>
      <c r="H77" s="191"/>
      <c r="I77" s="216"/>
      <c r="J77" s="147"/>
      <c r="K77" s="9"/>
    </row>
    <row r="78" spans="1:11" x14ac:dyDescent="0.25">
      <c r="A78" s="497" t="s">
        <v>972</v>
      </c>
      <c r="B78" s="495"/>
      <c r="C78" s="301">
        <v>5380</v>
      </c>
      <c r="D78" s="191"/>
      <c r="E78" s="497"/>
      <c r="F78" s="495"/>
      <c r="G78" s="301"/>
      <c r="H78" s="191"/>
      <c r="I78" s="216"/>
      <c r="J78" s="147"/>
      <c r="K78" s="9"/>
    </row>
    <row r="79" spans="1:11" x14ac:dyDescent="0.25">
      <c r="A79" s="44" t="s">
        <v>973</v>
      </c>
      <c r="B79" s="44"/>
      <c r="C79" s="44">
        <v>2000</v>
      </c>
      <c r="D79" s="191"/>
      <c r="E79" s="44"/>
      <c r="F79" s="44"/>
      <c r="G79" s="44"/>
      <c r="H79" s="191"/>
      <c r="I79" s="216"/>
      <c r="J79" s="147"/>
      <c r="K79" s="9"/>
    </row>
    <row r="80" spans="1:11" x14ac:dyDescent="0.25">
      <c r="A80" s="44" t="s">
        <v>975</v>
      </c>
      <c r="B80" s="44"/>
      <c r="C80" s="44">
        <v>1600</v>
      </c>
      <c r="D80" s="191"/>
      <c r="E80" s="44"/>
      <c r="F80" s="44"/>
      <c r="G80" s="44"/>
      <c r="H80" s="191"/>
      <c r="I80" s="292"/>
      <c r="J80" s="252"/>
      <c r="K80" s="9"/>
    </row>
    <row r="81" spans="1:11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</row>
    <row r="82" spans="1:11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</row>
    <row r="83" spans="1:11" x14ac:dyDescent="0.25">
      <c r="A83" s="493" t="s">
        <v>2</v>
      </c>
      <c r="B83" s="499">
        <f>B70+B68+B69-C71</f>
        <v>46058.399999999994</v>
      </c>
      <c r="C83" s="499">
        <f>SUM(C72:C82)</f>
        <v>59817</v>
      </c>
      <c r="D83" s="499">
        <f>B83-C83</f>
        <v>-13758.600000000006</v>
      </c>
      <c r="E83" s="493" t="s">
        <v>2</v>
      </c>
      <c r="F83" s="499">
        <f>F68+F69+F70-G71</f>
        <v>-2740.6000000000058</v>
      </c>
      <c r="G83" s="499">
        <f>SUM(G72:G82)</f>
        <v>46037</v>
      </c>
      <c r="H83" s="499">
        <f>F83-G83</f>
        <v>-48777.600000000006</v>
      </c>
      <c r="I83" s="216"/>
      <c r="J83" s="9"/>
      <c r="K83" s="9"/>
    </row>
    <row r="84" spans="1:11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</row>
    <row r="85" spans="1:11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</row>
    <row r="86" spans="1:11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</row>
    <row r="87" spans="1:11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34" workbookViewId="0">
      <selection activeCell="I85" sqref="I85"/>
    </sheetView>
  </sheetViews>
  <sheetFormatPr defaultRowHeight="15" x14ac:dyDescent="0.25"/>
  <cols>
    <col min="1" max="1" width="16" customWidth="1"/>
    <col min="6" max="6" width="14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  <c r="N2" s="9"/>
    </row>
    <row r="3" spans="1:14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  <c r="N3" s="9"/>
    </row>
    <row r="4" spans="1:14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  <c r="N4" s="9"/>
    </row>
    <row r="5" spans="1:14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  <c r="N5" s="9"/>
    </row>
    <row r="6" spans="1:14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  <c r="N6" s="9"/>
    </row>
    <row r="7" spans="1:14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  <c r="N7" s="9"/>
    </row>
    <row r="8" spans="1:14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  <c r="N8" s="9"/>
    </row>
    <row r="9" spans="1:14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  <c r="N9" s="9"/>
    </row>
    <row r="10" spans="1:14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  <c r="M10" s="9"/>
      <c r="N10" s="9"/>
    </row>
    <row r="11" spans="1:14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  <c r="N11" s="9"/>
    </row>
    <row r="12" spans="1:14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  <c r="N12" s="9"/>
    </row>
    <row r="13" spans="1:14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  <c r="N13" s="9"/>
    </row>
    <row r="14" spans="1:14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  <c r="N14" s="9"/>
    </row>
    <row r="15" spans="1:14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  <c r="N15" s="9"/>
    </row>
    <row r="16" spans="1:14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  <c r="N16" s="9"/>
    </row>
    <row r="17" spans="1:14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  <c r="N17" s="9"/>
    </row>
    <row r="18" spans="1:14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  <c r="N18" s="9"/>
    </row>
    <row r="19" spans="1:14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  <c r="N19" s="9"/>
    </row>
    <row r="20" spans="1:14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  <c r="N20" s="9"/>
    </row>
    <row r="21" spans="1:14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  <c r="N21" s="9"/>
    </row>
    <row r="22" spans="1:14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  <c r="N22" s="9"/>
    </row>
    <row r="23" spans="1:14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  <c r="N23" s="9"/>
    </row>
    <row r="24" spans="1:14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  <c r="N24" s="9"/>
    </row>
    <row r="25" spans="1:14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  <c r="N25" s="9"/>
    </row>
    <row r="26" spans="1:14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  <c r="N26" s="9"/>
    </row>
    <row r="27" spans="1:14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  <c r="N27" s="9"/>
    </row>
    <row r="28" spans="1:14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  <c r="N28" s="9"/>
    </row>
    <row r="29" spans="1:14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  <c r="N29" s="9"/>
    </row>
    <row r="30" spans="1:14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  <c r="N30" s="9"/>
    </row>
    <row r="31" spans="1:14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  <c r="N31" s="9"/>
    </row>
    <row r="32" spans="1:14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  <c r="N32" s="9"/>
    </row>
    <row r="33" spans="1:15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  <c r="N33" s="9"/>
    </row>
    <row r="34" spans="1:15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  <c r="N34" s="9"/>
    </row>
    <row r="35" spans="1:15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  <c r="N35" s="9"/>
    </row>
    <row r="36" spans="1:15" ht="18.75" x14ac:dyDescent="0.3">
      <c r="A36" s="536"/>
      <c r="B36" s="537" t="s">
        <v>976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  <c r="N36" s="9"/>
    </row>
    <row r="37" spans="1:15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  <c r="N37" s="9"/>
    </row>
    <row r="38" spans="1:15" x14ac:dyDescent="0.25">
      <c r="A38" s="388" t="s">
        <v>765</v>
      </c>
      <c r="B38" s="541" t="s">
        <v>1001</v>
      </c>
      <c r="C38" s="542"/>
      <c r="D38" s="543">
        <f>'FEBRUARY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  <c r="K38" s="9"/>
      <c r="L38" s="9"/>
      <c r="M38" s="9"/>
      <c r="N38" s="9"/>
    </row>
    <row r="39" spans="1:15" x14ac:dyDescent="0.25">
      <c r="A39" s="604" t="s">
        <v>880</v>
      </c>
      <c r="B39" s="541" t="s">
        <v>1002</v>
      </c>
      <c r="C39" s="542"/>
      <c r="D39" s="543">
        <f>'FEBRUARY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  <c r="N39" s="9"/>
    </row>
    <row r="40" spans="1:15" x14ac:dyDescent="0.25">
      <c r="A40" s="604" t="s">
        <v>925</v>
      </c>
      <c r="B40" s="541" t="s">
        <v>1003</v>
      </c>
      <c r="C40" s="542">
        <v>700</v>
      </c>
      <c r="D40" s="543">
        <v>2000</v>
      </c>
      <c r="E40" s="443">
        <v>2500</v>
      </c>
      <c r="F40" s="440">
        <f>C40+D40+E40</f>
        <v>5200</v>
      </c>
      <c r="G40" s="440">
        <f>500+1500+1500</f>
        <v>3500</v>
      </c>
      <c r="H40" s="544">
        <f>F40-G40</f>
        <v>1700</v>
      </c>
      <c r="I40" s="543"/>
      <c r="J40" s="543"/>
      <c r="K40" s="9"/>
      <c r="L40" s="9"/>
      <c r="M40" s="9"/>
      <c r="N40" s="9"/>
    </row>
    <row r="41" spans="1:15" x14ac:dyDescent="0.25">
      <c r="A41" s="604" t="s">
        <v>639</v>
      </c>
      <c r="B41" s="541" t="s">
        <v>1004</v>
      </c>
      <c r="C41" s="542"/>
      <c r="D41" s="543">
        <f>'FEBRUARY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  <c r="M41" s="9"/>
      <c r="N41" s="9"/>
    </row>
    <row r="42" spans="1:15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  <c r="M42" s="9"/>
      <c r="N42" s="9"/>
    </row>
    <row r="43" spans="1:15" x14ac:dyDescent="0.25">
      <c r="A43" s="388" t="s">
        <v>767</v>
      </c>
      <c r="B43" s="541" t="s">
        <v>1006</v>
      </c>
      <c r="C43" s="542"/>
      <c r="D43" s="543">
        <f>'FEBRUARY 21'!H43:H68</f>
        <v>0</v>
      </c>
      <c r="E43" s="443">
        <v>3000</v>
      </c>
      <c r="F43" s="440">
        <f t="shared" si="3"/>
        <v>3000</v>
      </c>
      <c r="G43" s="440">
        <v>3000</v>
      </c>
      <c r="H43" s="544">
        <f t="shared" si="2"/>
        <v>0</v>
      </c>
      <c r="I43" s="543">
        <v>100</v>
      </c>
      <c r="J43" s="543"/>
      <c r="K43" s="9"/>
      <c r="L43" s="9"/>
      <c r="M43" s="9"/>
      <c r="N43" s="9"/>
    </row>
    <row r="44" spans="1:15" x14ac:dyDescent="0.25">
      <c r="A44" s="610"/>
      <c r="B44" s="541" t="s">
        <v>1007</v>
      </c>
      <c r="C44" s="542"/>
      <c r="D44" s="543"/>
      <c r="E44" s="443"/>
      <c r="F44" s="440">
        <f t="shared" si="3"/>
        <v>0</v>
      </c>
      <c r="G44" s="440"/>
      <c r="H44" s="544">
        <f t="shared" si="2"/>
        <v>0</v>
      </c>
      <c r="I44" s="543"/>
      <c r="J44" s="543"/>
      <c r="K44" s="9"/>
      <c r="L44" s="9"/>
      <c r="M44" s="9"/>
      <c r="N44" s="9"/>
    </row>
    <row r="45" spans="1:15" x14ac:dyDescent="0.25">
      <c r="A45" s="388" t="s">
        <v>704</v>
      </c>
      <c r="B45" s="541" t="s">
        <v>1008</v>
      </c>
      <c r="C45" s="542">
        <v>1000</v>
      </c>
      <c r="D45" s="543">
        <v>1000</v>
      </c>
      <c r="E45" s="546">
        <v>2500</v>
      </c>
      <c r="F45" s="440">
        <f t="shared" si="3"/>
        <v>4500</v>
      </c>
      <c r="G45" s="440">
        <f>2500</f>
        <v>2500</v>
      </c>
      <c r="H45" s="544">
        <f t="shared" si="2"/>
        <v>2000</v>
      </c>
      <c r="I45" s="543">
        <v>100</v>
      </c>
      <c r="J45" s="543"/>
      <c r="K45" s="9"/>
      <c r="L45" s="9"/>
      <c r="M45" s="9"/>
      <c r="N45" s="9"/>
    </row>
    <row r="46" spans="1:15" x14ac:dyDescent="0.25">
      <c r="A46" s="605" t="s">
        <v>982</v>
      </c>
      <c r="B46" s="541" t="s">
        <v>1009</v>
      </c>
      <c r="C46" s="542"/>
      <c r="D46" s="543"/>
      <c r="E46" s="543">
        <v>2500</v>
      </c>
      <c r="F46" s="440">
        <f t="shared" si="3"/>
        <v>2500</v>
      </c>
      <c r="G46" s="440">
        <v>2000</v>
      </c>
      <c r="H46" s="544">
        <f t="shared" si="2"/>
        <v>500</v>
      </c>
      <c r="I46" s="543"/>
      <c r="J46" s="543"/>
      <c r="K46" s="9"/>
      <c r="L46" s="252">
        <f>D44+E44</f>
        <v>0</v>
      </c>
      <c r="M46" s="9"/>
      <c r="N46" s="9"/>
    </row>
    <row r="47" spans="1:15" x14ac:dyDescent="0.25">
      <c r="A47" s="384" t="s">
        <v>934</v>
      </c>
      <c r="B47" s="541" t="s">
        <v>1010</v>
      </c>
      <c r="C47" s="542">
        <v>1500</v>
      </c>
      <c r="D47" s="543">
        <v>1000</v>
      </c>
      <c r="E47" s="443">
        <v>2500</v>
      </c>
      <c r="F47" s="440">
        <f>C47+D47+E47</f>
        <v>5000</v>
      </c>
      <c r="G47" s="440">
        <v>3500</v>
      </c>
      <c r="H47" s="544">
        <f t="shared" si="2"/>
        <v>1500</v>
      </c>
      <c r="I47" s="543"/>
      <c r="J47" s="543"/>
      <c r="K47" s="9"/>
      <c r="L47" s="252">
        <f>L46-G44</f>
        <v>0</v>
      </c>
      <c r="M47" s="9"/>
      <c r="N47" s="9"/>
      <c r="O47">
        <f>4000-3720</f>
        <v>280</v>
      </c>
    </row>
    <row r="48" spans="1:15" x14ac:dyDescent="0.25">
      <c r="A48" s="382" t="s">
        <v>968</v>
      </c>
      <c r="B48" s="541" t="s">
        <v>1011</v>
      </c>
      <c r="C48" s="542"/>
      <c r="D48" s="543">
        <f>'FEBRUARY 21'!H48:H73</f>
        <v>2233</v>
      </c>
      <c r="E48" s="191">
        <v>2500</v>
      </c>
      <c r="F48" s="440">
        <f t="shared" si="3"/>
        <v>4733</v>
      </c>
      <c r="G48" s="440">
        <f>2500</f>
        <v>2500</v>
      </c>
      <c r="H48" s="544">
        <f t="shared" si="2"/>
        <v>2233</v>
      </c>
      <c r="I48" s="543"/>
      <c r="J48" s="543"/>
      <c r="K48" s="9"/>
      <c r="L48" s="9"/>
      <c r="M48" s="9"/>
      <c r="N48" s="9"/>
    </row>
    <row r="49" spans="1:14" x14ac:dyDescent="0.25">
      <c r="A49" s="191" t="s">
        <v>954</v>
      </c>
      <c r="B49" s="541" t="s">
        <v>1012</v>
      </c>
      <c r="C49" s="542"/>
      <c r="D49" s="543">
        <f>'FEBRUARY 21'!H49:H74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  <c r="L49" s="9"/>
      <c r="M49" s="9"/>
      <c r="N49" s="9"/>
    </row>
    <row r="50" spans="1:14" x14ac:dyDescent="0.25">
      <c r="A50" s="610" t="s">
        <v>521</v>
      </c>
      <c r="B50" s="541" t="s">
        <v>1013</v>
      </c>
      <c r="C50" s="542"/>
      <c r="D50" s="543">
        <f>'FEBRUARY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  <c r="M50" s="9"/>
      <c r="N50" s="9"/>
    </row>
    <row r="51" spans="1:14" x14ac:dyDescent="0.25">
      <c r="A51" s="384" t="s">
        <v>963</v>
      </c>
      <c r="B51" s="541" t="s">
        <v>1014</v>
      </c>
      <c r="C51" s="542"/>
      <c r="D51" s="543">
        <f>'FEBRUARY 21'!H51:H76</f>
        <v>0</v>
      </c>
      <c r="E51" s="544">
        <v>2500</v>
      </c>
      <c r="F51" s="440">
        <f t="shared" si="3"/>
        <v>2500</v>
      </c>
      <c r="G51" s="440">
        <f>2500</f>
        <v>2500</v>
      </c>
      <c r="H51" s="544"/>
      <c r="I51" s="543">
        <v>100</v>
      </c>
      <c r="J51" s="543"/>
      <c r="K51" s="9"/>
      <c r="L51" s="9"/>
      <c r="M51" s="9"/>
      <c r="N51" s="9"/>
    </row>
    <row r="52" spans="1:14" x14ac:dyDescent="0.25">
      <c r="A52" s="113" t="s">
        <v>505</v>
      </c>
      <c r="B52" s="541" t="s">
        <v>1015</v>
      </c>
      <c r="C52" s="542"/>
      <c r="D52" s="543">
        <f>'FEBRUARY 21'!H52:H77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  <c r="N52" s="9"/>
    </row>
    <row r="53" spans="1:14" x14ac:dyDescent="0.25">
      <c r="A53" s="610"/>
      <c r="B53" s="541" t="s">
        <v>1016</v>
      </c>
      <c r="C53" s="542"/>
      <c r="D53" s="543">
        <f>'FEBRUARY 21'!H53:H78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  <c r="N53" s="9"/>
    </row>
    <row r="54" spans="1:14" x14ac:dyDescent="0.25">
      <c r="A54" s="388" t="s">
        <v>938</v>
      </c>
      <c r="B54" s="541" t="s">
        <v>1017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  <c r="N54" s="9"/>
    </row>
    <row r="55" spans="1:14" x14ac:dyDescent="0.25">
      <c r="A55" s="384" t="s">
        <v>946</v>
      </c>
      <c r="B55" s="541" t="s">
        <v>1018</v>
      </c>
      <c r="C55" s="542"/>
      <c r="D55" s="543">
        <f>'FEBRUARY 21'!H55:H80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  <c r="K55" s="9"/>
      <c r="L55" s="9"/>
      <c r="M55" s="9">
        <f>6000+200+800</f>
        <v>7000</v>
      </c>
      <c r="N55" s="9"/>
    </row>
    <row r="56" spans="1:14" x14ac:dyDescent="0.25">
      <c r="A56" s="382" t="s">
        <v>521</v>
      </c>
      <c r="B56" s="541">
        <v>15</v>
      </c>
      <c r="C56" s="542"/>
      <c r="D56" s="543"/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  <c r="L56" s="9"/>
      <c r="M56" s="9"/>
      <c r="N56" s="9"/>
    </row>
    <row r="57" spans="1:14" x14ac:dyDescent="0.25">
      <c r="A57" s="384" t="s">
        <v>983</v>
      </c>
      <c r="B57" s="541">
        <v>16</v>
      </c>
      <c r="C57" s="542"/>
      <c r="D57" s="543">
        <f>'FEBRUARY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>F57-G57</f>
        <v>0</v>
      </c>
      <c r="I57" s="543"/>
      <c r="J57" s="543"/>
      <c r="K57" s="9"/>
      <c r="L57" s="9"/>
      <c r="M57" s="9"/>
      <c r="N57" s="9"/>
    </row>
    <row r="58" spans="1:14" x14ac:dyDescent="0.25">
      <c r="A58" s="384" t="s">
        <v>961</v>
      </c>
      <c r="B58" s="541">
        <v>17</v>
      </c>
      <c r="C58" s="542"/>
      <c r="D58" s="543">
        <f>'FEBRUARY 21'!H58:H83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/>
      <c r="J58" s="543"/>
      <c r="K58" s="9"/>
      <c r="L58" s="9"/>
      <c r="M58" s="9"/>
      <c r="N58" s="9"/>
    </row>
    <row r="59" spans="1:14" x14ac:dyDescent="0.25">
      <c r="A59" s="384" t="s">
        <v>521</v>
      </c>
      <c r="B59" s="541">
        <v>18</v>
      </c>
      <c r="C59" s="542"/>
      <c r="D59" s="543"/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  <c r="L59" s="9"/>
      <c r="M59" s="9"/>
      <c r="N59" s="9"/>
    </row>
    <row r="60" spans="1:14" x14ac:dyDescent="0.25">
      <c r="A60" s="388" t="s">
        <v>701</v>
      </c>
      <c r="B60" s="541">
        <v>19</v>
      </c>
      <c r="C60" s="542"/>
      <c r="D60" s="543">
        <f>'FEBRUARY 21'!H60:H85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  <c r="N60" s="9"/>
    </row>
    <row r="61" spans="1:14" x14ac:dyDescent="0.25">
      <c r="A61" s="384" t="s">
        <v>994</v>
      </c>
      <c r="B61" s="541">
        <v>20</v>
      </c>
      <c r="C61" s="542"/>
      <c r="D61" s="543"/>
      <c r="E61" s="608">
        <v>2000</v>
      </c>
      <c r="F61" s="440">
        <f t="shared" si="3"/>
        <v>2000</v>
      </c>
      <c r="G61" s="440">
        <v>2000</v>
      </c>
      <c r="H61" s="544">
        <f>F61-G61</f>
        <v>0</v>
      </c>
      <c r="I61" s="543"/>
      <c r="J61" s="543"/>
      <c r="K61" s="9"/>
      <c r="L61" s="9"/>
      <c r="M61" s="9"/>
      <c r="N61" s="9"/>
    </row>
    <row r="62" spans="1:14" x14ac:dyDescent="0.25">
      <c r="A62" s="388" t="s">
        <v>935</v>
      </c>
      <c r="B62" s="541">
        <v>21</v>
      </c>
      <c r="C62" s="542"/>
      <c r="D62" s="543">
        <f>'FEBRUARY 21'!H62:H87</f>
        <v>4100</v>
      </c>
      <c r="E62" s="603"/>
      <c r="F62" s="440">
        <f>C62+D62+E62</f>
        <v>4100</v>
      </c>
      <c r="G62" s="440">
        <f>2100+2000</f>
        <v>4100</v>
      </c>
      <c r="H62" s="544">
        <f>F62-G62</f>
        <v>0</v>
      </c>
      <c r="I62" s="543"/>
      <c r="J62" s="543"/>
      <c r="K62" s="9"/>
      <c r="L62" s="9"/>
      <c r="M62" s="9"/>
      <c r="N62" s="9"/>
    </row>
    <row r="63" spans="1:14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10333</v>
      </c>
      <c r="E63" s="588">
        <f>SUM(E38:E62)</f>
        <v>41700</v>
      </c>
      <c r="F63" s="440">
        <f t="shared" si="5"/>
        <v>57233</v>
      </c>
      <c r="G63" s="440">
        <f t="shared" si="5"/>
        <v>47300</v>
      </c>
      <c r="H63" s="544">
        <f t="shared" si="5"/>
        <v>9933</v>
      </c>
      <c r="I63" s="591">
        <f t="shared" si="5"/>
        <v>500</v>
      </c>
      <c r="J63" s="591">
        <f>SUM(J38:J62)</f>
        <v>0</v>
      </c>
      <c r="K63" s="9"/>
      <c r="L63" s="9"/>
      <c r="M63" s="9"/>
      <c r="N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  <c r="N64" s="9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4733</v>
      </c>
      <c r="J65" s="9"/>
      <c r="K65" s="9"/>
      <c r="L65" s="9"/>
      <c r="M65" s="9"/>
      <c r="N65" s="9"/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  <c r="N66" s="9"/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  <c r="N67" s="9"/>
    </row>
    <row r="68" spans="1:17" x14ac:dyDescent="0.25">
      <c r="A68" s="191" t="s">
        <v>712</v>
      </c>
      <c r="B68" s="494">
        <f>E63</f>
        <v>41700</v>
      </c>
      <c r="C68" s="191"/>
      <c r="D68" s="191"/>
      <c r="E68" s="191" t="s">
        <v>712</v>
      </c>
      <c r="F68" s="494">
        <f>G63</f>
        <v>47300</v>
      </c>
      <c r="G68" s="191"/>
      <c r="H68" s="191"/>
      <c r="I68" s="292"/>
      <c r="J68" s="9"/>
      <c r="K68" s="9"/>
      <c r="L68" s="9"/>
      <c r="M68" s="9"/>
      <c r="N68" s="9"/>
    </row>
    <row r="69" spans="1:17" x14ac:dyDescent="0.25">
      <c r="A69" s="191" t="s">
        <v>347</v>
      </c>
      <c r="B69" s="494">
        <f>'FEBRUARY 21'!D83</f>
        <v>-13758.600000000006</v>
      </c>
      <c r="C69" s="191"/>
      <c r="D69" s="191"/>
      <c r="E69" s="191" t="s">
        <v>347</v>
      </c>
      <c r="F69" s="494">
        <f>'FEBRUARY 21'!H83</f>
        <v>-48777.600000000006</v>
      </c>
      <c r="G69" s="191"/>
      <c r="H69" s="191"/>
      <c r="I69" s="292"/>
      <c r="J69" s="9"/>
      <c r="K69" s="9"/>
      <c r="L69" s="9"/>
      <c r="M69" s="9"/>
      <c r="N69" s="9"/>
    </row>
    <row r="70" spans="1:17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  <c r="N70" s="9" t="s">
        <v>629</v>
      </c>
      <c r="O70">
        <f>C75</f>
        <v>0</v>
      </c>
      <c r="Q70">
        <v>41300</v>
      </c>
    </row>
    <row r="71" spans="1:17" x14ac:dyDescent="0.25">
      <c r="A71" s="191" t="s">
        <v>613</v>
      </c>
      <c r="B71" s="327">
        <v>0.1</v>
      </c>
      <c r="C71" s="494">
        <f>B71*B68</f>
        <v>4170</v>
      </c>
      <c r="D71" s="191"/>
      <c r="E71" s="191" t="s">
        <v>613</v>
      </c>
      <c r="F71" s="327">
        <v>0.1</v>
      </c>
      <c r="G71" s="301">
        <f>F71*E63</f>
        <v>4170</v>
      </c>
      <c r="H71" s="191"/>
      <c r="I71" s="292"/>
      <c r="J71" s="9"/>
      <c r="K71" s="9"/>
      <c r="L71" s="147">
        <f>B68</f>
        <v>41700</v>
      </c>
      <c r="M71" s="9"/>
      <c r="N71" s="9" t="s">
        <v>986</v>
      </c>
      <c r="O71" s="252">
        <f>C76+C77+C78+C79+C80</f>
        <v>9220</v>
      </c>
      <c r="Q71">
        <v>13759</v>
      </c>
    </row>
    <row r="72" spans="1:17" x14ac:dyDescent="0.25">
      <c r="A72" s="191" t="s">
        <v>992</v>
      </c>
      <c r="B72" s="494"/>
      <c r="C72" s="301"/>
      <c r="D72" s="191"/>
      <c r="E72" s="191" t="s">
        <v>992</v>
      </c>
      <c r="F72" s="494"/>
      <c r="G72" s="494"/>
      <c r="H72" s="191"/>
      <c r="I72" s="292"/>
      <c r="J72" s="9"/>
      <c r="K72" s="9" t="s">
        <v>55</v>
      </c>
      <c r="L72" s="9">
        <v>13759</v>
      </c>
      <c r="M72" s="9"/>
      <c r="N72" s="9"/>
      <c r="O72">
        <f>SUM(O70:O71)</f>
        <v>9220</v>
      </c>
      <c r="Q72">
        <f>Q70-Q71</f>
        <v>27541</v>
      </c>
    </row>
    <row r="73" spans="1:17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147">
        <f>L71-L72</f>
        <v>27941</v>
      </c>
      <c r="M73" s="9"/>
      <c r="N73" s="9"/>
      <c r="Q73">
        <v>4130</v>
      </c>
    </row>
    <row r="74" spans="1:17" x14ac:dyDescent="0.25">
      <c r="A74" s="495"/>
      <c r="B74" s="191"/>
      <c r="C74" s="191"/>
      <c r="D74" s="191"/>
      <c r="E74" s="495"/>
      <c r="F74" s="191"/>
      <c r="G74" s="191"/>
      <c r="H74" s="191"/>
      <c r="I74" s="292"/>
      <c r="J74" s="9"/>
      <c r="K74" s="9" t="s">
        <v>613</v>
      </c>
      <c r="L74" s="147">
        <f>C71</f>
        <v>4170</v>
      </c>
      <c r="M74" s="9"/>
      <c r="N74" s="9"/>
      <c r="Q74">
        <f>Q72-Q73</f>
        <v>23411</v>
      </c>
    </row>
    <row r="75" spans="1:17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147"/>
      <c r="L75" s="147">
        <f>L73-L74</f>
        <v>23771</v>
      </c>
      <c r="M75" s="9"/>
      <c r="N75" s="9"/>
    </row>
    <row r="76" spans="1:17" x14ac:dyDescent="0.25">
      <c r="A76" s="44" t="s">
        <v>977</v>
      </c>
      <c r="B76" s="44"/>
      <c r="C76" s="44">
        <f>1570+150</f>
        <v>1720</v>
      </c>
      <c r="D76" s="191"/>
      <c r="E76" s="44" t="s">
        <v>977</v>
      </c>
      <c r="F76" s="44"/>
      <c r="G76" s="44">
        <v>1570</v>
      </c>
      <c r="H76" s="191"/>
      <c r="I76" s="602"/>
      <c r="J76" s="147" t="s">
        <v>987</v>
      </c>
      <c r="K76" s="147"/>
      <c r="L76" s="9">
        <f>O72</f>
        <v>9220</v>
      </c>
      <c r="M76" s="9"/>
      <c r="N76" s="9"/>
    </row>
    <row r="77" spans="1:17" x14ac:dyDescent="0.25">
      <c r="A77" s="496" t="s">
        <v>902</v>
      </c>
      <c r="B77" s="327"/>
      <c r="C77" s="301">
        <v>1200</v>
      </c>
      <c r="D77" s="191"/>
      <c r="E77" s="496" t="s">
        <v>902</v>
      </c>
      <c r="F77" s="327"/>
      <c r="G77" s="301">
        <v>1200</v>
      </c>
      <c r="H77" s="191"/>
      <c r="I77" s="216"/>
      <c r="J77" s="147"/>
      <c r="K77" s="9"/>
      <c r="L77" s="147">
        <f>L75-L76</f>
        <v>14551</v>
      </c>
      <c r="M77" s="9"/>
      <c r="N77" s="9"/>
    </row>
    <row r="78" spans="1:17" x14ac:dyDescent="0.25">
      <c r="A78" s="497" t="s">
        <v>249</v>
      </c>
      <c r="B78" s="495"/>
      <c r="C78" s="301">
        <v>4800</v>
      </c>
      <c r="D78" s="191"/>
      <c r="E78" s="497" t="s">
        <v>249</v>
      </c>
      <c r="F78" s="495"/>
      <c r="G78" s="301">
        <v>4800</v>
      </c>
      <c r="H78" s="191"/>
      <c r="I78" s="216"/>
      <c r="J78" s="147" t="s">
        <v>980</v>
      </c>
      <c r="K78" s="9"/>
      <c r="L78" s="9">
        <v>5000</v>
      </c>
      <c r="M78" s="9"/>
      <c r="N78" s="9"/>
      <c r="P78" s="252">
        <f>C84+C83+C82+C81+C80+C79+C78+C77+C76</f>
        <v>26720</v>
      </c>
    </row>
    <row r="79" spans="1:17" x14ac:dyDescent="0.25">
      <c r="A79" s="44" t="s">
        <v>978</v>
      </c>
      <c r="B79" s="44"/>
      <c r="C79" s="44">
        <v>300</v>
      </c>
      <c r="D79" s="191"/>
      <c r="E79" s="44" t="s">
        <v>978</v>
      </c>
      <c r="F79" s="44"/>
      <c r="G79" s="44">
        <v>300</v>
      </c>
      <c r="H79" s="191"/>
      <c r="I79" s="216"/>
      <c r="J79" s="147" t="s">
        <v>988</v>
      </c>
      <c r="K79" s="9"/>
      <c r="L79" s="9">
        <v>7500</v>
      </c>
      <c r="M79" s="9"/>
      <c r="N79" s="9"/>
    </row>
    <row r="80" spans="1:17" x14ac:dyDescent="0.25">
      <c r="A80" s="44" t="s">
        <v>979</v>
      </c>
      <c r="B80" s="44"/>
      <c r="C80" s="44">
        <v>1200</v>
      </c>
      <c r="D80" s="191"/>
      <c r="E80" s="44" t="s">
        <v>979</v>
      </c>
      <c r="F80" s="44"/>
      <c r="G80" s="44">
        <v>1200</v>
      </c>
      <c r="H80" s="191"/>
      <c r="I80" s="292"/>
      <c r="J80" s="252"/>
      <c r="K80" s="9"/>
      <c r="L80" s="147">
        <f>L77-L78-L79</f>
        <v>2051</v>
      </c>
      <c r="M80" s="9"/>
      <c r="N80" s="9"/>
    </row>
    <row r="81" spans="1:15" x14ac:dyDescent="0.25">
      <c r="A81" s="44" t="s">
        <v>980</v>
      </c>
      <c r="B81" s="44"/>
      <c r="C81" s="44">
        <v>5000</v>
      </c>
      <c r="D81" s="191"/>
      <c r="E81" s="44" t="s">
        <v>980</v>
      </c>
      <c r="F81" s="44"/>
      <c r="G81" s="44">
        <v>5000</v>
      </c>
      <c r="H81" s="191"/>
      <c r="I81" s="216"/>
      <c r="J81" s="147" t="s">
        <v>984</v>
      </c>
      <c r="K81" s="9"/>
      <c r="L81" s="9">
        <v>1500</v>
      </c>
      <c r="M81" s="9"/>
      <c r="N81" s="9"/>
    </row>
    <row r="82" spans="1:15" s="9" customFormat="1" x14ac:dyDescent="0.25">
      <c r="A82" s="44" t="s">
        <v>981</v>
      </c>
      <c r="B82" s="44"/>
      <c r="C82" s="44">
        <v>7500</v>
      </c>
      <c r="D82" s="191"/>
      <c r="E82" s="44" t="s">
        <v>981</v>
      </c>
      <c r="F82" s="44"/>
      <c r="G82" s="44">
        <v>7500</v>
      </c>
      <c r="H82" s="191"/>
      <c r="I82" s="216"/>
      <c r="J82" s="147" t="s">
        <v>985</v>
      </c>
      <c r="L82" s="9">
        <v>3500</v>
      </c>
    </row>
    <row r="83" spans="1:15" s="9" customFormat="1" x14ac:dyDescent="0.25">
      <c r="A83" s="44" t="s">
        <v>984</v>
      </c>
      <c r="B83" s="44"/>
      <c r="C83" s="44">
        <v>1500</v>
      </c>
      <c r="D83" s="191"/>
      <c r="E83" s="44" t="s">
        <v>984</v>
      </c>
      <c r="F83" s="44"/>
      <c r="G83" s="44">
        <v>1500</v>
      </c>
      <c r="H83" s="191"/>
      <c r="I83" s="216"/>
      <c r="L83" s="147">
        <f>L80-L81-L82</f>
        <v>-2949</v>
      </c>
      <c r="N83" s="9">
        <f>11000-3309</f>
        <v>7691</v>
      </c>
    </row>
    <row r="84" spans="1:15" s="9" customFormat="1" x14ac:dyDescent="0.25">
      <c r="A84" s="44" t="s">
        <v>985</v>
      </c>
      <c r="B84" s="44"/>
      <c r="C84" s="44">
        <v>3500</v>
      </c>
      <c r="D84" s="191"/>
      <c r="E84" s="44" t="s">
        <v>985</v>
      </c>
      <c r="F84" s="44"/>
      <c r="G84" s="44">
        <v>3500</v>
      </c>
      <c r="H84" s="191"/>
      <c r="I84" s="216"/>
      <c r="J84" s="612">
        <v>44264</v>
      </c>
      <c r="K84" s="9" t="s">
        <v>3</v>
      </c>
      <c r="L84" s="9">
        <v>5000</v>
      </c>
    </row>
    <row r="85" spans="1:15" s="9" customFormat="1" x14ac:dyDescent="0.25">
      <c r="A85" s="44" t="s">
        <v>989</v>
      </c>
      <c r="B85" s="44"/>
      <c r="C85" s="44">
        <v>5000</v>
      </c>
      <c r="D85" s="191"/>
      <c r="E85" s="44" t="s">
        <v>989</v>
      </c>
      <c r="F85" s="44"/>
      <c r="G85" s="44">
        <v>5000</v>
      </c>
      <c r="H85" s="191"/>
      <c r="I85" s="216"/>
      <c r="J85" s="9" t="s">
        <v>996</v>
      </c>
      <c r="L85" s="9">
        <f>C87</f>
        <v>26755</v>
      </c>
    </row>
    <row r="86" spans="1:15" s="9" customFormat="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 t="s">
        <v>991</v>
      </c>
      <c r="L86" s="9">
        <v>1500</v>
      </c>
    </row>
    <row r="87" spans="1:15" s="9" customFormat="1" x14ac:dyDescent="0.25">
      <c r="A87" s="44" t="s">
        <v>990</v>
      </c>
      <c r="B87" s="44"/>
      <c r="C87" s="44">
        <f>26755</f>
        <v>26755</v>
      </c>
      <c r="D87" s="191"/>
      <c r="E87" s="44" t="s">
        <v>990</v>
      </c>
      <c r="F87" s="44"/>
      <c r="G87" s="44">
        <f>26112+643</f>
        <v>26755</v>
      </c>
      <c r="H87" s="191"/>
      <c r="I87" s="216"/>
      <c r="L87" s="147">
        <f>L83-L84-L85-L86</f>
        <v>-36204</v>
      </c>
    </row>
    <row r="88" spans="1:15" s="9" customFormat="1" x14ac:dyDescent="0.25">
      <c r="A88" s="44" t="s">
        <v>991</v>
      </c>
      <c r="B88" s="44"/>
      <c r="C88" s="44">
        <v>1500</v>
      </c>
      <c r="D88" s="191"/>
      <c r="E88" s="44" t="s">
        <v>991</v>
      </c>
      <c r="F88" s="44"/>
      <c r="G88" s="44">
        <v>1500</v>
      </c>
      <c r="H88" s="191"/>
      <c r="I88" s="216"/>
    </row>
    <row r="89" spans="1:15" s="9" customFormat="1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5" x14ac:dyDescent="0.25">
      <c r="A90" s="44"/>
      <c r="B90" s="44"/>
      <c r="C90" s="44"/>
      <c r="D90" s="191"/>
      <c r="E90" s="44"/>
      <c r="F90" s="44"/>
      <c r="G90" s="44"/>
      <c r="H90" s="191"/>
      <c r="I90" s="216"/>
      <c r="J90" s="9"/>
      <c r="K90" s="9"/>
      <c r="L90" s="9"/>
      <c r="M90" s="9"/>
      <c r="N90" s="9"/>
    </row>
    <row r="91" spans="1:15" x14ac:dyDescent="0.25">
      <c r="A91" s="493" t="s">
        <v>2</v>
      </c>
      <c r="B91" s="499">
        <f>B70+B68+B69+B72-C71</f>
        <v>23771.399999999994</v>
      </c>
      <c r="C91" s="499">
        <f>SUM(C72:C90)</f>
        <v>59975</v>
      </c>
      <c r="D91" s="499">
        <f>B91-C91</f>
        <v>-36203.600000000006</v>
      </c>
      <c r="E91" s="493" t="s">
        <v>2</v>
      </c>
      <c r="F91" s="499">
        <f>F68+F69+F72-G71</f>
        <v>-5647.6000000000058</v>
      </c>
      <c r="G91" s="499">
        <f>SUM(G72:G90)</f>
        <v>59825</v>
      </c>
      <c r="H91" s="499">
        <f>F91-G91</f>
        <v>-65472.600000000006</v>
      </c>
      <c r="I91" s="216"/>
      <c r="J91" s="9"/>
      <c r="K91" s="9"/>
      <c r="L91" s="9"/>
      <c r="M91" s="9"/>
      <c r="N91" s="9"/>
    </row>
    <row r="92" spans="1:15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  <c r="L92" s="9"/>
      <c r="M92" s="9"/>
      <c r="N92" s="9"/>
    </row>
    <row r="93" spans="1:15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  <c r="L93" s="9"/>
      <c r="M93" s="9"/>
      <c r="N93" s="9"/>
      <c r="O93">
        <f>23434*12</f>
        <v>281208</v>
      </c>
    </row>
    <row r="94" spans="1:15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>
        <f>C90+C86+C85</f>
        <v>5000</v>
      </c>
      <c r="K94" s="9"/>
      <c r="L94" s="9"/>
      <c r="M94" s="9"/>
      <c r="N94" s="9"/>
    </row>
    <row r="95" spans="1:15" x14ac:dyDescent="0.25">
      <c r="A95" s="558" t="s">
        <v>782</v>
      </c>
      <c r="B95" s="559"/>
      <c r="C95" s="559" t="s">
        <v>78</v>
      </c>
      <c r="D95" s="560"/>
      <c r="E95" s="558"/>
      <c r="F95" s="558" t="s">
        <v>663</v>
      </c>
      <c r="G95" s="216"/>
      <c r="H95" s="216"/>
      <c r="I95" s="216"/>
      <c r="J95" s="9"/>
      <c r="K95" s="9"/>
      <c r="L95" s="9"/>
      <c r="M95" s="9"/>
      <c r="N95" s="9"/>
    </row>
    <row r="96" spans="1:15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A32" workbookViewId="0">
      <selection activeCell="I49" sqref="I49"/>
    </sheetView>
  </sheetViews>
  <sheetFormatPr defaultRowHeight="15" x14ac:dyDescent="0.25"/>
  <cols>
    <col min="1" max="1" width="19.7109375" customWidth="1"/>
    <col min="2" max="2" width="9.5703125" bestFit="1" customWidth="1"/>
    <col min="6" max="6" width="11.710937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4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4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4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4" ht="18.75" x14ac:dyDescent="0.3">
      <c r="A36" s="536"/>
      <c r="B36" s="537" t="s">
        <v>993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4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4" x14ac:dyDescent="0.25">
      <c r="A38" s="388" t="s">
        <v>765</v>
      </c>
      <c r="B38" s="541" t="s">
        <v>1001</v>
      </c>
      <c r="C38" s="542"/>
      <c r="D38" s="543">
        <f>'MARCH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4" x14ac:dyDescent="0.25">
      <c r="A39" s="604" t="s">
        <v>880</v>
      </c>
      <c r="B39" s="541" t="s">
        <v>1002</v>
      </c>
      <c r="C39" s="542"/>
      <c r="D39" s="543">
        <f>'MARCH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4" x14ac:dyDescent="0.25">
      <c r="A40" s="604" t="s">
        <v>925</v>
      </c>
      <c r="B40" s="541" t="s">
        <v>1003</v>
      </c>
      <c r="C40" s="542">
        <v>700</v>
      </c>
      <c r="D40" s="543">
        <v>1000</v>
      </c>
      <c r="E40" s="443">
        <v>2500</v>
      </c>
      <c r="F40" s="440">
        <f>C40+D40+E40</f>
        <v>4200</v>
      </c>
      <c r="G40" s="440">
        <f>1000</f>
        <v>1000</v>
      </c>
      <c r="H40" s="544">
        <f>F40-G40</f>
        <v>3200</v>
      </c>
      <c r="I40" s="543"/>
      <c r="J40" s="543"/>
      <c r="K40" s="9"/>
      <c r="L40" s="9"/>
    </row>
    <row r="41" spans="1:14" x14ac:dyDescent="0.25">
      <c r="A41" s="604" t="s">
        <v>639</v>
      </c>
      <c r="B41" s="541" t="s">
        <v>1004</v>
      </c>
      <c r="C41" s="542"/>
      <c r="D41" s="543">
        <f>'MARCH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</row>
    <row r="42" spans="1:14" x14ac:dyDescent="0.25">
      <c r="A42" s="113" t="s">
        <v>521</v>
      </c>
      <c r="B42" s="541" t="s">
        <v>1005</v>
      </c>
      <c r="C42" s="542"/>
      <c r="D42" s="543">
        <f>'MARCH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4" x14ac:dyDescent="0.25">
      <c r="A43" s="379" t="s">
        <v>521</v>
      </c>
      <c r="B43" s="541" t="s">
        <v>1006</v>
      </c>
      <c r="C43" s="542"/>
      <c r="D43" s="543">
        <f>'MARCH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  <c r="L43" s="9"/>
    </row>
    <row r="44" spans="1:14" x14ac:dyDescent="0.25">
      <c r="A44" s="382" t="s">
        <v>954</v>
      </c>
      <c r="B44" s="541" t="s">
        <v>1007</v>
      </c>
      <c r="C44" s="542"/>
      <c r="D44" s="543">
        <f>'MARCH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  <c r="L44" s="9"/>
      <c r="N44">
        <f>D40-C40</f>
        <v>300</v>
      </c>
    </row>
    <row r="45" spans="1:14" x14ac:dyDescent="0.25">
      <c r="A45" s="379" t="s">
        <v>521</v>
      </c>
      <c r="B45" s="541" t="s">
        <v>1008</v>
      </c>
      <c r="C45" s="542"/>
      <c r="D45" s="543"/>
      <c r="E45" s="546"/>
      <c r="F45" s="440">
        <f t="shared" si="3"/>
        <v>0</v>
      </c>
      <c r="G45" s="440"/>
      <c r="H45" s="544">
        <f t="shared" si="2"/>
        <v>0</v>
      </c>
      <c r="I45" s="543"/>
      <c r="J45" s="543"/>
      <c r="K45" s="9"/>
      <c r="L45" s="9"/>
    </row>
    <row r="46" spans="1:14" x14ac:dyDescent="0.25">
      <c r="A46" s="605" t="s">
        <v>704</v>
      </c>
      <c r="B46" s="541" t="s">
        <v>1009</v>
      </c>
      <c r="C46" s="542">
        <v>1000</v>
      </c>
      <c r="D46" s="543">
        <v>1000</v>
      </c>
      <c r="E46" s="543">
        <v>2500</v>
      </c>
      <c r="F46" s="440">
        <f t="shared" si="3"/>
        <v>4500</v>
      </c>
      <c r="G46" s="440"/>
      <c r="H46" s="544">
        <f t="shared" si="2"/>
        <v>4500</v>
      </c>
      <c r="I46" s="543"/>
      <c r="J46" s="543"/>
      <c r="K46" s="9"/>
      <c r="L46" s="252">
        <f>D44+E44</f>
        <v>2500</v>
      </c>
    </row>
    <row r="47" spans="1:14" x14ac:dyDescent="0.25">
      <c r="A47" s="379" t="s">
        <v>521</v>
      </c>
      <c r="B47" s="541" t="s">
        <v>1010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  <c r="K47" s="9"/>
      <c r="L47" s="252">
        <f>L46-G44</f>
        <v>0</v>
      </c>
    </row>
    <row r="48" spans="1:14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1300+1200</f>
        <v>2500</v>
      </c>
      <c r="H48" s="544">
        <f t="shared" si="2"/>
        <v>1500</v>
      </c>
      <c r="I48" s="543"/>
      <c r="J48" s="543"/>
      <c r="K48" s="9"/>
      <c r="L48" s="9"/>
    </row>
    <row r="49" spans="1:15" x14ac:dyDescent="0.25">
      <c r="A49" s="191" t="s">
        <v>968</v>
      </c>
      <c r="B49" s="541" t="s">
        <v>1012</v>
      </c>
      <c r="C49" s="542"/>
      <c r="D49" s="543">
        <v>2233</v>
      </c>
      <c r="E49" s="443">
        <v>2500</v>
      </c>
      <c r="F49" s="440">
        <f t="shared" si="3"/>
        <v>4733</v>
      </c>
      <c r="G49" s="440">
        <v>2500</v>
      </c>
      <c r="H49" s="544">
        <f t="shared" si="2"/>
        <v>2233</v>
      </c>
      <c r="I49" s="543">
        <v>100</v>
      </c>
      <c r="J49" s="543"/>
      <c r="K49" s="9"/>
      <c r="L49" s="9"/>
    </row>
    <row r="50" spans="1:15" x14ac:dyDescent="0.25">
      <c r="A50" s="382" t="s">
        <v>982</v>
      </c>
      <c r="B50" s="541" t="s">
        <v>1013</v>
      </c>
      <c r="C50" s="542"/>
      <c r="D50" s="543">
        <v>500</v>
      </c>
      <c r="E50" s="603">
        <v>2500</v>
      </c>
      <c r="F50" s="440">
        <f>C50+D50+E50</f>
        <v>3000</v>
      </c>
      <c r="G50" s="440">
        <v>2700</v>
      </c>
      <c r="H50" s="544">
        <f t="shared" si="2"/>
        <v>300</v>
      </c>
      <c r="I50" s="543"/>
      <c r="J50" s="543"/>
      <c r="K50" s="9"/>
      <c r="L50" s="9"/>
    </row>
    <row r="51" spans="1:15" x14ac:dyDescent="0.25">
      <c r="A51" s="384" t="s">
        <v>963</v>
      </c>
      <c r="B51" s="541" t="s">
        <v>1014</v>
      </c>
      <c r="C51" s="542"/>
      <c r="D51" s="543">
        <f>'MARCH 21'!H51:H76</f>
        <v>0</v>
      </c>
      <c r="E51" s="544">
        <v>2500</v>
      </c>
      <c r="F51" s="440">
        <f t="shared" si="3"/>
        <v>2500</v>
      </c>
      <c r="G51" s="440">
        <f>500</f>
        <v>500</v>
      </c>
      <c r="H51" s="544">
        <f t="shared" si="2"/>
        <v>2000</v>
      </c>
      <c r="I51" s="543"/>
      <c r="J51" s="543"/>
      <c r="K51" s="9"/>
      <c r="L51" s="9"/>
    </row>
    <row r="52" spans="1:15" x14ac:dyDescent="0.25">
      <c r="A52" s="191" t="s">
        <v>767</v>
      </c>
      <c r="B52" s="541" t="s">
        <v>1015</v>
      </c>
      <c r="C52" s="542"/>
      <c r="D52" s="543">
        <v>0</v>
      </c>
      <c r="E52" s="549">
        <v>3000</v>
      </c>
      <c r="F52" s="440">
        <f t="shared" si="3"/>
        <v>3000</v>
      </c>
      <c r="G52" s="440">
        <v>3000</v>
      </c>
      <c r="H52" s="544">
        <f t="shared" ref="H52:H62" si="4">F52-G52</f>
        <v>0</v>
      </c>
      <c r="I52" s="543">
        <v>100</v>
      </c>
      <c r="J52" s="543"/>
      <c r="K52" s="9"/>
      <c r="L52" s="9"/>
    </row>
    <row r="53" spans="1:15" x14ac:dyDescent="0.25">
      <c r="A53" s="610" t="s">
        <v>505</v>
      </c>
      <c r="B53" s="541" t="s">
        <v>1016</v>
      </c>
      <c r="C53" s="542"/>
      <c r="D53" s="543">
        <f>'MARCH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  <c r="L53" s="9"/>
      <c r="N53">
        <f>3000/30</f>
        <v>100</v>
      </c>
    </row>
    <row r="54" spans="1:15" x14ac:dyDescent="0.25">
      <c r="A54" s="388" t="s">
        <v>1026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  <c r="L54" s="9"/>
      <c r="N54">
        <f>N53*7</f>
        <v>700</v>
      </c>
    </row>
    <row r="55" spans="1:15" x14ac:dyDescent="0.25">
      <c r="A55" s="384" t="s">
        <v>938</v>
      </c>
      <c r="B55" s="541" t="s">
        <v>1018</v>
      </c>
      <c r="C55" s="542">
        <v>2000</v>
      </c>
      <c r="D55" s="543">
        <f>'MARCH 21'!H55:H80</f>
        <v>0</v>
      </c>
      <c r="E55" s="544">
        <v>2500</v>
      </c>
      <c r="F55" s="440">
        <f t="shared" si="3"/>
        <v>4500</v>
      </c>
      <c r="G55" s="440">
        <v>2500</v>
      </c>
      <c r="H55" s="544">
        <f t="shared" si="4"/>
        <v>2000</v>
      </c>
      <c r="I55" s="543"/>
      <c r="J55" s="543"/>
      <c r="K55" s="9"/>
      <c r="L55" s="9"/>
      <c r="O55">
        <f>N54+1000</f>
        <v>1700</v>
      </c>
    </row>
    <row r="56" spans="1:15" x14ac:dyDescent="0.25">
      <c r="A56" s="382"/>
      <c r="B56" s="541" t="s">
        <v>1019</v>
      </c>
      <c r="C56" s="542"/>
      <c r="D56" s="543">
        <f>'MARCH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  <c r="L56" s="9"/>
      <c r="O56">
        <f>O55+3000</f>
        <v>4700</v>
      </c>
    </row>
    <row r="57" spans="1:15" x14ac:dyDescent="0.25">
      <c r="A57" s="384" t="s">
        <v>983</v>
      </c>
      <c r="B57" s="553" t="s">
        <v>1020</v>
      </c>
      <c r="C57" s="542"/>
      <c r="D57" s="543">
        <f>'MARCH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 t="shared" si="4"/>
        <v>0</v>
      </c>
      <c r="I57" s="543">
        <v>100</v>
      </c>
      <c r="J57" s="543"/>
      <c r="K57" s="9"/>
      <c r="L57" s="9"/>
    </row>
    <row r="58" spans="1:15" ht="14.25" customHeight="1" x14ac:dyDescent="0.25">
      <c r="A58" s="384" t="s">
        <v>701</v>
      </c>
      <c r="B58" s="541" t="s">
        <v>1021</v>
      </c>
      <c r="C58" s="542"/>
      <c r="D58" s="543">
        <f>'MARCH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 t="shared" si="4"/>
        <v>0</v>
      </c>
      <c r="I58" s="543">
        <v>100</v>
      </c>
      <c r="J58" s="543"/>
      <c r="K58" s="9"/>
      <c r="L58" s="9"/>
    </row>
    <row r="59" spans="1:15" x14ac:dyDescent="0.25">
      <c r="A59" s="384" t="s">
        <v>995</v>
      </c>
      <c r="B59" s="553" t="s">
        <v>1022</v>
      </c>
      <c r="C59" s="542"/>
      <c r="D59" s="543">
        <f>'MARCH 21'!H59:H84</f>
        <v>0</v>
      </c>
      <c r="E59" s="608">
        <v>1600</v>
      </c>
      <c r="F59" s="440">
        <f>C59+D59+E59</f>
        <v>1600</v>
      </c>
      <c r="G59" s="440">
        <v>1600</v>
      </c>
      <c r="H59" s="544">
        <f t="shared" si="4"/>
        <v>0</v>
      </c>
      <c r="I59" s="543">
        <v>100</v>
      </c>
      <c r="J59" s="543"/>
      <c r="K59" s="9"/>
      <c r="L59" s="9"/>
      <c r="M59">
        <f>1600/30</f>
        <v>53.333333333333336</v>
      </c>
    </row>
    <row r="60" spans="1:15" x14ac:dyDescent="0.25">
      <c r="A60" s="388" t="s">
        <v>1027</v>
      </c>
      <c r="B60" s="541" t="s">
        <v>1023</v>
      </c>
      <c r="C60" s="542"/>
      <c r="D60" s="543">
        <f>'MARCH 21'!H60:H85</f>
        <v>0</v>
      </c>
      <c r="E60" s="608">
        <v>747</v>
      </c>
      <c r="F60" s="440">
        <f t="shared" si="3"/>
        <v>747</v>
      </c>
      <c r="G60" s="440">
        <v>747</v>
      </c>
      <c r="H60" s="544">
        <f t="shared" si="4"/>
        <v>0</v>
      </c>
      <c r="I60" s="543">
        <v>100</v>
      </c>
      <c r="J60" s="543"/>
      <c r="K60" s="9"/>
      <c r="L60" s="9"/>
      <c r="M60">
        <f>30-16</f>
        <v>14</v>
      </c>
    </row>
    <row r="61" spans="1:15" x14ac:dyDescent="0.25">
      <c r="A61" s="384" t="s">
        <v>1031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>
        <v>1600</v>
      </c>
      <c r="H61" s="544">
        <f t="shared" si="4"/>
        <v>0</v>
      </c>
      <c r="I61" s="543"/>
      <c r="J61" s="543"/>
      <c r="K61" s="9"/>
      <c r="L61" s="9"/>
      <c r="M61">
        <f>M59*M60</f>
        <v>746.66666666666674</v>
      </c>
    </row>
    <row r="62" spans="1:15" x14ac:dyDescent="0.25">
      <c r="A62" s="388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  <c r="L62" s="9"/>
    </row>
    <row r="63" spans="1:15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4733</v>
      </c>
      <c r="E63" s="588">
        <f>SUM(E38:E62)</f>
        <v>44547</v>
      </c>
      <c r="F63" s="440">
        <f t="shared" si="5"/>
        <v>54480</v>
      </c>
      <c r="G63" s="440">
        <f t="shared" si="5"/>
        <v>38747</v>
      </c>
      <c r="H63" s="544">
        <f t="shared" si="5"/>
        <v>15733</v>
      </c>
      <c r="I63" s="591">
        <f t="shared" si="5"/>
        <v>600</v>
      </c>
      <c r="J63" s="591">
        <f>SUM(J38:J62)</f>
        <v>0</v>
      </c>
      <c r="K63" s="9"/>
      <c r="L63" s="9"/>
    </row>
    <row r="64" spans="1:15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252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10533</v>
      </c>
      <c r="J65" s="9"/>
      <c r="K65" s="9"/>
      <c r="L65" s="9"/>
      <c r="M65" t="s">
        <v>997</v>
      </c>
      <c r="P65" s="252">
        <f>E63</f>
        <v>44547</v>
      </c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t="s">
        <v>55</v>
      </c>
      <c r="P66" s="147">
        <f>B69</f>
        <v>-36203.600000000006</v>
      </c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7" x14ac:dyDescent="0.25">
      <c r="A68" s="191" t="s">
        <v>720</v>
      </c>
      <c r="B68" s="494">
        <f>E63</f>
        <v>44547</v>
      </c>
      <c r="C68" s="191"/>
      <c r="D68" s="191"/>
      <c r="E68" s="191" t="s">
        <v>720</v>
      </c>
      <c r="F68" s="494">
        <f>G63</f>
        <v>38747</v>
      </c>
      <c r="G68" s="191"/>
      <c r="H68" s="191"/>
      <c r="I68" s="292"/>
      <c r="J68" s="9"/>
      <c r="K68" s="9"/>
      <c r="L68" s="9"/>
      <c r="M68" t="s">
        <v>998</v>
      </c>
      <c r="P68" s="252">
        <f>P65+P66</f>
        <v>8343.3999999999942</v>
      </c>
    </row>
    <row r="69" spans="1:17" x14ac:dyDescent="0.25">
      <c r="A69" s="191" t="s">
        <v>347</v>
      </c>
      <c r="B69" s="494">
        <f>'MARCH 21'!D91</f>
        <v>-36203.600000000006</v>
      </c>
      <c r="C69" s="191"/>
      <c r="D69" s="191"/>
      <c r="E69" s="191" t="s">
        <v>347</v>
      </c>
      <c r="F69" s="494">
        <f>'MARCH 21'!H91</f>
        <v>-65472.600000000006</v>
      </c>
      <c r="G69" s="191"/>
      <c r="H69" s="191"/>
      <c r="I69" s="292"/>
      <c r="J69" s="9"/>
      <c r="K69" s="9"/>
      <c r="L69" s="9"/>
      <c r="M69" t="s">
        <v>613</v>
      </c>
      <c r="P69" s="147">
        <f>C71</f>
        <v>4454.7</v>
      </c>
    </row>
    <row r="70" spans="1:17" x14ac:dyDescent="0.25">
      <c r="A70" s="191" t="s">
        <v>333</v>
      </c>
      <c r="B70" s="494">
        <f>600</f>
        <v>600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t="s">
        <v>999</v>
      </c>
      <c r="P70" s="252">
        <f>P68-P69</f>
        <v>3888.6999999999944</v>
      </c>
      <c r="Q70" s="252">
        <f>P73-C76</f>
        <v>4003.6999999999944</v>
      </c>
    </row>
    <row r="71" spans="1:17" x14ac:dyDescent="0.25">
      <c r="A71" s="191" t="s">
        <v>613</v>
      </c>
      <c r="B71" s="327">
        <v>0.1</v>
      </c>
      <c r="C71" s="494">
        <f>B71*B68</f>
        <v>4454.7</v>
      </c>
      <c r="D71" s="191"/>
      <c r="E71" s="191" t="s">
        <v>613</v>
      </c>
      <c r="F71" s="327">
        <v>0.1</v>
      </c>
      <c r="G71" s="301">
        <f>F71*E63</f>
        <v>4454.7</v>
      </c>
      <c r="H71" s="191"/>
      <c r="I71" s="292"/>
      <c r="J71" s="9"/>
      <c r="K71" s="9"/>
      <c r="L71" s="147"/>
      <c r="M71" t="s">
        <v>1000</v>
      </c>
      <c r="P71">
        <v>1000</v>
      </c>
      <c r="Q71" s="252">
        <f>Q70</f>
        <v>4003.6999999999944</v>
      </c>
    </row>
    <row r="72" spans="1:17" s="9" customFormat="1" x14ac:dyDescent="0.25">
      <c r="A72" s="191" t="s">
        <v>1028</v>
      </c>
      <c r="B72" s="9">
        <v>18500</v>
      </c>
      <c r="C72" s="494"/>
      <c r="D72" s="191"/>
      <c r="E72" s="191" t="s">
        <v>1028</v>
      </c>
      <c r="F72" s="9">
        <v>18500</v>
      </c>
      <c r="G72" s="301"/>
      <c r="H72" s="191"/>
      <c r="I72" s="292"/>
      <c r="L72" s="147"/>
      <c r="Q72" s="252">
        <f>Q71+600+18000-23612</f>
        <v>-1008.3000000000065</v>
      </c>
    </row>
    <row r="73" spans="1:17" x14ac:dyDescent="0.25">
      <c r="A73" s="191" t="s">
        <v>992</v>
      </c>
      <c r="B73" s="494">
        <v>1000</v>
      </c>
      <c r="C73" s="301"/>
      <c r="D73" s="191"/>
      <c r="E73" s="191" t="s">
        <v>992</v>
      </c>
      <c r="F73" s="494">
        <v>1000</v>
      </c>
      <c r="G73" s="494"/>
      <c r="H73" s="191"/>
      <c r="I73" s="292"/>
      <c r="J73" s="9"/>
      <c r="K73" s="9"/>
      <c r="L73" s="9"/>
      <c r="P73" s="252">
        <f>P70+P71</f>
        <v>4888.6999999999944</v>
      </c>
    </row>
    <row r="74" spans="1:17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147"/>
    </row>
    <row r="75" spans="1:17" x14ac:dyDescent="0.25">
      <c r="A75" s="495"/>
      <c r="B75" s="191"/>
      <c r="C75" s="191"/>
      <c r="D75" s="191"/>
      <c r="E75" s="495"/>
      <c r="F75" s="191"/>
      <c r="G75" s="191"/>
      <c r="H75" s="191"/>
      <c r="I75" s="292"/>
      <c r="J75" s="9"/>
      <c r="K75" s="9"/>
      <c r="L75" s="147"/>
    </row>
    <row r="76" spans="1:17" x14ac:dyDescent="0.25">
      <c r="A76" s="498" t="s">
        <v>886</v>
      </c>
      <c r="B76" s="44"/>
      <c r="C76" s="44">
        <v>885</v>
      </c>
      <c r="D76" s="191"/>
      <c r="E76" s="498" t="s">
        <v>886</v>
      </c>
      <c r="F76" s="44"/>
      <c r="G76" s="44">
        <v>885</v>
      </c>
      <c r="H76" s="191"/>
      <c r="I76" s="371"/>
      <c r="J76" s="147"/>
      <c r="K76" s="147"/>
      <c r="L76" s="147"/>
      <c r="O76" s="327">
        <f>15000+3000</f>
        <v>18000</v>
      </c>
    </row>
    <row r="77" spans="1:17" x14ac:dyDescent="0.25">
      <c r="A77" s="44" t="s">
        <v>1029</v>
      </c>
      <c r="B77" s="44"/>
      <c r="C77" s="44">
        <v>23612</v>
      </c>
      <c r="D77" s="191"/>
      <c r="E77" s="44" t="s">
        <v>1029</v>
      </c>
      <c r="F77" s="44"/>
      <c r="G77" s="44">
        <v>23612</v>
      </c>
      <c r="H77" s="191"/>
      <c r="I77" s="602"/>
      <c r="J77" s="147"/>
      <c r="K77" s="147"/>
      <c r="L77" s="9"/>
    </row>
    <row r="78" spans="1:17" x14ac:dyDescent="0.25">
      <c r="A78" s="496" t="s">
        <v>1032</v>
      </c>
      <c r="B78" s="327"/>
      <c r="C78" s="301">
        <f>930+2300</f>
        <v>3230</v>
      </c>
      <c r="D78" s="191"/>
      <c r="E78" s="496" t="s">
        <v>1032</v>
      </c>
      <c r="F78" s="327"/>
      <c r="G78" s="301">
        <f>930+2300</f>
        <v>3230</v>
      </c>
      <c r="H78" s="191"/>
      <c r="I78" s="216"/>
      <c r="J78" s="147"/>
      <c r="K78" s="9"/>
      <c r="L78" s="147"/>
    </row>
    <row r="79" spans="1:17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7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>
        <f>C77-B72</f>
        <v>5112</v>
      </c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147">
        <f>C78</f>
        <v>3230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SUM(L80:L81)</f>
        <v>8342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/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>
        <f>L82-3738</f>
        <v>4604</v>
      </c>
      <c r="L84" s="147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23988.699999999993</v>
      </c>
      <c r="C90" s="499">
        <f>SUM(C73:C89)</f>
        <v>27727</v>
      </c>
      <c r="D90" s="499">
        <f>B90-C90</f>
        <v>-3738.3000000000065</v>
      </c>
      <c r="E90" s="493" t="s">
        <v>2</v>
      </c>
      <c r="F90" s="499">
        <f>F68+F69+F72+F73-G71</f>
        <v>-11680.300000000007</v>
      </c>
      <c r="G90" s="499">
        <f>SUM(G73:G89)</f>
        <v>27727</v>
      </c>
      <c r="H90" s="499">
        <f>F90-G90</f>
        <v>-39407.300000000003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  <row r="95" spans="1:12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  <c r="L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34" workbookViewId="0">
      <selection activeCell="I63" sqref="I63"/>
    </sheetView>
  </sheetViews>
  <sheetFormatPr defaultRowHeight="15" x14ac:dyDescent="0.25"/>
  <cols>
    <col min="1" max="1" width="25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1030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'APRIL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'APRIL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 t="s">
        <v>925</v>
      </c>
      <c r="B40" s="541" t="s">
        <v>1003</v>
      </c>
      <c r="C40" s="542">
        <v>700</v>
      </c>
      <c r="D40" s="543">
        <v>2500</v>
      </c>
      <c r="E40" s="443"/>
      <c r="F40" s="440">
        <f>C40+D40+E40</f>
        <v>3200</v>
      </c>
      <c r="G40" s="440"/>
      <c r="H40" s="544">
        <f>F40-G40</f>
        <v>3200</v>
      </c>
      <c r="I40" s="543"/>
      <c r="J40" s="543"/>
      <c r="K40" s="9" t="s">
        <v>614</v>
      </c>
    </row>
    <row r="41" spans="1:11" x14ac:dyDescent="0.25">
      <c r="A41" s="604" t="s">
        <v>639</v>
      </c>
      <c r="B41" s="541" t="s">
        <v>1004</v>
      </c>
      <c r="C41" s="542"/>
      <c r="D41" s="543">
        <f>'APRIL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'APRIL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'APRIL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'APRIL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8" t="s">
        <v>1036</v>
      </c>
      <c r="B45" s="541" t="s">
        <v>1008</v>
      </c>
      <c r="C45" s="542"/>
      <c r="D45" s="543">
        <f>'APRIL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3500</v>
      </c>
      <c r="E46" s="543">
        <v>2500</v>
      </c>
      <c r="F46" s="440">
        <f t="shared" si="3"/>
        <v>7000</v>
      </c>
      <c r="G46" s="440">
        <f>4000</f>
        <v>4000</v>
      </c>
      <c r="H46" s="544">
        <f t="shared" si="2"/>
        <v>3000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'APRIL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1800+700</f>
        <v>2500</v>
      </c>
      <c r="H48" s="544">
        <f t="shared" si="2"/>
        <v>1500</v>
      </c>
      <c r="I48" s="543"/>
      <c r="J48" s="543"/>
      <c r="K48" s="9"/>
    </row>
    <row r="49" spans="1:13" x14ac:dyDescent="0.25">
      <c r="A49" s="191" t="s">
        <v>968</v>
      </c>
      <c r="B49" s="541" t="s">
        <v>1012</v>
      </c>
      <c r="C49" s="542"/>
      <c r="D49" s="543">
        <f>'APRIL 21'!H49:H74</f>
        <v>2233</v>
      </c>
      <c r="E49" s="443">
        <v>1600</v>
      </c>
      <c r="F49" s="440">
        <f t="shared" si="3"/>
        <v>3833</v>
      </c>
      <c r="G49" s="440">
        <f>2500</f>
        <v>2500</v>
      </c>
      <c r="H49" s="544">
        <f t="shared" si="2"/>
        <v>1333</v>
      </c>
      <c r="I49" s="543">
        <v>100</v>
      </c>
      <c r="J49" s="543"/>
      <c r="K49" s="9"/>
    </row>
    <row r="50" spans="1:13" x14ac:dyDescent="0.25">
      <c r="A50" s="382" t="s">
        <v>982</v>
      </c>
      <c r="B50" s="541" t="s">
        <v>1013</v>
      </c>
      <c r="C50" s="542"/>
      <c r="D50" s="543">
        <f>'APRIL 21'!H50:H75</f>
        <v>300</v>
      </c>
      <c r="E50" s="603">
        <v>2500</v>
      </c>
      <c r="F50" s="440">
        <f>C50+D50+E50</f>
        <v>2800</v>
      </c>
      <c r="G50" s="440">
        <f>2000</f>
        <v>2000</v>
      </c>
      <c r="H50" s="544">
        <f t="shared" si="2"/>
        <v>800</v>
      </c>
      <c r="I50" s="543"/>
      <c r="J50" s="543"/>
      <c r="K50" s="9"/>
    </row>
    <row r="51" spans="1:13" x14ac:dyDescent="0.25">
      <c r="A51" s="384" t="s">
        <v>963</v>
      </c>
      <c r="B51" s="541" t="s">
        <v>1014</v>
      </c>
      <c r="C51" s="542"/>
      <c r="D51" s="543">
        <f>'APRIL 21'!H51:H76</f>
        <v>2000</v>
      </c>
      <c r="E51" s="544">
        <v>2500</v>
      </c>
      <c r="F51" s="440">
        <f t="shared" si="3"/>
        <v>4500</v>
      </c>
      <c r="G51" s="440">
        <v>2500</v>
      </c>
      <c r="H51" s="544">
        <f t="shared" si="2"/>
        <v>2000</v>
      </c>
      <c r="I51" s="543"/>
      <c r="J51" s="543"/>
      <c r="K51" s="9"/>
    </row>
    <row r="52" spans="1:13" x14ac:dyDescent="0.25">
      <c r="A52" s="191" t="s">
        <v>767</v>
      </c>
      <c r="B52" s="541" t="s">
        <v>1015</v>
      </c>
      <c r="C52" s="542"/>
      <c r="D52" s="543">
        <f>'APRIL 21'!H52:H77</f>
        <v>0</v>
      </c>
      <c r="E52" s="549">
        <v>3000</v>
      </c>
      <c r="F52" s="440">
        <f t="shared" si="3"/>
        <v>3000</v>
      </c>
      <c r="G52" s="440">
        <f>2500</f>
        <v>2500</v>
      </c>
      <c r="H52" s="544">
        <f t="shared" ref="H52:H62" si="4">F52-G52</f>
        <v>500</v>
      </c>
      <c r="I52" s="543">
        <v>100</v>
      </c>
      <c r="J52" s="543"/>
      <c r="K52" s="9"/>
    </row>
    <row r="53" spans="1:13" x14ac:dyDescent="0.25">
      <c r="A53" s="610" t="s">
        <v>505</v>
      </c>
      <c r="B53" s="541" t="s">
        <v>1016</v>
      </c>
      <c r="C53" s="542"/>
      <c r="D53" s="543">
        <f>'APRIL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</row>
    <row r="54" spans="1:13" x14ac:dyDescent="0.25">
      <c r="A54" s="388" t="s">
        <v>1026</v>
      </c>
      <c r="B54" s="541" t="s">
        <v>1017</v>
      </c>
      <c r="C54" s="542"/>
      <c r="D54" s="543">
        <f>'APRIL 21'!H54:H79</f>
        <v>0</v>
      </c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</row>
    <row r="55" spans="1:13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 t="shared" si="4"/>
        <v>2000</v>
      </c>
      <c r="I55" s="543"/>
      <c r="J55" s="543"/>
      <c r="K55" s="9"/>
    </row>
    <row r="56" spans="1:13" x14ac:dyDescent="0.25">
      <c r="A56" s="382"/>
      <c r="B56" s="541" t="s">
        <v>1019</v>
      </c>
      <c r="C56" s="542"/>
      <c r="D56" s="543">
        <f>'APRIL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</row>
    <row r="57" spans="1:13" x14ac:dyDescent="0.25">
      <c r="A57" s="384" t="s">
        <v>983</v>
      </c>
      <c r="B57" s="553" t="s">
        <v>1020</v>
      </c>
      <c r="C57" s="542"/>
      <c r="D57" s="543">
        <f>'APRIL 21'!H57:H82</f>
        <v>0</v>
      </c>
      <c r="E57" s="556">
        <v>1600</v>
      </c>
      <c r="F57" s="440">
        <f t="shared" si="3"/>
        <v>1600</v>
      </c>
      <c r="G57" s="440"/>
      <c r="H57" s="544">
        <f t="shared" si="4"/>
        <v>1600</v>
      </c>
      <c r="I57" s="543"/>
      <c r="J57" s="543"/>
      <c r="K57" s="9" t="s">
        <v>614</v>
      </c>
    </row>
    <row r="58" spans="1:13" x14ac:dyDescent="0.25">
      <c r="A58" s="384" t="s">
        <v>701</v>
      </c>
      <c r="B58" s="541" t="s">
        <v>1021</v>
      </c>
      <c r="C58" s="542"/>
      <c r="D58" s="543">
        <f>'APRIL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 t="shared" si="4"/>
        <v>0</v>
      </c>
      <c r="I58" s="543">
        <v>100</v>
      </c>
      <c r="J58" s="543"/>
      <c r="K58" s="9"/>
    </row>
    <row r="59" spans="1:13" x14ac:dyDescent="0.25">
      <c r="A59" s="384"/>
      <c r="B59" s="553" t="s">
        <v>1022</v>
      </c>
      <c r="C59" s="542"/>
      <c r="D59" s="543">
        <f>'APRIL 21'!H59:H84</f>
        <v>0</v>
      </c>
      <c r="E59" s="608"/>
      <c r="F59" s="440">
        <f>C59+D59+E59</f>
        <v>0</v>
      </c>
      <c r="G59" s="440"/>
      <c r="H59" s="544">
        <f t="shared" si="4"/>
        <v>0</v>
      </c>
      <c r="I59" s="543"/>
      <c r="J59" s="543"/>
      <c r="K59" s="9"/>
    </row>
    <row r="60" spans="1:13" x14ac:dyDescent="0.25">
      <c r="A60" s="388" t="s">
        <v>1027</v>
      </c>
      <c r="B60" s="541" t="s">
        <v>1023</v>
      </c>
      <c r="C60" s="542"/>
      <c r="D60" s="543">
        <f>'APRIL 21'!H60:H85</f>
        <v>0</v>
      </c>
      <c r="E60" s="608">
        <v>1600</v>
      </c>
      <c r="F60" s="440">
        <f t="shared" si="3"/>
        <v>1600</v>
      </c>
      <c r="G60" s="440">
        <f>850</f>
        <v>850</v>
      </c>
      <c r="H60" s="544">
        <f t="shared" si="4"/>
        <v>750</v>
      </c>
      <c r="I60" s="543"/>
      <c r="J60" s="543"/>
      <c r="K60" s="9"/>
    </row>
    <row r="61" spans="1:13" x14ac:dyDescent="0.25">
      <c r="A61" s="384" t="s">
        <v>1031</v>
      </c>
      <c r="B61" s="553" t="s">
        <v>1024</v>
      </c>
      <c r="C61" s="542"/>
      <c r="D61" s="543">
        <f>'APRIL 21'!H61:H86</f>
        <v>0</v>
      </c>
      <c r="E61" s="608">
        <v>1600</v>
      </c>
      <c r="F61" s="440">
        <f t="shared" si="3"/>
        <v>1600</v>
      </c>
      <c r="G61" s="440"/>
      <c r="H61" s="544">
        <f t="shared" si="4"/>
        <v>1600</v>
      </c>
      <c r="I61" s="543"/>
      <c r="J61" s="543"/>
      <c r="K61" s="9"/>
    </row>
    <row r="62" spans="1:13" x14ac:dyDescent="0.25">
      <c r="A62" s="388"/>
      <c r="B62" s="541" t="s">
        <v>1025</v>
      </c>
      <c r="C62" s="542"/>
      <c r="D62" s="543">
        <f>'APRIL 21'!H62:H87</f>
        <v>0</v>
      </c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</row>
    <row r="63" spans="1:13" x14ac:dyDescent="0.25">
      <c r="A63" s="598" t="s">
        <v>708</v>
      </c>
      <c r="B63" s="191"/>
      <c r="C63" s="542">
        <f t="shared" ref="C63:I63" si="5">SUM(C38:C62)</f>
        <v>5200</v>
      </c>
      <c r="D63" s="543">
        <f>'APRIL 21'!H63:H88</f>
        <v>15733</v>
      </c>
      <c r="E63" s="588">
        <f>SUM(E38:E62)</f>
        <v>45900</v>
      </c>
      <c r="F63" s="440">
        <f t="shared" si="5"/>
        <v>61633</v>
      </c>
      <c r="G63" s="440">
        <f t="shared" si="5"/>
        <v>43350</v>
      </c>
      <c r="H63" s="544">
        <f t="shared" si="5"/>
        <v>18283</v>
      </c>
      <c r="I63" s="591">
        <f t="shared" si="5"/>
        <v>300</v>
      </c>
      <c r="J63" s="591">
        <f>SUM(J38:J62)</f>
        <v>0</v>
      </c>
      <c r="K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M64">
        <f>3500/30</f>
        <v>116.66666666666667</v>
      </c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13083</v>
      </c>
      <c r="J65" s="9"/>
      <c r="K65" s="9"/>
      <c r="M65">
        <f>M64*9</f>
        <v>1050</v>
      </c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>
        <v>3500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3" x14ac:dyDescent="0.25">
      <c r="A68" s="191" t="s">
        <v>725</v>
      </c>
      <c r="B68" s="494">
        <f>E63</f>
        <v>45900</v>
      </c>
      <c r="C68" s="191"/>
      <c r="D68" s="191"/>
      <c r="E68" s="191" t="s">
        <v>725</v>
      </c>
      <c r="F68" s="494">
        <f>G63</f>
        <v>43350</v>
      </c>
      <c r="G68" s="191"/>
      <c r="H68" s="191"/>
      <c r="I68" s="292"/>
      <c r="J68" s="9"/>
      <c r="K68" s="9"/>
      <c r="M68" s="252"/>
    </row>
    <row r="69" spans="1:13" x14ac:dyDescent="0.25">
      <c r="A69" s="191" t="s">
        <v>347</v>
      </c>
      <c r="B69" s="494">
        <f>'APRIL 21'!D90</f>
        <v>-3738.3000000000065</v>
      </c>
      <c r="C69" s="191"/>
      <c r="D69" s="191"/>
      <c r="E69" s="191" t="s">
        <v>347</v>
      </c>
      <c r="F69" s="494">
        <f>'APRIL 21'!H90</f>
        <v>-39407.300000000003</v>
      </c>
      <c r="G69" s="191"/>
      <c r="H69" s="191"/>
      <c r="I69" s="292"/>
      <c r="J69" s="9"/>
      <c r="K69" s="147"/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147"/>
      <c r="M70" s="252"/>
    </row>
    <row r="71" spans="1:13" x14ac:dyDescent="0.25">
      <c r="A71" s="191" t="s">
        <v>613</v>
      </c>
      <c r="B71" s="327">
        <v>0.1</v>
      </c>
      <c r="C71" s="494">
        <f>B71*B68</f>
        <v>4590</v>
      </c>
      <c r="D71" s="191"/>
      <c r="E71" s="191" t="s">
        <v>613</v>
      </c>
      <c r="F71" s="327">
        <v>0.1</v>
      </c>
      <c r="G71" s="301">
        <f>F71*E63</f>
        <v>4590</v>
      </c>
      <c r="H71" s="191"/>
      <c r="I71" s="292"/>
      <c r="J71" s="9"/>
      <c r="K71" s="9"/>
      <c r="M71" s="147"/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M72" s="147"/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3" x14ac:dyDescent="0.25">
      <c r="A76" s="498" t="s">
        <v>996</v>
      </c>
      <c r="B76" s="44"/>
      <c r="C76" s="44">
        <f>23612</f>
        <v>23612</v>
      </c>
      <c r="D76" s="191"/>
      <c r="E76" s="498" t="s">
        <v>996</v>
      </c>
      <c r="F76" s="44"/>
      <c r="G76" s="44">
        <f>23612</f>
        <v>23612</v>
      </c>
      <c r="H76" s="191"/>
      <c r="I76" s="371"/>
      <c r="J76" s="147"/>
      <c r="K76" s="147"/>
    </row>
    <row r="77" spans="1:13" x14ac:dyDescent="0.25">
      <c r="A77" s="44" t="s">
        <v>1033</v>
      </c>
      <c r="B77" s="44"/>
      <c r="C77" s="44">
        <v>1030</v>
      </c>
      <c r="D77" s="191"/>
      <c r="E77" s="44" t="s">
        <v>1033</v>
      </c>
      <c r="F77" s="44"/>
      <c r="G77" s="44">
        <v>1030</v>
      </c>
      <c r="H77" s="191"/>
      <c r="I77" s="602"/>
      <c r="J77" s="147"/>
      <c r="K77" s="147"/>
    </row>
    <row r="78" spans="1:13" x14ac:dyDescent="0.25">
      <c r="A78" s="496" t="s">
        <v>1033</v>
      </c>
      <c r="B78" s="327"/>
      <c r="C78" s="301">
        <v>12930</v>
      </c>
      <c r="D78" s="191"/>
      <c r="E78" s="496" t="s">
        <v>1033</v>
      </c>
      <c r="F78" s="327"/>
      <c r="G78" s="301">
        <v>12930</v>
      </c>
      <c r="H78" s="191"/>
      <c r="I78" s="216"/>
      <c r="J78" s="147"/>
      <c r="K78" s="9"/>
    </row>
    <row r="79" spans="1:13" x14ac:dyDescent="0.25">
      <c r="A79" s="497" t="s">
        <v>1035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3" x14ac:dyDescent="0.25">
      <c r="A80" s="44" t="s">
        <v>1037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37571.699999999997</v>
      </c>
      <c r="C90" s="499">
        <f>SUM(C73:C89)</f>
        <v>41672</v>
      </c>
      <c r="D90" s="499">
        <f>B90-C90</f>
        <v>-4100.3000000000029</v>
      </c>
      <c r="E90" s="493" t="s">
        <v>2</v>
      </c>
      <c r="F90" s="499">
        <f>F68+F69+F72+F73-G71</f>
        <v>-647.30000000000291</v>
      </c>
      <c r="G90" s="499">
        <f>SUM(G73:G89)</f>
        <v>37572</v>
      </c>
      <c r="H90" s="499">
        <f>F90-G90</f>
        <v>-38219.300000000003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1" workbookViewId="0">
      <selection activeCell="A50" sqref="A50"/>
    </sheetView>
  </sheetViews>
  <sheetFormatPr defaultRowHeight="15" x14ac:dyDescent="0.25"/>
  <cols>
    <col min="1" max="1" width="20" customWidth="1"/>
    <col min="6" max="6" width="15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'MAY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'MAY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/>
      <c r="C40" s="542"/>
      <c r="D40" s="543"/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'MAY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91" t="s">
        <v>1044</v>
      </c>
      <c r="B42" s="541" t="s">
        <v>1005</v>
      </c>
      <c r="C42" s="542"/>
      <c r="D42" s="543">
        <f>'MAY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>
        <v>100</v>
      </c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'MAY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'MAY 21'!H44:H69</f>
        <v>0</v>
      </c>
      <c r="E44" s="443">
        <v>2500</v>
      </c>
      <c r="F44" s="440">
        <f t="shared" si="3"/>
        <v>2500</v>
      </c>
      <c r="G44" s="440">
        <f>2500</f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'MAY 21'!H45:H70</f>
        <v>0</v>
      </c>
      <c r="E45" s="546">
        <v>2500</v>
      </c>
      <c r="F45" s="440">
        <f t="shared" si="3"/>
        <v>2500</v>
      </c>
      <c r="G45" s="440">
        <f>2500</f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2000</v>
      </c>
      <c r="E46" s="543">
        <v>2500</v>
      </c>
      <c r="F46" s="440">
        <f t="shared" si="3"/>
        <v>5500</v>
      </c>
      <c r="G46" s="440">
        <v>3000</v>
      </c>
      <c r="H46" s="544">
        <f t="shared" si="2"/>
        <v>2500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'MAY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934</v>
      </c>
      <c r="B48" s="613" t="s">
        <v>1011</v>
      </c>
      <c r="C48" s="542">
        <v>1500</v>
      </c>
      <c r="D48" s="543"/>
      <c r="E48" s="113">
        <v>2500</v>
      </c>
      <c r="F48" s="440">
        <f t="shared" si="3"/>
        <v>4000</v>
      </c>
      <c r="G48" s="440"/>
      <c r="H48" s="544">
        <f t="shared" si="2"/>
        <v>4000</v>
      </c>
      <c r="I48" s="543"/>
      <c r="J48" s="543"/>
      <c r="K48" s="9" t="s">
        <v>614</v>
      </c>
    </row>
    <row r="49" spans="1:11" x14ac:dyDescent="0.25">
      <c r="A49" s="191" t="s">
        <v>968</v>
      </c>
      <c r="B49" s="541" t="s">
        <v>1012</v>
      </c>
      <c r="C49" s="542"/>
      <c r="D49" s="543">
        <f>'MAY 21'!H49:H74</f>
        <v>1333</v>
      </c>
      <c r="E49" s="443">
        <v>1600</v>
      </c>
      <c r="F49" s="440">
        <f t="shared" si="3"/>
        <v>2933</v>
      </c>
      <c r="G49" s="440">
        <v>2500</v>
      </c>
      <c r="H49" s="544">
        <f t="shared" si="2"/>
        <v>433</v>
      </c>
      <c r="I49" s="543">
        <v>100</v>
      </c>
      <c r="J49" s="543"/>
      <c r="K49" s="9"/>
    </row>
    <row r="50" spans="1:11" x14ac:dyDescent="0.25">
      <c r="A50" s="382" t="s">
        <v>982</v>
      </c>
      <c r="B50" s="541" t="s">
        <v>1013</v>
      </c>
      <c r="C50" s="542"/>
      <c r="D50" s="543">
        <f>'MAY 21'!H50:H75</f>
        <v>800</v>
      </c>
      <c r="E50" s="603">
        <v>2500</v>
      </c>
      <c r="F50" s="440">
        <f>C50+D50+E50</f>
        <v>3300</v>
      </c>
      <c r="G50" s="440">
        <f>2000</f>
        <v>2000</v>
      </c>
      <c r="H50" s="544">
        <f t="shared" si="2"/>
        <v>1300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'MAY 21'!H51:H76</f>
        <v>2000</v>
      </c>
      <c r="E51" s="544">
        <v>2500</v>
      </c>
      <c r="F51" s="440">
        <f t="shared" si="3"/>
        <v>4500</v>
      </c>
      <c r="G51" s="440">
        <f>1000+1120</f>
        <v>2120</v>
      </c>
      <c r="H51" s="544">
        <f t="shared" si="2"/>
        <v>2380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'MAY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>
        <v>100</v>
      </c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'MAY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'MAY 21'!H54:H79</f>
        <v>0</v>
      </c>
      <c r="E54" s="552">
        <v>2500</v>
      </c>
      <c r="F54" s="440">
        <f t="shared" si="3"/>
        <v>2500</v>
      </c>
      <c r="G54" s="440">
        <f>2000+500</f>
        <v>2500</v>
      </c>
      <c r="H54" s="544">
        <f>F54-G54</f>
        <v>0</v>
      </c>
      <c r="I54" s="543">
        <f>100</f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'MAY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/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'MAY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/>
      <c r="B59" s="553" t="s">
        <v>1022</v>
      </c>
      <c r="C59" s="542"/>
      <c r="D59" s="543">
        <f>'MAY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</row>
    <row r="60" spans="1:11" x14ac:dyDescent="0.25">
      <c r="A60" s="388" t="s">
        <v>1027</v>
      </c>
      <c r="B60" s="541" t="s">
        <v>1023</v>
      </c>
      <c r="C60" s="542"/>
      <c r="D60" s="543">
        <f>'MAY 21'!H60:H85</f>
        <v>750</v>
      </c>
      <c r="E60" s="608">
        <v>1600</v>
      </c>
      <c r="F60" s="440">
        <f t="shared" si="3"/>
        <v>2350</v>
      </c>
      <c r="G60" s="440">
        <f>1600+750</f>
        <v>2350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'MAY 21'!H61:H86</f>
        <v>1600</v>
      </c>
      <c r="E61" s="608">
        <v>1600</v>
      </c>
      <c r="F61" s="440">
        <f t="shared" si="3"/>
        <v>3200</v>
      </c>
      <c r="G61" s="440">
        <f>600+1000</f>
        <v>1600</v>
      </c>
      <c r="H61" s="544">
        <f>F61-G61</f>
        <v>1600</v>
      </c>
      <c r="I61" s="543">
        <v>100</v>
      </c>
      <c r="J61" s="543"/>
      <c r="K61" s="9"/>
    </row>
    <row r="62" spans="1:11" x14ac:dyDescent="0.25">
      <c r="A62" s="388"/>
      <c r="B62" s="541" t="s">
        <v>1025</v>
      </c>
      <c r="C62" s="542"/>
      <c r="D62" s="543">
        <f>'MAY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4">SUM(C38:C62)</f>
        <v>4500</v>
      </c>
      <c r="D63" s="543">
        <f>'MAY 21'!H63:H88</f>
        <v>18283</v>
      </c>
      <c r="E63" s="588">
        <f>SUM(E38:E62)</f>
        <v>46800</v>
      </c>
      <c r="F63" s="440">
        <f t="shared" si="4"/>
        <v>60283</v>
      </c>
      <c r="G63" s="440">
        <f t="shared" si="4"/>
        <v>45570</v>
      </c>
      <c r="H63" s="544">
        <f t="shared" si="4"/>
        <v>14713</v>
      </c>
      <c r="I63" s="591">
        <f t="shared" si="4"/>
        <v>800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10213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M67" t="s">
        <v>2</v>
      </c>
      <c r="O67" s="147">
        <f>B68</f>
        <v>46800</v>
      </c>
    </row>
    <row r="68" spans="1:15" x14ac:dyDescent="0.25">
      <c r="A68" s="191" t="s">
        <v>728</v>
      </c>
      <c r="B68" s="494">
        <f>E63</f>
        <v>46800</v>
      </c>
      <c r="C68" s="191"/>
      <c r="D68" s="191"/>
      <c r="E68" s="191" t="s">
        <v>728</v>
      </c>
      <c r="F68" s="494">
        <f>G63</f>
        <v>45570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'MAY 21'!D90</f>
        <v>-4100.3000000000029</v>
      </c>
      <c r="C69" s="191"/>
      <c r="D69" s="191"/>
      <c r="E69" s="191" t="s">
        <v>347</v>
      </c>
      <c r="F69" s="494">
        <f>'MAY 21'!H90</f>
        <v>-38219.300000000003</v>
      </c>
      <c r="G69" s="191"/>
      <c r="H69" s="191"/>
      <c r="I69" s="292"/>
      <c r="J69" s="9"/>
      <c r="K69" s="9"/>
      <c r="M69" t="s">
        <v>613</v>
      </c>
      <c r="O69" s="147">
        <f>C71</f>
        <v>4680</v>
      </c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O67-O69</f>
        <v>42120</v>
      </c>
    </row>
    <row r="71" spans="1:15" x14ac:dyDescent="0.25">
      <c r="A71" s="191" t="s">
        <v>613</v>
      </c>
      <c r="B71" s="327">
        <v>0.1</v>
      </c>
      <c r="C71" s="494">
        <f>B71*B68</f>
        <v>4680</v>
      </c>
      <c r="D71" s="191"/>
      <c r="E71" s="191" t="s">
        <v>613</v>
      </c>
      <c r="F71" s="327">
        <v>0.1</v>
      </c>
      <c r="G71" s="301">
        <f>F71*E63</f>
        <v>4680</v>
      </c>
      <c r="H71" s="191"/>
      <c r="I71" s="292"/>
      <c r="J71" s="9"/>
      <c r="K71" s="9"/>
      <c r="M71" t="s">
        <v>1040</v>
      </c>
      <c r="O71">
        <f>2500+1600</f>
        <v>4100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38020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t="s">
        <v>996</v>
      </c>
      <c r="O74">
        <f>23612</f>
        <v>23612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 s="147">
        <f>O72-O74</f>
        <v>14408</v>
      </c>
    </row>
    <row r="76" spans="1:15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  <c r="K76" s="147"/>
      <c r="M76" t="s">
        <v>1041</v>
      </c>
      <c r="O76">
        <f>800</f>
        <v>800</v>
      </c>
    </row>
    <row r="77" spans="1:15" x14ac:dyDescent="0.25">
      <c r="A77" s="44" t="s">
        <v>1039</v>
      </c>
      <c r="B77" s="44"/>
      <c r="C77" s="44">
        <v>800</v>
      </c>
      <c r="D77" s="191"/>
      <c r="E77" s="44" t="s">
        <v>1039</v>
      </c>
      <c r="F77" s="44"/>
      <c r="G77" s="44">
        <v>800</v>
      </c>
      <c r="H77" s="191"/>
      <c r="I77" s="602"/>
      <c r="J77" s="147"/>
      <c r="K77" s="147"/>
      <c r="O77" s="147">
        <f>O75-O76</f>
        <v>13608</v>
      </c>
    </row>
    <row r="78" spans="1:15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M78" t="s">
        <v>1043</v>
      </c>
      <c r="O78">
        <v>13600</v>
      </c>
    </row>
    <row r="79" spans="1:15" x14ac:dyDescent="0.25">
      <c r="A79" s="497" t="s">
        <v>1042</v>
      </c>
      <c r="B79" s="495"/>
      <c r="C79" s="301">
        <v>13600</v>
      </c>
      <c r="D79" s="191"/>
      <c r="E79" s="497" t="s">
        <v>1042</v>
      </c>
      <c r="F79" s="495"/>
      <c r="G79" s="301">
        <v>13600</v>
      </c>
      <c r="H79" s="191"/>
      <c r="I79" s="216"/>
      <c r="J79" s="147"/>
      <c r="K79" s="9"/>
      <c r="O79" s="147">
        <f>O77-O78</f>
        <v>8</v>
      </c>
    </row>
    <row r="80" spans="1:15" x14ac:dyDescent="0.25">
      <c r="A80" s="44" t="s">
        <v>1046</v>
      </c>
      <c r="B80" s="44"/>
      <c r="C80" s="44">
        <v>2500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 t="s">
        <v>1047</v>
      </c>
      <c r="B81" s="44"/>
      <c r="C81" s="44">
        <v>3000</v>
      </c>
      <c r="D81" s="191"/>
      <c r="E81" s="44" t="s">
        <v>1047</v>
      </c>
      <c r="F81" s="44"/>
      <c r="G81" s="44">
        <v>3000</v>
      </c>
      <c r="H81" s="191"/>
      <c r="I81" s="292"/>
      <c r="J81" s="252"/>
      <c r="K81" s="9">
        <f>23500+133</f>
        <v>23633</v>
      </c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38019.699999999997</v>
      </c>
      <c r="C90" s="499">
        <f>SUM(C73:C89)</f>
        <v>43645</v>
      </c>
      <c r="D90" s="499">
        <f>B90-C90</f>
        <v>-5625.3000000000029</v>
      </c>
      <c r="E90" s="493" t="s">
        <v>2</v>
      </c>
      <c r="F90" s="499">
        <f>F68+F69+F72+F73-G71</f>
        <v>2670.6999999999971</v>
      </c>
      <c r="G90" s="499">
        <f>SUM(G73:G89)</f>
        <v>41145</v>
      </c>
      <c r="H90" s="499">
        <f>F90-G90</f>
        <v>-38474.300000000003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49" workbookViewId="0">
      <selection activeCell="I63" sqref="I63"/>
    </sheetView>
  </sheetViews>
  <sheetFormatPr defaultRowHeight="15" x14ac:dyDescent="0.25"/>
  <cols>
    <col min="1" max="1" width="20.42578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1045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'JUNE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'JUNE 21'!H39:H64</f>
        <v>0</v>
      </c>
      <c r="E39" s="443">
        <v>2500</v>
      </c>
      <c r="F39" s="440">
        <f t="shared" ref="F39:F61" si="3">C39+D39+E39</f>
        <v>2500</v>
      </c>
      <c r="G39" s="440">
        <f>2500</f>
        <v>2500</v>
      </c>
      <c r="H39" s="544">
        <f t="shared" si="2"/>
        <v>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'JUNE 21'!H40:H65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'JUNE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91" t="s">
        <v>1044</v>
      </c>
      <c r="B42" s="541" t="s">
        <v>1005</v>
      </c>
      <c r="C42" s="542"/>
      <c r="D42" s="543">
        <f>'JUNE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/>
      <c r="J42" s="543"/>
    </row>
    <row r="43" spans="1:10" x14ac:dyDescent="0.25">
      <c r="A43" s="379" t="s">
        <v>521</v>
      </c>
      <c r="B43" s="541" t="s">
        <v>1006</v>
      </c>
      <c r="C43" s="542"/>
      <c r="D43" s="543">
        <f>'JUNE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'JUNE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'JUNE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/>
    </row>
    <row r="46" spans="1:10" x14ac:dyDescent="0.25">
      <c r="A46" s="605" t="s">
        <v>704</v>
      </c>
      <c r="B46" s="541" t="s">
        <v>1009</v>
      </c>
      <c r="C46" s="542">
        <v>1000</v>
      </c>
      <c r="D46" s="543"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'JUNE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</row>
    <row r="48" spans="1:10" x14ac:dyDescent="0.25">
      <c r="A48" s="610" t="s">
        <v>521</v>
      </c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1" x14ac:dyDescent="0.25">
      <c r="A49" s="191" t="s">
        <v>968</v>
      </c>
      <c r="B49" s="541" t="s">
        <v>1012</v>
      </c>
      <c r="C49" s="542"/>
      <c r="D49" s="543">
        <f>'JUNE 21'!H49:H74</f>
        <v>433</v>
      </c>
      <c r="E49" s="443">
        <v>1600</v>
      </c>
      <c r="F49" s="440">
        <f t="shared" si="3"/>
        <v>2033</v>
      </c>
      <c r="G49" s="440">
        <v>2033</v>
      </c>
      <c r="H49" s="544">
        <f t="shared" si="2"/>
        <v>0</v>
      </c>
      <c r="I49" s="543">
        <v>100</v>
      </c>
      <c r="J49" s="543"/>
    </row>
    <row r="50" spans="1:11" x14ac:dyDescent="0.25">
      <c r="A50" s="382" t="s">
        <v>982</v>
      </c>
      <c r="B50" s="541" t="s">
        <v>1013</v>
      </c>
      <c r="C50" s="542"/>
      <c r="D50" s="543">
        <f>'JUNE 21'!H50:H75</f>
        <v>1300</v>
      </c>
      <c r="E50" s="603">
        <v>2500</v>
      </c>
      <c r="F50" s="440">
        <f>C50+D50+E50</f>
        <v>3800</v>
      </c>
      <c r="G50" s="440">
        <f>3200+467+133</f>
        <v>3800</v>
      </c>
      <c r="H50" s="544">
        <f t="shared" si="2"/>
        <v>0</v>
      </c>
      <c r="I50" s="543"/>
      <c r="J50" s="543"/>
      <c r="K50" t="s">
        <v>614</v>
      </c>
    </row>
    <row r="51" spans="1:11" x14ac:dyDescent="0.25">
      <c r="A51" s="384" t="s">
        <v>963</v>
      </c>
      <c r="B51" s="541" t="s">
        <v>1014</v>
      </c>
      <c r="C51" s="542"/>
      <c r="D51" s="543">
        <f>'JUNE 21'!H51:H76</f>
        <v>2380</v>
      </c>
      <c r="E51" s="544">
        <v>2500</v>
      </c>
      <c r="F51" s="440">
        <f t="shared" si="3"/>
        <v>4880</v>
      </c>
      <c r="G51" s="440">
        <f>3000</f>
        <v>3000</v>
      </c>
      <c r="H51" s="544">
        <f t="shared" si="2"/>
        <v>1880</v>
      </c>
      <c r="I51" s="543">
        <v>100</v>
      </c>
      <c r="J51" s="543"/>
    </row>
    <row r="52" spans="1:11" x14ac:dyDescent="0.25">
      <c r="A52" s="191" t="s">
        <v>767</v>
      </c>
      <c r="B52" s="541" t="s">
        <v>1015</v>
      </c>
      <c r="C52" s="542"/>
      <c r="D52" s="543">
        <f>'JUNE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</row>
    <row r="53" spans="1:11" x14ac:dyDescent="0.25">
      <c r="A53" s="610" t="s">
        <v>505</v>
      </c>
      <c r="B53" s="541" t="s">
        <v>1016</v>
      </c>
      <c r="C53" s="542"/>
      <c r="D53" s="543">
        <f>'JUNE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</row>
    <row r="54" spans="1:11" x14ac:dyDescent="0.25">
      <c r="A54" s="388" t="s">
        <v>1026</v>
      </c>
      <c r="B54" s="541" t="s">
        <v>1017</v>
      </c>
      <c r="C54" s="542"/>
      <c r="D54" s="543">
        <f>'JUNE 21'!H54:H79</f>
        <v>0</v>
      </c>
      <c r="E54" s="552">
        <v>2500</v>
      </c>
      <c r="F54" s="440">
        <f t="shared" si="3"/>
        <v>2500</v>
      </c>
      <c r="G54" s="440">
        <f>550+1000</f>
        <v>1550</v>
      </c>
      <c r="H54" s="544">
        <f>F54-G54</f>
        <v>950</v>
      </c>
      <c r="I54" s="543"/>
      <c r="J54" s="543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</row>
    <row r="56" spans="1:11" x14ac:dyDescent="0.25">
      <c r="A56" s="382"/>
      <c r="B56" s="541" t="s">
        <v>1019</v>
      </c>
      <c r="C56" s="542"/>
      <c r="D56" s="543">
        <f>'JUNE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1" x14ac:dyDescent="0.25">
      <c r="A57" s="384"/>
      <c r="B57" s="553" t="s">
        <v>1020</v>
      </c>
      <c r="C57" s="542"/>
      <c r="D57" s="543">
        <f>'JUNE 21'!H57:H82</f>
        <v>0</v>
      </c>
      <c r="E57" s="556"/>
      <c r="F57" s="440"/>
      <c r="G57" s="440"/>
      <c r="H57" s="544"/>
      <c r="I57" s="543"/>
      <c r="J57" s="543"/>
    </row>
    <row r="58" spans="1:11" x14ac:dyDescent="0.25">
      <c r="A58" s="384" t="s">
        <v>701</v>
      </c>
      <c r="B58" s="541" t="s">
        <v>1021</v>
      </c>
      <c r="C58" s="542"/>
      <c r="D58" s="543">
        <f>'JUNE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</row>
    <row r="59" spans="1:11" x14ac:dyDescent="0.25">
      <c r="A59" s="384"/>
      <c r="B59" s="553" t="s">
        <v>1022</v>
      </c>
      <c r="C59" s="542"/>
      <c r="D59" s="543">
        <f>'JUNE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1027</v>
      </c>
      <c r="B60" s="541" t="s">
        <v>1023</v>
      </c>
      <c r="C60" s="542"/>
      <c r="D60" s="543">
        <f>'JUNE 21'!H60:H85</f>
        <v>0</v>
      </c>
      <c r="E60" s="608">
        <v>1600</v>
      </c>
      <c r="F60" s="440">
        <f t="shared" si="3"/>
        <v>1600</v>
      </c>
      <c r="G60" s="440"/>
      <c r="H60" s="544">
        <f>F60-G60</f>
        <v>1600</v>
      </c>
      <c r="I60" s="543"/>
      <c r="J60" s="543"/>
    </row>
    <row r="61" spans="1:11" x14ac:dyDescent="0.25">
      <c r="A61" s="384" t="s">
        <v>1031</v>
      </c>
      <c r="B61" s="553" t="s">
        <v>1024</v>
      </c>
      <c r="C61" s="542"/>
      <c r="D61" s="543">
        <f>'JUNE 21'!H61:H86</f>
        <v>1600</v>
      </c>
      <c r="E61" s="608">
        <v>1600</v>
      </c>
      <c r="F61" s="440">
        <f t="shared" si="3"/>
        <v>3200</v>
      </c>
      <c r="G61" s="440">
        <f>1000</f>
        <v>1000</v>
      </c>
      <c r="H61" s="544">
        <f>F61-G61</f>
        <v>2200</v>
      </c>
      <c r="I61" s="543"/>
      <c r="J61" s="543"/>
    </row>
    <row r="62" spans="1:11" x14ac:dyDescent="0.25">
      <c r="A62" s="388"/>
      <c r="B62" s="541"/>
      <c r="C62" s="542"/>
      <c r="D62" s="543">
        <f>'JUNE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4">SUM(C38:C62)</f>
        <v>3000</v>
      </c>
      <c r="D63" s="543">
        <f>SUM(D38:D62)</f>
        <v>7713</v>
      </c>
      <c r="E63" s="588">
        <f>SUM(E38:E62)</f>
        <v>44300</v>
      </c>
      <c r="F63" s="440">
        <f t="shared" si="4"/>
        <v>55013</v>
      </c>
      <c r="G63" s="440">
        <f t="shared" si="4"/>
        <v>44383</v>
      </c>
      <c r="H63" s="544">
        <f t="shared" si="4"/>
        <v>10630</v>
      </c>
      <c r="I63" s="591">
        <f t="shared" si="4"/>
        <v>600</v>
      </c>
      <c r="J63" s="591">
        <f>SUM(J38:J62)</f>
        <v>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7630</v>
      </c>
      <c r="J65" s="9"/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M66">
        <v>44300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L67" t="s">
        <v>613</v>
      </c>
      <c r="M67" s="252">
        <f>G71</f>
        <v>4430</v>
      </c>
    </row>
    <row r="68" spans="1:13" x14ac:dyDescent="0.25">
      <c r="A68" s="191" t="s">
        <v>740</v>
      </c>
      <c r="B68" s="494">
        <f>E63</f>
        <v>44300</v>
      </c>
      <c r="C68" s="191"/>
      <c r="D68" s="191"/>
      <c r="E68" s="191" t="s">
        <v>740</v>
      </c>
      <c r="F68" s="494">
        <f>G63</f>
        <v>44383</v>
      </c>
      <c r="G68" s="191"/>
      <c r="H68" s="191"/>
      <c r="I68" s="292"/>
      <c r="J68" s="9"/>
      <c r="M68" s="252">
        <f>M66-M67</f>
        <v>39870</v>
      </c>
    </row>
    <row r="69" spans="1:13" x14ac:dyDescent="0.25">
      <c r="A69" s="191" t="s">
        <v>347</v>
      </c>
      <c r="B69" s="494">
        <f>'JUNE 21'!D90</f>
        <v>-5625.3000000000029</v>
      </c>
      <c r="C69" s="191"/>
      <c r="D69" s="191"/>
      <c r="E69" s="191" t="s">
        <v>347</v>
      </c>
      <c r="F69" s="494">
        <f>'JUNE 21'!H90</f>
        <v>-38474.300000000003</v>
      </c>
      <c r="G69" s="191"/>
      <c r="H69" s="191"/>
      <c r="I69" s="292"/>
      <c r="J69" s="9"/>
      <c r="L69" t="s">
        <v>3</v>
      </c>
      <c r="M69" s="147">
        <f>3125</f>
        <v>3125</v>
      </c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M70" s="252">
        <f>M68-M69</f>
        <v>36745</v>
      </c>
    </row>
    <row r="71" spans="1:13" x14ac:dyDescent="0.25">
      <c r="A71" s="191" t="s">
        <v>613</v>
      </c>
      <c r="B71" s="327">
        <v>0.1</v>
      </c>
      <c r="C71" s="494">
        <f>B71*B68</f>
        <v>4430</v>
      </c>
      <c r="D71" s="191"/>
      <c r="E71" s="191" t="s">
        <v>613</v>
      </c>
      <c r="F71" s="327">
        <v>0.1</v>
      </c>
      <c r="G71" s="301">
        <f>F71*E63</f>
        <v>4430</v>
      </c>
      <c r="H71" s="191"/>
      <c r="I71" s="292"/>
      <c r="J71" s="9"/>
      <c r="K71" t="s">
        <v>996</v>
      </c>
      <c r="M71">
        <f>G76</f>
        <v>23745</v>
      </c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252">
        <f>M70-M71</f>
        <v>13000</v>
      </c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</row>
    <row r="76" spans="1:13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</row>
    <row r="77" spans="1:13" x14ac:dyDescent="0.25">
      <c r="A77" s="44" t="s">
        <v>1048</v>
      </c>
      <c r="B77" s="44"/>
      <c r="C77" s="44">
        <v>13000</v>
      </c>
      <c r="D77" s="191"/>
      <c r="E77" s="44" t="s">
        <v>1048</v>
      </c>
      <c r="F77" s="44"/>
      <c r="G77" s="44">
        <v>13000</v>
      </c>
      <c r="H77" s="191"/>
      <c r="I77" s="602"/>
      <c r="J77" s="147"/>
    </row>
    <row r="78" spans="1:13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3" x14ac:dyDescent="0.25">
      <c r="A79" s="497" t="s">
        <v>1052</v>
      </c>
      <c r="B79" s="495"/>
      <c r="C79" s="301">
        <v>1600</v>
      </c>
      <c r="D79" s="191"/>
      <c r="E79" s="497"/>
      <c r="F79" s="495"/>
      <c r="G79" s="301"/>
      <c r="H79" s="191"/>
      <c r="I79" s="216"/>
      <c r="J79" s="147"/>
    </row>
    <row r="80" spans="1:13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252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</row>
    <row r="90" spans="1:10" x14ac:dyDescent="0.25">
      <c r="A90" s="493" t="s">
        <v>2</v>
      </c>
      <c r="B90" s="499">
        <f>B70+B68+B69+B72+B73-C71</f>
        <v>34244.699999999997</v>
      </c>
      <c r="C90" s="499">
        <f>SUM(C73:C89)</f>
        <v>38345</v>
      </c>
      <c r="D90" s="499">
        <f>B90-C90</f>
        <v>-4100.3000000000029</v>
      </c>
      <c r="E90" s="493" t="s">
        <v>2</v>
      </c>
      <c r="F90" s="499">
        <f>F68+F69+F72+F73-G71</f>
        <v>1478.6999999999971</v>
      </c>
      <c r="G90" s="499">
        <f>SUM(G73:G89)</f>
        <v>36745</v>
      </c>
      <c r="H90" s="499">
        <f>F90-G90</f>
        <v>-35266.300000000003</v>
      </c>
      <c r="I90" s="216"/>
      <c r="J90" s="9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</row>
    <row r="93" spans="1:10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3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102" spans="1:13" x14ac:dyDescent="0.25">
      <c r="M102">
        <f>2500+1600</f>
        <v>4100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34" workbookViewId="0">
      <selection activeCell="A48" sqref="A48"/>
    </sheetView>
  </sheetViews>
  <sheetFormatPr defaultRowHeight="15" x14ac:dyDescent="0.25"/>
  <cols>
    <col min="1" max="1" width="21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1049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'JULY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'JULY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'JULY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'JULY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'JULY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'JULY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'JULY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180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f>'JULY 21'!H46:H71</f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'JULY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1059</v>
      </c>
      <c r="B48" s="541" t="s">
        <v>1011</v>
      </c>
      <c r="C48" s="542"/>
      <c r="D48" s="543">
        <f>'JULY 21'!H48:H73</f>
        <v>0</v>
      </c>
      <c r="E48" s="191">
        <v>2500</v>
      </c>
      <c r="F48" s="440">
        <f t="shared" si="3"/>
        <v>2500</v>
      </c>
      <c r="G48" s="440">
        <v>2500</v>
      </c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'JULY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  <c r="K49" s="9"/>
    </row>
    <row r="50" spans="1:11" x14ac:dyDescent="0.25">
      <c r="A50" s="382" t="s">
        <v>521</v>
      </c>
      <c r="B50" s="541" t="s">
        <v>1013</v>
      </c>
      <c r="C50" s="542"/>
      <c r="D50" s="543">
        <f>'JULY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'JULY 21'!H51:H76</f>
        <v>1880</v>
      </c>
      <c r="E51" s="544">
        <v>2500</v>
      </c>
      <c r="F51" s="440">
        <f t="shared" si="3"/>
        <v>4380</v>
      </c>
      <c r="G51" s="440">
        <f>2500</f>
        <v>2500</v>
      </c>
      <c r="H51" s="544">
        <f t="shared" si="2"/>
        <v>1880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'JULY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'JULY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>
        <v>200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'JULY 21'!H54:H79</f>
        <v>950</v>
      </c>
      <c r="E54" s="552">
        <v>2500</v>
      </c>
      <c r="F54" s="440">
        <f t="shared" si="3"/>
        <v>3450</v>
      </c>
      <c r="G54" s="440">
        <f>2000</f>
        <v>2000</v>
      </c>
      <c r="H54" s="544">
        <f>F54-G54</f>
        <v>1450</v>
      </c>
      <c r="I54" s="543"/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'JULY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'JULY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'JULY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'JULY 21'!H59:H84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1" x14ac:dyDescent="0.25">
      <c r="A60" s="388" t="s">
        <v>1050</v>
      </c>
      <c r="B60" s="541" t="s">
        <v>1023</v>
      </c>
      <c r="C60" s="542"/>
      <c r="D60" s="543"/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'JULY 21'!H61:H86</f>
        <v>2200</v>
      </c>
      <c r="E61" s="608">
        <v>1600</v>
      </c>
      <c r="F61" s="440">
        <f t="shared" si="3"/>
        <v>3800</v>
      </c>
      <c r="G61" s="440">
        <f>1000</f>
        <v>1000</v>
      </c>
      <c r="H61" s="544">
        <f>F61-G61</f>
        <v>2800</v>
      </c>
      <c r="I61" s="543"/>
      <c r="J61" s="543"/>
      <c r="K61" s="9"/>
    </row>
    <row r="62" spans="1:11" x14ac:dyDescent="0.25">
      <c r="A62" s="388" t="s">
        <v>1057</v>
      </c>
      <c r="B62" s="541" t="s">
        <v>1025</v>
      </c>
      <c r="C62" s="542"/>
      <c r="D62" s="543">
        <f>'JULY 21'!H62:H87</f>
        <v>0</v>
      </c>
      <c r="E62" s="603">
        <v>1500</v>
      </c>
      <c r="F62" s="440">
        <f>C62+D62+E62</f>
        <v>1500</v>
      </c>
      <c r="G62" s="440">
        <v>1500</v>
      </c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H63" si="4">SUM(C38:C62)</f>
        <v>3000</v>
      </c>
      <c r="D63" s="543">
        <f>'JULY 21'!H63:H88</f>
        <v>10630</v>
      </c>
      <c r="E63" s="588">
        <f>SUM(E38:E62)</f>
        <v>44900</v>
      </c>
      <c r="F63" s="440">
        <f t="shared" si="4"/>
        <v>54930</v>
      </c>
      <c r="G63" s="440">
        <f t="shared" si="4"/>
        <v>44800</v>
      </c>
      <c r="H63" s="544">
        <f t="shared" si="4"/>
        <v>10130</v>
      </c>
      <c r="I63" s="591">
        <f>SUM(I38:I62)</f>
        <v>600</v>
      </c>
      <c r="J63" s="591">
        <f>SUM(J38:J62)</f>
        <v>380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7130</v>
      </c>
      <c r="J65" s="9"/>
      <c r="K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 s="97" t="s">
        <v>1054</v>
      </c>
      <c r="N66" s="97"/>
      <c r="O66" s="97"/>
      <c r="P66" s="97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O67" s="97" t="s">
        <v>1055</v>
      </c>
      <c r="P67" s="97">
        <v>4100</v>
      </c>
    </row>
    <row r="68" spans="1:16" x14ac:dyDescent="0.25">
      <c r="A68" s="191" t="s">
        <v>755</v>
      </c>
      <c r="B68" s="494">
        <f>E63</f>
        <v>44900</v>
      </c>
      <c r="C68" s="191"/>
      <c r="D68" s="191"/>
      <c r="E68" s="191" t="s">
        <v>755</v>
      </c>
      <c r="F68" s="494">
        <f>G63</f>
        <v>44800</v>
      </c>
      <c r="G68" s="191"/>
      <c r="H68" s="191"/>
      <c r="I68" s="292"/>
      <c r="J68" s="9"/>
      <c r="K68" s="9"/>
      <c r="M68" s="147">
        <f>B68</f>
        <v>44900</v>
      </c>
      <c r="O68" s="216" t="s">
        <v>755</v>
      </c>
      <c r="P68" s="216">
        <v>1000</v>
      </c>
    </row>
    <row r="69" spans="1:16" x14ac:dyDescent="0.25">
      <c r="A69" s="191" t="s">
        <v>347</v>
      </c>
      <c r="B69" s="494">
        <f>'JULY 21'!D90</f>
        <v>-4100.3000000000029</v>
      </c>
      <c r="C69" s="191"/>
      <c r="D69" s="191"/>
      <c r="E69" s="191" t="s">
        <v>347</v>
      </c>
      <c r="F69" s="494">
        <f>'JULY 21'!H90</f>
        <v>-35266.300000000003</v>
      </c>
      <c r="G69" s="191"/>
      <c r="H69" s="191"/>
      <c r="I69" s="292"/>
      <c r="J69" s="9"/>
      <c r="K69" s="9"/>
      <c r="L69" t="s">
        <v>613</v>
      </c>
      <c r="M69" s="147">
        <f>C71</f>
        <v>4490</v>
      </c>
      <c r="O69" s="97" t="s">
        <v>26</v>
      </c>
      <c r="P69" s="97">
        <f>P67-P68</f>
        <v>3100</v>
      </c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M70" s="147">
        <f>M68-M69</f>
        <v>40410</v>
      </c>
      <c r="O70" s="97"/>
      <c r="P70" s="97"/>
    </row>
    <row r="71" spans="1:16" x14ac:dyDescent="0.25">
      <c r="A71" s="191" t="s">
        <v>613</v>
      </c>
      <c r="B71" s="327">
        <v>0.1</v>
      </c>
      <c r="C71" s="494">
        <f>B71*B68</f>
        <v>4490</v>
      </c>
      <c r="D71" s="191"/>
      <c r="E71" s="191" t="s">
        <v>613</v>
      </c>
      <c r="F71" s="327">
        <v>0.1</v>
      </c>
      <c r="G71" s="301">
        <f>F71*E63</f>
        <v>4490</v>
      </c>
      <c r="H71" s="191"/>
      <c r="I71" s="292"/>
      <c r="L71" t="s">
        <v>55</v>
      </c>
      <c r="M71">
        <v>1000</v>
      </c>
    </row>
    <row r="72" spans="1:16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147">
        <f>M70-M71</f>
        <v>39410</v>
      </c>
    </row>
    <row r="73" spans="1:16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M73">
        <f>23612</f>
        <v>23612</v>
      </c>
    </row>
    <row r="74" spans="1:16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>
        <f>M72-M73</f>
        <v>15798</v>
      </c>
    </row>
    <row r="75" spans="1:16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6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6" x14ac:dyDescent="0.25">
      <c r="A77" s="44" t="s">
        <v>1056</v>
      </c>
      <c r="B77" s="44"/>
      <c r="C77" s="44">
        <v>14440</v>
      </c>
      <c r="D77" s="191"/>
      <c r="E77" s="44" t="s">
        <v>1056</v>
      </c>
      <c r="F77" s="44"/>
      <c r="G77" s="44">
        <v>14440</v>
      </c>
      <c r="H77" s="191"/>
      <c r="I77" s="602"/>
      <c r="J77" s="147"/>
      <c r="K77" s="9"/>
    </row>
    <row r="78" spans="1:16" x14ac:dyDescent="0.25">
      <c r="A78" s="496" t="s">
        <v>1056</v>
      </c>
      <c r="B78" s="327"/>
      <c r="C78" s="301"/>
      <c r="D78" s="191"/>
      <c r="E78" s="496" t="s">
        <v>1056</v>
      </c>
      <c r="F78" s="327"/>
      <c r="G78" s="301">
        <v>30000</v>
      </c>
      <c r="H78" s="191"/>
      <c r="I78" s="216"/>
      <c r="J78" s="147"/>
      <c r="K78" s="9"/>
    </row>
    <row r="79" spans="1:16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496" t="s">
        <v>1056</v>
      </c>
      <c r="K79" s="327"/>
      <c r="L79" t="s">
        <v>1061</v>
      </c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36309.699999999997</v>
      </c>
      <c r="C90" s="499">
        <f>SUM(C73:C89)</f>
        <v>38052</v>
      </c>
      <c r="D90" s="499">
        <f>B90-C90</f>
        <v>-1742.3000000000029</v>
      </c>
      <c r="E90" s="493" t="s">
        <v>2</v>
      </c>
      <c r="F90" s="499">
        <f>F68+F69+F72+F73-G71</f>
        <v>5043.6999999999971</v>
      </c>
      <c r="G90" s="499">
        <f>SUM(G73:G89)</f>
        <v>68052</v>
      </c>
      <c r="H90" s="499">
        <f>F90-G90</f>
        <v>-63008.3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558" t="s">
        <v>1053</v>
      </c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D78" sqref="D78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'AUGUST 21'!H38:H62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'AUGUST 21'!H39:H63</f>
        <v>0</v>
      </c>
      <c r="E39" s="443">
        <v>2500</v>
      </c>
      <c r="F39" s="440">
        <f t="shared" ref="F39:F61" si="3">C39+D39+E39</f>
        <v>2500</v>
      </c>
      <c r="G39" s="440"/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'AUGUST 21'!H40:H64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'AUGUST 21'!H41:H65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'AUGUST 21'!H42:H66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'AUGUST 21'!H43:H67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'AUGUST 21'!H44:H68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'AUGUST 21'!H45:H69</f>
        <v>0</v>
      </c>
      <c r="E45" s="546">
        <v>2500</v>
      </c>
      <c r="F45" s="440">
        <f t="shared" si="3"/>
        <v>2500</v>
      </c>
      <c r="G45" s="440">
        <f>1000+1500</f>
        <v>2500</v>
      </c>
      <c r="H45" s="544">
        <f t="shared" si="2"/>
        <v>0</v>
      </c>
      <c r="I45" s="543">
        <v>100</v>
      </c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500</v>
      </c>
      <c r="E46" s="543">
        <v>2500</v>
      </c>
      <c r="F46" s="440">
        <f t="shared" si="3"/>
        <v>4000</v>
      </c>
      <c r="G46" s="440">
        <f>3000</f>
        <v>3000</v>
      </c>
      <c r="H46" s="544">
        <f t="shared" si="2"/>
        <v>1000</v>
      </c>
      <c r="I46" s="543">
        <v>400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'AUGUST 21'!H47:H71</f>
        <v>0</v>
      </c>
      <c r="E47" s="443">
        <v>3000</v>
      </c>
      <c r="F47" s="440">
        <f>C47+D47+E47</f>
        <v>3000</v>
      </c>
      <c r="G47" s="440">
        <f>3000</f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1066</v>
      </c>
      <c r="B48" s="541" t="s">
        <v>1011</v>
      </c>
      <c r="C48" s="542"/>
      <c r="D48" s="543">
        <f>'AUGUST 21'!H48:H72</f>
        <v>0</v>
      </c>
      <c r="E48" s="191">
        <v>2000</v>
      </c>
      <c r="F48" s="440">
        <f t="shared" si="3"/>
        <v>2000</v>
      </c>
      <c r="G48" s="440">
        <v>2000</v>
      </c>
      <c r="H48" s="544">
        <f t="shared" si="2"/>
        <v>0</v>
      </c>
      <c r="I48" s="543"/>
      <c r="J48" s="543"/>
      <c r="K48" s="9"/>
    </row>
    <row r="49" spans="1:14" x14ac:dyDescent="0.25">
      <c r="A49" s="191" t="s">
        <v>968</v>
      </c>
      <c r="B49" s="541" t="s">
        <v>1012</v>
      </c>
      <c r="C49" s="542"/>
      <c r="D49" s="543">
        <f>'AUGUST 21'!H49:H73</f>
        <v>0</v>
      </c>
      <c r="E49" s="443">
        <v>1600</v>
      </c>
      <c r="F49" s="440">
        <f t="shared" si="3"/>
        <v>1600</v>
      </c>
      <c r="G49" s="440">
        <f>1600</f>
        <v>1600</v>
      </c>
      <c r="H49" s="544">
        <f t="shared" si="2"/>
        <v>0</v>
      </c>
      <c r="I49" s="543">
        <v>100</v>
      </c>
      <c r="J49" s="543"/>
      <c r="K49" s="9"/>
    </row>
    <row r="50" spans="1:14" x14ac:dyDescent="0.25">
      <c r="A50" s="382" t="s">
        <v>1060</v>
      </c>
      <c r="B50" s="541" t="s">
        <v>1013</v>
      </c>
      <c r="C50" s="542"/>
      <c r="D50" s="543">
        <f>'AUGUST 21'!H50:H74</f>
        <v>0</v>
      </c>
      <c r="E50" s="603">
        <v>2500</v>
      </c>
      <c r="F50" s="440">
        <f>C50+D50+E50</f>
        <v>2500</v>
      </c>
      <c r="G50" s="440">
        <v>2500</v>
      </c>
      <c r="H50" s="544">
        <f t="shared" si="2"/>
        <v>0</v>
      </c>
      <c r="I50" s="543"/>
      <c r="J50" s="543"/>
      <c r="K50" s="9"/>
    </row>
    <row r="51" spans="1:14" x14ac:dyDescent="0.25">
      <c r="A51" s="384" t="s">
        <v>963</v>
      </c>
      <c r="B51" s="541" t="s">
        <v>1014</v>
      </c>
      <c r="C51" s="542"/>
      <c r="D51" s="543">
        <f>'AUGUST 21'!H51:H75</f>
        <v>1880</v>
      </c>
      <c r="E51" s="544">
        <v>2500</v>
      </c>
      <c r="F51" s="440">
        <f t="shared" si="3"/>
        <v>4380</v>
      </c>
      <c r="G51" s="440">
        <f>3500</f>
        <v>3500</v>
      </c>
      <c r="H51" s="544">
        <f t="shared" si="2"/>
        <v>880</v>
      </c>
      <c r="I51" s="543"/>
      <c r="J51" s="543"/>
      <c r="K51" s="9"/>
    </row>
    <row r="52" spans="1:14" x14ac:dyDescent="0.25">
      <c r="A52" s="191" t="s">
        <v>767</v>
      </c>
      <c r="B52" s="541" t="s">
        <v>1015</v>
      </c>
      <c r="C52" s="542"/>
      <c r="D52" s="543">
        <f>'AUGUST 21'!H52:H76</f>
        <v>500</v>
      </c>
      <c r="E52" s="549">
        <v>3000</v>
      </c>
      <c r="F52" s="440">
        <f t="shared" si="3"/>
        <v>3500</v>
      </c>
      <c r="G52" s="440">
        <f>2500</f>
        <v>2500</v>
      </c>
      <c r="H52" s="544">
        <f>F52-G52</f>
        <v>1000</v>
      </c>
      <c r="I52" s="543"/>
      <c r="J52" s="543"/>
      <c r="K52" s="9"/>
    </row>
    <row r="53" spans="1:14" x14ac:dyDescent="0.25">
      <c r="A53" s="610" t="s">
        <v>670</v>
      </c>
      <c r="B53" s="541" t="s">
        <v>1016</v>
      </c>
      <c r="C53" s="542"/>
      <c r="D53" s="543">
        <f>'AUGUST 21'!H53:H77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4" x14ac:dyDescent="0.25">
      <c r="A54" s="388" t="s">
        <v>1026</v>
      </c>
      <c r="B54" s="541" t="s">
        <v>1017</v>
      </c>
      <c r="C54" s="542"/>
      <c r="D54" s="543">
        <f>'AUGUST 21'!H54:H78</f>
        <v>1450</v>
      </c>
      <c r="E54" s="552">
        <v>2500</v>
      </c>
      <c r="F54" s="440">
        <f t="shared" si="3"/>
        <v>3950</v>
      </c>
      <c r="G54" s="440">
        <f>500+500+1450</f>
        <v>2450</v>
      </c>
      <c r="H54" s="544">
        <f>F54-G54</f>
        <v>1500</v>
      </c>
      <c r="I54" s="543"/>
      <c r="J54" s="543"/>
      <c r="K54" s="9"/>
    </row>
    <row r="55" spans="1:14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4" x14ac:dyDescent="0.25">
      <c r="A56" s="382"/>
      <c r="B56" s="541" t="s">
        <v>1019</v>
      </c>
      <c r="C56" s="542"/>
      <c r="D56" s="543">
        <f>'AUGUST 21'!H56:H80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4" x14ac:dyDescent="0.25">
      <c r="A57" s="384"/>
      <c r="B57" s="553" t="s">
        <v>1020</v>
      </c>
      <c r="C57" s="542"/>
      <c r="D57" s="543">
        <f>'AUGUST 21'!H57:H81</f>
        <v>0</v>
      </c>
      <c r="E57" s="556"/>
      <c r="F57" s="440"/>
      <c r="G57" s="440"/>
      <c r="H57" s="544"/>
      <c r="I57" s="543"/>
      <c r="J57" s="543"/>
      <c r="K57" s="9"/>
    </row>
    <row r="58" spans="1:14" x14ac:dyDescent="0.25">
      <c r="A58" s="384" t="s">
        <v>701</v>
      </c>
      <c r="B58" s="541" t="s">
        <v>1021</v>
      </c>
      <c r="C58" s="542"/>
      <c r="D58" s="543">
        <f>'AUGUST 21'!H58:H82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  <c r="K58" s="9"/>
    </row>
    <row r="59" spans="1:14" x14ac:dyDescent="0.25">
      <c r="A59" s="384" t="s">
        <v>1051</v>
      </c>
      <c r="B59" s="553" t="s">
        <v>1022</v>
      </c>
      <c r="C59" s="542"/>
      <c r="D59" s="543">
        <f>'AUGUST 21'!H59:H83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4" x14ac:dyDescent="0.25">
      <c r="A60" s="388" t="s">
        <v>1050</v>
      </c>
      <c r="B60" s="541" t="s">
        <v>1023</v>
      </c>
      <c r="C60" s="542"/>
      <c r="D60" s="543">
        <f>'AUGUST 21'!H60:H84</f>
        <v>0</v>
      </c>
      <c r="E60" s="608">
        <v>1600</v>
      </c>
      <c r="F60" s="440">
        <f t="shared" si="3"/>
        <v>1600</v>
      </c>
      <c r="G60" s="440">
        <f>1600</f>
        <v>1600</v>
      </c>
      <c r="H60" s="544">
        <f>F60-G60</f>
        <v>0</v>
      </c>
      <c r="I60" s="543">
        <v>100</v>
      </c>
      <c r="J60" s="543"/>
      <c r="K60" s="9"/>
    </row>
    <row r="61" spans="1:14" x14ac:dyDescent="0.25">
      <c r="A61" s="384" t="s">
        <v>1031</v>
      </c>
      <c r="B61" s="553" t="s">
        <v>1024</v>
      </c>
      <c r="C61" s="542"/>
      <c r="D61" s="543">
        <f>'AUGUST 21'!H61:H85</f>
        <v>2800</v>
      </c>
      <c r="E61" s="608"/>
      <c r="F61" s="440">
        <f t="shared" si="3"/>
        <v>2800</v>
      </c>
      <c r="G61" s="440">
        <v>2800</v>
      </c>
      <c r="H61" s="544">
        <f>F61-G61</f>
        <v>0</v>
      </c>
      <c r="I61" s="543"/>
      <c r="J61" s="543"/>
      <c r="K61" s="9"/>
    </row>
    <row r="62" spans="1:14" x14ac:dyDescent="0.25">
      <c r="A62" s="388" t="s">
        <v>1057</v>
      </c>
      <c r="B62" s="541" t="s">
        <v>1025</v>
      </c>
      <c r="C62" s="542"/>
      <c r="D62" s="543">
        <f>'AUGUST 21'!H62:H86</f>
        <v>0</v>
      </c>
      <c r="E62" s="603">
        <v>1500</v>
      </c>
      <c r="F62" s="440">
        <f>C62+D62+E62</f>
        <v>1500</v>
      </c>
      <c r="G62" s="440">
        <f>1200</f>
        <v>1200</v>
      </c>
      <c r="H62" s="544">
        <f>F62-G62</f>
        <v>300</v>
      </c>
      <c r="I62" s="543"/>
      <c r="J62" s="543"/>
      <c r="K62" s="9"/>
      <c r="N62">
        <f>1600+1600+2000</f>
        <v>5200</v>
      </c>
    </row>
    <row r="63" spans="1:14" x14ac:dyDescent="0.25">
      <c r="A63" s="598" t="s">
        <v>708</v>
      </c>
      <c r="B63" s="191"/>
      <c r="C63" s="542">
        <f t="shared" ref="C63:H63" si="4">SUM(C38:C62)</f>
        <v>3000</v>
      </c>
      <c r="D63" s="543">
        <f>SUM(D38:D62)</f>
        <v>7130</v>
      </c>
      <c r="E63" s="588">
        <f>SUM(E38:E62)</f>
        <v>47300</v>
      </c>
      <c r="F63" s="440">
        <f t="shared" si="4"/>
        <v>57430</v>
      </c>
      <c r="G63" s="440">
        <f t="shared" si="4"/>
        <v>48250</v>
      </c>
      <c r="H63" s="544">
        <f t="shared" si="4"/>
        <v>9180</v>
      </c>
      <c r="I63" s="591">
        <f>SUM(I38:I62)</f>
        <v>900</v>
      </c>
      <c r="J63" s="591">
        <f>SUM(J38:J62)</f>
        <v>300</v>
      </c>
      <c r="K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6180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5" x14ac:dyDescent="0.25">
      <c r="A68" s="191" t="s">
        <v>783</v>
      </c>
      <c r="B68" s="494">
        <f>E63</f>
        <v>47300</v>
      </c>
      <c r="C68" s="191"/>
      <c r="D68" s="191"/>
      <c r="E68" s="191" t="s">
        <v>783</v>
      </c>
      <c r="F68" s="494">
        <f>G63</f>
        <v>48250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'AUGUST 21'!D90</f>
        <v>-1742.3000000000029</v>
      </c>
      <c r="C69" s="191"/>
      <c r="D69" s="191"/>
      <c r="E69" s="191" t="s">
        <v>347</v>
      </c>
      <c r="F69" s="494">
        <f>'AUGUST 21'!H90</f>
        <v>-63008.3</v>
      </c>
      <c r="G69" s="191"/>
      <c r="H69" s="191"/>
      <c r="I69" s="292"/>
      <c r="J69" s="9"/>
      <c r="K69" s="9"/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B68</f>
        <v>47300</v>
      </c>
    </row>
    <row r="71" spans="1:15" x14ac:dyDescent="0.25">
      <c r="A71" s="191" t="s">
        <v>613</v>
      </c>
      <c r="B71" s="327">
        <v>0.1</v>
      </c>
      <c r="C71" s="494">
        <f>B71*B68</f>
        <v>4730</v>
      </c>
      <c r="D71" s="191"/>
      <c r="E71" s="191" t="s">
        <v>613</v>
      </c>
      <c r="F71" s="327">
        <v>0.1</v>
      </c>
      <c r="G71" s="301">
        <f>F71*E63</f>
        <v>4730</v>
      </c>
      <c r="H71" s="191"/>
      <c r="I71" s="292"/>
      <c r="J71" s="9"/>
      <c r="K71" s="9"/>
      <c r="N71" t="s">
        <v>613</v>
      </c>
      <c r="O71" s="147">
        <f>C71</f>
        <v>4730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42570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 t="s">
        <v>55</v>
      </c>
      <c r="O73">
        <f>1742</f>
        <v>1742</v>
      </c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O74" s="147">
        <f>O72-O73</f>
        <v>40828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>
        <f>G76</f>
        <v>23612</v>
      </c>
    </row>
    <row r="76" spans="1:15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O76" s="147">
        <f>O74-O75</f>
        <v>17216</v>
      </c>
    </row>
    <row r="77" spans="1:15" x14ac:dyDescent="0.25">
      <c r="A77" s="44" t="s">
        <v>790</v>
      </c>
      <c r="B77" s="44"/>
      <c r="C77" s="44">
        <v>15860</v>
      </c>
      <c r="D77" s="191"/>
      <c r="E77" s="44" t="s">
        <v>790</v>
      </c>
      <c r="F77" s="44"/>
      <c r="G77" s="44">
        <v>15860</v>
      </c>
      <c r="H77" s="191"/>
      <c r="I77" s="602"/>
      <c r="J77" s="147"/>
      <c r="K77" s="9"/>
    </row>
    <row r="78" spans="1:15" x14ac:dyDescent="0.25">
      <c r="A78" s="496" t="s">
        <v>1063</v>
      </c>
      <c r="B78" s="327"/>
      <c r="C78" s="301">
        <f>1000+300</f>
        <v>1300</v>
      </c>
      <c r="D78" s="191"/>
      <c r="E78" s="496" t="s">
        <v>1063</v>
      </c>
      <c r="F78" s="327"/>
      <c r="G78" s="301">
        <f>1000+300</f>
        <v>1300</v>
      </c>
      <c r="H78" s="191"/>
      <c r="I78" s="216"/>
      <c r="J78" s="147"/>
      <c r="K78" s="9"/>
    </row>
    <row r="79" spans="1:15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</row>
    <row r="80" spans="1:15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3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3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3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3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>
        <f>1600+1600</f>
        <v>3200</v>
      </c>
      <c r="K84" s="9"/>
    </row>
    <row r="85" spans="1:13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3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M86" s="147">
        <f>O76-15860</f>
        <v>1356</v>
      </c>
    </row>
    <row r="87" spans="1:13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3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3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3" x14ac:dyDescent="0.25">
      <c r="A90" s="493" t="s">
        <v>2</v>
      </c>
      <c r="B90" s="499">
        <f>B70+B68+B69+B72+B73-C71</f>
        <v>40827.699999999997</v>
      </c>
      <c r="C90" s="499">
        <f>SUM(C73:C89)</f>
        <v>40772</v>
      </c>
      <c r="D90" s="499">
        <f>B90-C90</f>
        <v>55.69999999999709</v>
      </c>
      <c r="E90" s="493" t="s">
        <v>2</v>
      </c>
      <c r="F90" s="499">
        <f>F68+F69+F72+F73-G71</f>
        <v>-19488.300000000003</v>
      </c>
      <c r="G90" s="499">
        <f>SUM(G73:G89)</f>
        <v>40772</v>
      </c>
      <c r="H90" s="499">
        <f>F90-G90</f>
        <v>-60260.3</v>
      </c>
      <c r="I90" s="216"/>
      <c r="J90" s="9"/>
      <c r="K90" s="9"/>
    </row>
    <row r="91" spans="1:13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3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3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3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55" workbookViewId="0">
      <selection activeCell="G59" sqref="G59"/>
    </sheetView>
  </sheetViews>
  <sheetFormatPr defaultRowHeight="15" x14ac:dyDescent="0.25"/>
  <cols>
    <col min="1" max="1" width="21.42578125" bestFit="1" customWidth="1"/>
    <col min="5" max="5" width="19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1062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>
        <f>'SEPT 21'!H6:H18</f>
        <v>0</v>
      </c>
      <c r="E6" s="250">
        <v>2000</v>
      </c>
      <c r="F6" s="250">
        <f>D6+E6</f>
        <v>2000</v>
      </c>
      <c r="G6" s="250"/>
      <c r="H6" s="266">
        <f>F6-G6</f>
        <v>2000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522">
        <f>'SEPT 21'!H7:H19</f>
        <v>0</v>
      </c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522">
        <f>'SEPT 21'!H8:H20</f>
        <v>0</v>
      </c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>
        <f>'SEPT 21'!H9:H21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522">
        <f>'SEPT 21'!H10:H22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522">
        <f>'SEPT 21'!H11:H23</f>
        <v>0</v>
      </c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522">
        <f>'SEPT 21'!H12:H24</f>
        <v>0</v>
      </c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2">
        <f>'SEPT 21'!H13:H25</f>
        <v>0</v>
      </c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522">
        <f>'SEPT 21'!H14:H26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>
        <f>'SEPT 21'!H15:H27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522">
        <f>'SEPT 21'!H16:H28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522">
        <f>'SEPT 21'!H17:H29</f>
        <v>0</v>
      </c>
      <c r="E17" s="529">
        <v>2000</v>
      </c>
      <c r="F17" s="250">
        <f t="shared" si="0"/>
        <v>2000</v>
      </c>
      <c r="G17" s="250"/>
      <c r="H17" s="266">
        <f t="shared" si="1"/>
        <v>2000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22">
        <f>'SEPT 21'!H18:H30</f>
        <v>0</v>
      </c>
      <c r="E18" s="533">
        <f>SUM(E6:E17)</f>
        <v>4000</v>
      </c>
      <c r="F18" s="533">
        <f>D18+E18</f>
        <v>4000</v>
      </c>
      <c r="G18" s="533">
        <f>SUM(G6:G17)</f>
        <v>0</v>
      </c>
      <c r="H18" s="534">
        <f>SUM(H6:H17)</f>
        <v>4000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</row>
    <row r="23" spans="1:11" x14ac:dyDescent="0.25">
      <c r="A23" s="216"/>
      <c r="B23" s="494">
        <f>'SEPT 21'!D32</f>
        <v>8200</v>
      </c>
      <c r="C23" s="191"/>
      <c r="D23" s="191"/>
      <c r="E23" s="191" t="s">
        <v>347</v>
      </c>
      <c r="F23" s="494">
        <f>'SEPT 21'!H32</f>
        <v>8200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11800</v>
      </c>
      <c r="C32" s="499">
        <f>SUM(C26:C31)</f>
        <v>4000</v>
      </c>
      <c r="D32" s="499">
        <f>B32-C32</f>
        <v>7800</v>
      </c>
      <c r="E32" s="493" t="s">
        <v>2</v>
      </c>
      <c r="F32" s="499">
        <f>F22+F23-G24</f>
        <v>7800</v>
      </c>
      <c r="G32" s="499">
        <f>SUM(G26:G31)</f>
        <v>4000</v>
      </c>
      <c r="H32" s="499">
        <f>F32-G32</f>
        <v>3800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'SEPT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'SEPT 21'!H39:H64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'SEPT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'SEPT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'SEPT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'SEPT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'SEPT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'SEPT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f>100+200</f>
        <v>300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'SEPT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  <c r="K47" s="9"/>
    </row>
    <row r="48" spans="1:11" x14ac:dyDescent="0.25">
      <c r="A48" s="610"/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'SEPT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/>
      <c r="J49" s="543">
        <v>100</v>
      </c>
      <c r="K49" s="9"/>
    </row>
    <row r="50" spans="1:11" x14ac:dyDescent="0.25">
      <c r="A50" s="382" t="s">
        <v>1060</v>
      </c>
      <c r="B50" s="541" t="s">
        <v>1013</v>
      </c>
      <c r="C50" s="542"/>
      <c r="D50" s="543">
        <f>'SEPT 21'!H50:H75</f>
        <v>0</v>
      </c>
      <c r="E50" s="603">
        <v>2500</v>
      </c>
      <c r="F50" s="440">
        <f>C50+D50+E50</f>
        <v>2500</v>
      </c>
      <c r="G50" s="440"/>
      <c r="H50" s="544">
        <f t="shared" si="2"/>
        <v>2500</v>
      </c>
      <c r="I50" s="543"/>
      <c r="J50" s="543"/>
      <c r="K50" s="9" t="s">
        <v>614</v>
      </c>
    </row>
    <row r="51" spans="1:11" x14ac:dyDescent="0.25">
      <c r="A51" s="384" t="s">
        <v>521</v>
      </c>
      <c r="B51" s="541" t="s">
        <v>1014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'SEPT 21'!H52:H77</f>
        <v>1000</v>
      </c>
      <c r="E52" s="549">
        <v>3000</v>
      </c>
      <c r="F52" s="440">
        <f t="shared" si="3"/>
        <v>4000</v>
      </c>
      <c r="G52" s="440">
        <v>1500</v>
      </c>
      <c r="H52" s="544">
        <f>F52-G52</f>
        <v>2500</v>
      </c>
      <c r="I52" s="543"/>
      <c r="J52" s="543">
        <v>960</v>
      </c>
      <c r="K52" s="9"/>
    </row>
    <row r="53" spans="1:11" x14ac:dyDescent="0.25">
      <c r="A53" s="382" t="s">
        <v>670</v>
      </c>
      <c r="B53" s="541" t="s">
        <v>1016</v>
      </c>
      <c r="C53" s="542"/>
      <c r="D53" s="543">
        <f>'SEPT 21'!H53:H78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'SEPT 21'!H54:H79</f>
        <v>1500</v>
      </c>
      <c r="E54" s="552">
        <v>2500</v>
      </c>
      <c r="F54" s="440">
        <f t="shared" si="3"/>
        <v>4000</v>
      </c>
      <c r="G54" s="440">
        <f>1000+500+1000+1000</f>
        <v>3500</v>
      </c>
      <c r="H54" s="544">
        <f>F54-G54</f>
        <v>500</v>
      </c>
      <c r="I54" s="543"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200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'SEPT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'SEPT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'SEPT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'SEPT 21'!H59:H84</f>
        <v>0</v>
      </c>
      <c r="E59" s="608">
        <v>1600</v>
      </c>
      <c r="F59" s="440">
        <f>C59+D59+E59</f>
        <v>1600</v>
      </c>
      <c r="G59" s="440"/>
      <c r="H59" s="544">
        <f>F59-G59</f>
        <v>1600</v>
      </c>
      <c r="I59" s="543"/>
      <c r="J59" s="543"/>
      <c r="K59" s="9" t="s">
        <v>1072</v>
      </c>
    </row>
    <row r="60" spans="1:11" x14ac:dyDescent="0.25">
      <c r="A60" s="388" t="s">
        <v>1050</v>
      </c>
      <c r="B60" s="541" t="s">
        <v>1023</v>
      </c>
      <c r="C60" s="542"/>
      <c r="D60" s="543">
        <f>'SEPT 21'!H60:H85</f>
        <v>0</v>
      </c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963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/>
      <c r="H61" s="544">
        <f>F61-G61</f>
        <v>1600</v>
      </c>
      <c r="I61" s="543"/>
      <c r="J61" s="543"/>
      <c r="K61" s="9"/>
    </row>
    <row r="62" spans="1:11" x14ac:dyDescent="0.25">
      <c r="A62" s="384" t="s">
        <v>1064</v>
      </c>
      <c r="B62" s="541" t="s">
        <v>1025</v>
      </c>
      <c r="C62" s="542"/>
      <c r="D62" s="543">
        <f>'SEPT 21'!H62:H87</f>
        <v>300</v>
      </c>
      <c r="E62" s="603">
        <v>1500</v>
      </c>
      <c r="F62" s="440">
        <f>C62+D62+E62</f>
        <v>1800</v>
      </c>
      <c r="G62" s="440"/>
      <c r="H62" s="544">
        <f>F62-G62</f>
        <v>1800</v>
      </c>
      <c r="I62" s="543"/>
      <c r="J62" s="543"/>
      <c r="K62" s="9"/>
    </row>
    <row r="63" spans="1:11" x14ac:dyDescent="0.25">
      <c r="A63" s="384"/>
      <c r="B63" s="191"/>
      <c r="C63" s="542">
        <f t="shared" ref="C63:H63" si="4">SUM(C38:C62)</f>
        <v>3000</v>
      </c>
      <c r="D63" s="543">
        <f>'SEPT 21'!H63:H88</f>
        <v>9180</v>
      </c>
      <c r="E63" s="588">
        <f>SUM(E38:E62)</f>
        <v>44400</v>
      </c>
      <c r="F63" s="440">
        <f t="shared" si="4"/>
        <v>52700</v>
      </c>
      <c r="G63" s="440">
        <f t="shared" si="4"/>
        <v>36700</v>
      </c>
      <c r="H63" s="544">
        <f t="shared" si="4"/>
        <v>16000</v>
      </c>
      <c r="I63" s="591">
        <f>SUM(I38:I62)</f>
        <v>900</v>
      </c>
      <c r="J63" s="591">
        <f>SUM(J38:J62)</f>
        <v>1960</v>
      </c>
      <c r="K63" s="9"/>
    </row>
    <row r="64" spans="1:11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13000</v>
      </c>
      <c r="J65" s="9"/>
      <c r="K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4" x14ac:dyDescent="0.25">
      <c r="A68" s="191" t="s">
        <v>1069</v>
      </c>
      <c r="B68" s="494">
        <f>E63</f>
        <v>44400</v>
      </c>
      <c r="C68" s="191"/>
      <c r="D68" s="191"/>
      <c r="E68" s="191" t="s">
        <v>1069</v>
      </c>
      <c r="F68" s="494">
        <f>G63</f>
        <v>36700</v>
      </c>
      <c r="G68" s="191"/>
      <c r="H68" s="191"/>
      <c r="I68" s="292"/>
      <c r="J68" s="9"/>
      <c r="K68" s="9"/>
    </row>
    <row r="69" spans="1:14" x14ac:dyDescent="0.25">
      <c r="A69" s="191" t="s">
        <v>347</v>
      </c>
      <c r="B69" s="494">
        <f>'SEPT 21'!D90</f>
        <v>55.69999999999709</v>
      </c>
      <c r="C69" s="191"/>
      <c r="D69" s="191"/>
      <c r="E69" s="191" t="s">
        <v>347</v>
      </c>
      <c r="F69" s="494">
        <f>'SEPT 21'!H90</f>
        <v>-60260.3</v>
      </c>
      <c r="G69" s="191"/>
      <c r="H69" s="191"/>
      <c r="I69" s="292"/>
      <c r="J69" s="9"/>
      <c r="K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N70" s="252">
        <f>E63</f>
        <v>44400</v>
      </c>
    </row>
    <row r="71" spans="1:14" x14ac:dyDescent="0.25">
      <c r="A71" s="191" t="s">
        <v>613</v>
      </c>
      <c r="B71" s="327">
        <v>0.1</v>
      </c>
      <c r="C71" s="494">
        <f>B71*B68</f>
        <v>4440</v>
      </c>
      <c r="D71" s="191"/>
      <c r="E71" s="191" t="s">
        <v>613</v>
      </c>
      <c r="F71" s="327">
        <v>0.1</v>
      </c>
      <c r="G71" s="301">
        <f>F71*E63</f>
        <v>4440</v>
      </c>
      <c r="H71" s="191"/>
      <c r="I71" s="292"/>
      <c r="J71" s="9"/>
      <c r="K71" s="9"/>
      <c r="N71" s="147">
        <f>C71</f>
        <v>4440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N72" s="252">
        <f>N70-N71</f>
        <v>39960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N74" s="252">
        <f>N72-N73</f>
        <v>16348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4" x14ac:dyDescent="0.25">
      <c r="A77" s="44" t="s">
        <v>1065</v>
      </c>
      <c r="B77" s="44"/>
      <c r="C77" s="44">
        <v>16404</v>
      </c>
      <c r="D77" s="191"/>
      <c r="E77" s="44" t="s">
        <v>1065</v>
      </c>
      <c r="F77" s="44"/>
      <c r="G77" s="44">
        <v>16404</v>
      </c>
      <c r="H77" s="191"/>
      <c r="I77" s="602"/>
      <c r="J77" s="147"/>
      <c r="K77" s="9"/>
    </row>
    <row r="78" spans="1:14" x14ac:dyDescent="0.25">
      <c r="A78" s="496" t="s">
        <v>1070</v>
      </c>
      <c r="B78" s="327"/>
      <c r="C78" s="301">
        <v>3030</v>
      </c>
      <c r="D78" s="191"/>
      <c r="E78" s="496" t="s">
        <v>1070</v>
      </c>
      <c r="F78" s="327"/>
      <c r="G78" s="301">
        <v>3030</v>
      </c>
      <c r="H78" s="191"/>
      <c r="I78" s="216"/>
      <c r="J78" s="147"/>
      <c r="K78" s="9"/>
    </row>
    <row r="79" spans="1:14" x14ac:dyDescent="0.25">
      <c r="A79" s="497" t="s">
        <v>1071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4" x14ac:dyDescent="0.25">
      <c r="A80" s="44" t="s">
        <v>1073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40015.699999999997</v>
      </c>
      <c r="C90" s="499">
        <f>SUM(C73:C89)</f>
        <v>47146</v>
      </c>
      <c r="D90" s="499">
        <f>B90-C90</f>
        <v>-7130.3000000000029</v>
      </c>
      <c r="E90" s="493" t="s">
        <v>2</v>
      </c>
      <c r="F90" s="499">
        <f>F68+F69+F72+F73-G71</f>
        <v>-28000.300000000003</v>
      </c>
      <c r="G90" s="499">
        <f>SUM(G73:G89)</f>
        <v>43046</v>
      </c>
      <c r="H90" s="499">
        <f>F90-G90</f>
        <v>-71046.3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topLeftCell="A60" workbookViewId="0">
      <selection activeCell="D90" sqref="D90"/>
    </sheetView>
  </sheetViews>
  <sheetFormatPr defaultRowHeight="15" x14ac:dyDescent="0.25"/>
  <cols>
    <col min="1" max="1" width="29.7109375" style="9" customWidth="1"/>
    <col min="2" max="4" width="9.140625" style="9"/>
    <col min="5" max="5" width="13.28515625" style="9" customWidth="1"/>
    <col min="6" max="16384" width="9.140625" style="9"/>
  </cols>
  <sheetData>
    <row r="2" spans="1:9" ht="15.75" x14ac:dyDescent="0.25">
      <c r="D2" s="515" t="s">
        <v>667</v>
      </c>
      <c r="E2" s="515"/>
      <c r="F2" s="515"/>
      <c r="G2" s="515"/>
      <c r="H2" s="216"/>
      <c r="I2" s="216"/>
    </row>
    <row r="3" spans="1:9" ht="15.75" x14ac:dyDescent="0.25">
      <c r="D3" s="515" t="s">
        <v>666</v>
      </c>
      <c r="E3" s="515"/>
      <c r="F3" s="515"/>
      <c r="G3" s="515"/>
      <c r="H3" s="216"/>
      <c r="I3" s="216"/>
    </row>
    <row r="4" spans="1:9" ht="15.75" x14ac:dyDescent="0.25">
      <c r="A4" s="216"/>
      <c r="D4" s="518" t="s">
        <v>1067</v>
      </c>
      <c r="E4" s="518"/>
      <c r="F4" s="519"/>
      <c r="G4" s="518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>
        <f>'OCTOBER 21'!H6:H17</f>
        <v>2000</v>
      </c>
      <c r="E6" s="250">
        <v>2000</v>
      </c>
      <c r="F6" s="250">
        <f>D6+E6</f>
        <v>4000</v>
      </c>
      <c r="G6" s="250"/>
      <c r="H6" s="266">
        <f>F6-G6</f>
        <v>4000</v>
      </c>
      <c r="I6" s="216" t="s">
        <v>107</v>
      </c>
    </row>
    <row r="7" spans="1:9" x14ac:dyDescent="0.25">
      <c r="A7" s="216"/>
      <c r="B7" s="521">
        <v>2</v>
      </c>
      <c r="C7" s="191"/>
      <c r="D7" s="522">
        <f>'OCTOBER 21'!H7:H18</f>
        <v>0</v>
      </c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522">
        <f>'OCTOBER 21'!H8:H19</f>
        <v>0</v>
      </c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>
        <f>'OCTOBER 21'!H9:H20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522">
        <f>'OCTOBER 21'!H10:H21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522">
        <f>'OCTOBER 21'!H11:H22</f>
        <v>0</v>
      </c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522">
        <f>'OCTOBER 21'!H12:H23</f>
        <v>0</v>
      </c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2">
        <f>'OCTOBER 21'!H13:H24</f>
        <v>0</v>
      </c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522">
        <f>'OCTOBER 21'!H14:H25</f>
        <v>0</v>
      </c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>
        <f>'OCTOBER 21'!H15:H26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522">
        <f>'OCTOBER 21'!H16:H27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522">
        <f>'OCTOBER 21'!H17:H28</f>
        <v>2000</v>
      </c>
      <c r="E17" s="529">
        <v>2000</v>
      </c>
      <c r="F17" s="250">
        <f t="shared" si="0"/>
        <v>4000</v>
      </c>
      <c r="G17" s="250"/>
      <c r="H17" s="266">
        <f t="shared" si="1"/>
        <v>4000</v>
      </c>
      <c r="I17" s="216" t="s">
        <v>107</v>
      </c>
    </row>
    <row r="18" spans="1:9" x14ac:dyDescent="0.25">
      <c r="A18" s="216"/>
      <c r="B18" s="531"/>
      <c r="C18" s="532"/>
      <c r="D18" s="522">
        <f>SUM(D6:D17)</f>
        <v>4000</v>
      </c>
      <c r="E18" s="533">
        <f>SUM(E6:E17)</f>
        <v>4000</v>
      </c>
      <c r="F18" s="533">
        <f>D18+E18</f>
        <v>8000</v>
      </c>
      <c r="G18" s="533">
        <f>SUM(G6:G17)</f>
        <v>0</v>
      </c>
      <c r="H18" s="534">
        <f>SUM(H6:H17)</f>
        <v>8000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</row>
    <row r="23" spans="1:9" x14ac:dyDescent="0.25">
      <c r="A23" s="216"/>
      <c r="B23" s="494">
        <f>'OCTOBER 21'!D32</f>
        <v>7800</v>
      </c>
      <c r="C23" s="191"/>
      <c r="D23" s="191"/>
      <c r="E23" s="191" t="s">
        <v>347</v>
      </c>
      <c r="F23" s="494">
        <f>'OCTOBER 21'!H32</f>
        <v>3800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11400</v>
      </c>
      <c r="C32" s="499">
        <f>SUM(C26:C31)</f>
        <v>4000</v>
      </c>
      <c r="D32" s="499">
        <f>B32-C32</f>
        <v>7400</v>
      </c>
      <c r="E32" s="493" t="s">
        <v>2</v>
      </c>
      <c r="F32" s="499">
        <f>F22+F23-G24</f>
        <v>3400</v>
      </c>
      <c r="G32" s="499">
        <f>SUM(G26:G31)</f>
        <v>4000</v>
      </c>
      <c r="H32" s="499">
        <f>F32-G32</f>
        <v>-600</v>
      </c>
      <c r="I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10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10" ht="18.75" x14ac:dyDescent="0.3">
      <c r="A36" s="536"/>
      <c r="B36" s="537" t="s">
        <v>1068</v>
      </c>
      <c r="C36" s="537"/>
      <c r="D36" s="537"/>
      <c r="E36" s="537"/>
      <c r="F36" s="540"/>
      <c r="G36" s="520"/>
      <c r="H36" s="216"/>
      <c r="I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'OCTOBER 21'!H38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'OCTOBER 21'!H39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'OCTOBER 21'!H40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'OCTOBER 21'!H41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13" t="s">
        <v>521</v>
      </c>
      <c r="B42" s="541" t="s">
        <v>1005</v>
      </c>
      <c r="C42" s="542"/>
      <c r="D42" s="543">
        <f>'OCTOBER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</row>
    <row r="43" spans="1:10" x14ac:dyDescent="0.25">
      <c r="A43" s="379"/>
      <c r="B43" s="541" t="s">
        <v>1006</v>
      </c>
      <c r="C43" s="542"/>
      <c r="D43" s="543">
        <f>'OCTOBER 21'!H43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'OCTOBER 21'!H44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'OCTOBER 21'!H45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</row>
    <row r="46" spans="1:10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300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'OCTOBER 21'!H47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</row>
    <row r="48" spans="1:10" x14ac:dyDescent="0.25">
      <c r="A48" s="610"/>
      <c r="B48" s="541" t="s">
        <v>1011</v>
      </c>
      <c r="C48" s="542"/>
      <c r="D48" s="543">
        <f>'OCTOBER 21'!H48</f>
        <v>0</v>
      </c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0" x14ac:dyDescent="0.25">
      <c r="A49" s="191" t="s">
        <v>968</v>
      </c>
      <c r="B49" s="541" t="s">
        <v>1012</v>
      </c>
      <c r="C49" s="542"/>
      <c r="D49" s="543">
        <f>'OCTOBER 21'!H49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</row>
    <row r="50" spans="1:10" x14ac:dyDescent="0.25">
      <c r="A50" s="610"/>
      <c r="B50" s="541" t="s">
        <v>1013</v>
      </c>
      <c r="C50" s="542"/>
      <c r="D50" s="543"/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</row>
    <row r="51" spans="1:10" x14ac:dyDescent="0.25">
      <c r="A51" s="379" t="s">
        <v>521</v>
      </c>
      <c r="B51" s="541" t="s">
        <v>1014</v>
      </c>
      <c r="C51" s="542"/>
      <c r="D51" s="543">
        <f>'OCTOBER 21'!H51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</row>
    <row r="52" spans="1:10" x14ac:dyDescent="0.25">
      <c r="A52" s="191" t="s">
        <v>767</v>
      </c>
      <c r="B52" s="541" t="s">
        <v>1015</v>
      </c>
      <c r="C52" s="542"/>
      <c r="D52" s="543">
        <f>'OCTOBER 21'!H52</f>
        <v>2500</v>
      </c>
      <c r="E52" s="549">
        <v>3000</v>
      </c>
      <c r="F52" s="440">
        <f t="shared" si="3"/>
        <v>5500</v>
      </c>
      <c r="G52" s="440">
        <f>5000+500</f>
        <v>5500</v>
      </c>
      <c r="H52" s="544">
        <f>F52-G52</f>
        <v>0</v>
      </c>
      <c r="I52" s="543">
        <v>600</v>
      </c>
      <c r="J52" s="543">
        <v>300</v>
      </c>
    </row>
    <row r="53" spans="1:10" x14ac:dyDescent="0.25">
      <c r="A53" s="382" t="s">
        <v>670</v>
      </c>
      <c r="B53" s="541" t="s">
        <v>1016</v>
      </c>
      <c r="C53" s="542"/>
      <c r="D53" s="543">
        <f>'OCTOBER 21'!H53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</row>
    <row r="54" spans="1:10" x14ac:dyDescent="0.25">
      <c r="A54" s="388" t="s">
        <v>1078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>F54-G54</f>
        <v>0</v>
      </c>
      <c r="I54" s="543">
        <v>100</v>
      </c>
      <c r="J54" s="543"/>
    </row>
    <row r="55" spans="1:10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>
        <v>2500</v>
      </c>
      <c r="H55" s="544">
        <f>F55-G55</f>
        <v>0</v>
      </c>
      <c r="I55" s="543">
        <v>100</v>
      </c>
      <c r="J55" s="543"/>
    </row>
    <row r="56" spans="1:10" x14ac:dyDescent="0.25">
      <c r="A56" s="382"/>
      <c r="B56" s="541" t="s">
        <v>1019</v>
      </c>
      <c r="C56" s="542"/>
      <c r="D56" s="543">
        <f>'OCTOBER 21'!H56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0" x14ac:dyDescent="0.25">
      <c r="A57" s="384"/>
      <c r="B57" s="553" t="s">
        <v>1020</v>
      </c>
      <c r="C57" s="542"/>
      <c r="D57" s="543">
        <f>'OCTOBER 21'!H57</f>
        <v>0</v>
      </c>
      <c r="E57" s="556"/>
      <c r="F57" s="440"/>
      <c r="G57" s="440"/>
      <c r="H57" s="544"/>
      <c r="I57" s="543"/>
      <c r="J57" s="543"/>
    </row>
    <row r="58" spans="1:10" x14ac:dyDescent="0.25">
      <c r="A58" s="384" t="s">
        <v>701</v>
      </c>
      <c r="B58" s="541" t="s">
        <v>1021</v>
      </c>
      <c r="C58" s="542"/>
      <c r="D58" s="543">
        <f>'OCTOBER 21'!H58</f>
        <v>0</v>
      </c>
      <c r="E58" s="608">
        <v>1000</v>
      </c>
      <c r="F58" s="440">
        <f t="shared" si="3"/>
        <v>1000</v>
      </c>
      <c r="G58" s="440">
        <v>1000</v>
      </c>
      <c r="H58" s="544">
        <f>F58-G58</f>
        <v>0</v>
      </c>
      <c r="I58" s="543">
        <v>100</v>
      </c>
      <c r="J58" s="543"/>
    </row>
    <row r="59" spans="1:10" x14ac:dyDescent="0.25">
      <c r="A59" s="384" t="s">
        <v>1077</v>
      </c>
      <c r="B59" s="553" t="s">
        <v>1022</v>
      </c>
      <c r="C59" s="542"/>
      <c r="D59" s="543"/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>
        <v>100</v>
      </c>
      <c r="J59" s="543"/>
    </row>
    <row r="60" spans="1:10" x14ac:dyDescent="0.25">
      <c r="A60" s="388" t="s">
        <v>1050</v>
      </c>
      <c r="B60" s="541" t="s">
        <v>1023</v>
      </c>
      <c r="C60" s="542"/>
      <c r="D60" s="543">
        <f>'OCTOBER 21'!H60</f>
        <v>0</v>
      </c>
      <c r="E60" s="608">
        <v>1600</v>
      </c>
      <c r="F60" s="440">
        <f t="shared" si="3"/>
        <v>1600</v>
      </c>
      <c r="G60" s="440">
        <f>1200+400</f>
        <v>1600</v>
      </c>
      <c r="H60" s="544">
        <f>F60-G60</f>
        <v>0</v>
      </c>
      <c r="I60" s="543">
        <v>100</v>
      </c>
      <c r="J60" s="543"/>
    </row>
    <row r="61" spans="1:10" x14ac:dyDescent="0.25">
      <c r="A61" s="384" t="s">
        <v>963</v>
      </c>
      <c r="B61" s="553" t="s">
        <v>1024</v>
      </c>
      <c r="C61" s="542"/>
      <c r="D61" s="543">
        <f>'OCTOBER 21'!H61</f>
        <v>1600</v>
      </c>
      <c r="E61" s="608">
        <v>1600</v>
      </c>
      <c r="F61" s="440">
        <f t="shared" si="3"/>
        <v>3200</v>
      </c>
      <c r="G61" s="440">
        <f>1500+1700</f>
        <v>3200</v>
      </c>
      <c r="H61" s="544">
        <f>F61-G61</f>
        <v>0</v>
      </c>
      <c r="I61" s="543"/>
      <c r="J61" s="543"/>
    </row>
    <row r="62" spans="1:10" x14ac:dyDescent="0.25">
      <c r="A62" s="384" t="s">
        <v>1064</v>
      </c>
      <c r="B62" s="541" t="s">
        <v>1025</v>
      </c>
      <c r="C62" s="542"/>
      <c r="D62" s="543">
        <f>'OCTOBER 21'!H62</f>
        <v>1800</v>
      </c>
      <c r="E62" s="603">
        <v>1500</v>
      </c>
      <c r="F62" s="440">
        <f>C62+D62+E62</f>
        <v>3300</v>
      </c>
      <c r="G62" s="440"/>
      <c r="H62" s="544">
        <f>F62-G62</f>
        <v>3300</v>
      </c>
      <c r="I62" s="543"/>
      <c r="J62" s="543"/>
    </row>
    <row r="63" spans="1:10" ht="30.75" customHeight="1" x14ac:dyDescent="0.25">
      <c r="A63" s="614" t="s">
        <v>2</v>
      </c>
      <c r="B63" s="191"/>
      <c r="C63" s="542">
        <f t="shared" ref="C63:H63" si="4">SUM(C38:C62)</f>
        <v>1000</v>
      </c>
      <c r="D63" s="543">
        <f>SUM(D38:D62)</f>
        <v>8400</v>
      </c>
      <c r="E63" s="588">
        <f>SUM(E38:E62)</f>
        <v>40900</v>
      </c>
      <c r="F63" s="440">
        <f t="shared" si="4"/>
        <v>50300</v>
      </c>
      <c r="G63" s="440">
        <f t="shared" si="4"/>
        <v>43500</v>
      </c>
      <c r="H63" s="544">
        <f t="shared" si="4"/>
        <v>6800</v>
      </c>
      <c r="I63" s="591">
        <f>SUM(I38:I62)</f>
        <v>1600</v>
      </c>
      <c r="J63" s="591">
        <f>SUM(J38:J62)</f>
        <v>1200</v>
      </c>
    </row>
    <row r="64" spans="1:10" x14ac:dyDescent="0.25">
      <c r="D64" s="543">
        <f>'SEPT 21'!H64:H89</f>
        <v>0</v>
      </c>
      <c r="H64" s="252"/>
      <c r="I64" s="216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5800</v>
      </c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</row>
    <row r="68" spans="1:14" x14ac:dyDescent="0.25">
      <c r="A68" s="191" t="s">
        <v>829</v>
      </c>
      <c r="B68" s="494">
        <f>E63</f>
        <v>40900</v>
      </c>
      <c r="C68" s="191"/>
      <c r="D68" s="191"/>
      <c r="E68" s="191" t="s">
        <v>829</v>
      </c>
      <c r="F68" s="494">
        <f>G63</f>
        <v>43500</v>
      </c>
      <c r="G68" s="191"/>
      <c r="H68" s="191"/>
      <c r="I68" s="292"/>
    </row>
    <row r="69" spans="1:14" x14ac:dyDescent="0.25">
      <c r="A69" s="191" t="s">
        <v>347</v>
      </c>
      <c r="B69" s="494">
        <f>'OCTOBER 21'!D90</f>
        <v>-7130.3000000000029</v>
      </c>
      <c r="C69" s="191"/>
      <c r="D69" s="191"/>
      <c r="E69" s="191" t="s">
        <v>347</v>
      </c>
      <c r="F69" s="494">
        <f>'OCTOBER 21'!H90</f>
        <v>-71046.3</v>
      </c>
      <c r="G69" s="191"/>
      <c r="H69" s="191"/>
      <c r="I69" s="292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N70" s="252">
        <f>E63</f>
        <v>40900</v>
      </c>
    </row>
    <row r="71" spans="1:14" x14ac:dyDescent="0.25">
      <c r="A71" s="191" t="s">
        <v>613</v>
      </c>
      <c r="B71" s="327">
        <v>0.1</v>
      </c>
      <c r="C71" s="494">
        <f>B71*B68</f>
        <v>4090</v>
      </c>
      <c r="D71" s="191"/>
      <c r="E71" s="191" t="s">
        <v>613</v>
      </c>
      <c r="F71" s="327">
        <v>0.1</v>
      </c>
      <c r="G71" s="301">
        <f>F71*E63</f>
        <v>4090</v>
      </c>
      <c r="H71" s="191"/>
      <c r="I71" s="292"/>
      <c r="N71" s="147">
        <f>C71</f>
        <v>4090</v>
      </c>
    </row>
    <row r="72" spans="1:14" x14ac:dyDescent="0.25">
      <c r="A72" s="191"/>
      <c r="C72" s="494"/>
      <c r="D72" s="191"/>
      <c r="E72" s="191"/>
      <c r="G72" s="301"/>
      <c r="H72" s="191"/>
      <c r="I72" s="292"/>
      <c r="N72" s="252">
        <f>N70-N71</f>
        <v>36810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K73" s="9" t="s">
        <v>996</v>
      </c>
      <c r="N73" s="9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N74" s="252">
        <f>N72-N73</f>
        <v>13198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N75" s="9">
        <v>3000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N76" s="252">
        <f>N74-N75</f>
        <v>10198</v>
      </c>
    </row>
    <row r="77" spans="1:14" x14ac:dyDescent="0.25">
      <c r="A77" s="44" t="s">
        <v>941</v>
      </c>
      <c r="B77" s="44"/>
      <c r="C77" s="44">
        <v>10200</v>
      </c>
      <c r="D77" s="191"/>
      <c r="E77" s="44" t="s">
        <v>941</v>
      </c>
      <c r="F77" s="44"/>
      <c r="G77" s="44">
        <v>10200</v>
      </c>
      <c r="H77" s="191"/>
      <c r="I77" s="602"/>
      <c r="J77" s="147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0" x14ac:dyDescent="0.25">
      <c r="A90" s="493" t="s">
        <v>2</v>
      </c>
      <c r="B90" s="499">
        <f>B70+B68+B69+B72+B73-C71</f>
        <v>29679.699999999997</v>
      </c>
      <c r="C90" s="499">
        <f>SUM(C73:C89)</f>
        <v>33812</v>
      </c>
      <c r="D90" s="499">
        <f>B90-C90</f>
        <v>-4132.3000000000029</v>
      </c>
      <c r="E90" s="493" t="s">
        <v>2</v>
      </c>
      <c r="F90" s="499">
        <f>F68+F69+F72+F73-G71</f>
        <v>-31636.300000000003</v>
      </c>
      <c r="G90" s="499">
        <f>SUM(G73:G89)</f>
        <v>33812</v>
      </c>
      <c r="H90" s="499">
        <f>F90-G90</f>
        <v>-65448.3</v>
      </c>
      <c r="I90" s="216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</row>
    <row r="93" spans="1:10" x14ac:dyDescent="0.25">
      <c r="A93" s="558"/>
      <c r="B93" s="559"/>
      <c r="C93" s="559"/>
      <c r="D93" s="560"/>
      <c r="E93" s="558"/>
      <c r="F93" s="558"/>
      <c r="H93" s="602"/>
      <c r="I93" s="216"/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60" workbookViewId="0">
      <selection activeCell="K46" sqref="K46"/>
    </sheetView>
  </sheetViews>
  <sheetFormatPr defaultRowHeight="15" x14ac:dyDescent="0.25"/>
  <cols>
    <col min="1" max="1" width="26.425781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1075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>
        <f>'NOVEMBER 21'!H6</f>
        <v>4000</v>
      </c>
      <c r="E6" s="250">
        <v>2000</v>
      </c>
      <c r="F6" s="250">
        <f>D6+E6</f>
        <v>6000</v>
      </c>
      <c r="G6" s="250"/>
      <c r="H6" s="266">
        <f>F6-G6</f>
        <v>6000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522">
        <f>'NOVEMBER 21'!H7</f>
        <v>0</v>
      </c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522">
        <f>'NOVEMBER 21'!H8</f>
        <v>0</v>
      </c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>
        <f>'NOVEMBER 21'!H9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522">
        <f>'NOVEMBER 21'!H10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522">
        <f>'NOVEMBER 21'!H11</f>
        <v>0</v>
      </c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522">
        <f>'NOVEMBER 21'!H12</f>
        <v>0</v>
      </c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2">
        <f>'NOVEMBER 21'!H13</f>
        <v>0</v>
      </c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522">
        <f>'NOVEMBER 21'!H14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>
        <f>'NOVEMBER 21'!H15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522">
        <f>'NOVEMBER 21'!H16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522">
        <f>'NOVEMBER 21'!H17</f>
        <v>4000</v>
      </c>
      <c r="E17" s="529">
        <v>2000</v>
      </c>
      <c r="F17" s="250">
        <f t="shared" si="0"/>
        <v>6000</v>
      </c>
      <c r="G17" s="250"/>
      <c r="H17" s="266">
        <f t="shared" si="1"/>
        <v>6000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22">
        <f>SUM(D6:D17)</f>
        <v>8000</v>
      </c>
      <c r="E18" s="533">
        <f>SUM(E6:E17)</f>
        <v>4000</v>
      </c>
      <c r="F18" s="533">
        <f>D18+E18</f>
        <v>12000</v>
      </c>
      <c r="G18" s="533">
        <f>SUM(G6:G17)</f>
        <v>0</v>
      </c>
      <c r="H18" s="534">
        <f>SUM(H6:H17)</f>
        <v>12000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21'!D32</f>
        <v>7400</v>
      </c>
      <c r="C23" s="191"/>
      <c r="D23" s="191"/>
      <c r="E23" s="191" t="s">
        <v>347</v>
      </c>
      <c r="F23" s="494">
        <f>'NOVEMBER 21'!H32</f>
        <v>-600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11000</v>
      </c>
      <c r="C32" s="499">
        <f>SUM(C26:C31)</f>
        <v>4000</v>
      </c>
      <c r="D32" s="499">
        <f>B32-C32</f>
        <v>7000</v>
      </c>
      <c r="E32" s="493" t="s">
        <v>2</v>
      </c>
      <c r="F32" s="499">
        <f>F22+F23-G24</f>
        <v>-1000</v>
      </c>
      <c r="G32" s="499">
        <f>SUM(G26:G31)</f>
        <v>4000</v>
      </c>
      <c r="H32" s="499">
        <f>F32-G32</f>
        <v>-5000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1076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 t="s">
        <v>1001</v>
      </c>
      <c r="C38" s="542"/>
      <c r="D38" s="543">
        <f>'NOVEMBER 21'!H38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2" x14ac:dyDescent="0.25">
      <c r="A39" s="604" t="s">
        <v>880</v>
      </c>
      <c r="B39" s="541" t="s">
        <v>1002</v>
      </c>
      <c r="C39" s="542"/>
      <c r="D39" s="543">
        <f>'NOVEMBER 21'!H39</f>
        <v>2500</v>
      </c>
      <c r="E39" s="443">
        <v>2500</v>
      </c>
      <c r="F39" s="440">
        <f t="shared" ref="F39:F61" si="3">C39+D39+E39</f>
        <v>5000</v>
      </c>
      <c r="G39" s="440"/>
      <c r="H39" s="544">
        <f t="shared" si="2"/>
        <v>5000</v>
      </c>
      <c r="I39" s="543"/>
      <c r="J39" s="543"/>
      <c r="K39" s="9"/>
      <c r="L39" s="9"/>
    </row>
    <row r="40" spans="1:12" x14ac:dyDescent="0.25">
      <c r="A40" s="604"/>
      <c r="B40" s="541" t="s">
        <v>1003</v>
      </c>
      <c r="C40" s="542"/>
      <c r="D40" s="543">
        <f>'NOVEMBER 21'!H40</f>
        <v>0</v>
      </c>
      <c r="E40" s="443"/>
      <c r="F40" s="440"/>
      <c r="G40" s="440"/>
      <c r="H40" s="544"/>
      <c r="I40" s="543"/>
      <c r="J40" s="543"/>
      <c r="K40" s="9"/>
      <c r="L40" s="9"/>
    </row>
    <row r="41" spans="1:12" x14ac:dyDescent="0.25">
      <c r="A41" s="604" t="s">
        <v>639</v>
      </c>
      <c r="B41" s="541" t="s">
        <v>1005</v>
      </c>
      <c r="C41" s="542"/>
      <c r="D41" s="543">
        <f>'NOVEMBER 21'!H41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</row>
    <row r="42" spans="1:12" x14ac:dyDescent="0.25">
      <c r="A42" s="113"/>
      <c r="B42" s="541"/>
      <c r="C42" s="542"/>
      <c r="D42" s="543">
        <f>'NOVEMBER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2" x14ac:dyDescent="0.25">
      <c r="A43" s="384" t="s">
        <v>1083</v>
      </c>
      <c r="B43" s="541" t="s">
        <v>1006</v>
      </c>
      <c r="C43" s="542"/>
      <c r="D43" s="543">
        <f>'NOVEMBER 21'!H43</f>
        <v>0</v>
      </c>
      <c r="E43" s="443">
        <v>2500</v>
      </c>
      <c r="F43" s="440">
        <f t="shared" si="3"/>
        <v>2500</v>
      </c>
      <c r="G43" s="440">
        <v>2500</v>
      </c>
      <c r="H43" s="544">
        <f t="shared" si="2"/>
        <v>0</v>
      </c>
      <c r="I43" s="543"/>
      <c r="J43" s="543"/>
      <c r="K43" s="9"/>
      <c r="L43" s="9"/>
    </row>
    <row r="44" spans="1:12" x14ac:dyDescent="0.25">
      <c r="A44" s="382" t="s">
        <v>954</v>
      </c>
      <c r="B44" s="541" t="s">
        <v>1007</v>
      </c>
      <c r="C44" s="542"/>
      <c r="D44" s="543">
        <f>'NOVEMBER 21'!H44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  <c r="L44" s="9"/>
    </row>
    <row r="45" spans="1:12" x14ac:dyDescent="0.25">
      <c r="A45" s="384" t="s">
        <v>1036</v>
      </c>
      <c r="B45" s="541" t="s">
        <v>1008</v>
      </c>
      <c r="C45" s="542"/>
      <c r="D45" s="543">
        <f>'NOVEMBER 21'!H45</f>
        <v>0</v>
      </c>
      <c r="E45" s="546">
        <v>2500</v>
      </c>
      <c r="F45" s="440">
        <f t="shared" si="3"/>
        <v>2500</v>
      </c>
      <c r="G45" s="440"/>
      <c r="H45" s="544">
        <f t="shared" si="2"/>
        <v>2500</v>
      </c>
      <c r="I45" s="543"/>
      <c r="J45" s="543"/>
      <c r="K45" s="9"/>
      <c r="L45" s="9"/>
    </row>
    <row r="46" spans="1:12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/>
      <c r="K46" s="9"/>
      <c r="L46" s="9"/>
    </row>
    <row r="47" spans="1:12" x14ac:dyDescent="0.25">
      <c r="A47" s="384" t="s">
        <v>1034</v>
      </c>
      <c r="B47" s="541" t="s">
        <v>1010</v>
      </c>
      <c r="C47" s="542"/>
      <c r="D47" s="543">
        <f>'NOVEMBER 21'!H47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>
        <v>300</v>
      </c>
      <c r="J47" s="543"/>
      <c r="K47" s="9"/>
      <c r="L47" s="9"/>
    </row>
    <row r="48" spans="1:12" x14ac:dyDescent="0.25">
      <c r="A48" s="382" t="s">
        <v>1082</v>
      </c>
      <c r="B48" s="541" t="s">
        <v>1011</v>
      </c>
      <c r="C48" s="542"/>
      <c r="D48" s="543">
        <f>'NOVEMBER 21'!H48</f>
        <v>0</v>
      </c>
      <c r="E48" s="191">
        <v>2500</v>
      </c>
      <c r="F48" s="440">
        <f t="shared" si="3"/>
        <v>2500</v>
      </c>
      <c r="G48" s="440"/>
      <c r="H48" s="544">
        <f t="shared" si="2"/>
        <v>2500</v>
      </c>
      <c r="I48" s="543"/>
      <c r="J48" s="543"/>
      <c r="K48" s="9"/>
      <c r="L48" s="9"/>
    </row>
    <row r="49" spans="1:12" x14ac:dyDescent="0.25">
      <c r="A49" s="191" t="s">
        <v>968</v>
      </c>
      <c r="B49" s="541" t="s">
        <v>1012</v>
      </c>
      <c r="C49" s="542"/>
      <c r="D49" s="543">
        <f>'NOVEMBER 21'!H49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  <c r="K49" s="9"/>
      <c r="L49" s="9"/>
    </row>
    <row r="50" spans="1:12" x14ac:dyDescent="0.25">
      <c r="A50" s="610" t="s">
        <v>521</v>
      </c>
      <c r="B50" s="541" t="s">
        <v>1013</v>
      </c>
      <c r="C50" s="542"/>
      <c r="D50" s="543">
        <f>'NOVEMBER 21'!H50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</row>
    <row r="51" spans="1:12" x14ac:dyDescent="0.25">
      <c r="A51" s="384" t="s">
        <v>1074</v>
      </c>
      <c r="B51" s="541" t="s">
        <v>1014</v>
      </c>
      <c r="C51" s="542"/>
      <c r="D51" s="543">
        <f>'NOVEMBER 21'!H51</f>
        <v>0</v>
      </c>
      <c r="E51" s="544">
        <v>3000</v>
      </c>
      <c r="F51" s="440">
        <f t="shared" si="3"/>
        <v>3000</v>
      </c>
      <c r="G51" s="440"/>
      <c r="H51" s="544">
        <f t="shared" si="2"/>
        <v>3000</v>
      </c>
      <c r="I51" s="543"/>
      <c r="J51" s="543"/>
      <c r="K51" s="9"/>
      <c r="L51" s="9"/>
    </row>
    <row r="52" spans="1:12" x14ac:dyDescent="0.25">
      <c r="A52" s="191" t="s">
        <v>767</v>
      </c>
      <c r="B52" s="541" t="s">
        <v>1015</v>
      </c>
      <c r="C52" s="542"/>
      <c r="D52" s="543">
        <f>'NOVEMBER 21'!H52</f>
        <v>0</v>
      </c>
      <c r="E52" s="549">
        <v>3000</v>
      </c>
      <c r="F52" s="440">
        <f t="shared" si="3"/>
        <v>3000</v>
      </c>
      <c r="G52" s="440">
        <v>3000</v>
      </c>
      <c r="H52" s="544">
        <f>F52-G52</f>
        <v>0</v>
      </c>
      <c r="I52" s="543">
        <v>100</v>
      </c>
      <c r="J52" s="543"/>
      <c r="K52" s="9"/>
      <c r="L52" s="9"/>
    </row>
    <row r="53" spans="1:12" x14ac:dyDescent="0.25">
      <c r="A53" s="382" t="s">
        <v>670</v>
      </c>
      <c r="B53" s="541" t="s">
        <v>1016</v>
      </c>
      <c r="C53" s="542"/>
      <c r="D53" s="543">
        <f>'NOVEMBER 21'!H53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>
        <v>200</v>
      </c>
      <c r="J53" s="543">
        <v>300</v>
      </c>
      <c r="K53" s="9"/>
      <c r="L53" s="9"/>
    </row>
    <row r="54" spans="1:12" x14ac:dyDescent="0.25">
      <c r="A54" s="379" t="s">
        <v>521</v>
      </c>
      <c r="B54" s="541" t="s">
        <v>1017</v>
      </c>
      <c r="C54" s="542"/>
      <c r="D54" s="543">
        <f>'NOVEMBER 21'!H54</f>
        <v>0</v>
      </c>
      <c r="E54" s="552"/>
      <c r="F54" s="440">
        <f t="shared" si="3"/>
        <v>0</v>
      </c>
      <c r="G54" s="440"/>
      <c r="H54" s="544">
        <f>F54-G54</f>
        <v>0</v>
      </c>
      <c r="I54" s="543"/>
      <c r="J54" s="543"/>
      <c r="K54" s="9"/>
      <c r="L54" s="9"/>
    </row>
    <row r="55" spans="1:12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>
        <v>2500</v>
      </c>
      <c r="H55" s="544">
        <f>F55-G55</f>
        <v>0</v>
      </c>
      <c r="I55" s="543">
        <v>100</v>
      </c>
      <c r="J55" s="543"/>
      <c r="K55" s="9"/>
      <c r="L55" s="9"/>
    </row>
    <row r="56" spans="1:12" x14ac:dyDescent="0.25">
      <c r="A56" s="382" t="s">
        <v>1077</v>
      </c>
      <c r="B56" s="541" t="s">
        <v>1019</v>
      </c>
      <c r="C56" s="542"/>
      <c r="D56" s="543">
        <f>'NOVEMBER 21'!H56</f>
        <v>0</v>
      </c>
      <c r="E56" s="544">
        <v>1600</v>
      </c>
      <c r="F56" s="440">
        <f t="shared" si="3"/>
        <v>1600</v>
      </c>
      <c r="G56" s="440"/>
      <c r="H56" s="544">
        <f>F56-G56</f>
        <v>1600</v>
      </c>
      <c r="I56" s="543"/>
      <c r="J56" s="543"/>
      <c r="K56" s="9"/>
      <c r="L56" s="9"/>
    </row>
    <row r="57" spans="1:12" x14ac:dyDescent="0.25">
      <c r="A57" s="384" t="s">
        <v>1080</v>
      </c>
      <c r="B57" s="553" t="s">
        <v>1020</v>
      </c>
      <c r="C57" s="542"/>
      <c r="D57" s="543">
        <f>'NOVEMBER 21'!H57</f>
        <v>0</v>
      </c>
      <c r="E57" s="556">
        <v>1600</v>
      </c>
      <c r="F57" s="440">
        <f t="shared" si="3"/>
        <v>1600</v>
      </c>
      <c r="G57" s="440">
        <v>1600</v>
      </c>
      <c r="H57" s="544"/>
      <c r="I57" s="543"/>
      <c r="J57" s="543"/>
      <c r="K57" s="9"/>
      <c r="L57" s="9"/>
    </row>
    <row r="58" spans="1:12" x14ac:dyDescent="0.25">
      <c r="A58" s="384" t="s">
        <v>1079</v>
      </c>
      <c r="B58" s="541" t="s">
        <v>1021</v>
      </c>
      <c r="C58" s="542"/>
      <c r="D58" s="543">
        <f>'NOVEMBER 21'!H58</f>
        <v>0</v>
      </c>
      <c r="E58" s="608"/>
      <c r="F58" s="440">
        <f t="shared" si="3"/>
        <v>0</v>
      </c>
      <c r="G58" s="440"/>
      <c r="H58" s="544">
        <f>F58-G58</f>
        <v>0</v>
      </c>
      <c r="I58" s="543"/>
      <c r="J58" s="543"/>
      <c r="K58" s="9"/>
      <c r="L58" s="9"/>
    </row>
    <row r="59" spans="1:12" x14ac:dyDescent="0.25">
      <c r="A59" s="384" t="s">
        <v>746</v>
      </c>
      <c r="B59" s="553" t="s">
        <v>1022</v>
      </c>
      <c r="C59" s="542"/>
      <c r="D59" s="543">
        <f>'NOVEMBER 21'!H59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>
        <v>100</v>
      </c>
      <c r="J59" s="543"/>
      <c r="K59" s="9"/>
      <c r="L59" s="9"/>
    </row>
    <row r="60" spans="1:12" x14ac:dyDescent="0.25">
      <c r="A60" s="388" t="s">
        <v>1050</v>
      </c>
      <c r="B60" s="541" t="s">
        <v>1023</v>
      </c>
      <c r="C60" s="542"/>
      <c r="D60" s="543">
        <f>'NOVEMBER 21'!H60</f>
        <v>0</v>
      </c>
      <c r="E60" s="608">
        <v>1600</v>
      </c>
      <c r="F60" s="440">
        <v>1600</v>
      </c>
      <c r="G60" s="440"/>
      <c r="H60" s="544">
        <f>F60-G60</f>
        <v>1600</v>
      </c>
      <c r="I60" s="543"/>
      <c r="J60" s="543"/>
      <c r="K60" s="9"/>
      <c r="L60" s="9"/>
    </row>
    <row r="61" spans="1:12" x14ac:dyDescent="0.25">
      <c r="A61" s="384" t="s">
        <v>1081</v>
      </c>
      <c r="B61" s="553" t="s">
        <v>1024</v>
      </c>
      <c r="C61" s="542"/>
      <c r="D61" s="543">
        <f>'NOVEMBER 21'!H61</f>
        <v>0</v>
      </c>
      <c r="E61" s="608">
        <v>1600</v>
      </c>
      <c r="F61" s="440">
        <f t="shared" si="3"/>
        <v>1600</v>
      </c>
      <c r="G61" s="440"/>
      <c r="H61" s="544">
        <f>F61-G61</f>
        <v>1600</v>
      </c>
      <c r="I61" s="543"/>
      <c r="J61" s="543"/>
      <c r="K61" s="9"/>
      <c r="L61" s="9"/>
    </row>
    <row r="62" spans="1:12" x14ac:dyDescent="0.25">
      <c r="A62" s="384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>F62-G62</f>
        <v>0</v>
      </c>
      <c r="I62" s="543"/>
      <c r="J62" s="543"/>
      <c r="K62" s="9"/>
      <c r="L62" s="9"/>
    </row>
    <row r="63" spans="1:12" x14ac:dyDescent="0.25">
      <c r="A63" s="614" t="s">
        <v>2</v>
      </c>
      <c r="B63" s="191"/>
      <c r="C63" s="542">
        <f t="shared" ref="C63:H63" si="4">SUM(C38:C62)</f>
        <v>1000</v>
      </c>
      <c r="D63" s="543">
        <f>SUM(D38:D62)</f>
        <v>2500</v>
      </c>
      <c r="E63" s="588">
        <f>SUM(E38:E62)</f>
        <v>47100</v>
      </c>
      <c r="F63" s="440">
        <f t="shared" si="4"/>
        <v>50600</v>
      </c>
      <c r="G63" s="440">
        <f t="shared" si="4"/>
        <v>31800</v>
      </c>
      <c r="H63" s="544">
        <f t="shared" si="4"/>
        <v>18800</v>
      </c>
      <c r="I63" s="591">
        <f>SUM(I38:I62)</f>
        <v>1000</v>
      </c>
      <c r="J63" s="591">
        <f>SUM(J38:J62)</f>
        <v>300</v>
      </c>
      <c r="K63" s="9"/>
      <c r="L63" s="9"/>
    </row>
    <row r="64" spans="1:12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  <c r="L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17800</v>
      </c>
      <c r="J65" s="9"/>
      <c r="K65" s="9"/>
      <c r="L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4" x14ac:dyDescent="0.25">
      <c r="A68" s="191" t="s">
        <v>840</v>
      </c>
      <c r="B68" s="494">
        <f>E63</f>
        <v>47100</v>
      </c>
      <c r="C68" s="191"/>
      <c r="D68" s="191"/>
      <c r="E68" s="191" t="s">
        <v>840</v>
      </c>
      <c r="F68" s="494">
        <f>G63</f>
        <v>31800</v>
      </c>
      <c r="G68" s="191"/>
      <c r="H68" s="191"/>
      <c r="I68" s="292"/>
      <c r="J68" s="9"/>
      <c r="K68" s="9"/>
      <c r="L68" s="9"/>
    </row>
    <row r="69" spans="1:14" x14ac:dyDescent="0.25">
      <c r="A69" s="191" t="s">
        <v>347</v>
      </c>
      <c r="B69" s="494">
        <f>'NOVEMBER 21'!D90</f>
        <v>-4132.3000000000029</v>
      </c>
      <c r="C69" s="191"/>
      <c r="D69" s="191"/>
      <c r="E69" s="191" t="s">
        <v>347</v>
      </c>
      <c r="F69" s="494">
        <f>'NOVEMBER 21'!H90</f>
        <v>-65448.3</v>
      </c>
      <c r="G69" s="191"/>
      <c r="H69" s="191"/>
      <c r="I69" s="292"/>
      <c r="J69" s="9"/>
      <c r="K69" s="9"/>
      <c r="L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N70" s="147">
        <f>B68</f>
        <v>47100</v>
      </c>
    </row>
    <row r="71" spans="1:14" x14ac:dyDescent="0.25">
      <c r="A71" s="191" t="s">
        <v>613</v>
      </c>
      <c r="B71" s="327">
        <v>0.1</v>
      </c>
      <c r="C71" s="494">
        <f>B71*B68</f>
        <v>4710</v>
      </c>
      <c r="D71" s="191"/>
      <c r="E71" s="191" t="s">
        <v>613</v>
      </c>
      <c r="F71" s="327">
        <v>0.1</v>
      </c>
      <c r="G71" s="301">
        <f>F71*E63</f>
        <v>4710</v>
      </c>
      <c r="H71" s="191"/>
      <c r="I71" s="292"/>
      <c r="J71" s="9"/>
      <c r="K71" s="9"/>
      <c r="L71" s="9" t="s">
        <v>613</v>
      </c>
      <c r="N71" s="147">
        <f>C71</f>
        <v>4710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L72" s="9"/>
      <c r="N72" s="147">
        <f>N70-N71</f>
        <v>42390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L73" s="9"/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9"/>
      <c r="N74" s="147">
        <f>N72-N73</f>
        <v>18778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L75" s="9"/>
      <c r="M75" t="s">
        <v>55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L76" s="9"/>
      <c r="N76" s="147">
        <f>N74-N75</f>
        <v>18778</v>
      </c>
    </row>
    <row r="77" spans="1:14" x14ac:dyDescent="0.25">
      <c r="A77" s="44" t="s">
        <v>1084</v>
      </c>
      <c r="B77" s="44"/>
      <c r="C77" s="44">
        <v>18750</v>
      </c>
      <c r="D77" s="191"/>
      <c r="E77" s="44" t="s">
        <v>1084</v>
      </c>
      <c r="F77" s="44"/>
      <c r="G77" s="44">
        <v>18750</v>
      </c>
      <c r="H77" s="191"/>
      <c r="I77" s="602"/>
      <c r="J77" s="147"/>
      <c r="K77" s="9"/>
      <c r="L77" s="9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L78" s="9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/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9">
        <f>N73*12</f>
        <v>283344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190000</f>
        <v>190000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>
        <f>L81-L82</f>
        <v>93344</v>
      </c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  <c r="L84" s="9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38257.699999999997</v>
      </c>
      <c r="C90" s="499">
        <f>SUM(C73:C89)</f>
        <v>42362</v>
      </c>
      <c r="D90" s="499">
        <f>B90-C90</f>
        <v>-4104.3000000000029</v>
      </c>
      <c r="E90" s="493" t="s">
        <v>2</v>
      </c>
      <c r="F90" s="499">
        <f>F68+F69+F72+F73-G71</f>
        <v>-38358.300000000003</v>
      </c>
      <c r="G90" s="499">
        <f>SUM(G73:G89)</f>
        <v>42362</v>
      </c>
      <c r="H90" s="499">
        <f>F90-G90</f>
        <v>-80720.3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95</vt:i4>
      </vt:variant>
      <vt:variant>
        <vt:lpstr>Charts</vt:lpstr>
      </vt:variant>
      <vt:variant>
        <vt:i4>1</vt:i4>
      </vt:variant>
    </vt:vector>
  </HeadingPairs>
  <TitlesOfParts>
    <vt:vector size="96" baseType="lpstr"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</vt:lpstr>
      <vt:lpstr>OCT</vt:lpstr>
      <vt:lpstr>NOV</vt:lpstr>
      <vt:lpstr>APRIL 2015</vt:lpstr>
      <vt:lpstr>MAY 2015</vt:lpstr>
      <vt:lpstr>JUNE 2015 </vt:lpstr>
      <vt:lpstr>JULY 2015</vt:lpstr>
      <vt:lpstr>AUGUST 2015</vt:lpstr>
      <vt:lpstr>OCTO</vt:lpstr>
      <vt:lpstr>NOV 2015</vt:lpstr>
      <vt:lpstr>DEC</vt:lpstr>
      <vt:lpstr>JAN</vt:lpstr>
      <vt:lpstr>FEB</vt:lpstr>
      <vt:lpstr>MARCH 2016</vt:lpstr>
      <vt:lpstr>APRI;</vt:lpstr>
      <vt:lpstr>Sheet3</vt:lpstr>
      <vt:lpstr>Sheet1</vt:lpstr>
      <vt:lpstr>Sheet2</vt:lpstr>
      <vt:lpstr>JUNE 2016</vt:lpstr>
      <vt:lpstr>JUNE 2016  1</vt:lpstr>
      <vt:lpstr>AUGUST  2016</vt:lpstr>
      <vt:lpstr>Sheet4</vt:lpstr>
      <vt:lpstr>Sheet5</vt:lpstr>
      <vt:lpstr>Sheet6</vt:lpstr>
      <vt:lpstr>Sheet7</vt:lpstr>
      <vt:lpstr>Sheet8</vt:lpstr>
      <vt:lpstr>Sheet9</vt:lpstr>
      <vt:lpstr>Sheet10</vt:lpstr>
      <vt:lpstr>MARCH 2017</vt:lpstr>
      <vt:lpstr>Sheet12</vt:lpstr>
      <vt:lpstr>MAY2017</vt:lpstr>
      <vt:lpstr>JUNE 2017</vt:lpstr>
      <vt:lpstr>JULY 2017</vt:lpstr>
      <vt:lpstr>AUGUST 2017</vt:lpstr>
      <vt:lpstr>SEPTEMBER 2017</vt:lpstr>
      <vt:lpstr>OCTOMBER</vt:lpstr>
      <vt:lpstr>NOV 2017</vt:lpstr>
      <vt:lpstr>DECE</vt:lpstr>
      <vt:lpstr>JAN 18</vt:lpstr>
      <vt:lpstr>FEB18</vt:lpstr>
      <vt:lpstr>MARCH 18</vt:lpstr>
      <vt:lpstr>APRL</vt:lpstr>
      <vt:lpstr>MAY 18</vt:lpstr>
      <vt:lpstr>JUNE </vt:lpstr>
      <vt:lpstr>JULY7</vt:lpstr>
      <vt:lpstr>AUG</vt:lpstr>
      <vt:lpstr>SEPT</vt:lpstr>
      <vt:lpstr>OCTOBER</vt:lpstr>
      <vt:lpstr>NOVEMBER</vt:lpstr>
      <vt:lpstr>DECEM</vt:lpstr>
      <vt:lpstr>JANUARY </vt:lpstr>
      <vt:lpstr>FEB </vt:lpstr>
      <vt:lpstr>MARCH </vt:lpstr>
      <vt:lpstr>APR</vt:lpstr>
      <vt:lpstr>MAY </vt:lpstr>
      <vt:lpstr>JUNEE</vt:lpstr>
      <vt:lpstr>JULY  </vt:lpstr>
      <vt:lpstr>AUGUST 2019</vt:lpstr>
      <vt:lpstr>SEPTEMBER 19</vt:lpstr>
      <vt:lpstr>OCTOBER 19 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 20</vt:lpstr>
      <vt:lpstr>OCTOBER 20</vt:lpstr>
      <vt:lpstr>NOVEMBER 20</vt:lpstr>
      <vt:lpstr>DECEMBER 20</vt:lpstr>
      <vt:lpstr>JANUARY 21</vt:lpstr>
      <vt:lpstr>FEBRUARY 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  <vt:lpstr>Chart4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mukiri</dc:creator>
  <cp:lastModifiedBy>Assetflow</cp:lastModifiedBy>
  <cp:lastPrinted>2021-01-22T13:10:12Z</cp:lastPrinted>
  <dcterms:created xsi:type="dcterms:W3CDTF">2013-06-10T16:26:22Z</dcterms:created>
  <dcterms:modified xsi:type="dcterms:W3CDTF">2021-12-18T08:51:02Z</dcterms:modified>
</cp:coreProperties>
</file>