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360" yWindow="840" windowWidth="15015" windowHeight="7170" firstSheet="78" activeTab="78"/>
  </bookViews>
  <sheets>
    <sheet name="FEB 2025" sheetId="1" r:id="rId1"/>
    <sheet name="MARCH 2015" sheetId="2" r:id="rId2"/>
    <sheet name="APRIL 2015" sheetId="3" r:id="rId3"/>
    <sheet name="MAY 2015" sheetId="4" r:id="rId4"/>
    <sheet name="JUNE  2015" sheetId="5" r:id="rId5"/>
    <sheet name="JULY" sheetId="6" r:id="rId6"/>
    <sheet name="AUGUST" sheetId="7" r:id="rId7"/>
    <sheet name="SEP" sheetId="8" r:id="rId8"/>
    <sheet name="OCTO" sheetId="9" r:id="rId9"/>
    <sheet name="NOV" sheetId="10" r:id="rId10"/>
    <sheet name="DEC" sheetId="11" r:id="rId11"/>
    <sheet name="JAN" sheetId="12" r:id="rId12"/>
    <sheet name="FEB 2016" sheetId="13" r:id="rId13"/>
    <sheet name="MARCH 2016" sheetId="14" r:id="rId14"/>
    <sheet name="APRIL 2016" sheetId="15" r:id="rId15"/>
    <sheet name="JAN 2017" sheetId="16" r:id="rId16"/>
    <sheet name="FEB 2017" sheetId="17" r:id="rId17"/>
    <sheet name="MARCH 2017" sheetId="18" r:id="rId18"/>
    <sheet name="APRIL 2017" sheetId="19" r:id="rId19"/>
    <sheet name="MAY 2017" sheetId="20" r:id="rId20"/>
    <sheet name="JUNE 2017" sheetId="21" r:id="rId21"/>
    <sheet name="JULY 2017" sheetId="22" r:id="rId22"/>
    <sheet name="AUGUST  2017" sheetId="24" r:id="rId23"/>
    <sheet name="SEP 2017" sheetId="25" r:id="rId24"/>
    <sheet name="OCTOMBER" sheetId="26" r:id="rId25"/>
    <sheet name="NOVEMBER" sheetId="27" r:id="rId26"/>
    <sheet name="DEC  2017" sheetId="28" r:id="rId27"/>
    <sheet name="JAN 18" sheetId="29" r:id="rId28"/>
    <sheet name="FEB 2018" sheetId="31" r:id="rId29"/>
    <sheet name="MARCH " sheetId="32" r:id="rId30"/>
    <sheet name="APRILL" sheetId="33" r:id="rId31"/>
    <sheet name="MAY" sheetId="34" r:id="rId32"/>
    <sheet name="JUNE " sheetId="35" r:id="rId33"/>
    <sheet name="JULY7" sheetId="36" r:id="rId34"/>
    <sheet name="AUG" sheetId="37" r:id="rId35"/>
    <sheet name="SEPT" sheetId="38" r:id="rId36"/>
    <sheet name="OCT" sheetId="39" r:id="rId37"/>
    <sheet name="NOVE" sheetId="40" r:id="rId38"/>
    <sheet name="DECEM" sheetId="41" r:id="rId39"/>
    <sheet name="JANUARY" sheetId="42" r:id="rId40"/>
    <sheet name="FEBRUARY" sheetId="43" r:id="rId41"/>
    <sheet name="MARCH 19" sheetId="44" r:id="rId42"/>
    <sheet name="APRIL " sheetId="45" r:id="rId43"/>
    <sheet name="MAY " sheetId="46" r:id="rId44"/>
    <sheet name="JUNEE" sheetId="47" r:id="rId45"/>
    <sheet name="JULY " sheetId="48" r:id="rId46"/>
    <sheet name="AUGUST 19" sheetId="49" r:id="rId47"/>
    <sheet name="SEPTEMBER 19" sheetId="50" r:id="rId48"/>
    <sheet name="OCTOBER 19" sheetId="51" r:id="rId49"/>
    <sheet name="Sheet1" sheetId="52" r:id="rId50"/>
    <sheet name="NOVEMBER 19" sheetId="53" r:id="rId51"/>
    <sheet name="Sheet2" sheetId="54" r:id="rId52"/>
    <sheet name="DECEMBER 19" sheetId="55" r:id="rId53"/>
    <sheet name="Sheet3" sheetId="56" r:id="rId54"/>
    <sheet name="JANUARY 20" sheetId="57" r:id="rId55"/>
    <sheet name="Sheet4" sheetId="58" r:id="rId56"/>
    <sheet name="FEBRUARY 20" sheetId="59" r:id="rId57"/>
    <sheet name="MARCH 20" sheetId="60" r:id="rId58"/>
    <sheet name="APRIL 20" sheetId="61" r:id="rId59"/>
    <sheet name="MAY 20" sheetId="62" r:id="rId60"/>
    <sheet name="JUNE 20" sheetId="63" r:id="rId61"/>
    <sheet name="JULY 20" sheetId="64" r:id="rId62"/>
    <sheet name="AUGUST 20" sheetId="65" r:id="rId63"/>
    <sheet name="SEPTEMBER 20" sheetId="66" r:id="rId64"/>
    <sheet name="OCTOBER 20" sheetId="67" r:id="rId65"/>
    <sheet name="NOVEMBER20" sheetId="68" r:id="rId66"/>
    <sheet name="DECEMBER" sheetId="69" r:id="rId67"/>
    <sheet name="JANUARY 21" sheetId="70" r:id="rId68"/>
    <sheet name="FEBRUARY 21" sheetId="71" r:id="rId69"/>
    <sheet name="MARCH 21" sheetId="72" r:id="rId70"/>
    <sheet name="APRIL21" sheetId="73" r:id="rId71"/>
    <sheet name="MAY 21" sheetId="74" r:id="rId72"/>
    <sheet name="JUNE 21" sheetId="75" r:id="rId73"/>
    <sheet name="JULY 21" sheetId="76" r:id="rId74"/>
    <sheet name="AUGUST 21" sheetId="77" r:id="rId75"/>
    <sheet name="SEP 21" sheetId="78" r:id="rId76"/>
    <sheet name="OCT 21" sheetId="79" r:id="rId77"/>
    <sheet name="NOVEMBER 21" sheetId="80" r:id="rId78"/>
    <sheet name="DECEMBER 21" sheetId="81" r:id="rId79"/>
  </sheets>
  <calcPr calcId="162913"/>
</workbook>
</file>

<file path=xl/calcChain.xml><?xml version="1.0" encoding="utf-8"?>
<calcChain xmlns="http://schemas.openxmlformats.org/spreadsheetml/2006/main">
  <c r="Q37" i="81" l="1"/>
  <c r="H13" i="81" l="1"/>
  <c r="M19" i="80" l="1"/>
  <c r="H8" i="81" l="1"/>
  <c r="H12" i="80" l="1"/>
  <c r="H12" i="81"/>
  <c r="H11" i="81"/>
  <c r="P32" i="81" l="1"/>
  <c r="D46" i="80" l="1"/>
  <c r="H11" i="77"/>
  <c r="H46" i="80"/>
  <c r="Q22" i="80"/>
  <c r="Q15" i="79"/>
  <c r="Q16" i="79"/>
  <c r="Q38" i="80"/>
  <c r="Q37" i="80"/>
  <c r="G28" i="80"/>
  <c r="N17" i="81" l="1"/>
  <c r="N18" i="81"/>
  <c r="D26" i="81"/>
  <c r="H51" i="81" l="1"/>
  <c r="D51" i="81"/>
  <c r="M48" i="81"/>
  <c r="M56" i="81" s="1"/>
  <c r="N45" i="81"/>
  <c r="N44" i="81"/>
  <c r="N43" i="81"/>
  <c r="O42" i="81"/>
  <c r="M42" i="81"/>
  <c r="L49" i="81" s="1"/>
  <c r="J42" i="81"/>
  <c r="Q42" i="81"/>
  <c r="G31" i="81"/>
  <c r="E31" i="81"/>
  <c r="C31" i="81"/>
  <c r="B38" i="81" s="1"/>
  <c r="F26" i="81"/>
  <c r="J23" i="81"/>
  <c r="I21" i="81"/>
  <c r="H20" i="81"/>
  <c r="F20" i="81"/>
  <c r="B36" i="81" s="1"/>
  <c r="E20" i="81"/>
  <c r="C20" i="81"/>
  <c r="O19" i="81"/>
  <c r="M19" i="81"/>
  <c r="I17" i="81"/>
  <c r="Q19" i="81"/>
  <c r="B34" i="81" l="1"/>
  <c r="D35" i="81" s="1"/>
  <c r="H35" i="81" s="1"/>
  <c r="L45" i="81"/>
  <c r="M46" i="81" s="1"/>
  <c r="Q46" i="81" s="1"/>
  <c r="Q48" i="81"/>
  <c r="Q56" i="81" s="1"/>
  <c r="P45" i="81"/>
  <c r="G34" i="81"/>
  <c r="H71" i="79"/>
  <c r="I72" i="79" s="1"/>
  <c r="Q15" i="80" l="1"/>
  <c r="H46" i="79" l="1"/>
  <c r="D46" i="79"/>
  <c r="D46" i="78"/>
  <c r="H46" i="78" s="1"/>
  <c r="Q40" i="79" l="1"/>
  <c r="D26" i="80" l="1"/>
  <c r="F26" i="80" s="1"/>
  <c r="D26" i="78"/>
  <c r="N18" i="80"/>
  <c r="N17" i="80"/>
  <c r="H51" i="80"/>
  <c r="D51" i="80"/>
  <c r="M48" i="80"/>
  <c r="M56" i="80" s="1"/>
  <c r="N45" i="80"/>
  <c r="N44" i="80"/>
  <c r="N43" i="80"/>
  <c r="O42" i="80"/>
  <c r="M42" i="80"/>
  <c r="L49" i="80" s="1"/>
  <c r="J42" i="80"/>
  <c r="Q42" i="80"/>
  <c r="E31" i="80"/>
  <c r="C31" i="80"/>
  <c r="G31" i="80"/>
  <c r="J23" i="80"/>
  <c r="I21" i="80"/>
  <c r="F20" i="80"/>
  <c r="B36" i="80" s="1"/>
  <c r="E20" i="80"/>
  <c r="C20" i="80"/>
  <c r="B38" i="80" s="1"/>
  <c r="O19" i="80"/>
  <c r="I17" i="80"/>
  <c r="D17" i="81" s="1"/>
  <c r="Q19" i="80"/>
  <c r="H20" i="80"/>
  <c r="L45" i="80" l="1"/>
  <c r="M46" i="80" s="1"/>
  <c r="Q46" i="80" s="1"/>
  <c r="B34" i="80"/>
  <c r="D35" i="80" s="1"/>
  <c r="H35" i="80" s="1"/>
  <c r="G34" i="80"/>
  <c r="P45" i="80"/>
  <c r="Q48" i="80"/>
  <c r="Q56" i="80" s="1"/>
  <c r="Q33" i="79"/>
  <c r="G28" i="79" l="1"/>
  <c r="Q37" i="79" l="1"/>
  <c r="M48" i="79"/>
  <c r="M56" i="79" s="1"/>
  <c r="N45" i="79"/>
  <c r="N44" i="79"/>
  <c r="N43" i="79"/>
  <c r="Q48" i="79" l="1"/>
  <c r="Q56" i="79" s="1"/>
  <c r="H11" i="79" l="1"/>
  <c r="Q38" i="79" l="1"/>
  <c r="M48" i="78" l="1"/>
  <c r="Q33" i="78"/>
  <c r="H6" i="78"/>
  <c r="N17" i="79" l="1"/>
  <c r="N18" i="79"/>
  <c r="D26" i="79"/>
  <c r="H51" i="79"/>
  <c r="D51" i="79"/>
  <c r="O42" i="79"/>
  <c r="M42" i="79"/>
  <c r="L49" i="79" s="1"/>
  <c r="J42" i="79"/>
  <c r="E31" i="79"/>
  <c r="C31" i="79"/>
  <c r="B38" i="79" s="1"/>
  <c r="F26" i="79"/>
  <c r="J23" i="79"/>
  <c r="G31" i="79"/>
  <c r="Q42" i="79"/>
  <c r="I21" i="79"/>
  <c r="F20" i="79"/>
  <c r="B36" i="79" s="1"/>
  <c r="E20" i="79"/>
  <c r="C20" i="79"/>
  <c r="O19" i="79"/>
  <c r="M19" i="79"/>
  <c r="I17" i="79"/>
  <c r="D17" i="80" s="1"/>
  <c r="Q19" i="79"/>
  <c r="H20" i="79"/>
  <c r="B34" i="79" l="1"/>
  <c r="L45" i="79"/>
  <c r="P45" i="79"/>
  <c r="G34" i="79"/>
  <c r="D35" i="79"/>
  <c r="H35" i="79" s="1"/>
  <c r="Q30" i="78"/>
  <c r="M46" i="79" l="1"/>
  <c r="Q46" i="79" s="1"/>
  <c r="Q48" i="78"/>
  <c r="M19" i="78" l="1"/>
  <c r="O19" i="78"/>
  <c r="Q24" i="78" l="1"/>
  <c r="H12" i="78" l="1"/>
  <c r="Q9" i="78" l="1"/>
  <c r="H7" i="78" l="1"/>
  <c r="H8" i="78" l="1"/>
  <c r="G29" i="78" l="1"/>
  <c r="Q26" i="78" l="1"/>
  <c r="Q39" i="78" l="1"/>
  <c r="G25" i="78" l="1"/>
  <c r="Q34" i="78" l="1"/>
  <c r="G23" i="78" l="1"/>
  <c r="Q7" i="78" l="1"/>
  <c r="Q36" i="78" l="1"/>
  <c r="G28" i="78" l="1"/>
  <c r="Q12" i="78" l="1"/>
  <c r="Q13" i="78" l="1"/>
  <c r="H15" i="78" l="1"/>
  <c r="Q38" i="78" l="1"/>
  <c r="H10" i="78" l="1"/>
  <c r="G27" i="78" l="1"/>
  <c r="Q11" i="78" l="1"/>
  <c r="Q31" i="78" l="1"/>
  <c r="H19" i="78" l="1"/>
  <c r="H9" i="78" l="1"/>
  <c r="Q23" i="78" l="1"/>
  <c r="Q21" i="78" l="1"/>
  <c r="G30" i="78" l="1"/>
  <c r="D45" i="77" l="1"/>
  <c r="K69" i="76" l="1"/>
  <c r="N17" i="78"/>
  <c r="N18" i="78"/>
  <c r="Q56" i="78"/>
  <c r="H51" i="78"/>
  <c r="D51" i="78"/>
  <c r="N45" i="78"/>
  <c r="N44" i="78"/>
  <c r="N43" i="78"/>
  <c r="O42" i="78"/>
  <c r="M42" i="78"/>
  <c r="L49" i="78" s="1"/>
  <c r="P41" i="78"/>
  <c r="R41" i="78" s="1"/>
  <c r="P37" i="78"/>
  <c r="P35" i="78"/>
  <c r="R35" i="78" s="1"/>
  <c r="E31" i="78"/>
  <c r="C31" i="78"/>
  <c r="B38" i="78" s="1"/>
  <c r="G31" i="78"/>
  <c r="F26" i="78"/>
  <c r="Q42" i="78"/>
  <c r="I21" i="78"/>
  <c r="F20" i="78"/>
  <c r="B36" i="78" s="1"/>
  <c r="E20" i="78"/>
  <c r="C20" i="78"/>
  <c r="I17" i="78"/>
  <c r="D17" i="79" s="1"/>
  <c r="Q19" i="78"/>
  <c r="H20" i="78"/>
  <c r="B34" i="78" l="1"/>
  <c r="D35" i="78" s="1"/>
  <c r="H35" i="78" s="1"/>
  <c r="N35" i="79"/>
  <c r="P35" i="79" s="1"/>
  <c r="R35" i="79" s="1"/>
  <c r="N35" i="80" s="1"/>
  <c r="P35" i="80" s="1"/>
  <c r="R35" i="80" s="1"/>
  <c r="N35" i="81" s="1"/>
  <c r="P35" i="81" s="1"/>
  <c r="R35" i="81" s="1"/>
  <c r="N41" i="79"/>
  <c r="P41" i="79" s="1"/>
  <c r="R41" i="79" s="1"/>
  <c r="N41" i="80" s="1"/>
  <c r="P41" i="80" s="1"/>
  <c r="R41" i="80" s="1"/>
  <c r="N41" i="81" s="1"/>
  <c r="P41" i="81" s="1"/>
  <c r="R41" i="81" s="1"/>
  <c r="R37" i="78"/>
  <c r="L45" i="78"/>
  <c r="P45" i="78"/>
  <c r="G34" i="78"/>
  <c r="G28" i="77"/>
  <c r="H12" i="77"/>
  <c r="N37" i="79" l="1"/>
  <c r="P37" i="79" s="1"/>
  <c r="R37" i="79" s="1"/>
  <c r="N37" i="80" s="1"/>
  <c r="P37" i="80" s="1"/>
  <c r="R37" i="80" s="1"/>
  <c r="N37" i="81" s="1"/>
  <c r="P37" i="81" s="1"/>
  <c r="R37" i="81" s="1"/>
  <c r="M46" i="78"/>
  <c r="Q46" i="78" s="1"/>
  <c r="Q22" i="77"/>
  <c r="Q15" i="77"/>
  <c r="H6" i="77"/>
  <c r="H13" i="77" l="1"/>
  <c r="Q9" i="77" l="1"/>
  <c r="G27" i="77" l="1"/>
  <c r="Q38" i="77" l="1"/>
  <c r="G30" i="77" l="1"/>
  <c r="Q11" i="77" l="1"/>
  <c r="Q33" i="77" l="1"/>
  <c r="Q28" i="77"/>
  <c r="H7" i="77"/>
  <c r="Q21" i="77" l="1"/>
  <c r="N17" i="77" l="1"/>
  <c r="D26" i="77"/>
  <c r="F26" i="77" s="1"/>
  <c r="G14" i="77"/>
  <c r="I14" i="77" s="1"/>
  <c r="D14" i="78" s="1"/>
  <c r="G14" i="78" s="1"/>
  <c r="I14" i="78" s="1"/>
  <c r="D14" i="79" s="1"/>
  <c r="G14" i="79" s="1"/>
  <c r="I14" i="79" s="1"/>
  <c r="D14" i="80" s="1"/>
  <c r="G14" i="80" s="1"/>
  <c r="I14" i="80" s="1"/>
  <c r="D14" i="81" s="1"/>
  <c r="G14" i="81" s="1"/>
  <c r="I14" i="81" s="1"/>
  <c r="Q47" i="77"/>
  <c r="Q55" i="77" s="1"/>
  <c r="M47" i="77"/>
  <c r="M55" i="77" s="1"/>
  <c r="H50" i="77"/>
  <c r="D50" i="77"/>
  <c r="N44" i="77"/>
  <c r="N43" i="77"/>
  <c r="N42" i="77"/>
  <c r="O41" i="77"/>
  <c r="M41" i="77"/>
  <c r="L48" i="77" s="1"/>
  <c r="J41" i="77"/>
  <c r="G31" i="77"/>
  <c r="E31" i="77"/>
  <c r="C31" i="77"/>
  <c r="B38" i="77" s="1"/>
  <c r="P24" i="77"/>
  <c r="R24" i="77" s="1"/>
  <c r="N24" i="78" s="1"/>
  <c r="P24" i="78" s="1"/>
  <c r="R24" i="78" s="1"/>
  <c r="J23" i="77"/>
  <c r="Q41" i="77"/>
  <c r="I21" i="77"/>
  <c r="F20" i="77"/>
  <c r="B36" i="77" s="1"/>
  <c r="E20" i="77"/>
  <c r="C20" i="77"/>
  <c r="O19" i="77"/>
  <c r="M19" i="77"/>
  <c r="N18" i="77"/>
  <c r="I17" i="77"/>
  <c r="D17" i="78" s="1"/>
  <c r="Q19" i="77"/>
  <c r="P15" i="77"/>
  <c r="R15" i="77" s="1"/>
  <c r="N15" i="78" s="1"/>
  <c r="P15" i="78" s="1"/>
  <c r="R15" i="78" s="1"/>
  <c r="N15" i="79" s="1"/>
  <c r="P15" i="79" s="1"/>
  <c r="R15" i="79" s="1"/>
  <c r="P15" i="80" s="1"/>
  <c r="R15" i="80" s="1"/>
  <c r="N15" i="81" s="1"/>
  <c r="P15" i="81" s="1"/>
  <c r="R15" i="81" s="1"/>
  <c r="P14" i="77"/>
  <c r="R14" i="77" s="1"/>
  <c r="N14" i="78" s="1"/>
  <c r="P14" i="78" s="1"/>
  <c r="R14" i="78" s="1"/>
  <c r="N14" i="79" s="1"/>
  <c r="P14" i="79" s="1"/>
  <c r="R14" i="79" s="1"/>
  <c r="N14" i="80" s="1"/>
  <c r="P14" i="80" s="1"/>
  <c r="R14" i="80" s="1"/>
  <c r="N14" i="81" s="1"/>
  <c r="G13" i="77"/>
  <c r="I13" i="77" s="1"/>
  <c r="D13" i="78" s="1"/>
  <c r="H20" i="77"/>
  <c r="P14" i="81" l="1"/>
  <c r="N24" i="79"/>
  <c r="P24" i="79" s="1"/>
  <c r="R24" i="79" s="1"/>
  <c r="N24" i="80" s="1"/>
  <c r="P24" i="80" s="1"/>
  <c r="R24" i="80" s="1"/>
  <c r="N24" i="81" s="1"/>
  <c r="P24" i="81" s="1"/>
  <c r="R24" i="81" s="1"/>
  <c r="G13" i="78"/>
  <c r="L44" i="77"/>
  <c r="M45" i="77" s="1"/>
  <c r="Q45" i="77" s="1"/>
  <c r="B34" i="77"/>
  <c r="G34" i="77"/>
  <c r="P44" i="77"/>
  <c r="H45" i="75"/>
  <c r="D45" i="75"/>
  <c r="R14" i="81" l="1"/>
  <c r="D35" i="77"/>
  <c r="H35" i="77" s="1"/>
  <c r="I13" i="78"/>
  <c r="H12" i="76"/>
  <c r="D13" i="79" l="1"/>
  <c r="G13" i="79" s="1"/>
  <c r="Q47" i="76"/>
  <c r="M47" i="76"/>
  <c r="Q47" i="75"/>
  <c r="M47" i="75"/>
  <c r="I13" i="79" l="1"/>
  <c r="D13" i="80" s="1"/>
  <c r="G13" i="80" s="1"/>
  <c r="I13" i="80" s="1"/>
  <c r="D13" i="81" s="1"/>
  <c r="G13" i="81" s="1"/>
  <c r="I13" i="81" s="1"/>
  <c r="Q22" i="76"/>
  <c r="H10" i="76"/>
  <c r="Q38" i="76" l="1"/>
  <c r="Q35" i="76"/>
  <c r="Q33" i="76"/>
  <c r="Q15" i="76"/>
  <c r="Q19" i="76" s="1"/>
  <c r="H13" i="76"/>
  <c r="H7" i="76"/>
  <c r="D26" i="76"/>
  <c r="N17" i="76"/>
  <c r="N18" i="76"/>
  <c r="N42" i="76"/>
  <c r="Q55" i="76"/>
  <c r="M55" i="76"/>
  <c r="H45" i="76"/>
  <c r="H50" i="76" s="1"/>
  <c r="D45" i="76"/>
  <c r="D50" i="76" s="1"/>
  <c r="N44" i="76"/>
  <c r="N43" i="76"/>
  <c r="O41" i="76"/>
  <c r="M41" i="76"/>
  <c r="L48" i="76" s="1"/>
  <c r="J41" i="76"/>
  <c r="E31" i="76"/>
  <c r="C31" i="76"/>
  <c r="B38" i="76" s="1"/>
  <c r="G31" i="76"/>
  <c r="F26" i="76"/>
  <c r="J23" i="76"/>
  <c r="I21" i="76"/>
  <c r="F20" i="76"/>
  <c r="B36" i="76" s="1"/>
  <c r="E20" i="76"/>
  <c r="C20" i="76"/>
  <c r="O19" i="76"/>
  <c r="M19" i="76"/>
  <c r="I17" i="76"/>
  <c r="D17" i="77" s="1"/>
  <c r="P15" i="76"/>
  <c r="Q41" i="76" l="1"/>
  <c r="P44" i="76" s="1"/>
  <c r="R15" i="76"/>
  <c r="H20" i="76"/>
  <c r="L44" i="76"/>
  <c r="M45" i="76" s="1"/>
  <c r="Q45" i="76" s="1"/>
  <c r="B34" i="76"/>
  <c r="D35" i="76" s="1"/>
  <c r="H35" i="76" s="1"/>
  <c r="G34" i="76"/>
  <c r="Q33" i="75"/>
  <c r="Q33" i="74"/>
  <c r="Q36" i="75" l="1"/>
  <c r="H12" i="75"/>
  <c r="G30" i="75" l="1"/>
  <c r="G30" i="73"/>
  <c r="H13" i="75" l="1"/>
  <c r="Q9" i="75"/>
  <c r="Q15" i="75"/>
  <c r="H10" i="74" l="1"/>
  <c r="H10" i="75" l="1"/>
  <c r="Q38" i="75"/>
  <c r="G28" i="75" l="1"/>
  <c r="Q12" i="75" l="1"/>
  <c r="Q13" i="75" l="1"/>
  <c r="H9" i="75" l="1"/>
  <c r="Q35" i="75" l="1"/>
  <c r="Q21" i="75" l="1"/>
  <c r="H8" i="75" l="1"/>
  <c r="Q32" i="75" l="1"/>
  <c r="Q34" i="75" l="1"/>
  <c r="Q16" i="75" l="1"/>
  <c r="G27" i="75" l="1"/>
  <c r="Q28" i="75" l="1"/>
  <c r="G29" i="75" l="1"/>
  <c r="G23" i="75" l="1"/>
  <c r="Q7" i="75" l="1"/>
  <c r="Q10" i="75" l="1"/>
  <c r="Q39" i="75" l="1"/>
  <c r="Q29" i="75" l="1"/>
  <c r="H50" i="75" l="1"/>
  <c r="H45" i="74" l="1"/>
  <c r="D45" i="74"/>
  <c r="H12" i="74" l="1"/>
  <c r="N17" i="75" l="1"/>
  <c r="N18" i="75"/>
  <c r="D25" i="75"/>
  <c r="F25" i="75" s="1"/>
  <c r="H25" i="75" s="1"/>
  <c r="D25" i="76" s="1"/>
  <c r="F25" i="76" s="1"/>
  <c r="H25" i="76" s="1"/>
  <c r="D26" i="75"/>
  <c r="Q55" i="75"/>
  <c r="M55" i="75"/>
  <c r="D50" i="75"/>
  <c r="N44" i="75"/>
  <c r="N43" i="75"/>
  <c r="N42" i="75"/>
  <c r="O41" i="75"/>
  <c r="M41" i="75"/>
  <c r="L48" i="75" s="1"/>
  <c r="J41" i="75"/>
  <c r="C31" i="75"/>
  <c r="B38" i="75" s="1"/>
  <c r="P27" i="75"/>
  <c r="R27" i="75" s="1"/>
  <c r="N27" i="76" s="1"/>
  <c r="P27" i="76" s="1"/>
  <c r="R27" i="76" s="1"/>
  <c r="N27" i="77" s="1"/>
  <c r="P27" i="77" s="1"/>
  <c r="R27" i="77" s="1"/>
  <c r="N27" i="78" s="1"/>
  <c r="P27" i="78" s="1"/>
  <c r="R27" i="78" s="1"/>
  <c r="F26" i="75"/>
  <c r="P25" i="75"/>
  <c r="R25" i="75" s="1"/>
  <c r="N25" i="76" s="1"/>
  <c r="P25" i="76" s="1"/>
  <c r="R25" i="76" s="1"/>
  <c r="N25" i="77" s="1"/>
  <c r="P25" i="77" s="1"/>
  <c r="R25" i="77" s="1"/>
  <c r="N25" i="78" s="1"/>
  <c r="P25" i="78" s="1"/>
  <c r="R25" i="78" s="1"/>
  <c r="P24" i="75"/>
  <c r="R24" i="75" s="1"/>
  <c r="N24" i="76" s="1"/>
  <c r="P24" i="76" s="1"/>
  <c r="R24" i="76" s="1"/>
  <c r="J23" i="75"/>
  <c r="G31" i="75"/>
  <c r="Q41" i="75"/>
  <c r="I21" i="75"/>
  <c r="F20" i="75"/>
  <c r="B36" i="75" s="1"/>
  <c r="E20" i="75"/>
  <c r="C20" i="75"/>
  <c r="O19" i="75"/>
  <c r="M19" i="75"/>
  <c r="I17" i="75"/>
  <c r="D17" i="76" s="1"/>
  <c r="Q19" i="75"/>
  <c r="H20" i="75"/>
  <c r="N25" i="79" l="1"/>
  <c r="P25" i="79" s="1"/>
  <c r="R25" i="79" s="1"/>
  <c r="N25" i="80" s="1"/>
  <c r="P25" i="80" s="1"/>
  <c r="R25" i="80" s="1"/>
  <c r="N25" i="81" s="1"/>
  <c r="P25" i="81" s="1"/>
  <c r="R25" i="81" s="1"/>
  <c r="N27" i="79"/>
  <c r="P27" i="79" s="1"/>
  <c r="R27" i="79" s="1"/>
  <c r="N27" i="80" s="1"/>
  <c r="P27" i="80" s="1"/>
  <c r="R27" i="80" s="1"/>
  <c r="P27" i="81" s="1"/>
  <c r="R27" i="81" s="1"/>
  <c r="L44" i="75"/>
  <c r="M45" i="75" s="1"/>
  <c r="Q45" i="75" s="1"/>
  <c r="D25" i="78"/>
  <c r="F25" i="78" s="1"/>
  <c r="H25" i="78" s="1"/>
  <c r="D25" i="79" s="1"/>
  <c r="F25" i="79" s="1"/>
  <c r="H25" i="79" s="1"/>
  <c r="D25" i="80" s="1"/>
  <c r="F25" i="80" s="1"/>
  <c r="H25" i="80" s="1"/>
  <c r="D25" i="81" s="1"/>
  <c r="F25" i="81" s="1"/>
  <c r="H25" i="81" s="1"/>
  <c r="D25" i="77"/>
  <c r="F25" i="77" s="1"/>
  <c r="H25" i="77" s="1"/>
  <c r="P44" i="75"/>
  <c r="G34" i="75"/>
  <c r="E31" i="75"/>
  <c r="B34" i="75" s="1"/>
  <c r="D35" i="75" l="1"/>
  <c r="H35" i="75" s="1"/>
  <c r="H19" i="74"/>
  <c r="G27" i="74" l="1"/>
  <c r="E27" i="74"/>
  <c r="Q35" i="74" l="1"/>
  <c r="C31" i="74"/>
  <c r="B38" i="74" s="1"/>
  <c r="Q25" i="74" l="1"/>
  <c r="Q21" i="74"/>
  <c r="Q9" i="74"/>
  <c r="H15" i="74"/>
  <c r="H13" i="74"/>
  <c r="Q11" i="74" l="1"/>
  <c r="G23" i="74" l="1"/>
  <c r="Q34" i="74" l="1"/>
  <c r="Q10" i="74" l="1"/>
  <c r="Q7" i="74" l="1"/>
  <c r="Q39" i="74" l="1"/>
  <c r="Q14" i="74" l="1"/>
  <c r="H7" i="74" l="1"/>
  <c r="G30" i="74" l="1"/>
  <c r="G29" i="74" l="1"/>
  <c r="Q38" i="74" l="1"/>
  <c r="Q28" i="74" l="1"/>
  <c r="H14" i="74" l="1"/>
  <c r="H8" i="74" l="1"/>
  <c r="N69" i="72" l="1"/>
  <c r="Q16" i="74" l="1"/>
  <c r="Q12" i="74" l="1"/>
  <c r="Q13" i="74" l="1"/>
  <c r="Q36" i="74" l="1"/>
  <c r="Q29" i="74" l="1"/>
  <c r="Q40" i="73" l="1"/>
  <c r="N18" i="74"/>
  <c r="N17" i="74"/>
  <c r="D25" i="74"/>
  <c r="D26" i="74"/>
  <c r="F26" i="74" s="1"/>
  <c r="Q47" i="74"/>
  <c r="Q55" i="74" s="1"/>
  <c r="M47" i="74"/>
  <c r="H50" i="74"/>
  <c r="D50" i="74"/>
  <c r="N44" i="74"/>
  <c r="N43" i="74"/>
  <c r="N42" i="74"/>
  <c r="O41" i="74"/>
  <c r="M41" i="74"/>
  <c r="L48" i="74" s="1"/>
  <c r="J41" i="74"/>
  <c r="P40" i="74"/>
  <c r="R40" i="74" s="1"/>
  <c r="N40" i="75" s="1"/>
  <c r="P40" i="75" s="1"/>
  <c r="R40" i="75" s="1"/>
  <c r="N40" i="76" s="1"/>
  <c r="P40" i="76" s="1"/>
  <c r="R40" i="76" s="1"/>
  <c r="N40" i="77" s="1"/>
  <c r="P40" i="77" s="1"/>
  <c r="R40" i="77" s="1"/>
  <c r="N40" i="78" s="1"/>
  <c r="P40" i="78" s="1"/>
  <c r="R40" i="78" s="1"/>
  <c r="N40" i="79" s="1"/>
  <c r="P40" i="79" s="1"/>
  <c r="R40" i="79" s="1"/>
  <c r="N40" i="80" s="1"/>
  <c r="P40" i="80" s="1"/>
  <c r="R40" i="80" s="1"/>
  <c r="N40" i="81" s="1"/>
  <c r="P40" i="81" s="1"/>
  <c r="E31" i="74"/>
  <c r="F25" i="74"/>
  <c r="G31" i="74"/>
  <c r="J23" i="74"/>
  <c r="Q41" i="74"/>
  <c r="I21" i="74"/>
  <c r="F20" i="74"/>
  <c r="B36" i="74" s="1"/>
  <c r="E20" i="74"/>
  <c r="C20" i="74"/>
  <c r="O19" i="74"/>
  <c r="M19" i="74"/>
  <c r="P15" i="74"/>
  <c r="R15" i="74" s="1"/>
  <c r="N15" i="75" s="1"/>
  <c r="P15" i="75" s="1"/>
  <c r="R15" i="75" s="1"/>
  <c r="Q19" i="74"/>
  <c r="H20" i="74"/>
  <c r="B34" i="74" l="1"/>
  <c r="L44" i="74"/>
  <c r="P44" i="74"/>
  <c r="G34" i="74"/>
  <c r="D35" i="74"/>
  <c r="H35" i="74" s="1"/>
  <c r="M45" i="74"/>
  <c r="Q45" i="74" s="1"/>
  <c r="M47" i="73"/>
  <c r="Q47" i="73"/>
  <c r="M53" i="73"/>
  <c r="Q25" i="73"/>
  <c r="H45" i="73" l="1"/>
  <c r="D45" i="73"/>
  <c r="D12" i="73" l="1"/>
  <c r="G12" i="73" s="1"/>
  <c r="G24" i="73" l="1"/>
  <c r="G11" i="73"/>
  <c r="H7" i="73"/>
  <c r="H12" i="73"/>
  <c r="Q36" i="73" l="1"/>
  <c r="H14" i="73" l="1"/>
  <c r="Q38" i="73" l="1"/>
  <c r="G25" i="73" l="1"/>
  <c r="Q21" i="73" l="1"/>
  <c r="Q16" i="73" l="1"/>
  <c r="Q34" i="73" l="1"/>
  <c r="Q28" i="73" l="1"/>
  <c r="Q9" i="73" l="1"/>
  <c r="H15" i="73" l="1"/>
  <c r="Q24" i="73" l="1"/>
  <c r="Q25" i="72" l="1"/>
  <c r="Q35" i="73" l="1"/>
  <c r="H13" i="73"/>
  <c r="H6" i="73"/>
  <c r="Q27" i="73" l="1"/>
  <c r="Q15" i="73" l="1"/>
  <c r="Q31" i="73" l="1"/>
  <c r="M47" i="72" l="1"/>
  <c r="D25" i="73" l="1"/>
  <c r="D26" i="73"/>
  <c r="N17" i="73"/>
  <c r="N18" i="73"/>
  <c r="H14" i="72" l="1"/>
  <c r="G27" i="72"/>
  <c r="H6" i="72"/>
  <c r="H10" i="72" l="1"/>
  <c r="M55" i="73" l="1"/>
  <c r="H50" i="73"/>
  <c r="D50" i="73"/>
  <c r="N44" i="73"/>
  <c r="N43" i="73"/>
  <c r="N42" i="73"/>
  <c r="O41" i="73"/>
  <c r="M41" i="73"/>
  <c r="L48" i="73" s="1"/>
  <c r="J41" i="73"/>
  <c r="E31" i="73"/>
  <c r="Q41" i="73"/>
  <c r="F28" i="73"/>
  <c r="H28" i="73" s="1"/>
  <c r="D28" i="74" s="1"/>
  <c r="F27" i="73"/>
  <c r="H27" i="73" s="1"/>
  <c r="D27" i="74" s="1"/>
  <c r="F27" i="74" s="1"/>
  <c r="H27" i="74" s="1"/>
  <c r="D27" i="75" s="1"/>
  <c r="F27" i="75" s="1"/>
  <c r="H27" i="75" s="1"/>
  <c r="D27" i="76" s="1"/>
  <c r="F27" i="76" s="1"/>
  <c r="H27" i="76" s="1"/>
  <c r="F26" i="73"/>
  <c r="F25" i="73"/>
  <c r="J23" i="73"/>
  <c r="G31" i="73"/>
  <c r="I21" i="73"/>
  <c r="F20" i="73"/>
  <c r="B36" i="73" s="1"/>
  <c r="E20" i="73"/>
  <c r="B34" i="73" s="1"/>
  <c r="C20" i="73"/>
  <c r="B38" i="73" s="1"/>
  <c r="O19" i="73"/>
  <c r="M19" i="73"/>
  <c r="I17" i="73"/>
  <c r="D17" i="74" s="1"/>
  <c r="G17" i="74" s="1"/>
  <c r="I17" i="74" s="1"/>
  <c r="D17" i="75" s="1"/>
  <c r="I12" i="73"/>
  <c r="D12" i="74" s="1"/>
  <c r="G12" i="74" s="1"/>
  <c r="I12" i="74" s="1"/>
  <c r="D12" i="75" s="1"/>
  <c r="G12" i="75" s="1"/>
  <c r="I12" i="75" s="1"/>
  <c r="D12" i="76" s="1"/>
  <c r="G12" i="76" s="1"/>
  <c r="I12" i="76" s="1"/>
  <c r="D12" i="77" s="1"/>
  <c r="G12" i="77" s="1"/>
  <c r="I12" i="77" s="1"/>
  <c r="D12" i="78" s="1"/>
  <c r="G12" i="78" s="1"/>
  <c r="I12" i="78" s="1"/>
  <c r="D12" i="79" s="1"/>
  <c r="G12" i="79" s="1"/>
  <c r="I12" i="79" s="1"/>
  <c r="D12" i="80" s="1"/>
  <c r="G12" i="80" s="1"/>
  <c r="I12" i="80" s="1"/>
  <c r="D12" i="81" s="1"/>
  <c r="I11" i="73"/>
  <c r="D11" i="74" s="1"/>
  <c r="G11" i="74" s="1"/>
  <c r="I11" i="74" s="1"/>
  <c r="D11" i="75" s="1"/>
  <c r="G11" i="75" s="1"/>
  <c r="I11" i="75" s="1"/>
  <c r="D11" i="76" s="1"/>
  <c r="G11" i="76" s="1"/>
  <c r="I11" i="76" s="1"/>
  <c r="D11" i="77" s="1"/>
  <c r="G11" i="77" s="1"/>
  <c r="I11" i="77" s="1"/>
  <c r="D11" i="78" s="1"/>
  <c r="G11" i="78" s="1"/>
  <c r="I11" i="78" s="1"/>
  <c r="D11" i="79" s="1"/>
  <c r="G11" i="79" s="1"/>
  <c r="I11" i="79" s="1"/>
  <c r="D11" i="80" s="1"/>
  <c r="G11" i="80" s="1"/>
  <c r="I11" i="80" s="1"/>
  <c r="D11" i="81" s="1"/>
  <c r="G11" i="81" s="1"/>
  <c r="I11" i="81" s="1"/>
  <c r="Q19" i="73"/>
  <c r="H20" i="73"/>
  <c r="H7" i="72"/>
  <c r="D21" i="80" l="1"/>
  <c r="D21" i="81"/>
  <c r="G12" i="81"/>
  <c r="D21" i="79"/>
  <c r="D21" i="78"/>
  <c r="D21" i="77"/>
  <c r="D21" i="76"/>
  <c r="D21" i="75"/>
  <c r="D21" i="74"/>
  <c r="D27" i="78"/>
  <c r="F27" i="78" s="1"/>
  <c r="H27" i="78" s="1"/>
  <c r="D27" i="79" s="1"/>
  <c r="F27" i="79" s="1"/>
  <c r="H27" i="79" s="1"/>
  <c r="D27" i="80" s="1"/>
  <c r="F27" i="80" s="1"/>
  <c r="H27" i="80" s="1"/>
  <c r="D27" i="81" s="1"/>
  <c r="F27" i="81" s="1"/>
  <c r="H27" i="81" s="1"/>
  <c r="D27" i="77"/>
  <c r="F27" i="77" s="1"/>
  <c r="H27" i="77" s="1"/>
  <c r="F28" i="74"/>
  <c r="H28" i="74" s="1"/>
  <c r="D28" i="75" s="1"/>
  <c r="F28" i="75" s="1"/>
  <c r="H28" i="75" s="1"/>
  <c r="D28" i="76" s="1"/>
  <c r="F28" i="76" s="1"/>
  <c r="H28" i="76" s="1"/>
  <c r="L44" i="73"/>
  <c r="M45" i="73" s="1"/>
  <c r="Q45" i="73" s="1"/>
  <c r="P32" i="74"/>
  <c r="G34" i="73"/>
  <c r="D35" i="73"/>
  <c r="H35" i="73" s="1"/>
  <c r="P44" i="73"/>
  <c r="Q55" i="73"/>
  <c r="I12" i="81" l="1"/>
  <c r="D28" i="78"/>
  <c r="F28" i="78" s="1"/>
  <c r="H28" i="78" s="1"/>
  <c r="D28" i="79" s="1"/>
  <c r="F28" i="79" s="1"/>
  <c r="H28" i="79" s="1"/>
  <c r="D28" i="80" s="1"/>
  <c r="F28" i="80" s="1"/>
  <c r="H28" i="80" s="1"/>
  <c r="D28" i="81" s="1"/>
  <c r="D28" i="77"/>
  <c r="F28" i="77" s="1"/>
  <c r="H28" i="77" s="1"/>
  <c r="R32" i="74"/>
  <c r="N32" i="75" s="1"/>
  <c r="P32" i="75" s="1"/>
  <c r="R32" i="75" s="1"/>
  <c r="N32" i="76" s="1"/>
  <c r="P32" i="76" s="1"/>
  <c r="R32" i="76" s="1"/>
  <c r="N32" i="77" s="1"/>
  <c r="P32" i="77" s="1"/>
  <c r="R32" i="77" s="1"/>
  <c r="N32" i="78" s="1"/>
  <c r="P32" i="78" s="1"/>
  <c r="G24" i="72"/>
  <c r="J23" i="72"/>
  <c r="G23" i="72"/>
  <c r="F28" i="81" l="1"/>
  <c r="R32" i="78"/>
  <c r="M55" i="78"/>
  <c r="M56" i="78" s="1"/>
  <c r="N32" i="79"/>
  <c r="P32" i="79" s="1"/>
  <c r="R32" i="79" s="1"/>
  <c r="P32" i="80" s="1"/>
  <c r="R32" i="80" s="1"/>
  <c r="R32" i="81" s="1"/>
  <c r="Q14" i="72"/>
  <c r="H28" i="81" l="1"/>
  <c r="Q29" i="72"/>
  <c r="G30" i="72" l="1"/>
  <c r="M56" i="71"/>
  <c r="H13" i="72"/>
  <c r="G25" i="72" l="1"/>
  <c r="Q38" i="72" l="1"/>
  <c r="Q40" i="72" l="1"/>
  <c r="H12" i="72" l="1"/>
  <c r="Q15" i="72" l="1"/>
  <c r="G28" i="72" l="1"/>
  <c r="Q16" i="72" l="1"/>
  <c r="Q10" i="72" l="1"/>
  <c r="Q36" i="72" l="1"/>
  <c r="Q32" i="72" l="1"/>
  <c r="Q7" i="72" l="1"/>
  <c r="G29" i="72" l="1"/>
  <c r="H9" i="72" l="1"/>
  <c r="Q28" i="72" l="1"/>
  <c r="Q11" i="72" l="1"/>
  <c r="J41" i="72" l="1"/>
  <c r="Q35" i="72" l="1"/>
  <c r="G30" i="71" l="1"/>
  <c r="N25" i="72" l="1"/>
  <c r="P25" i="72" s="1"/>
  <c r="R25" i="72" s="1"/>
  <c r="N25" i="73" s="1"/>
  <c r="P25" i="73" s="1"/>
  <c r="R25" i="73" s="1"/>
  <c r="N25" i="74" s="1"/>
  <c r="P25" i="74" s="1"/>
  <c r="R25" i="74" s="1"/>
  <c r="N42" i="72"/>
  <c r="N43" i="72"/>
  <c r="N44" i="72"/>
  <c r="N17" i="72"/>
  <c r="D25" i="72"/>
  <c r="F25" i="72" s="1"/>
  <c r="D26" i="72"/>
  <c r="Q47" i="72"/>
  <c r="Q55" i="72" s="1"/>
  <c r="H45" i="72"/>
  <c r="H50" i="72" s="1"/>
  <c r="D45" i="72"/>
  <c r="D50" i="72" s="1"/>
  <c r="O41" i="72"/>
  <c r="M41" i="72"/>
  <c r="L48" i="72" s="1"/>
  <c r="E31" i="72"/>
  <c r="P30" i="72"/>
  <c r="R30" i="72" s="1"/>
  <c r="N30" i="73" s="1"/>
  <c r="P30" i="73" s="1"/>
  <c r="R30" i="73" s="1"/>
  <c r="N30" i="74" s="1"/>
  <c r="P30" i="74" s="1"/>
  <c r="R30" i="74" s="1"/>
  <c r="N30" i="75" s="1"/>
  <c r="P30" i="75" s="1"/>
  <c r="R30" i="75" s="1"/>
  <c r="N30" i="76" s="1"/>
  <c r="P30" i="76" s="1"/>
  <c r="R30" i="76" s="1"/>
  <c r="N30" i="77" s="1"/>
  <c r="P30" i="77" s="1"/>
  <c r="R30" i="77" s="1"/>
  <c r="N30" i="78" s="1"/>
  <c r="P30" i="78" s="1"/>
  <c r="R30" i="78" s="1"/>
  <c r="F26" i="72"/>
  <c r="G31" i="72"/>
  <c r="Q41" i="72"/>
  <c r="I21" i="72"/>
  <c r="F20" i="72"/>
  <c r="B36" i="72" s="1"/>
  <c r="E20" i="72"/>
  <c r="C20" i="72"/>
  <c r="B38" i="72" s="1"/>
  <c r="O19" i="72"/>
  <c r="M19" i="72"/>
  <c r="N18" i="72"/>
  <c r="G17" i="72"/>
  <c r="I17" i="72" s="1"/>
  <c r="D17" i="73" s="1"/>
  <c r="P15" i="72"/>
  <c r="R15" i="72" s="1"/>
  <c r="N15" i="73" s="1"/>
  <c r="P15" i="73" s="1"/>
  <c r="R15" i="73" s="1"/>
  <c r="Q19" i="72"/>
  <c r="H20" i="72"/>
  <c r="N30" i="79" l="1"/>
  <c r="P30" i="79" s="1"/>
  <c r="R30" i="79" s="1"/>
  <c r="N30" i="80" s="1"/>
  <c r="P30" i="80" s="1"/>
  <c r="R30" i="80" s="1"/>
  <c r="N30" i="81" s="1"/>
  <c r="P30" i="81" s="1"/>
  <c r="R30" i="81" s="1"/>
  <c r="G34" i="72"/>
  <c r="B34" i="72"/>
  <c r="D35" i="72" s="1"/>
  <c r="H35" i="72" s="1"/>
  <c r="L44" i="72"/>
  <c r="M45" i="72" s="1"/>
  <c r="Q45" i="72" s="1"/>
  <c r="P44" i="72"/>
  <c r="M55" i="72"/>
  <c r="Q40" i="71" l="1"/>
  <c r="B38" i="70"/>
  <c r="Q38" i="71" l="1"/>
  <c r="Q15" i="71" l="1"/>
  <c r="M53" i="71"/>
  <c r="H6" i="70"/>
  <c r="G30" i="70"/>
  <c r="Q22" i="71" l="1"/>
  <c r="Q11" i="71" l="1"/>
  <c r="H10" i="71" l="1"/>
  <c r="Q14" i="71" l="1"/>
  <c r="G25" i="71" l="1"/>
  <c r="G28" i="71" l="1"/>
  <c r="Q34" i="71" l="1"/>
  <c r="Q36" i="71" l="1"/>
  <c r="Q32" i="71" l="1"/>
  <c r="Q28" i="71" l="1"/>
  <c r="H7" i="71" l="1"/>
  <c r="G29" i="71" l="1"/>
  <c r="Q27" i="71" l="1"/>
  <c r="H9" i="71" l="1"/>
  <c r="Q10" i="71" l="1"/>
  <c r="Q7" i="71" l="1"/>
  <c r="Q39" i="71" l="1"/>
  <c r="Q24" i="71" l="1"/>
  <c r="Q21" i="71" l="1"/>
  <c r="Q29" i="71" l="1"/>
  <c r="Q29" i="70" l="1"/>
  <c r="H45" i="71" l="1"/>
  <c r="D45" i="71"/>
  <c r="G27" i="71" l="1"/>
  <c r="Q9" i="71" l="1"/>
  <c r="N17" i="71" l="1"/>
  <c r="N18" i="71"/>
  <c r="D25" i="71"/>
  <c r="D26" i="71"/>
  <c r="H50" i="71"/>
  <c r="D50" i="71"/>
  <c r="M47" i="71"/>
  <c r="N44" i="71"/>
  <c r="N43" i="71"/>
  <c r="N42" i="71"/>
  <c r="Q41" i="71"/>
  <c r="O41" i="71"/>
  <c r="M41" i="71"/>
  <c r="L48" i="71" s="1"/>
  <c r="G31" i="71"/>
  <c r="E31" i="71"/>
  <c r="F26" i="71"/>
  <c r="F25" i="71"/>
  <c r="I21" i="71"/>
  <c r="H20" i="71"/>
  <c r="F20" i="71"/>
  <c r="B36" i="71" s="1"/>
  <c r="E20" i="71"/>
  <c r="B34" i="71" s="1"/>
  <c r="C20" i="71"/>
  <c r="B38" i="71" s="1"/>
  <c r="Q19" i="71"/>
  <c r="O19" i="71"/>
  <c r="M19" i="71"/>
  <c r="P15" i="71"/>
  <c r="R15" i="71" s="1"/>
  <c r="L44" i="71" l="1"/>
  <c r="M45" i="71" s="1"/>
  <c r="Q45" i="71" s="1"/>
  <c r="Q47" i="71"/>
  <c r="Q58" i="71" s="1"/>
  <c r="P44" i="71"/>
  <c r="G34" i="71"/>
  <c r="D35" i="71"/>
  <c r="H35" i="71" s="1"/>
  <c r="H18" i="70" l="1"/>
  <c r="Q40" i="70" l="1"/>
  <c r="Q9" i="70" l="1"/>
  <c r="Q26" i="70" l="1"/>
  <c r="Q24" i="70"/>
  <c r="Q39" i="70" l="1"/>
  <c r="Q28" i="70" l="1"/>
  <c r="Q31" i="70" l="1"/>
  <c r="Q36" i="70" l="1"/>
  <c r="Q38" i="70" l="1"/>
  <c r="H7" i="70" l="1"/>
  <c r="G25" i="70" l="1"/>
  <c r="G28" i="70" l="1"/>
  <c r="Q32" i="70" l="1"/>
  <c r="Q10" i="70" l="1"/>
  <c r="Q14" i="70" l="1"/>
  <c r="Q34" i="70" l="1"/>
  <c r="Q22" i="70" l="1"/>
  <c r="Q27" i="70" l="1"/>
  <c r="H19" i="70" l="1"/>
  <c r="Q36" i="69" l="1"/>
  <c r="H13" i="70"/>
  <c r="D25" i="70" l="1"/>
  <c r="D26" i="70"/>
  <c r="N17" i="70"/>
  <c r="N18" i="70"/>
  <c r="H50" i="70"/>
  <c r="D50" i="70"/>
  <c r="M47" i="70"/>
  <c r="M55" i="70" s="1"/>
  <c r="N44" i="70"/>
  <c r="N43" i="70"/>
  <c r="N42" i="70"/>
  <c r="Q41" i="70"/>
  <c r="O41" i="70"/>
  <c r="M41" i="70"/>
  <c r="L48" i="70" s="1"/>
  <c r="G31" i="70"/>
  <c r="E31" i="70"/>
  <c r="F26" i="70"/>
  <c r="F25" i="70"/>
  <c r="I21" i="70"/>
  <c r="H20" i="70"/>
  <c r="F20" i="70"/>
  <c r="B36" i="70" s="1"/>
  <c r="E20" i="70"/>
  <c r="B34" i="70" s="1"/>
  <c r="C20" i="70"/>
  <c r="Q19" i="70"/>
  <c r="O19" i="70"/>
  <c r="M19" i="70"/>
  <c r="G18" i="70"/>
  <c r="I18" i="70" s="1"/>
  <c r="D18" i="71" s="1"/>
  <c r="G18" i="71" s="1"/>
  <c r="I18" i="71" s="1"/>
  <c r="P15" i="70"/>
  <c r="R15" i="70" s="1"/>
  <c r="G27" i="69"/>
  <c r="G18" i="72" l="1"/>
  <c r="L44" i="70"/>
  <c r="M45" i="70" s="1"/>
  <c r="Q45" i="70" s="1"/>
  <c r="Q47" i="70"/>
  <c r="Q55" i="70" s="1"/>
  <c r="D35" i="70"/>
  <c r="H35" i="70" s="1"/>
  <c r="P44" i="70"/>
  <c r="G34" i="70"/>
  <c r="H17" i="69"/>
  <c r="I18" i="72" l="1"/>
  <c r="D18" i="73" s="1"/>
  <c r="G18" i="73" s="1"/>
  <c r="I18" i="73" s="1"/>
  <c r="D18" i="74" s="1"/>
  <c r="G18" i="74" s="1"/>
  <c r="I18" i="74" s="1"/>
  <c r="D18" i="75" s="1"/>
  <c r="G18" i="75" s="1"/>
  <c r="I18" i="75" s="1"/>
  <c r="D18" i="76" s="1"/>
  <c r="G18" i="76" s="1"/>
  <c r="I18" i="76" s="1"/>
  <c r="D18" i="77" s="1"/>
  <c r="G18" i="77" s="1"/>
  <c r="I18" i="77" s="1"/>
  <c r="D18" i="78" s="1"/>
  <c r="G18" i="78" s="1"/>
  <c r="I18" i="78" s="1"/>
  <c r="D18" i="79" s="1"/>
  <c r="G18" i="79" s="1"/>
  <c r="I18" i="79" s="1"/>
  <c r="D18" i="80" s="1"/>
  <c r="G18" i="80" s="1"/>
  <c r="I18" i="80" s="1"/>
  <c r="D18" i="81" s="1"/>
  <c r="G18" i="81" s="1"/>
  <c r="I18" i="81" s="1"/>
  <c r="Q40" i="69"/>
  <c r="G30" i="69" l="1"/>
  <c r="G29" i="69"/>
  <c r="G28" i="69"/>
  <c r="H18" i="69"/>
  <c r="H6" i="69"/>
  <c r="Q38" i="69"/>
  <c r="Q32" i="69"/>
  <c r="Q26" i="69"/>
  <c r="Q12" i="69" l="1"/>
  <c r="G23" i="69" l="1"/>
  <c r="Q25" i="69" l="1"/>
  <c r="Q24" i="69" l="1"/>
  <c r="Q29" i="69" l="1"/>
  <c r="Q21" i="69" l="1"/>
  <c r="H45" i="69" l="1"/>
  <c r="D45" i="69"/>
  <c r="C20" i="69"/>
  <c r="B38" i="69" s="1"/>
  <c r="G17" i="69"/>
  <c r="G19" i="69"/>
  <c r="I19" i="69" s="1"/>
  <c r="D19" i="70" s="1"/>
  <c r="G19" i="70" s="1"/>
  <c r="I19" i="70" s="1"/>
  <c r="D19" i="71" s="1"/>
  <c r="G19" i="71" s="1"/>
  <c r="I19" i="71" s="1"/>
  <c r="D19" i="72" s="1"/>
  <c r="G19" i="72" s="1"/>
  <c r="I19" i="72" s="1"/>
  <c r="D19" i="73" s="1"/>
  <c r="G19" i="73" s="1"/>
  <c r="I19" i="73" s="1"/>
  <c r="D19" i="74" s="1"/>
  <c r="G19" i="74" s="1"/>
  <c r="I19" i="74" s="1"/>
  <c r="D19" i="75" s="1"/>
  <c r="G19" i="75" s="1"/>
  <c r="I19" i="75" s="1"/>
  <c r="D19" i="76" s="1"/>
  <c r="G19" i="76" s="1"/>
  <c r="I19" i="76" s="1"/>
  <c r="D19" i="77" s="1"/>
  <c r="G19" i="77" s="1"/>
  <c r="I19" i="77" s="1"/>
  <c r="D19" i="78" s="1"/>
  <c r="G19" i="78" s="1"/>
  <c r="I19" i="78" s="1"/>
  <c r="D19" i="79" s="1"/>
  <c r="G19" i="79" s="1"/>
  <c r="I19" i="79" s="1"/>
  <c r="D19" i="80" s="1"/>
  <c r="G19" i="80" s="1"/>
  <c r="I19" i="80" s="1"/>
  <c r="D19" i="81" s="1"/>
  <c r="G19" i="81" s="1"/>
  <c r="I19" i="81" s="1"/>
  <c r="P40" i="68" l="1"/>
  <c r="D25" i="69" l="1"/>
  <c r="F25" i="69" s="1"/>
  <c r="D26" i="69"/>
  <c r="F26" i="69" s="1"/>
  <c r="N17" i="69"/>
  <c r="N18" i="69"/>
  <c r="D50" i="69"/>
  <c r="M47" i="69"/>
  <c r="M55" i="69" s="1"/>
  <c r="H50" i="69"/>
  <c r="N44" i="69"/>
  <c r="N43" i="69"/>
  <c r="N42" i="69"/>
  <c r="O41" i="69"/>
  <c r="M41" i="69"/>
  <c r="L48" i="69" s="1"/>
  <c r="G31" i="69"/>
  <c r="E31" i="69"/>
  <c r="Q41" i="69"/>
  <c r="I21" i="69"/>
  <c r="F20" i="69"/>
  <c r="B36" i="69" s="1"/>
  <c r="E20" i="69"/>
  <c r="O19" i="69"/>
  <c r="M19" i="69"/>
  <c r="I17" i="69"/>
  <c r="D17" i="70" s="1"/>
  <c r="G17" i="70" s="1"/>
  <c r="I17" i="70" s="1"/>
  <c r="D17" i="71" s="1"/>
  <c r="Q19" i="69"/>
  <c r="H20" i="69"/>
  <c r="G17" i="71" l="1"/>
  <c r="P44" i="69"/>
  <c r="B34" i="69"/>
  <c r="D35" i="69" s="1"/>
  <c r="H35" i="69" s="1"/>
  <c r="L44" i="69"/>
  <c r="M45" i="69" s="1"/>
  <c r="Q45" i="69" s="1"/>
  <c r="G34" i="69"/>
  <c r="Q47" i="69"/>
  <c r="Q55" i="69" s="1"/>
  <c r="L47" i="68"/>
  <c r="L55" i="68" s="1"/>
  <c r="P47" i="66"/>
  <c r="P55" i="66" s="1"/>
  <c r="L48" i="66"/>
  <c r="L55" i="66" s="1"/>
  <c r="P36" i="68"/>
  <c r="M42" i="68"/>
  <c r="M43" i="68"/>
  <c r="M44" i="68"/>
  <c r="P25" i="68"/>
  <c r="P24" i="68"/>
  <c r="P33" i="66"/>
  <c r="P33" i="65"/>
  <c r="P15" i="68"/>
  <c r="P47" i="68" l="1"/>
  <c r="P55" i="68" s="1"/>
  <c r="P30" i="68"/>
  <c r="P15" i="67" l="1"/>
  <c r="G6" i="68"/>
  <c r="G19" i="68"/>
  <c r="F30" i="68"/>
  <c r="G7" i="68"/>
  <c r="P28" i="68"/>
  <c r="P38" i="68"/>
  <c r="P37" i="68"/>
  <c r="P26" i="68"/>
  <c r="P21" i="68" l="1"/>
  <c r="P35" i="68" l="1"/>
  <c r="H61" i="67" l="1"/>
  <c r="P40" i="67" l="1"/>
  <c r="P10" i="67"/>
  <c r="N10" i="67"/>
  <c r="P21" i="67"/>
  <c r="P30" i="67"/>
  <c r="P40" i="65" l="1"/>
  <c r="C26" i="68" l="1"/>
  <c r="M17" i="68"/>
  <c r="M18" i="68"/>
  <c r="C50" i="68"/>
  <c r="G45" i="68"/>
  <c r="G50" i="68" s="1"/>
  <c r="P41" i="68"/>
  <c r="N41" i="68"/>
  <c r="L41" i="68"/>
  <c r="K48" i="68" s="1"/>
  <c r="F31" i="68"/>
  <c r="D31" i="68"/>
  <c r="E26" i="68"/>
  <c r="H21" i="68"/>
  <c r="G20" i="68"/>
  <c r="E20" i="68"/>
  <c r="B36" i="68" s="1"/>
  <c r="D20" i="68"/>
  <c r="P19" i="68"/>
  <c r="N19" i="68"/>
  <c r="L19" i="68"/>
  <c r="F14" i="68"/>
  <c r="H14" i="68" s="1"/>
  <c r="D14" i="69" s="1"/>
  <c r="G14" i="69" s="1"/>
  <c r="I14" i="69" s="1"/>
  <c r="D14" i="70" s="1"/>
  <c r="G14" i="70" s="1"/>
  <c r="I14" i="70" s="1"/>
  <c r="D14" i="71" s="1"/>
  <c r="G14" i="71" s="1"/>
  <c r="I14" i="71" s="1"/>
  <c r="D14" i="72" s="1"/>
  <c r="G14" i="72" s="1"/>
  <c r="I14" i="72" s="1"/>
  <c r="F13" i="68"/>
  <c r="H13" i="68" s="1"/>
  <c r="D13" i="69" s="1"/>
  <c r="G13" i="69" s="1"/>
  <c r="I13" i="69" s="1"/>
  <c r="D13" i="70" s="1"/>
  <c r="G13" i="70" s="1"/>
  <c r="I13" i="70" s="1"/>
  <c r="D13" i="71" s="1"/>
  <c r="G13" i="71" s="1"/>
  <c r="I13" i="71" s="1"/>
  <c r="D13" i="72" s="1"/>
  <c r="G13" i="72" s="1"/>
  <c r="I13" i="72" s="1"/>
  <c r="D13" i="73" s="1"/>
  <c r="G13" i="73" s="1"/>
  <c r="H10" i="68"/>
  <c r="D10" i="69" s="1"/>
  <c r="G10" i="69" s="1"/>
  <c r="I10" i="69" s="1"/>
  <c r="D10" i="70" s="1"/>
  <c r="I13" i="73" l="1"/>
  <c r="D13" i="74" s="1"/>
  <c r="G13" i="74" s="1"/>
  <c r="I13" i="74" s="1"/>
  <c r="D13" i="75" s="1"/>
  <c r="D14" i="73"/>
  <c r="G14" i="73" s="1"/>
  <c r="I14" i="73" s="1"/>
  <c r="D14" i="74" s="1"/>
  <c r="G14" i="74" s="1"/>
  <c r="I14" i="74" s="1"/>
  <c r="D14" i="75" s="1"/>
  <c r="G14" i="75" s="1"/>
  <c r="I14" i="75" s="1"/>
  <c r="D14" i="76" s="1"/>
  <c r="G14" i="76" s="1"/>
  <c r="I14" i="76" s="1"/>
  <c r="G10" i="70"/>
  <c r="F34" i="68"/>
  <c r="O44" i="68"/>
  <c r="B34" i="68"/>
  <c r="C35" i="68" s="1"/>
  <c r="G35" i="68" s="1"/>
  <c r="K44" i="68"/>
  <c r="G13" i="75" l="1"/>
  <c r="I13" i="75" s="1"/>
  <c r="D13" i="76" s="1"/>
  <c r="G13" i="76" s="1"/>
  <c r="I13" i="76" s="1"/>
  <c r="I10" i="70"/>
  <c r="D10" i="71" s="1"/>
  <c r="G10" i="71" s="1"/>
  <c r="I10" i="71" s="1"/>
  <c r="D10" i="72" s="1"/>
  <c r="G10" i="72" s="1"/>
  <c r="I10" i="72" s="1"/>
  <c r="D10" i="73" s="1"/>
  <c r="G10" i="73" s="1"/>
  <c r="I10" i="73" s="1"/>
  <c r="D10" i="74" s="1"/>
  <c r="G10" i="74" s="1"/>
  <c r="I10" i="74" s="1"/>
  <c r="D10" i="75" s="1"/>
  <c r="G10" i="75" s="1"/>
  <c r="I10" i="75" s="1"/>
  <c r="D10" i="76" s="1"/>
  <c r="G10" i="76" s="1"/>
  <c r="I10" i="76" s="1"/>
  <c r="D10" i="77" s="1"/>
  <c r="G10" i="77" s="1"/>
  <c r="I10" i="77" s="1"/>
  <c r="D10" i="78" s="1"/>
  <c r="G10" i="78" s="1"/>
  <c r="I10" i="78" s="1"/>
  <c r="D10" i="79" s="1"/>
  <c r="G10" i="79" s="1"/>
  <c r="I10" i="79" s="1"/>
  <c r="D10" i="80" s="1"/>
  <c r="G10" i="80" s="1"/>
  <c r="I10" i="80" s="1"/>
  <c r="D10" i="81" s="1"/>
  <c r="G10" i="81" s="1"/>
  <c r="I10" i="81" s="1"/>
  <c r="L45" i="68"/>
  <c r="P45" i="68" s="1"/>
  <c r="P38" i="67"/>
  <c r="G19" i="67" l="1"/>
  <c r="P7" i="67" l="1"/>
  <c r="F24" i="67" l="1"/>
  <c r="P14" i="67" l="1"/>
  <c r="P11" i="67" l="1"/>
  <c r="G6" i="67" l="1"/>
  <c r="P22" i="67" l="1"/>
  <c r="F28" i="67" l="1"/>
  <c r="G9" i="67" l="1"/>
  <c r="P13" i="67" l="1"/>
  <c r="P12" i="67"/>
  <c r="F29" i="67" l="1"/>
  <c r="P24" i="67" l="1"/>
  <c r="P38" i="65" l="1"/>
  <c r="P29" i="67" l="1"/>
  <c r="F25" i="67" l="1"/>
  <c r="P27" i="67" l="1"/>
  <c r="F30" i="67" l="1"/>
  <c r="F23" i="67"/>
  <c r="P34" i="67" l="1"/>
  <c r="P9" i="67" l="1"/>
  <c r="P35" i="67" l="1"/>
  <c r="P41" i="67" s="1"/>
  <c r="P40" i="66" l="1"/>
  <c r="M36" i="67" l="1"/>
  <c r="M17" i="67"/>
  <c r="M18" i="67"/>
  <c r="C26" i="67"/>
  <c r="E26" i="67" s="1"/>
  <c r="P55" i="67"/>
  <c r="L55" i="67"/>
  <c r="G45" i="67"/>
  <c r="G51" i="67" s="1"/>
  <c r="C45" i="67"/>
  <c r="C51" i="67" s="1"/>
  <c r="N41" i="67"/>
  <c r="L41" i="67"/>
  <c r="O36" i="67"/>
  <c r="Q36" i="67" s="1"/>
  <c r="M36" i="68" s="1"/>
  <c r="O36" i="68" s="1"/>
  <c r="Q36" i="68" s="1"/>
  <c r="N36" i="69" s="1"/>
  <c r="P36" i="69" s="1"/>
  <c r="R36" i="69" s="1"/>
  <c r="N36" i="70" s="1"/>
  <c r="D31" i="67"/>
  <c r="F31" i="67"/>
  <c r="H21" i="67"/>
  <c r="E20" i="67"/>
  <c r="B36" i="67" s="1"/>
  <c r="D20" i="67"/>
  <c r="N19" i="67"/>
  <c r="L19" i="67"/>
  <c r="R18" i="67"/>
  <c r="F14" i="67"/>
  <c r="H14" i="67" s="1"/>
  <c r="C14" i="68" s="1"/>
  <c r="F13" i="67"/>
  <c r="H13" i="67" s="1"/>
  <c r="C13" i="68" s="1"/>
  <c r="F12" i="68" s="1"/>
  <c r="H12" i="68" s="1"/>
  <c r="D12" i="69" s="1"/>
  <c r="G12" i="69" s="1"/>
  <c r="I12" i="69" s="1"/>
  <c r="D12" i="70" s="1"/>
  <c r="G12" i="70" s="1"/>
  <c r="I12" i="70" s="1"/>
  <c r="D12" i="71" s="1"/>
  <c r="G12" i="71" s="1"/>
  <c r="I12" i="71" s="1"/>
  <c r="G12" i="72" s="1"/>
  <c r="I12" i="72" s="1"/>
  <c r="H10" i="67"/>
  <c r="C10" i="68" s="1"/>
  <c r="P19" i="67"/>
  <c r="O44" i="67" s="1"/>
  <c r="G20" i="67"/>
  <c r="P36" i="70" l="1"/>
  <c r="R36" i="70" s="1"/>
  <c r="N36" i="71" s="1"/>
  <c r="P36" i="71" s="1"/>
  <c r="R36" i="71" s="1"/>
  <c r="N36" i="72" s="1"/>
  <c r="P36" i="72" s="1"/>
  <c r="R36" i="72" s="1"/>
  <c r="N36" i="73" s="1"/>
  <c r="P36" i="73" s="1"/>
  <c r="R36" i="73" s="1"/>
  <c r="N36" i="74" s="1"/>
  <c r="P36" i="74" s="1"/>
  <c r="R36" i="74" s="1"/>
  <c r="N36" i="75" s="1"/>
  <c r="P36" i="75" s="1"/>
  <c r="R36" i="75" s="1"/>
  <c r="N36" i="76" s="1"/>
  <c r="P36" i="76" s="1"/>
  <c r="R36" i="76" s="1"/>
  <c r="N36" i="77" s="1"/>
  <c r="P36" i="77" s="1"/>
  <c r="R36" i="77" s="1"/>
  <c r="N36" i="78" s="1"/>
  <c r="P36" i="78" s="1"/>
  <c r="R36" i="78" s="1"/>
  <c r="B34" i="67"/>
  <c r="C35" i="67" s="1"/>
  <c r="G35" i="67" s="1"/>
  <c r="K44" i="67"/>
  <c r="L45" i="67" s="1"/>
  <c r="P45" i="67" s="1"/>
  <c r="F34" i="67"/>
  <c r="G6" i="66"/>
  <c r="N36" i="79" l="1"/>
  <c r="P36" i="79" s="1"/>
  <c r="R36" i="79" s="1"/>
  <c r="N36" i="80" s="1"/>
  <c r="P36" i="80" s="1"/>
  <c r="R36" i="80" s="1"/>
  <c r="N36" i="81" s="1"/>
  <c r="P36" i="81" s="1"/>
  <c r="R36" i="81" s="1"/>
  <c r="G19" i="66"/>
  <c r="F27" i="66" l="1"/>
  <c r="L54" i="65" l="1"/>
  <c r="P22" i="66"/>
  <c r="P15" i="66"/>
  <c r="G7" i="66" l="1"/>
  <c r="P26" i="66" l="1"/>
  <c r="F24" i="66" l="1"/>
  <c r="F28" i="66" l="1"/>
  <c r="P34" i="66" l="1"/>
  <c r="P30" i="66" l="1"/>
  <c r="G9" i="66" l="1"/>
  <c r="P36" i="66" l="1"/>
  <c r="P7" i="66" l="1"/>
  <c r="F29" i="66" l="1"/>
  <c r="F30" i="66" l="1"/>
  <c r="P31" i="66"/>
  <c r="P27" i="66" l="1"/>
  <c r="P24" i="66" l="1"/>
  <c r="P29" i="66" l="1"/>
  <c r="P13" i="66" l="1"/>
  <c r="P38" i="66" l="1"/>
  <c r="P35" i="66" l="1"/>
  <c r="P37" i="65" l="1"/>
  <c r="C26" i="66" l="1"/>
  <c r="E26" i="66" s="1"/>
  <c r="M36" i="66"/>
  <c r="O36" i="66" s="1"/>
  <c r="M17" i="66"/>
  <c r="M18" i="66"/>
  <c r="G45" i="66"/>
  <c r="G50" i="66" s="1"/>
  <c r="C45" i="66"/>
  <c r="C50" i="66" s="1"/>
  <c r="N41" i="66"/>
  <c r="L41" i="66"/>
  <c r="K48" i="66" s="1"/>
  <c r="O32" i="66"/>
  <c r="E51" i="66" s="1"/>
  <c r="D31" i="66"/>
  <c r="O25" i="66"/>
  <c r="Q25" i="66" s="1"/>
  <c r="M25" i="67" s="1"/>
  <c r="O25" i="67" s="1"/>
  <c r="Q25" i="67" s="1"/>
  <c r="F31" i="66"/>
  <c r="P41" i="66"/>
  <c r="H21" i="66"/>
  <c r="E20" i="66"/>
  <c r="B36" i="66" s="1"/>
  <c r="D20" i="66"/>
  <c r="N19" i="66"/>
  <c r="L19" i="66"/>
  <c r="R18" i="66"/>
  <c r="O15" i="66"/>
  <c r="Q15" i="66" s="1"/>
  <c r="M15" i="67" s="1"/>
  <c r="O15" i="67" s="1"/>
  <c r="Q15" i="67" s="1"/>
  <c r="M15" i="68" s="1"/>
  <c r="O15" i="68" s="1"/>
  <c r="Q15" i="68" s="1"/>
  <c r="P15" i="69" s="1"/>
  <c r="R15" i="69" s="1"/>
  <c r="F14" i="66"/>
  <c r="H14" i="66" s="1"/>
  <c r="C14" i="67" s="1"/>
  <c r="P19" i="66"/>
  <c r="G20" i="66"/>
  <c r="F13" i="66"/>
  <c r="H10" i="66"/>
  <c r="C10" i="67" s="1"/>
  <c r="O33" i="65"/>
  <c r="Q33" i="65" s="1"/>
  <c r="O33" i="66" s="1"/>
  <c r="Q33" i="66" s="1"/>
  <c r="O33" i="67" s="1"/>
  <c r="Q33" i="67" s="1"/>
  <c r="M33" i="68" s="1"/>
  <c r="M25" i="68" l="1"/>
  <c r="O25" i="68" s="1"/>
  <c r="Q25" i="68" s="1"/>
  <c r="N25" i="69" s="1"/>
  <c r="P25" i="69" s="1"/>
  <c r="R25" i="69" s="1"/>
  <c r="N25" i="70" s="1"/>
  <c r="P25" i="70" s="1"/>
  <c r="R25" i="70" s="1"/>
  <c r="N25" i="71" s="1"/>
  <c r="P25" i="71" s="1"/>
  <c r="B34" i="66"/>
  <c r="C35" i="66" s="1"/>
  <c r="G35" i="66" s="1"/>
  <c r="F34" i="66"/>
  <c r="K44" i="66"/>
  <c r="H13" i="66"/>
  <c r="C13" i="67" s="1"/>
  <c r="F12" i="67" s="1"/>
  <c r="H12" i="67" s="1"/>
  <c r="C12" i="68" s="1"/>
  <c r="F11" i="68" s="1"/>
  <c r="H11" i="68" s="1"/>
  <c r="D11" i="69" s="1"/>
  <c r="G11" i="69" s="1"/>
  <c r="I11" i="69" s="1"/>
  <c r="D11" i="70" s="1"/>
  <c r="G11" i="70" s="1"/>
  <c r="I11" i="70" s="1"/>
  <c r="D11" i="71" s="1"/>
  <c r="G11" i="71" s="1"/>
  <c r="I11" i="71" s="1"/>
  <c r="D11" i="72" s="1"/>
  <c r="G11" i="72" s="1"/>
  <c r="I11" i="72" s="1"/>
  <c r="D11" i="73" s="1"/>
  <c r="O44" i="66"/>
  <c r="Q32" i="66"/>
  <c r="M32" i="67" s="1"/>
  <c r="O32" i="67" s="1"/>
  <c r="P21" i="65"/>
  <c r="E52" i="67" l="1"/>
  <c r="Q32" i="67"/>
  <c r="O33" i="68"/>
  <c r="Q33" i="68" s="1"/>
  <c r="N33" i="69" s="1"/>
  <c r="P33" i="69" s="1"/>
  <c r="R33" i="69" s="1"/>
  <c r="N33" i="70" s="1"/>
  <c r="P33" i="70" s="1"/>
  <c r="R33" i="70" s="1"/>
  <c r="N33" i="71" s="1"/>
  <c r="P33" i="71" s="1"/>
  <c r="R33" i="71" s="1"/>
  <c r="N33" i="72" s="1"/>
  <c r="P33" i="72" s="1"/>
  <c r="R33" i="72" s="1"/>
  <c r="N33" i="73" s="1"/>
  <c r="P33" i="73" s="1"/>
  <c r="R33" i="73" s="1"/>
  <c r="N33" i="74" s="1"/>
  <c r="P33" i="74" s="1"/>
  <c r="R33" i="74" s="1"/>
  <c r="N33" i="75" s="1"/>
  <c r="P33" i="75" s="1"/>
  <c r="R33" i="75" s="1"/>
  <c r="N33" i="76" s="1"/>
  <c r="P33" i="76" s="1"/>
  <c r="R33" i="76" s="1"/>
  <c r="N33" i="77" s="1"/>
  <c r="P33" i="77" s="1"/>
  <c r="R33" i="77" s="1"/>
  <c r="N33" i="78" s="1"/>
  <c r="P33" i="78" s="1"/>
  <c r="R33" i="78" s="1"/>
  <c r="L45" i="66"/>
  <c r="P45" i="66" s="1"/>
  <c r="F30" i="65"/>
  <c r="N33" i="79" l="1"/>
  <c r="P33" i="79" s="1"/>
  <c r="R33" i="79" s="1"/>
  <c r="N33" i="80" s="1"/>
  <c r="P33" i="80" s="1"/>
  <c r="R33" i="80" s="1"/>
  <c r="N33" i="81" s="1"/>
  <c r="P33" i="81" s="1"/>
  <c r="R33" i="81" s="1"/>
  <c r="M32" i="68"/>
  <c r="O32" i="68" s="1"/>
  <c r="P15" i="64"/>
  <c r="Q32" i="68" l="1"/>
  <c r="N32" i="69" s="1"/>
  <c r="P32" i="69" s="1"/>
  <c r="R32" i="69" s="1"/>
  <c r="N32" i="70" s="1"/>
  <c r="P32" i="70" s="1"/>
  <c r="R32" i="70" s="1"/>
  <c r="N32" i="71" s="1"/>
  <c r="P32" i="71" s="1"/>
  <c r="R32" i="71" s="1"/>
  <c r="N32" i="72" s="1"/>
  <c r="P32" i="72" s="1"/>
  <c r="R32" i="72" s="1"/>
  <c r="N32" i="73" s="1"/>
  <c r="P32" i="73" s="1"/>
  <c r="R32" i="73" s="1"/>
  <c r="P14" i="65"/>
  <c r="G13" i="65"/>
  <c r="G7" i="65"/>
  <c r="G6" i="65"/>
  <c r="F25" i="65"/>
  <c r="G19" i="65" l="1"/>
  <c r="P30" i="65" l="1"/>
  <c r="P36" i="65" l="1"/>
  <c r="P13" i="65" l="1"/>
  <c r="F23" i="65" l="1"/>
  <c r="P34" i="65" l="1"/>
  <c r="F27" i="65" l="1"/>
  <c r="F31" i="65" s="1"/>
  <c r="P29" i="65" l="1"/>
  <c r="P24" i="65"/>
  <c r="P26" i="65" l="1"/>
  <c r="P22" i="65"/>
  <c r="F25" i="64" l="1"/>
  <c r="C26" i="65" l="1"/>
  <c r="P55" i="65"/>
  <c r="L55" i="65"/>
  <c r="P47" i="65"/>
  <c r="L47" i="65"/>
  <c r="G45" i="65"/>
  <c r="G50" i="65" s="1"/>
  <c r="C45" i="65"/>
  <c r="C50" i="65" s="1"/>
  <c r="N41" i="65"/>
  <c r="L41" i="65"/>
  <c r="D31" i="65"/>
  <c r="E26" i="65"/>
  <c r="P41" i="65"/>
  <c r="H21" i="65"/>
  <c r="E20" i="65"/>
  <c r="B36" i="65" s="1"/>
  <c r="D20" i="65"/>
  <c r="N19" i="65"/>
  <c r="L19" i="65"/>
  <c r="R18" i="65"/>
  <c r="M18" i="65"/>
  <c r="F18" i="65"/>
  <c r="H18" i="65" s="1"/>
  <c r="C18" i="66" s="1"/>
  <c r="F18" i="66" s="1"/>
  <c r="H18" i="66" s="1"/>
  <c r="C18" i="67" s="1"/>
  <c r="F18" i="67" s="1"/>
  <c r="H18" i="67" s="1"/>
  <c r="C18" i="68" s="1"/>
  <c r="F18" i="68" s="1"/>
  <c r="H18" i="68" s="1"/>
  <c r="D18" i="69" s="1"/>
  <c r="G18" i="69" s="1"/>
  <c r="I18" i="69" s="1"/>
  <c r="M17" i="65"/>
  <c r="O15" i="65"/>
  <c r="Q15" i="65" s="1"/>
  <c r="F14" i="65"/>
  <c r="H14" i="65" s="1"/>
  <c r="C14" i="66" s="1"/>
  <c r="F13" i="65"/>
  <c r="H13" i="65" s="1"/>
  <c r="C13" i="66" s="1"/>
  <c r="F12" i="66" s="1"/>
  <c r="H12" i="66" s="1"/>
  <c r="C12" i="67" s="1"/>
  <c r="F11" i="67" s="1"/>
  <c r="H11" i="67" s="1"/>
  <c r="C11" i="68" s="1"/>
  <c r="P19" i="65"/>
  <c r="G20" i="65"/>
  <c r="B34" i="65" l="1"/>
  <c r="K44" i="65"/>
  <c r="L45" i="65" s="1"/>
  <c r="P45" i="65" s="1"/>
  <c r="C35" i="65"/>
  <c r="G35" i="65" s="1"/>
  <c r="O44" i="65"/>
  <c r="F34" i="65"/>
  <c r="F25" i="62"/>
  <c r="F28" i="64"/>
  <c r="P22" i="64" l="1"/>
  <c r="P40" i="64" l="1"/>
  <c r="P25" i="64"/>
  <c r="P32" i="64" l="1"/>
  <c r="F30" i="64" l="1"/>
  <c r="P40" i="60"/>
  <c r="Q40" i="59"/>
  <c r="P40" i="63"/>
  <c r="P21" i="64" l="1"/>
  <c r="P26" i="64" l="1"/>
  <c r="P33" i="64" l="1"/>
  <c r="P24" i="64"/>
  <c r="P38" i="64"/>
  <c r="F25" i="63" l="1"/>
  <c r="R18" i="64"/>
  <c r="G6" i="64" l="1"/>
  <c r="G7" i="64" l="1"/>
  <c r="P16" i="64" l="1"/>
  <c r="P37" i="64" l="1"/>
  <c r="P11" i="64" l="1"/>
  <c r="G19" i="64"/>
  <c r="F27" i="64" l="1"/>
  <c r="P32" i="63" l="1"/>
  <c r="C26" i="64" l="1"/>
  <c r="E20" i="64"/>
  <c r="B36" i="64" s="1"/>
  <c r="P55" i="64"/>
  <c r="L55" i="64"/>
  <c r="P47" i="64"/>
  <c r="L47" i="64"/>
  <c r="G45" i="64"/>
  <c r="G50" i="64" s="1"/>
  <c r="C45" i="64"/>
  <c r="N41" i="64"/>
  <c r="L41" i="64"/>
  <c r="D31" i="64"/>
  <c r="O28" i="64"/>
  <c r="Q28" i="64" s="1"/>
  <c r="M28" i="65" s="1"/>
  <c r="O28" i="65" s="1"/>
  <c r="Q28" i="65" s="1"/>
  <c r="M28" i="66" s="1"/>
  <c r="O28" i="66" s="1"/>
  <c r="Q28" i="66" s="1"/>
  <c r="M28" i="67" s="1"/>
  <c r="O28" i="67" s="1"/>
  <c r="Q28" i="67" s="1"/>
  <c r="E26" i="64"/>
  <c r="F31" i="64"/>
  <c r="P41" i="64"/>
  <c r="H21" i="64"/>
  <c r="D20" i="64"/>
  <c r="N19" i="64"/>
  <c r="L19" i="64"/>
  <c r="M18" i="64"/>
  <c r="M17" i="64"/>
  <c r="O15" i="64"/>
  <c r="Q15" i="64" s="1"/>
  <c r="F15" i="64"/>
  <c r="H15" i="64" s="1"/>
  <c r="C15" i="65" s="1"/>
  <c r="F15" i="65" s="1"/>
  <c r="H15" i="65" s="1"/>
  <c r="C15" i="66" s="1"/>
  <c r="F15" i="66" s="1"/>
  <c r="H15" i="66" s="1"/>
  <c r="C15" i="67" s="1"/>
  <c r="F15" i="67" s="1"/>
  <c r="H15" i="67" s="1"/>
  <c r="C15" i="68" s="1"/>
  <c r="F15" i="68" s="1"/>
  <c r="H15" i="68" s="1"/>
  <c r="D15" i="69" s="1"/>
  <c r="G15" i="69" s="1"/>
  <c r="I15" i="69" s="1"/>
  <c r="D15" i="70" s="1"/>
  <c r="G15" i="70" s="1"/>
  <c r="I15" i="70" s="1"/>
  <c r="D15" i="71" s="1"/>
  <c r="G15" i="71" s="1"/>
  <c r="I15" i="71" s="1"/>
  <c r="D15" i="72" s="1"/>
  <c r="G15" i="72" s="1"/>
  <c r="I15" i="72" s="1"/>
  <c r="D15" i="73" s="1"/>
  <c r="G15" i="73" s="1"/>
  <c r="I15" i="73" s="1"/>
  <c r="D15" i="74" s="1"/>
  <c r="G15" i="74" s="1"/>
  <c r="I15" i="74" s="1"/>
  <c r="D15" i="75" s="1"/>
  <c r="G15" i="75" s="1"/>
  <c r="I15" i="75" s="1"/>
  <c r="D15" i="76" s="1"/>
  <c r="G15" i="76" s="1"/>
  <c r="I15" i="76" s="1"/>
  <c r="D15" i="77" s="1"/>
  <c r="G15" i="77" s="1"/>
  <c r="I15" i="77" s="1"/>
  <c r="D15" i="78" s="1"/>
  <c r="G15" i="78" s="1"/>
  <c r="I15" i="78" s="1"/>
  <c r="D15" i="79" s="1"/>
  <c r="G15" i="79" s="1"/>
  <c r="I15" i="79" s="1"/>
  <c r="D15" i="80" s="1"/>
  <c r="G15" i="80" s="1"/>
  <c r="I15" i="80" s="1"/>
  <c r="D15" i="81" s="1"/>
  <c r="G15" i="81" s="1"/>
  <c r="I15" i="81" s="1"/>
  <c r="F14" i="64"/>
  <c r="H14" i="64" s="1"/>
  <c r="C14" i="65" s="1"/>
  <c r="F13" i="64"/>
  <c r="H13" i="64" s="1"/>
  <c r="C13" i="65" s="1"/>
  <c r="F12" i="65" s="1"/>
  <c r="H12" i="65" s="1"/>
  <c r="C12" i="66" s="1"/>
  <c r="F11" i="66" s="1"/>
  <c r="H11" i="66" s="1"/>
  <c r="C11" i="67" s="1"/>
  <c r="O12" i="64"/>
  <c r="Q12" i="64" s="1"/>
  <c r="M12" i="65" s="1"/>
  <c r="O12" i="65" s="1"/>
  <c r="Q12" i="65" s="1"/>
  <c r="M12" i="66" s="1"/>
  <c r="O12" i="66" s="1"/>
  <c r="Q12" i="66" s="1"/>
  <c r="M12" i="67" s="1"/>
  <c r="O12" i="67" s="1"/>
  <c r="Q12" i="67" s="1"/>
  <c r="M12" i="68" s="1"/>
  <c r="O12" i="68" s="1"/>
  <c r="Q12" i="68" s="1"/>
  <c r="N12" i="69" s="1"/>
  <c r="P12" i="69" s="1"/>
  <c r="R12" i="69" s="1"/>
  <c r="N12" i="70" s="1"/>
  <c r="P12" i="70" s="1"/>
  <c r="R12" i="70" s="1"/>
  <c r="N12" i="71" s="1"/>
  <c r="P12" i="71" s="1"/>
  <c r="R12" i="71" s="1"/>
  <c r="N12" i="72" s="1"/>
  <c r="P12" i="72" s="1"/>
  <c r="R12" i="72" s="1"/>
  <c r="N12" i="73" s="1"/>
  <c r="P12" i="73" s="1"/>
  <c r="R12" i="73" s="1"/>
  <c r="N12" i="74" s="1"/>
  <c r="P12" i="74" s="1"/>
  <c r="R12" i="74" s="1"/>
  <c r="N12" i="75" s="1"/>
  <c r="P12" i="75" s="1"/>
  <c r="R12" i="75" s="1"/>
  <c r="N12" i="76" s="1"/>
  <c r="P12" i="76" s="1"/>
  <c r="R12" i="76" s="1"/>
  <c r="N12" i="77" s="1"/>
  <c r="P12" i="77" s="1"/>
  <c r="R12" i="77" s="1"/>
  <c r="N12" i="78" s="1"/>
  <c r="P12" i="78" s="1"/>
  <c r="R12" i="78" s="1"/>
  <c r="N12" i="79" s="1"/>
  <c r="P12" i="79" s="1"/>
  <c r="R12" i="79" s="1"/>
  <c r="N12" i="80" s="1"/>
  <c r="P12" i="80" s="1"/>
  <c r="R12" i="80" s="1"/>
  <c r="N12" i="81" s="1"/>
  <c r="P12" i="81" s="1"/>
  <c r="R12" i="81" s="1"/>
  <c r="P19" i="64"/>
  <c r="G20" i="64"/>
  <c r="M28" i="68" l="1"/>
  <c r="O28" i="68" s="1"/>
  <c r="Q28" i="68" s="1"/>
  <c r="P28" i="69" s="1"/>
  <c r="R28" i="69" s="1"/>
  <c r="N28" i="70" s="1"/>
  <c r="P28" i="70" s="1"/>
  <c r="R28" i="70" s="1"/>
  <c r="N28" i="71" s="1"/>
  <c r="P28" i="71" s="1"/>
  <c r="R28" i="71" s="1"/>
  <c r="N28" i="72" s="1"/>
  <c r="P28" i="72" s="1"/>
  <c r="R28" i="72" s="1"/>
  <c r="N28" i="73" s="1"/>
  <c r="P28" i="73" s="1"/>
  <c r="R28" i="73" s="1"/>
  <c r="N28" i="74" s="1"/>
  <c r="P28" i="74" s="1"/>
  <c r="R28" i="74" s="1"/>
  <c r="N28" i="75" s="1"/>
  <c r="P28" i="75" s="1"/>
  <c r="R28" i="75" s="1"/>
  <c r="N28" i="76" s="1"/>
  <c r="P28" i="76" s="1"/>
  <c r="R28" i="76" s="1"/>
  <c r="N28" i="77" s="1"/>
  <c r="P28" i="77" s="1"/>
  <c r="R28" i="77" s="1"/>
  <c r="N28" i="78" s="1"/>
  <c r="P28" i="78" s="1"/>
  <c r="R28" i="78" s="1"/>
  <c r="K44" i="64"/>
  <c r="B34" i="64"/>
  <c r="C35" i="64" s="1"/>
  <c r="G35" i="64" s="1"/>
  <c r="O44" i="64"/>
  <c r="F34" i="64"/>
  <c r="L45" i="64"/>
  <c r="P45" i="64" s="1"/>
  <c r="C50" i="64"/>
  <c r="P28" i="79" l="1"/>
  <c r="R28" i="79" s="1"/>
  <c r="N28" i="80" s="1"/>
  <c r="P28" i="80" s="1"/>
  <c r="R28" i="80" s="1"/>
  <c r="P28" i="81" s="1"/>
  <c r="R28" i="81" s="1"/>
  <c r="F29" i="63"/>
  <c r="P35" i="63" l="1"/>
  <c r="G13" i="63" l="1"/>
  <c r="P26" i="63" l="1"/>
  <c r="P25" i="62" l="1"/>
  <c r="L55" i="61"/>
  <c r="P55" i="61" s="1"/>
  <c r="P30" i="63" l="1"/>
  <c r="G6" i="63" l="1"/>
  <c r="F30" i="63"/>
  <c r="P37" i="63" l="1"/>
  <c r="G19" i="63"/>
  <c r="P24" i="63" l="1"/>
  <c r="G7" i="63"/>
  <c r="F28" i="63" l="1"/>
  <c r="P36" i="63" l="1"/>
  <c r="P7" i="63" l="1"/>
  <c r="R31" i="61" l="1"/>
  <c r="R32" i="61" s="1"/>
  <c r="P30" i="61"/>
  <c r="P27" i="63" l="1"/>
  <c r="P22" i="63" l="1"/>
  <c r="G16" i="63" l="1"/>
  <c r="F27" i="63" l="1"/>
  <c r="D31" i="63"/>
  <c r="F27" i="62" l="1"/>
  <c r="P21" i="62" l="1"/>
  <c r="M17" i="63" l="1"/>
  <c r="G6" i="62"/>
  <c r="C26" i="63"/>
  <c r="E26" i="63" s="1"/>
  <c r="F30" i="62"/>
  <c r="P55" i="63" l="1"/>
  <c r="L55" i="63"/>
  <c r="P47" i="63"/>
  <c r="L47" i="63"/>
  <c r="G45" i="63"/>
  <c r="G50" i="63" s="1"/>
  <c r="C45" i="63"/>
  <c r="N41" i="63"/>
  <c r="L41" i="63"/>
  <c r="F31" i="63"/>
  <c r="P41" i="63"/>
  <c r="H21" i="63"/>
  <c r="E20" i="63"/>
  <c r="B36" i="63" s="1"/>
  <c r="D20" i="63"/>
  <c r="B34" i="63" s="1"/>
  <c r="N19" i="63"/>
  <c r="L19" i="63"/>
  <c r="M18" i="63"/>
  <c r="F14" i="63"/>
  <c r="H14" i="63" s="1"/>
  <c r="C14" i="64" s="1"/>
  <c r="F13" i="63"/>
  <c r="H13" i="63" s="1"/>
  <c r="C13" i="64" s="1"/>
  <c r="F12" i="64" s="1"/>
  <c r="H12" i="64" s="1"/>
  <c r="C12" i="65" s="1"/>
  <c r="F11" i="65" s="1"/>
  <c r="H11" i="65" s="1"/>
  <c r="P19" i="63"/>
  <c r="G20" i="63"/>
  <c r="K44" i="63" l="1"/>
  <c r="O44" i="63"/>
  <c r="F34" i="63"/>
  <c r="C35" i="63"/>
  <c r="G35" i="63" s="1"/>
  <c r="L45" i="63"/>
  <c r="P45" i="63" s="1"/>
  <c r="P15" i="62"/>
  <c r="P9" i="62"/>
  <c r="G15" i="62"/>
  <c r="P35" i="62" l="1"/>
  <c r="P14" i="62" l="1"/>
  <c r="P32" i="62" l="1"/>
  <c r="P22" i="62" l="1"/>
  <c r="P24" i="62" l="1"/>
  <c r="G7" i="62" l="1"/>
  <c r="P36" i="62" l="1"/>
  <c r="P40" i="62"/>
  <c r="P30" i="62" l="1"/>
  <c r="P14" i="61" l="1"/>
  <c r="Q7" i="59" l="1"/>
  <c r="M17" i="62" l="1"/>
  <c r="M18" i="62"/>
  <c r="C26" i="62"/>
  <c r="P55" i="62"/>
  <c r="L55" i="62"/>
  <c r="P47" i="62"/>
  <c r="L47" i="62"/>
  <c r="G45" i="62"/>
  <c r="G50" i="62" s="1"/>
  <c r="C45" i="62"/>
  <c r="C50" i="62" s="1"/>
  <c r="P41" i="62"/>
  <c r="N41" i="62"/>
  <c r="L41" i="62"/>
  <c r="F31" i="62"/>
  <c r="D31" i="62"/>
  <c r="E30" i="62"/>
  <c r="G30" i="62" s="1"/>
  <c r="C30" i="63" s="1"/>
  <c r="E30" i="63" s="1"/>
  <c r="G30" i="63" s="1"/>
  <c r="C30" i="64" s="1"/>
  <c r="E30" i="64" s="1"/>
  <c r="G30" i="64" s="1"/>
  <c r="C30" i="65" s="1"/>
  <c r="E30" i="65" s="1"/>
  <c r="G30" i="65" s="1"/>
  <c r="C30" i="66" s="1"/>
  <c r="E30" i="66" s="1"/>
  <c r="G30" i="66" s="1"/>
  <c r="C30" i="67" s="1"/>
  <c r="E30" i="67" s="1"/>
  <c r="G30" i="67" s="1"/>
  <c r="C30" i="68" s="1"/>
  <c r="E30" i="68" s="1"/>
  <c r="G30" i="68" s="1"/>
  <c r="D30" i="69" s="1"/>
  <c r="F30" i="69" s="1"/>
  <c r="H30" i="69" s="1"/>
  <c r="D30" i="70" s="1"/>
  <c r="F30" i="70" s="1"/>
  <c r="H30" i="70" s="1"/>
  <c r="D30" i="71" s="1"/>
  <c r="F30" i="71" s="1"/>
  <c r="H30" i="71" s="1"/>
  <c r="D30" i="72" s="1"/>
  <c r="F30" i="72" s="1"/>
  <c r="H30" i="72" s="1"/>
  <c r="D30" i="73" s="1"/>
  <c r="F30" i="73" s="1"/>
  <c r="H30" i="73" s="1"/>
  <c r="D30" i="74" s="1"/>
  <c r="F30" i="74" s="1"/>
  <c r="H30" i="74" s="1"/>
  <c r="D30" i="75" s="1"/>
  <c r="F30" i="75" s="1"/>
  <c r="H30" i="75" s="1"/>
  <c r="D30" i="76" s="1"/>
  <c r="F30" i="76" s="1"/>
  <c r="H30" i="76" s="1"/>
  <c r="E29" i="62"/>
  <c r="G29" i="62" s="1"/>
  <c r="C29" i="63" s="1"/>
  <c r="E29" i="63" s="1"/>
  <c r="G29" i="63" s="1"/>
  <c r="C29" i="64" s="1"/>
  <c r="E29" i="64" s="1"/>
  <c r="G29" i="64" s="1"/>
  <c r="C29" i="65" s="1"/>
  <c r="E29" i="65" s="1"/>
  <c r="G29" i="65" s="1"/>
  <c r="C29" i="66" s="1"/>
  <c r="E29" i="66" s="1"/>
  <c r="G29" i="66" s="1"/>
  <c r="C29" i="67" s="1"/>
  <c r="E29" i="67" s="1"/>
  <c r="G29" i="67" s="1"/>
  <c r="C29" i="68" s="1"/>
  <c r="E29" i="68" s="1"/>
  <c r="G29" i="68" s="1"/>
  <c r="D29" i="69" s="1"/>
  <c r="F29" i="69" s="1"/>
  <c r="H29" i="69" s="1"/>
  <c r="D29" i="70" s="1"/>
  <c r="F29" i="70" s="1"/>
  <c r="H29" i="70" s="1"/>
  <c r="D29" i="71" s="1"/>
  <c r="F29" i="71" s="1"/>
  <c r="H29" i="71" s="1"/>
  <c r="D29" i="72" s="1"/>
  <c r="F29" i="72" s="1"/>
  <c r="H29" i="72" s="1"/>
  <c r="D29" i="73" s="1"/>
  <c r="F29" i="73" s="1"/>
  <c r="H29" i="73" s="1"/>
  <c r="D29" i="74" s="1"/>
  <c r="F29" i="74" s="1"/>
  <c r="H29" i="74" s="1"/>
  <c r="D29" i="75" s="1"/>
  <c r="F29" i="75" s="1"/>
  <c r="H29" i="75" s="1"/>
  <c r="D29" i="76" s="1"/>
  <c r="F29" i="76" s="1"/>
  <c r="H29" i="76" s="1"/>
  <c r="E24" i="62"/>
  <c r="G24" i="62" s="1"/>
  <c r="C24" i="63" s="1"/>
  <c r="E24" i="63" s="1"/>
  <c r="G24" i="63" s="1"/>
  <c r="C24" i="64" s="1"/>
  <c r="E24" i="64" s="1"/>
  <c r="G24" i="64" s="1"/>
  <c r="C24" i="65" s="1"/>
  <c r="E24" i="65" s="1"/>
  <c r="G24" i="65" s="1"/>
  <c r="C24" i="66" s="1"/>
  <c r="E24" i="66" s="1"/>
  <c r="G24" i="66" s="1"/>
  <c r="C24" i="67" s="1"/>
  <c r="E24" i="67" s="1"/>
  <c r="G24" i="67" s="1"/>
  <c r="C24" i="68" s="1"/>
  <c r="E24" i="68" s="1"/>
  <c r="G24" i="68" s="1"/>
  <c r="D24" i="69" s="1"/>
  <c r="F24" i="69" s="1"/>
  <c r="H24" i="69" s="1"/>
  <c r="D24" i="70" s="1"/>
  <c r="F24" i="70" s="1"/>
  <c r="H24" i="70" s="1"/>
  <c r="D24" i="71" s="1"/>
  <c r="F24" i="71" s="1"/>
  <c r="H24" i="71" s="1"/>
  <c r="D24" i="72" s="1"/>
  <c r="E23" i="62"/>
  <c r="H21" i="62"/>
  <c r="G20" i="62"/>
  <c r="E20" i="62"/>
  <c r="B36" i="62" s="1"/>
  <c r="D20" i="62"/>
  <c r="P19" i="62"/>
  <c r="N19" i="62"/>
  <c r="L19" i="62"/>
  <c r="F14" i="62"/>
  <c r="H14" i="62" s="1"/>
  <c r="C14" i="63" s="1"/>
  <c r="F13" i="62"/>
  <c r="H13" i="62" s="1"/>
  <c r="C13" i="63" s="1"/>
  <c r="F12" i="63" s="1"/>
  <c r="H12" i="63" s="1"/>
  <c r="C12" i="64" s="1"/>
  <c r="F11" i="64" s="1"/>
  <c r="H11" i="64" s="1"/>
  <c r="C11" i="65" s="1"/>
  <c r="F10" i="65" s="1"/>
  <c r="H10" i="65" s="1"/>
  <c r="C10" i="66" s="1"/>
  <c r="O12" i="62"/>
  <c r="Q12" i="62" s="1"/>
  <c r="D29" i="78" l="1"/>
  <c r="F29" i="78" s="1"/>
  <c r="H29" i="78" s="1"/>
  <c r="D29" i="79" s="1"/>
  <c r="F29" i="79" s="1"/>
  <c r="H29" i="79" s="1"/>
  <c r="D29" i="80" s="1"/>
  <c r="F29" i="80" s="1"/>
  <c r="H29" i="80" s="1"/>
  <c r="D29" i="81" s="1"/>
  <c r="F29" i="81" s="1"/>
  <c r="H29" i="81" s="1"/>
  <c r="D29" i="77"/>
  <c r="F29" i="77" s="1"/>
  <c r="H29" i="77" s="1"/>
  <c r="F24" i="72"/>
  <c r="H24" i="72" s="1"/>
  <c r="D24" i="73" s="1"/>
  <c r="F24" i="73" s="1"/>
  <c r="H24" i="73" s="1"/>
  <c r="D24" i="74" s="1"/>
  <c r="F24" i="74" s="1"/>
  <c r="H24" i="74" s="1"/>
  <c r="D24" i="75" s="1"/>
  <c r="F24" i="75" s="1"/>
  <c r="H24" i="75" s="1"/>
  <c r="D24" i="76" s="1"/>
  <c r="F24" i="76" s="1"/>
  <c r="H24" i="76" s="1"/>
  <c r="D30" i="78"/>
  <c r="F30" i="78" s="1"/>
  <c r="H30" i="78" s="1"/>
  <c r="D30" i="79" s="1"/>
  <c r="F30" i="79" s="1"/>
  <c r="H30" i="79" s="1"/>
  <c r="D30" i="80" s="1"/>
  <c r="F30" i="80" s="1"/>
  <c r="H30" i="80" s="1"/>
  <c r="D30" i="81" s="1"/>
  <c r="F30" i="81" s="1"/>
  <c r="H30" i="81" s="1"/>
  <c r="D30" i="77"/>
  <c r="F30" i="77" s="1"/>
  <c r="H30" i="77" s="1"/>
  <c r="B34" i="62"/>
  <c r="C35" i="62" s="1"/>
  <c r="G35" i="62" s="1"/>
  <c r="G23" i="62"/>
  <c r="C23" i="63" s="1"/>
  <c r="E23" i="63" s="1"/>
  <c r="G23" i="63" s="1"/>
  <c r="C23" i="64" s="1"/>
  <c r="E23" i="64" s="1"/>
  <c r="G23" i="64" s="1"/>
  <c r="C23" i="65" s="1"/>
  <c r="E23" i="65" s="1"/>
  <c r="G23" i="65" s="1"/>
  <c r="C23" i="66" s="1"/>
  <c r="E23" i="66" s="1"/>
  <c r="G23" i="66" s="1"/>
  <c r="C23" i="67" s="1"/>
  <c r="E23" i="67" s="1"/>
  <c r="G23" i="67" s="1"/>
  <c r="C23" i="68" s="1"/>
  <c r="E23" i="68" s="1"/>
  <c r="G23" i="68" s="1"/>
  <c r="D23" i="69" s="1"/>
  <c r="M12" i="63"/>
  <c r="O12" i="63" s="1"/>
  <c r="Q12" i="63" s="1"/>
  <c r="K44" i="62"/>
  <c r="L45" i="62" s="1"/>
  <c r="P45" i="62" s="1"/>
  <c r="F34" i="62"/>
  <c r="O44" i="62"/>
  <c r="D24" i="78" l="1"/>
  <c r="F24" i="78" s="1"/>
  <c r="H24" i="78" s="1"/>
  <c r="D24" i="77"/>
  <c r="F24" i="77" s="1"/>
  <c r="H24" i="77" s="1"/>
  <c r="F23" i="69"/>
  <c r="D24" i="79" l="1"/>
  <c r="H23" i="69"/>
  <c r="D23" i="70" s="1"/>
  <c r="P26" i="60"/>
  <c r="F24" i="79" l="1"/>
  <c r="H24" i="79" s="1"/>
  <c r="F23" i="70"/>
  <c r="E19" i="57"/>
  <c r="H66" i="47"/>
  <c r="H67" i="49"/>
  <c r="D24" i="80" l="1"/>
  <c r="H23" i="70"/>
  <c r="D23" i="71" s="1"/>
  <c r="L53" i="60"/>
  <c r="F24" i="80" l="1"/>
  <c r="H24" i="80" s="1"/>
  <c r="D24" i="81" s="1"/>
  <c r="F24" i="81" s="1"/>
  <c r="H24" i="81" s="1"/>
  <c r="F23" i="71"/>
  <c r="P53" i="60"/>
  <c r="H23" i="71" l="1"/>
  <c r="D23" i="72" s="1"/>
  <c r="C26" i="61"/>
  <c r="M17" i="61"/>
  <c r="M18" i="61"/>
  <c r="P56" i="61"/>
  <c r="L56" i="61"/>
  <c r="P47" i="61"/>
  <c r="L47" i="61"/>
  <c r="G45" i="61"/>
  <c r="G50" i="61" s="1"/>
  <c r="C45" i="61"/>
  <c r="C50" i="61" s="1"/>
  <c r="P41" i="61"/>
  <c r="N41" i="61"/>
  <c r="L41" i="61"/>
  <c r="K48" i="61" s="1"/>
  <c r="F31" i="61"/>
  <c r="D31" i="61"/>
  <c r="E30" i="61"/>
  <c r="G30" i="61" s="1"/>
  <c r="C30" i="62" s="1"/>
  <c r="E29" i="61"/>
  <c r="G29" i="61" s="1"/>
  <c r="C29" i="62" s="1"/>
  <c r="E28" i="61"/>
  <c r="G28" i="61" s="1"/>
  <c r="C28" i="62" s="1"/>
  <c r="E28" i="62" s="1"/>
  <c r="G28" i="62" s="1"/>
  <c r="C28" i="63" s="1"/>
  <c r="E28" i="63" s="1"/>
  <c r="G28" i="63" s="1"/>
  <c r="C28" i="64" s="1"/>
  <c r="E28" i="64" s="1"/>
  <c r="G28" i="64" s="1"/>
  <c r="C28" i="65" s="1"/>
  <c r="E28" i="65" s="1"/>
  <c r="G28" i="65" s="1"/>
  <c r="C28" i="66" s="1"/>
  <c r="E28" i="66" s="1"/>
  <c r="G28" i="66" s="1"/>
  <c r="C28" i="67" s="1"/>
  <c r="E28" i="67" s="1"/>
  <c r="G28" i="67" s="1"/>
  <c r="C28" i="68" s="1"/>
  <c r="E28" i="68" s="1"/>
  <c r="G28" i="68" s="1"/>
  <c r="D28" i="69" s="1"/>
  <c r="F28" i="69" s="1"/>
  <c r="H28" i="69" s="1"/>
  <c r="D28" i="70" s="1"/>
  <c r="F28" i="70" s="1"/>
  <c r="H28" i="70" s="1"/>
  <c r="D28" i="71" s="1"/>
  <c r="F28" i="71" s="1"/>
  <c r="H28" i="71" s="1"/>
  <c r="D28" i="72" s="1"/>
  <c r="F28" i="72" s="1"/>
  <c r="H28" i="72" s="1"/>
  <c r="E27" i="61"/>
  <c r="G27" i="61" s="1"/>
  <c r="C27" i="62" s="1"/>
  <c r="E27" i="62" s="1"/>
  <c r="G27" i="62" s="1"/>
  <c r="C27" i="63" s="1"/>
  <c r="E27" i="63" s="1"/>
  <c r="G27" i="63" s="1"/>
  <c r="C27" i="64" s="1"/>
  <c r="E27" i="64" s="1"/>
  <c r="G27" i="64" s="1"/>
  <c r="C27" i="65" s="1"/>
  <c r="E27" i="65" s="1"/>
  <c r="G27" i="65" s="1"/>
  <c r="C27" i="66" s="1"/>
  <c r="E27" i="66" s="1"/>
  <c r="G27" i="66" s="1"/>
  <c r="C27" i="67" s="1"/>
  <c r="E27" i="67" s="1"/>
  <c r="E25" i="61"/>
  <c r="G25" i="61" s="1"/>
  <c r="C25" i="62" s="1"/>
  <c r="E25" i="62" s="1"/>
  <c r="E24" i="61"/>
  <c r="G24" i="61" s="1"/>
  <c r="C24" i="62" s="1"/>
  <c r="E23" i="61"/>
  <c r="G23" i="61" s="1"/>
  <c r="C23" i="62" s="1"/>
  <c r="H21" i="61"/>
  <c r="G20" i="61"/>
  <c r="E20" i="61"/>
  <c r="B36" i="61" s="1"/>
  <c r="D20" i="61"/>
  <c r="N19" i="61"/>
  <c r="L19" i="61"/>
  <c r="P19" i="61"/>
  <c r="O15" i="61"/>
  <c r="Q15" i="61" s="1"/>
  <c r="F14" i="61"/>
  <c r="H14" i="61" s="1"/>
  <c r="C14" i="62" s="1"/>
  <c r="F13" i="61"/>
  <c r="H13" i="61" s="1"/>
  <c r="C13" i="62" s="1"/>
  <c r="F12" i="62" s="1"/>
  <c r="H12" i="62" s="1"/>
  <c r="C12" i="63" s="1"/>
  <c r="F11" i="63" s="1"/>
  <c r="H11" i="63" s="1"/>
  <c r="C11" i="64" s="1"/>
  <c r="F10" i="64" s="1"/>
  <c r="H10" i="64" s="1"/>
  <c r="C10" i="65" s="1"/>
  <c r="O12" i="61"/>
  <c r="Q12" i="61" s="1"/>
  <c r="F23" i="72" l="1"/>
  <c r="G25" i="62"/>
  <c r="C25" i="63" s="1"/>
  <c r="E31" i="62"/>
  <c r="G31" i="62" s="1"/>
  <c r="E31" i="61"/>
  <c r="G27" i="67"/>
  <c r="C27" i="68" s="1"/>
  <c r="E27" i="68" s="1"/>
  <c r="C31" i="62"/>
  <c r="O44" i="61"/>
  <c r="O15" i="62"/>
  <c r="Q15" i="62" s="1"/>
  <c r="O15" i="63" s="1"/>
  <c r="Q15" i="63" s="1"/>
  <c r="K44" i="61"/>
  <c r="G31" i="61"/>
  <c r="B34" i="61"/>
  <c r="C35" i="61" s="1"/>
  <c r="G35" i="61" s="1"/>
  <c r="F34" i="61"/>
  <c r="L45" i="61"/>
  <c r="P45" i="61" s="1"/>
  <c r="P41" i="60"/>
  <c r="G45" i="60"/>
  <c r="G50" i="60" s="1"/>
  <c r="C45" i="60"/>
  <c r="C50" i="60" s="1"/>
  <c r="D45" i="59"/>
  <c r="P47" i="60"/>
  <c r="P57" i="60" s="1"/>
  <c r="L47" i="60"/>
  <c r="L57" i="60" s="1"/>
  <c r="M47" i="59"/>
  <c r="P15" i="60"/>
  <c r="H23" i="72" l="1"/>
  <c r="D23" i="73" s="1"/>
  <c r="F23" i="73" s="1"/>
  <c r="E25" i="63"/>
  <c r="C31" i="63"/>
  <c r="G27" i="68"/>
  <c r="D27" i="69" s="1"/>
  <c r="P16" i="60"/>
  <c r="P19" i="60" s="1"/>
  <c r="O44" i="60" s="1"/>
  <c r="H23" i="73" l="1"/>
  <c r="D23" i="74" s="1"/>
  <c r="F31" i="73"/>
  <c r="H31" i="73" s="1"/>
  <c r="F27" i="69"/>
  <c r="D31" i="69"/>
  <c r="G25" i="63"/>
  <c r="C25" i="64" s="1"/>
  <c r="E31" i="63"/>
  <c r="G31" i="63" s="1"/>
  <c r="H45" i="59"/>
  <c r="G33" i="50"/>
  <c r="Q19" i="59"/>
  <c r="O39" i="55"/>
  <c r="O40" i="57"/>
  <c r="Q7" i="55"/>
  <c r="Q7" i="57"/>
  <c r="O41" i="59"/>
  <c r="Q41" i="59"/>
  <c r="D31" i="74" l="1"/>
  <c r="F23" i="74"/>
  <c r="E25" i="64"/>
  <c r="C31" i="64"/>
  <c r="H27" i="69"/>
  <c r="D27" i="70" s="1"/>
  <c r="F31" i="69"/>
  <c r="H31" i="69" s="1"/>
  <c r="Q47" i="59"/>
  <c r="Q55" i="59" s="1"/>
  <c r="C26" i="60"/>
  <c r="N41" i="60"/>
  <c r="L41" i="60"/>
  <c r="K48" i="60" s="1"/>
  <c r="O33" i="60"/>
  <c r="Q33" i="60" s="1"/>
  <c r="M33" i="61" s="1"/>
  <c r="O33" i="61" s="1"/>
  <c r="Q33" i="61" s="1"/>
  <c r="O33" i="62" s="1"/>
  <c r="Q33" i="62" s="1"/>
  <c r="M33" i="63" s="1"/>
  <c r="O33" i="63" s="1"/>
  <c r="Q33" i="63" s="1"/>
  <c r="M33" i="64" s="1"/>
  <c r="O33" i="64" s="1"/>
  <c r="Q33" i="64" s="1"/>
  <c r="F31" i="60"/>
  <c r="D31" i="60"/>
  <c r="E30" i="60"/>
  <c r="G30" i="60" s="1"/>
  <c r="E29" i="60"/>
  <c r="G29" i="60" s="1"/>
  <c r="E28" i="60"/>
  <c r="G28" i="60" s="1"/>
  <c r="E27" i="60"/>
  <c r="G27" i="60" s="1"/>
  <c r="E25" i="60"/>
  <c r="G25" i="60" s="1"/>
  <c r="E24" i="60"/>
  <c r="G24" i="60" s="1"/>
  <c r="E23" i="60"/>
  <c r="H21" i="60"/>
  <c r="G20" i="60"/>
  <c r="F34" i="60" s="1"/>
  <c r="E20" i="60"/>
  <c r="B36" i="60" s="1"/>
  <c r="D20" i="60"/>
  <c r="B34" i="60" s="1"/>
  <c r="N19" i="60"/>
  <c r="L19" i="60"/>
  <c r="F17" i="60"/>
  <c r="H17" i="60" s="1"/>
  <c r="C17" i="61" s="1"/>
  <c r="F17" i="61" s="1"/>
  <c r="H17" i="61" s="1"/>
  <c r="C17" i="62" s="1"/>
  <c r="F17" i="62" s="1"/>
  <c r="H17" i="62" s="1"/>
  <c r="C17" i="63" s="1"/>
  <c r="F17" i="63" s="1"/>
  <c r="H17" i="63" s="1"/>
  <c r="C17" i="64" s="1"/>
  <c r="F17" i="64" s="1"/>
  <c r="H17" i="64" s="1"/>
  <c r="C17" i="65" s="1"/>
  <c r="F17" i="65" s="1"/>
  <c r="H17" i="65" s="1"/>
  <c r="C17" i="66" s="1"/>
  <c r="F17" i="66" s="1"/>
  <c r="H17" i="66" s="1"/>
  <c r="C17" i="67" s="1"/>
  <c r="F17" i="67" s="1"/>
  <c r="H17" i="67" s="1"/>
  <c r="C17" i="68" s="1"/>
  <c r="F17" i="68" s="1"/>
  <c r="H17" i="68" s="1"/>
  <c r="O15" i="60"/>
  <c r="Q15" i="60" s="1"/>
  <c r="F14" i="60"/>
  <c r="H14" i="60" s="1"/>
  <c r="C14" i="61" s="1"/>
  <c r="F13" i="60"/>
  <c r="H13" i="60" s="1"/>
  <c r="C13" i="61" s="1"/>
  <c r="F12" i="61" s="1"/>
  <c r="H12" i="61" s="1"/>
  <c r="C12" i="62" s="1"/>
  <c r="F11" i="62" s="1"/>
  <c r="H11" i="62" s="1"/>
  <c r="C11" i="63" s="1"/>
  <c r="F10" i="63" s="1"/>
  <c r="H10" i="63" s="1"/>
  <c r="C10" i="64" s="1"/>
  <c r="O12" i="60"/>
  <c r="Q12" i="60" s="1"/>
  <c r="O10" i="60"/>
  <c r="Q10" i="60" s="1"/>
  <c r="M10" i="61" s="1"/>
  <c r="O10" i="61" s="1"/>
  <c r="Q10" i="61" s="1"/>
  <c r="M10" i="62" s="1"/>
  <c r="O10" i="62" s="1"/>
  <c r="Q10" i="62" s="1"/>
  <c r="M10" i="63" s="1"/>
  <c r="O10" i="63" s="1"/>
  <c r="Q10" i="63" s="1"/>
  <c r="M10" i="64" s="1"/>
  <c r="O10" i="64" s="1"/>
  <c r="Q10" i="64" s="1"/>
  <c r="M10" i="65" s="1"/>
  <c r="O10" i="65" s="1"/>
  <c r="Q10" i="65" s="1"/>
  <c r="M10" i="66" s="1"/>
  <c r="O10" i="66" s="1"/>
  <c r="Q10" i="66" s="1"/>
  <c r="M10" i="67" s="1"/>
  <c r="O10" i="67" s="1"/>
  <c r="Q10" i="67" s="1"/>
  <c r="M10" i="68" s="1"/>
  <c r="O10" i="68" s="1"/>
  <c r="Q10" i="68" s="1"/>
  <c r="N10" i="69" s="1"/>
  <c r="P10" i="69" s="1"/>
  <c r="R10" i="69" s="1"/>
  <c r="N10" i="70" s="1"/>
  <c r="P10" i="70" s="1"/>
  <c r="R10" i="70" s="1"/>
  <c r="N10" i="71" s="1"/>
  <c r="P10" i="71" s="1"/>
  <c r="R10" i="71" s="1"/>
  <c r="N10" i="72" s="1"/>
  <c r="P10" i="72" s="1"/>
  <c r="R10" i="72" s="1"/>
  <c r="N10" i="73" s="1"/>
  <c r="P10" i="73" s="1"/>
  <c r="R10" i="73" s="1"/>
  <c r="N10" i="74" s="1"/>
  <c r="P10" i="74" s="1"/>
  <c r="R10" i="74" s="1"/>
  <c r="N10" i="75" s="1"/>
  <c r="P10" i="75" s="1"/>
  <c r="R10" i="75" s="1"/>
  <c r="N10" i="76" s="1"/>
  <c r="P10" i="76" s="1"/>
  <c r="R10" i="76" s="1"/>
  <c r="N10" i="77" s="1"/>
  <c r="P10" i="77" s="1"/>
  <c r="R10" i="77" s="1"/>
  <c r="N10" i="78" s="1"/>
  <c r="P10" i="78" s="1"/>
  <c r="R10" i="78" s="1"/>
  <c r="N10" i="79" s="1"/>
  <c r="P10" i="79" s="1"/>
  <c r="R10" i="79" s="1"/>
  <c r="N10" i="80" s="1"/>
  <c r="P10" i="80" s="1"/>
  <c r="R10" i="80" s="1"/>
  <c r="N10" i="81" s="1"/>
  <c r="P10" i="81" l="1"/>
  <c r="E31" i="60"/>
  <c r="H23" i="74"/>
  <c r="D23" i="75" s="1"/>
  <c r="F23" i="75" s="1"/>
  <c r="F31" i="74"/>
  <c r="H31" i="74" s="1"/>
  <c r="G23" i="60"/>
  <c r="C23" i="61" s="1"/>
  <c r="F27" i="70"/>
  <c r="D31" i="70"/>
  <c r="K44" i="60"/>
  <c r="H56" i="60" s="1"/>
  <c r="G25" i="64"/>
  <c r="C25" i="65" s="1"/>
  <c r="E31" i="64"/>
  <c r="G31" i="64" s="1"/>
  <c r="O35" i="62"/>
  <c r="Q35" i="62" s="1"/>
  <c r="M35" i="63" s="1"/>
  <c r="O35" i="63" s="1"/>
  <c r="Q35" i="63" s="1"/>
  <c r="M35" i="64" s="1"/>
  <c r="O35" i="64" s="1"/>
  <c r="Q35" i="64" s="1"/>
  <c r="O35" i="65" s="1"/>
  <c r="Q35" i="65" s="1"/>
  <c r="M35" i="66" s="1"/>
  <c r="O35" i="66" s="1"/>
  <c r="Q35" i="66" s="1"/>
  <c r="M35" i="67" s="1"/>
  <c r="O35" i="67" s="1"/>
  <c r="Q35" i="67" s="1"/>
  <c r="L45" i="60"/>
  <c r="P45" i="60" s="1"/>
  <c r="R27" i="60"/>
  <c r="G31" i="60"/>
  <c r="C35" i="60"/>
  <c r="G35" i="60" s="1"/>
  <c r="R10" i="81" l="1"/>
  <c r="D31" i="76"/>
  <c r="D31" i="75"/>
  <c r="F31" i="75"/>
  <c r="H31" i="75" s="1"/>
  <c r="H23" i="75"/>
  <c r="D23" i="76" s="1"/>
  <c r="F23" i="76" s="1"/>
  <c r="H27" i="70"/>
  <c r="D27" i="71" s="1"/>
  <c r="F31" i="70"/>
  <c r="H31" i="70" s="1"/>
  <c r="M35" i="68"/>
  <c r="O35" i="68" s="1"/>
  <c r="Q35" i="68" s="1"/>
  <c r="N35" i="69" s="1"/>
  <c r="P35" i="69" s="1"/>
  <c r="R35" i="69" s="1"/>
  <c r="N35" i="70" s="1"/>
  <c r="P35" i="70" s="1"/>
  <c r="R35" i="70" s="1"/>
  <c r="N35" i="71" s="1"/>
  <c r="P35" i="71" s="1"/>
  <c r="R35" i="71" s="1"/>
  <c r="N35" i="72" s="1"/>
  <c r="P35" i="72" s="1"/>
  <c r="R35" i="72" s="1"/>
  <c r="N35" i="73" s="1"/>
  <c r="P35" i="73" s="1"/>
  <c r="R35" i="73" s="1"/>
  <c r="N35" i="74" s="1"/>
  <c r="P35" i="74" s="1"/>
  <c r="R35" i="74" s="1"/>
  <c r="N35" i="75" s="1"/>
  <c r="P35" i="75" s="1"/>
  <c r="R35" i="75" s="1"/>
  <c r="N35" i="76" s="1"/>
  <c r="P35" i="76" s="1"/>
  <c r="R35" i="76" s="1"/>
  <c r="N35" i="77" s="1"/>
  <c r="P35" i="77" s="1"/>
  <c r="R35" i="77" s="1"/>
  <c r="E25" i="65"/>
  <c r="C31" i="65"/>
  <c r="D44" i="57"/>
  <c r="H23" i="76" l="1"/>
  <c r="F31" i="76"/>
  <c r="H31" i="76" s="1"/>
  <c r="F27" i="71"/>
  <c r="D31" i="71"/>
  <c r="G25" i="65"/>
  <c r="C25" i="66" s="1"/>
  <c r="E31" i="65"/>
  <c r="G31" i="65" s="1"/>
  <c r="Q15" i="57"/>
  <c r="H27" i="71" l="1"/>
  <c r="D27" i="72" s="1"/>
  <c r="F31" i="71"/>
  <c r="H31" i="71" s="1"/>
  <c r="D23" i="78"/>
  <c r="D23" i="77"/>
  <c r="E25" i="66"/>
  <c r="C31" i="66"/>
  <c r="D31" i="77" l="1"/>
  <c r="F23" i="77"/>
  <c r="F23" i="78"/>
  <c r="D31" i="78"/>
  <c r="F27" i="72"/>
  <c r="D31" i="72"/>
  <c r="G25" i="66"/>
  <c r="C25" i="67" s="1"/>
  <c r="E25" i="67" s="1"/>
  <c r="E31" i="66"/>
  <c r="G31" i="66" s="1"/>
  <c r="C31" i="67" s="1"/>
  <c r="H23" i="77" l="1"/>
  <c r="F31" i="77"/>
  <c r="H31" i="77" s="1"/>
  <c r="H27" i="72"/>
  <c r="F31" i="72"/>
  <c r="H31" i="72" s="1"/>
  <c r="D31" i="73" s="1"/>
  <c r="H23" i="78"/>
  <c r="D23" i="79" s="1"/>
  <c r="F31" i="78"/>
  <c r="H31" i="78" s="1"/>
  <c r="G25" i="67"/>
  <c r="C25" i="68" s="1"/>
  <c r="E25" i="68" s="1"/>
  <c r="E31" i="68" s="1"/>
  <c r="G31" i="68" s="1"/>
  <c r="E31" i="67"/>
  <c r="G31" i="67" s="1"/>
  <c r="C31" i="68" s="1"/>
  <c r="Q55" i="57"/>
  <c r="D49" i="57"/>
  <c r="M41" i="59"/>
  <c r="L48" i="59" s="1"/>
  <c r="G31" i="59"/>
  <c r="E31" i="59"/>
  <c r="F30" i="59"/>
  <c r="H30" i="59" s="1"/>
  <c r="F29" i="59"/>
  <c r="H29" i="59" s="1"/>
  <c r="F28" i="59"/>
  <c r="H28" i="59" s="1"/>
  <c r="F27" i="59"/>
  <c r="H27" i="59" s="1"/>
  <c r="F25" i="59"/>
  <c r="H25" i="59" s="1"/>
  <c r="F24" i="59"/>
  <c r="H24" i="59" s="1"/>
  <c r="F23" i="59"/>
  <c r="I21" i="59"/>
  <c r="D21" i="59"/>
  <c r="H20" i="59"/>
  <c r="F20" i="59"/>
  <c r="C36" i="59" s="1"/>
  <c r="E20" i="59"/>
  <c r="C34" i="59" s="1"/>
  <c r="P44" i="59"/>
  <c r="O19" i="59"/>
  <c r="L44" i="59" s="1"/>
  <c r="P15" i="59"/>
  <c r="R15" i="59" s="1"/>
  <c r="G14" i="59"/>
  <c r="I14" i="59" s="1"/>
  <c r="C14" i="60" s="1"/>
  <c r="G13" i="59"/>
  <c r="I13" i="59" s="1"/>
  <c r="C13" i="60" s="1"/>
  <c r="F12" i="60" s="1"/>
  <c r="H12" i="60" s="1"/>
  <c r="C12" i="61" s="1"/>
  <c r="F11" i="61" s="1"/>
  <c r="H11" i="61" s="1"/>
  <c r="C11" i="62" s="1"/>
  <c r="F10" i="62" s="1"/>
  <c r="H10" i="62" s="1"/>
  <c r="C10" i="63" s="1"/>
  <c r="P7" i="59"/>
  <c r="R7" i="59" s="1"/>
  <c r="M7" i="60" s="1"/>
  <c r="G34" i="59" l="1"/>
  <c r="F31" i="59"/>
  <c r="H31" i="59" s="1"/>
  <c r="F23" i="79"/>
  <c r="F31" i="79" s="1"/>
  <c r="H31" i="79" s="1"/>
  <c r="D31" i="79"/>
  <c r="H23" i="79"/>
  <c r="D23" i="80" s="1"/>
  <c r="C25" i="61"/>
  <c r="C25" i="60"/>
  <c r="C28" i="61"/>
  <c r="C28" i="60"/>
  <c r="C30" i="61"/>
  <c r="C30" i="60"/>
  <c r="C24" i="61"/>
  <c r="C24" i="60"/>
  <c r="C27" i="61"/>
  <c r="C27" i="60"/>
  <c r="C29" i="61"/>
  <c r="C29" i="60"/>
  <c r="H23" i="59"/>
  <c r="C23" i="60" s="1"/>
  <c r="S27" i="59"/>
  <c r="O7" i="60"/>
  <c r="Q7" i="60" s="1"/>
  <c r="D35" i="59"/>
  <c r="H35" i="59" s="1"/>
  <c r="F23" i="80" l="1"/>
  <c r="D31" i="80"/>
  <c r="C31" i="60"/>
  <c r="C31" i="61"/>
  <c r="M7" i="61"/>
  <c r="M45" i="59"/>
  <c r="Q45" i="59" s="1"/>
  <c r="H44" i="57"/>
  <c r="H49" i="57" s="1"/>
  <c r="H23" i="80" l="1"/>
  <c r="D23" i="81" s="1"/>
  <c r="F31" i="80"/>
  <c r="H31" i="80" s="1"/>
  <c r="O7" i="61"/>
  <c r="Q7" i="61" s="1"/>
  <c r="F23" i="81" l="1"/>
  <c r="D31" i="81"/>
  <c r="M7" i="62"/>
  <c r="H23" i="81" l="1"/>
  <c r="F31" i="81"/>
  <c r="H31" i="81" s="1"/>
  <c r="O7" i="62"/>
  <c r="Q7" i="62" s="1"/>
  <c r="I19" i="55"/>
  <c r="F14" i="56"/>
  <c r="F33" i="56"/>
  <c r="H33" i="56" s="1"/>
  <c r="F31" i="56"/>
  <c r="H31" i="56" s="1"/>
  <c r="F20" i="56"/>
  <c r="H20" i="56" s="1"/>
  <c r="C51" i="56"/>
  <c r="G51" i="56" s="1"/>
  <c r="G50" i="56"/>
  <c r="C50" i="56"/>
  <c r="C53" i="56" s="1"/>
  <c r="G45" i="56"/>
  <c r="C45" i="56"/>
  <c r="E39" i="56"/>
  <c r="C39" i="56"/>
  <c r="B46" i="56" s="1"/>
  <c r="F38" i="56"/>
  <c r="H38" i="56" s="1"/>
  <c r="D37" i="56"/>
  <c r="F37" i="56" s="1"/>
  <c r="H37" i="56" s="1"/>
  <c r="D36" i="56"/>
  <c r="F36" i="56" s="1"/>
  <c r="H36" i="56" s="1"/>
  <c r="D35" i="56"/>
  <c r="F35" i="56" s="1"/>
  <c r="H35" i="56" s="1"/>
  <c r="D34" i="56"/>
  <c r="F34" i="56" s="1"/>
  <c r="H34" i="56" s="1"/>
  <c r="D32" i="56"/>
  <c r="F32" i="56" s="1"/>
  <c r="H32" i="56" s="1"/>
  <c r="D30" i="56"/>
  <c r="F30" i="56" s="1"/>
  <c r="H30" i="56" s="1"/>
  <c r="G24" i="56"/>
  <c r="G39" i="56" s="1"/>
  <c r="D24" i="56"/>
  <c r="F24" i="56" s="1"/>
  <c r="H24" i="56" s="1"/>
  <c r="D19" i="56"/>
  <c r="F19" i="56" s="1"/>
  <c r="H19" i="56" s="1"/>
  <c r="E17" i="56"/>
  <c r="F16" i="56"/>
  <c r="H16" i="56" s="1"/>
  <c r="F15" i="56"/>
  <c r="H15" i="56" s="1"/>
  <c r="H14" i="56"/>
  <c r="F13" i="56"/>
  <c r="H13" i="56" s="1"/>
  <c r="F12" i="56"/>
  <c r="H12" i="56" s="1"/>
  <c r="C17" i="56"/>
  <c r="F11" i="56"/>
  <c r="F10" i="56"/>
  <c r="H10" i="56" s="1"/>
  <c r="F9" i="56"/>
  <c r="H9" i="56" s="1"/>
  <c r="F8" i="56"/>
  <c r="H8" i="56" s="1"/>
  <c r="G7" i="56"/>
  <c r="G17" i="56" s="1"/>
  <c r="F7" i="56"/>
  <c r="H7" i="56" s="1"/>
  <c r="G53" i="56" l="1"/>
  <c r="B42" i="56"/>
  <c r="C43" i="56" s="1"/>
  <c r="G43" i="56" s="1"/>
  <c r="M7" i="63"/>
  <c r="F42" i="56"/>
  <c r="H17" i="56"/>
  <c r="D17" i="56"/>
  <c r="F17" i="56" s="1"/>
  <c r="M50" i="55"/>
  <c r="M51" i="55"/>
  <c r="Q51" i="55" s="1"/>
  <c r="Q53" i="55" s="1"/>
  <c r="Q45" i="55"/>
  <c r="M45" i="55"/>
  <c r="O7" i="63" l="1"/>
  <c r="Q7" i="63" s="1"/>
  <c r="M7" i="64" s="1"/>
  <c r="M53" i="55"/>
  <c r="H43" i="55"/>
  <c r="M39" i="55"/>
  <c r="L46" i="55" s="1"/>
  <c r="P38" i="55"/>
  <c r="O7" i="64" l="1"/>
  <c r="Q7" i="64" s="1"/>
  <c r="D43" i="55"/>
  <c r="D44" i="55"/>
  <c r="H44" i="55" s="1"/>
  <c r="H48" i="55" s="1"/>
  <c r="D48" i="55" l="1"/>
  <c r="M7" i="65"/>
  <c r="G14" i="57"/>
  <c r="G13" i="57"/>
  <c r="G18" i="57"/>
  <c r="D20" i="57"/>
  <c r="G17" i="57"/>
  <c r="I17" i="57" s="1"/>
  <c r="G18" i="59" l="1"/>
  <c r="D17" i="59"/>
  <c r="G17" i="59" s="1"/>
  <c r="O7" i="65"/>
  <c r="Q7" i="65" s="1"/>
  <c r="M7" i="66" s="1"/>
  <c r="I18" i="59"/>
  <c r="C18" i="60" s="1"/>
  <c r="F18" i="60" s="1"/>
  <c r="H18" i="60" s="1"/>
  <c r="C18" i="61" s="1"/>
  <c r="F18" i="61" s="1"/>
  <c r="H18" i="61" s="1"/>
  <c r="C18" i="62" s="1"/>
  <c r="F18" i="62" s="1"/>
  <c r="H18" i="62" s="1"/>
  <c r="C18" i="63" s="1"/>
  <c r="F18" i="63" s="1"/>
  <c r="H18" i="63" s="1"/>
  <c r="C18" i="64" s="1"/>
  <c r="F18" i="64" s="1"/>
  <c r="H18" i="64" s="1"/>
  <c r="N11" i="57"/>
  <c r="M55" i="57"/>
  <c r="Q40" i="57"/>
  <c r="M40" i="57"/>
  <c r="G30" i="57"/>
  <c r="E30" i="57"/>
  <c r="D30" i="57"/>
  <c r="F29" i="57"/>
  <c r="H29" i="57" s="1"/>
  <c r="F28" i="57"/>
  <c r="H28" i="57" s="1"/>
  <c r="F27" i="57"/>
  <c r="H27" i="57" s="1"/>
  <c r="D28" i="59" s="1"/>
  <c r="F26" i="57"/>
  <c r="H26" i="57" s="1"/>
  <c r="F24" i="57"/>
  <c r="H24" i="57" s="1"/>
  <c r="D25" i="59" s="1"/>
  <c r="D24" i="57"/>
  <c r="F23" i="57"/>
  <c r="H23" i="57" s="1"/>
  <c r="D24" i="59" s="1"/>
  <c r="F22" i="57"/>
  <c r="I20" i="57"/>
  <c r="H19" i="57"/>
  <c r="F19" i="57"/>
  <c r="C35" i="57" s="1"/>
  <c r="Q18" i="57"/>
  <c r="O18" i="57"/>
  <c r="I14" i="57"/>
  <c r="D14" i="59" s="1"/>
  <c r="I13" i="57"/>
  <c r="D13" i="59" s="1"/>
  <c r="G12" i="59" s="1"/>
  <c r="I12" i="59" s="1"/>
  <c r="C12" i="60" s="1"/>
  <c r="F11" i="60" s="1"/>
  <c r="H11" i="60" s="1"/>
  <c r="C11" i="61" s="1"/>
  <c r="F10" i="61" s="1"/>
  <c r="H10" i="61" s="1"/>
  <c r="C10" i="62" s="1"/>
  <c r="P11" i="57"/>
  <c r="R11" i="57" s="1"/>
  <c r="N11" i="59" s="1"/>
  <c r="P11" i="59" s="1"/>
  <c r="R11" i="59" s="1"/>
  <c r="M11" i="60" s="1"/>
  <c r="O11" i="60" s="1"/>
  <c r="Q11" i="60" s="1"/>
  <c r="M11" i="61" s="1"/>
  <c r="O11" i="61" s="1"/>
  <c r="Q11" i="61" s="1"/>
  <c r="M11" i="62" s="1"/>
  <c r="O11" i="62" s="1"/>
  <c r="Q11" i="62" s="1"/>
  <c r="M11" i="63" s="1"/>
  <c r="O11" i="63" s="1"/>
  <c r="Q11" i="63" s="1"/>
  <c r="M11" i="64" s="1"/>
  <c r="O11" i="64" s="1"/>
  <c r="Q11" i="64" s="1"/>
  <c r="M11" i="65" s="1"/>
  <c r="O11" i="65" s="1"/>
  <c r="Q11" i="65" s="1"/>
  <c r="M11" i="66" s="1"/>
  <c r="O11" i="66" s="1"/>
  <c r="Q11" i="66" s="1"/>
  <c r="M11" i="67" s="1"/>
  <c r="O11" i="67" s="1"/>
  <c r="Q11" i="67" s="1"/>
  <c r="M11" i="68" s="1"/>
  <c r="O11" i="68" s="1"/>
  <c r="Q11" i="68" s="1"/>
  <c r="N11" i="69" s="1"/>
  <c r="P11" i="69" s="1"/>
  <c r="R11" i="69" s="1"/>
  <c r="N11" i="70" s="1"/>
  <c r="P11" i="70" s="1"/>
  <c r="R11" i="70" s="1"/>
  <c r="N11" i="71" s="1"/>
  <c r="P11" i="71" s="1"/>
  <c r="R11" i="71" s="1"/>
  <c r="N11" i="72" s="1"/>
  <c r="P11" i="72" s="1"/>
  <c r="R11" i="72" s="1"/>
  <c r="N11" i="73" s="1"/>
  <c r="P11" i="73" s="1"/>
  <c r="R11" i="73" s="1"/>
  <c r="N11" i="74" s="1"/>
  <c r="P11" i="74" s="1"/>
  <c r="R11" i="74" s="1"/>
  <c r="N11" i="75" s="1"/>
  <c r="P11" i="75" s="1"/>
  <c r="R11" i="75" s="1"/>
  <c r="N11" i="76" s="1"/>
  <c r="P11" i="76" s="1"/>
  <c r="R11" i="76" s="1"/>
  <c r="N11" i="77" s="1"/>
  <c r="P11" i="77" s="1"/>
  <c r="R11" i="77" s="1"/>
  <c r="N11" i="78" s="1"/>
  <c r="P11" i="78" s="1"/>
  <c r="R11" i="78" s="1"/>
  <c r="N11" i="79" s="1"/>
  <c r="P11" i="79" s="1"/>
  <c r="R11" i="79" s="1"/>
  <c r="N11" i="80" s="1"/>
  <c r="P11" i="80" s="1"/>
  <c r="R11" i="80" s="1"/>
  <c r="N11" i="81" s="1"/>
  <c r="P11" i="81" s="1"/>
  <c r="R11" i="81" s="1"/>
  <c r="D29" i="59" l="1"/>
  <c r="D27" i="59"/>
  <c r="D26" i="59"/>
  <c r="I17" i="59"/>
  <c r="D46" i="59"/>
  <c r="O7" i="66"/>
  <c r="Q7" i="66" s="1"/>
  <c r="M7" i="67" s="1"/>
  <c r="O7" i="67" s="1"/>
  <c r="Q7" i="67" s="1"/>
  <c r="P43" i="57"/>
  <c r="F30" i="57"/>
  <c r="H30" i="57" s="1"/>
  <c r="D30" i="59" s="1"/>
  <c r="G33" i="57"/>
  <c r="H22" i="57"/>
  <c r="D23" i="59" s="1"/>
  <c r="I18" i="57"/>
  <c r="G19" i="59" s="1"/>
  <c r="I19" i="59" s="1"/>
  <c r="C19" i="60" s="1"/>
  <c r="F19" i="60" s="1"/>
  <c r="H19" i="60" s="1"/>
  <c r="C19" i="61" s="1"/>
  <c r="F19" i="61" s="1"/>
  <c r="H19" i="61" s="1"/>
  <c r="C19" i="62" s="1"/>
  <c r="F19" i="62" s="1"/>
  <c r="H19" i="62" s="1"/>
  <c r="C19" i="63" s="1"/>
  <c r="F19" i="63" s="1"/>
  <c r="H19" i="63" s="1"/>
  <c r="C19" i="64" s="1"/>
  <c r="F19" i="64" s="1"/>
  <c r="H19" i="64" s="1"/>
  <c r="C19" i="65" s="1"/>
  <c r="F19" i="65" s="1"/>
  <c r="H19" i="65" s="1"/>
  <c r="C19" i="66" s="1"/>
  <c r="F19" i="66" s="1"/>
  <c r="H19" i="66" s="1"/>
  <c r="C19" i="67" s="1"/>
  <c r="F19" i="67" s="1"/>
  <c r="H19" i="67" s="1"/>
  <c r="C19" i="68" s="1"/>
  <c r="F19" i="68" s="1"/>
  <c r="H19" i="68" s="1"/>
  <c r="C33" i="57"/>
  <c r="L43" i="57"/>
  <c r="Q24" i="55"/>
  <c r="Q39" i="55" s="1"/>
  <c r="D31" i="59" l="1"/>
  <c r="D50" i="59"/>
  <c r="H46" i="59"/>
  <c r="H50" i="59" s="1"/>
  <c r="M7" i="68"/>
  <c r="O7" i="68" s="1"/>
  <c r="Q7" i="68" s="1"/>
  <c r="N7" i="69" s="1"/>
  <c r="P7" i="69" s="1"/>
  <c r="R7" i="69" s="1"/>
  <c r="N7" i="70" s="1"/>
  <c r="M44" i="57"/>
  <c r="Q44" i="57" s="1"/>
  <c r="D34" i="57"/>
  <c r="H34" i="57" s="1"/>
  <c r="P7" i="70" l="1"/>
  <c r="R7" i="70" s="1"/>
  <c r="N7" i="71" s="1"/>
  <c r="H14" i="55"/>
  <c r="P7" i="71" l="1"/>
  <c r="R7" i="71" s="1"/>
  <c r="Q10" i="51"/>
  <c r="P10" i="51"/>
  <c r="Q10" i="53"/>
  <c r="N7" i="72" l="1"/>
  <c r="O17" i="55"/>
  <c r="L42" i="55" s="1"/>
  <c r="H53" i="55" s="1"/>
  <c r="P7" i="72" l="1"/>
  <c r="R7" i="72" s="1"/>
  <c r="M43" i="55"/>
  <c r="O39" i="53"/>
  <c r="N7" i="73" l="1"/>
  <c r="P7" i="73" s="1"/>
  <c r="R7" i="73" s="1"/>
  <c r="D24" i="55"/>
  <c r="R38" i="55"/>
  <c r="N38" i="57" s="1"/>
  <c r="G29" i="55"/>
  <c r="E29" i="55"/>
  <c r="F28" i="55"/>
  <c r="H28" i="55" s="1"/>
  <c r="F27" i="55"/>
  <c r="H27" i="55" s="1"/>
  <c r="F26" i="55"/>
  <c r="H26" i="55" s="1"/>
  <c r="F25" i="55"/>
  <c r="H25" i="55" s="1"/>
  <c r="F23" i="55"/>
  <c r="H23" i="55" s="1"/>
  <c r="F22" i="55"/>
  <c r="H22" i="55" s="1"/>
  <c r="F21" i="55"/>
  <c r="H18" i="55"/>
  <c r="F18" i="55"/>
  <c r="C34" i="55" s="1"/>
  <c r="E18" i="55"/>
  <c r="Q17" i="55"/>
  <c r="P42" i="55" s="1"/>
  <c r="P7" i="55"/>
  <c r="R7" i="55" s="1"/>
  <c r="P7" i="53"/>
  <c r="R7" i="53" s="1"/>
  <c r="O17" i="53"/>
  <c r="Q17" i="53"/>
  <c r="E18" i="53"/>
  <c r="F18" i="53"/>
  <c r="C34" i="53" s="1"/>
  <c r="H18" i="53"/>
  <c r="I19" i="53"/>
  <c r="F21" i="53"/>
  <c r="H21" i="53" s="1"/>
  <c r="F22" i="53"/>
  <c r="H22" i="53" s="1"/>
  <c r="F23" i="53"/>
  <c r="H23" i="53" s="1"/>
  <c r="F25" i="53"/>
  <c r="H25" i="53" s="1"/>
  <c r="F26" i="53"/>
  <c r="H26" i="53" s="1"/>
  <c r="F27" i="53"/>
  <c r="H27" i="53" s="1"/>
  <c r="F28" i="53"/>
  <c r="G28" i="53"/>
  <c r="E29" i="53"/>
  <c r="C32" i="53" s="1"/>
  <c r="G29" i="53"/>
  <c r="C36" i="53"/>
  <c r="G36" i="53" s="1"/>
  <c r="M39" i="53"/>
  <c r="L46" i="53" s="1"/>
  <c r="Q39" i="53"/>
  <c r="P42" i="53" s="1"/>
  <c r="L42" i="53"/>
  <c r="M43" i="53" s="1"/>
  <c r="Q43" i="53" s="1"/>
  <c r="D48" i="53"/>
  <c r="H48" i="53"/>
  <c r="M55" i="53"/>
  <c r="Q55" i="53"/>
  <c r="N7" i="74" l="1"/>
  <c r="H28" i="53"/>
  <c r="D28" i="55" s="1"/>
  <c r="D21" i="55"/>
  <c r="D21" i="56"/>
  <c r="D26" i="55"/>
  <c r="D26" i="56"/>
  <c r="F26" i="56" s="1"/>
  <c r="H26" i="56" s="1"/>
  <c r="D26" i="57"/>
  <c r="D23" i="55"/>
  <c r="D23" i="56"/>
  <c r="F23" i="56" s="1"/>
  <c r="H23" i="56" s="1"/>
  <c r="D23" i="57"/>
  <c r="D22" i="55"/>
  <c r="D22" i="56"/>
  <c r="F22" i="56" s="1"/>
  <c r="H22" i="56" s="1"/>
  <c r="D22" i="57"/>
  <c r="D27" i="55"/>
  <c r="D27" i="56"/>
  <c r="F27" i="56" s="1"/>
  <c r="H27" i="56" s="1"/>
  <c r="D27" i="57"/>
  <c r="D25" i="55"/>
  <c r="D25" i="56"/>
  <c r="F25" i="56" s="1"/>
  <c r="H25" i="56" s="1"/>
  <c r="D25" i="57"/>
  <c r="F29" i="55"/>
  <c r="H29" i="55" s="1"/>
  <c r="H21" i="55"/>
  <c r="P7" i="57"/>
  <c r="R7" i="57" s="1"/>
  <c r="C32" i="55"/>
  <c r="G32" i="53"/>
  <c r="G32" i="55"/>
  <c r="Q43" i="55"/>
  <c r="D33" i="55"/>
  <c r="H33" i="55" s="1"/>
  <c r="D33" i="53"/>
  <c r="H33" i="53" s="1"/>
  <c r="F29" i="53"/>
  <c r="H29" i="53" s="1"/>
  <c r="H51" i="54"/>
  <c r="D51" i="54"/>
  <c r="H39" i="54"/>
  <c r="F39" i="54"/>
  <c r="D39" i="54"/>
  <c r="C46" i="54" s="1"/>
  <c r="E38" i="54"/>
  <c r="G38" i="54" s="1"/>
  <c r="I38" i="54" s="1"/>
  <c r="E37" i="54"/>
  <c r="G37" i="54" s="1"/>
  <c r="I37" i="54" s="1"/>
  <c r="E36" i="54"/>
  <c r="G36" i="54" s="1"/>
  <c r="I36" i="54" s="1"/>
  <c r="E35" i="54"/>
  <c r="G35" i="54" s="1"/>
  <c r="I35" i="54" s="1"/>
  <c r="E34" i="54"/>
  <c r="G34" i="54" s="1"/>
  <c r="I34" i="54" s="1"/>
  <c r="E33" i="54"/>
  <c r="G33" i="54" s="1"/>
  <c r="I33" i="54" s="1"/>
  <c r="E32" i="54"/>
  <c r="G32" i="54" s="1"/>
  <c r="I32" i="54" s="1"/>
  <c r="G31" i="54"/>
  <c r="I31" i="54" s="1"/>
  <c r="E30" i="54"/>
  <c r="G30" i="54" s="1"/>
  <c r="I30" i="54" s="1"/>
  <c r="E29" i="54"/>
  <c r="G29" i="54" s="1"/>
  <c r="I29" i="54" s="1"/>
  <c r="E28" i="54"/>
  <c r="G28" i="54" s="1"/>
  <c r="I28" i="54" s="1"/>
  <c r="E27" i="54"/>
  <c r="G27" i="54" s="1"/>
  <c r="I27" i="54" s="1"/>
  <c r="E26" i="54"/>
  <c r="G26" i="54" s="1"/>
  <c r="I26" i="54" s="1"/>
  <c r="E25" i="54"/>
  <c r="G25" i="54" s="1"/>
  <c r="I25" i="54" s="1"/>
  <c r="E24" i="54"/>
  <c r="G24" i="54" s="1"/>
  <c r="I24" i="54" s="1"/>
  <c r="E23" i="54"/>
  <c r="G23" i="54" s="1"/>
  <c r="I23" i="54" s="1"/>
  <c r="E22" i="54"/>
  <c r="G22" i="54" s="1"/>
  <c r="I22" i="54" s="1"/>
  <c r="E21" i="54"/>
  <c r="G21" i="54" s="1"/>
  <c r="I21" i="54" s="1"/>
  <c r="E20" i="54"/>
  <c r="G20" i="54" s="1"/>
  <c r="I20" i="54" s="1"/>
  <c r="H17" i="54"/>
  <c r="F17" i="54"/>
  <c r="G7" i="54"/>
  <c r="I7" i="54" s="1"/>
  <c r="D28" i="57" l="1"/>
  <c r="D28" i="56"/>
  <c r="F28" i="56" s="1"/>
  <c r="H28" i="56" s="1"/>
  <c r="P7" i="74"/>
  <c r="R7" i="74" s="1"/>
  <c r="D21" i="70"/>
  <c r="D21" i="73"/>
  <c r="D21" i="72"/>
  <c r="D21" i="71"/>
  <c r="G42" i="54"/>
  <c r="D29" i="56"/>
  <c r="F29" i="56" s="1"/>
  <c r="H29" i="56" s="1"/>
  <c r="D29" i="57"/>
  <c r="D21" i="69"/>
  <c r="C21" i="68"/>
  <c r="C21" i="67"/>
  <c r="C21" i="66"/>
  <c r="C21" i="65"/>
  <c r="C21" i="64"/>
  <c r="C21" i="63"/>
  <c r="C21" i="62"/>
  <c r="C21" i="61"/>
  <c r="C21" i="60"/>
  <c r="F21" i="56"/>
  <c r="H21" i="56" s="1"/>
  <c r="D29" i="55"/>
  <c r="C42" i="54"/>
  <c r="D43" i="54" s="1"/>
  <c r="H43" i="54" s="1"/>
  <c r="E39" i="54"/>
  <c r="G39" i="54" s="1"/>
  <c r="I39" i="54" s="1"/>
  <c r="N7" i="75" l="1"/>
  <c r="P7" i="75" s="1"/>
  <c r="R7" i="75" s="1"/>
  <c r="D39" i="56"/>
  <c r="F39" i="56" s="1"/>
  <c r="H39" i="56" s="1"/>
  <c r="I64" i="53"/>
  <c r="I65" i="53" s="1"/>
  <c r="N7" i="76" l="1"/>
  <c r="G25" i="49"/>
  <c r="P7" i="76" l="1"/>
  <c r="R7" i="76" s="1"/>
  <c r="Q28" i="51"/>
  <c r="N7" i="77" l="1"/>
  <c r="O39" i="51"/>
  <c r="P7" i="77" l="1"/>
  <c r="R7" i="77" s="1"/>
  <c r="P38" i="51"/>
  <c r="R38" i="51" s="1"/>
  <c r="N38" i="53" s="1"/>
  <c r="P38" i="53" s="1"/>
  <c r="R38" i="53" s="1"/>
  <c r="P38" i="57" s="1"/>
  <c r="R38" i="57" s="1"/>
  <c r="P39" i="59" s="1"/>
  <c r="R39" i="59" s="1"/>
  <c r="M39" i="60" s="1"/>
  <c r="O39" i="60" s="1"/>
  <c r="Q39" i="60" s="1"/>
  <c r="M39" i="61" s="1"/>
  <c r="O39" i="61" s="1"/>
  <c r="Q39" i="61" s="1"/>
  <c r="M39" i="62" s="1"/>
  <c r="O39" i="62" s="1"/>
  <c r="Q39" i="62" s="1"/>
  <c r="M39" i="63" s="1"/>
  <c r="O39" i="63" s="1"/>
  <c r="Q39" i="63" s="1"/>
  <c r="M39" i="64" s="1"/>
  <c r="O39" i="64" s="1"/>
  <c r="Q39" i="64" s="1"/>
  <c r="M39" i="65" s="1"/>
  <c r="O39" i="65" s="1"/>
  <c r="Q39" i="65" s="1"/>
  <c r="M39" i="66" s="1"/>
  <c r="O39" i="66" s="1"/>
  <c r="Q39" i="66" s="1"/>
  <c r="M39" i="67" s="1"/>
  <c r="O39" i="67" s="1"/>
  <c r="Q39" i="67" s="1"/>
  <c r="M39" i="51"/>
  <c r="N7" i="78" l="1"/>
  <c r="M39" i="68"/>
  <c r="O39" i="68" s="1"/>
  <c r="Q39" i="68" s="1"/>
  <c r="N39" i="69" s="1"/>
  <c r="P39" i="69" s="1"/>
  <c r="R39" i="69" s="1"/>
  <c r="N39" i="70" s="1"/>
  <c r="P39" i="70" s="1"/>
  <c r="R39" i="70" s="1"/>
  <c r="N39" i="71" s="1"/>
  <c r="P39" i="71" s="1"/>
  <c r="R39" i="71" s="1"/>
  <c r="N39" i="72" s="1"/>
  <c r="P39" i="72" s="1"/>
  <c r="R39" i="72" s="1"/>
  <c r="N39" i="73" s="1"/>
  <c r="P39" i="73" s="1"/>
  <c r="R39" i="73" s="1"/>
  <c r="N39" i="74" s="1"/>
  <c r="P39" i="74" s="1"/>
  <c r="R39" i="74" s="1"/>
  <c r="N39" i="75" s="1"/>
  <c r="P39" i="75" s="1"/>
  <c r="R39" i="75" s="1"/>
  <c r="N39" i="76" s="1"/>
  <c r="P39" i="76" s="1"/>
  <c r="R39" i="76" s="1"/>
  <c r="N39" i="77" s="1"/>
  <c r="P39" i="77" s="1"/>
  <c r="R39" i="77" s="1"/>
  <c r="N39" i="78" s="1"/>
  <c r="P39" i="78" s="1"/>
  <c r="R39" i="78" s="1"/>
  <c r="O17" i="51"/>
  <c r="N39" i="79" l="1"/>
  <c r="P39" i="79" s="1"/>
  <c r="R39" i="79" s="1"/>
  <c r="N39" i="80" s="1"/>
  <c r="P39" i="80" s="1"/>
  <c r="R39" i="80" s="1"/>
  <c r="N39" i="81" s="1"/>
  <c r="P39" i="81" s="1"/>
  <c r="R39" i="81" s="1"/>
  <c r="P7" i="78"/>
  <c r="N32" i="51"/>
  <c r="M17" i="51"/>
  <c r="F28" i="50"/>
  <c r="H28" i="50" s="1"/>
  <c r="Q28" i="50"/>
  <c r="S28" i="50" s="1"/>
  <c r="G49" i="52"/>
  <c r="C49" i="52"/>
  <c r="E37" i="52"/>
  <c r="C37" i="52"/>
  <c r="B44" i="52" s="1"/>
  <c r="F36" i="52"/>
  <c r="H36" i="52" s="1"/>
  <c r="D35" i="52"/>
  <c r="F35" i="52" s="1"/>
  <c r="H35" i="52" s="1"/>
  <c r="D32" i="52"/>
  <c r="F32" i="52" s="1"/>
  <c r="H32" i="52" s="1"/>
  <c r="D31" i="52"/>
  <c r="F31" i="52" s="1"/>
  <c r="H31" i="52" s="1"/>
  <c r="D30" i="52"/>
  <c r="F30" i="52" s="1"/>
  <c r="H30" i="52" s="1"/>
  <c r="D29" i="52"/>
  <c r="F29" i="52" s="1"/>
  <c r="H29" i="52" s="1"/>
  <c r="D28" i="52"/>
  <c r="F28" i="52" s="1"/>
  <c r="H28" i="52" s="1"/>
  <c r="F27" i="52"/>
  <c r="H27" i="52" s="1"/>
  <c r="G26" i="52"/>
  <c r="F26" i="52"/>
  <c r="H26" i="52" s="1"/>
  <c r="D25" i="52"/>
  <c r="F25" i="52" s="1"/>
  <c r="H25" i="52" s="1"/>
  <c r="D23" i="52"/>
  <c r="F23" i="52" s="1"/>
  <c r="H23" i="52" s="1"/>
  <c r="G22" i="52"/>
  <c r="G37" i="52" s="1"/>
  <c r="D22" i="52"/>
  <c r="F22" i="52" s="1"/>
  <c r="H22" i="52" s="1"/>
  <c r="F18" i="52"/>
  <c r="H18" i="52" s="1"/>
  <c r="C14" i="52"/>
  <c r="E13" i="52"/>
  <c r="D13" i="52"/>
  <c r="F12" i="52"/>
  <c r="H12" i="52" s="1"/>
  <c r="F11" i="52"/>
  <c r="H11" i="52" s="1"/>
  <c r="F10" i="52"/>
  <c r="H10" i="52" s="1"/>
  <c r="F9" i="52"/>
  <c r="H9" i="52" s="1"/>
  <c r="F8" i="52"/>
  <c r="H8" i="52" s="1"/>
  <c r="F7" i="52"/>
  <c r="H7" i="52" s="1"/>
  <c r="F6" i="52"/>
  <c r="H6" i="52" s="1"/>
  <c r="F5" i="52"/>
  <c r="H5" i="52" s="1"/>
  <c r="F4" i="52"/>
  <c r="H4" i="52" s="1"/>
  <c r="G3" i="52"/>
  <c r="G13" i="52" s="1"/>
  <c r="F3" i="52"/>
  <c r="H3" i="52" l="1"/>
  <c r="R7" i="78"/>
  <c r="F40" i="52"/>
  <c r="F13" i="52"/>
  <c r="H13" i="52"/>
  <c r="B40" i="52"/>
  <c r="C41" i="52" s="1"/>
  <c r="G41" i="52" s="1"/>
  <c r="P37" i="51"/>
  <c r="R37" i="51" s="1"/>
  <c r="N37" i="53" s="1"/>
  <c r="P37" i="53" s="1"/>
  <c r="R37" i="53" s="1"/>
  <c r="N37" i="55" s="1"/>
  <c r="P37" i="55" s="1"/>
  <c r="R37" i="55" s="1"/>
  <c r="N37" i="57" s="1"/>
  <c r="P37" i="57" s="1"/>
  <c r="R37" i="57" s="1"/>
  <c r="N38" i="59" s="1"/>
  <c r="P38" i="59" s="1"/>
  <c r="R38" i="59" s="1"/>
  <c r="M38" i="60" s="1"/>
  <c r="O38" i="60" s="1"/>
  <c r="Q38" i="60" s="1"/>
  <c r="M38" i="61" s="1"/>
  <c r="O38" i="61" s="1"/>
  <c r="Q38" i="61" s="1"/>
  <c r="M38" i="62" s="1"/>
  <c r="O38" i="62" s="1"/>
  <c r="Q38" i="62" s="1"/>
  <c r="M38" i="63" s="1"/>
  <c r="O38" i="63" s="1"/>
  <c r="Q38" i="63" s="1"/>
  <c r="M38" i="64" s="1"/>
  <c r="O38" i="64" s="1"/>
  <c r="Q38" i="64" s="1"/>
  <c r="M38" i="65" s="1"/>
  <c r="O38" i="65" s="1"/>
  <c r="Q38" i="65" s="1"/>
  <c r="M38" i="66" s="1"/>
  <c r="O38" i="66" s="1"/>
  <c r="Q38" i="66" s="1"/>
  <c r="M38" i="67" s="1"/>
  <c r="O38" i="67" s="1"/>
  <c r="Q38" i="67" s="1"/>
  <c r="N7" i="79" l="1"/>
  <c r="P7" i="79" s="1"/>
  <c r="M38" i="68"/>
  <c r="O38" i="68" s="1"/>
  <c r="Q38" i="68" s="1"/>
  <c r="N38" i="69" s="1"/>
  <c r="P38" i="69" s="1"/>
  <c r="R38" i="69" s="1"/>
  <c r="Q7" i="51"/>
  <c r="N38" i="70" l="1"/>
  <c r="P38" i="70" s="1"/>
  <c r="R38" i="70" s="1"/>
  <c r="N38" i="71" s="1"/>
  <c r="P38" i="71" s="1"/>
  <c r="R38" i="71" s="1"/>
  <c r="N38" i="72" s="1"/>
  <c r="P38" i="72" s="1"/>
  <c r="R38" i="72" s="1"/>
  <c r="N38" i="73" s="1"/>
  <c r="P38" i="73" s="1"/>
  <c r="R38" i="73" s="1"/>
  <c r="N38" i="74" s="1"/>
  <c r="P38" i="74" s="1"/>
  <c r="R38" i="74" s="1"/>
  <c r="N38" i="75" s="1"/>
  <c r="P38" i="75" s="1"/>
  <c r="R38" i="75" s="1"/>
  <c r="N38" i="76" s="1"/>
  <c r="P38" i="76" s="1"/>
  <c r="R38" i="76" s="1"/>
  <c r="N38" i="77" s="1"/>
  <c r="P38" i="77" s="1"/>
  <c r="R38" i="77" s="1"/>
  <c r="N38" i="78" s="1"/>
  <c r="P38" i="78" s="1"/>
  <c r="R38" i="78" s="1"/>
  <c r="R7" i="79"/>
  <c r="N7" i="80" s="1"/>
  <c r="N17" i="51"/>
  <c r="P29" i="51"/>
  <c r="R29" i="51" s="1"/>
  <c r="N29" i="53" s="1"/>
  <c r="P29" i="53" s="1"/>
  <c r="R29" i="53" s="1"/>
  <c r="N29" i="55" s="1"/>
  <c r="P29" i="55" s="1"/>
  <c r="R29" i="55" s="1"/>
  <c r="N29" i="57" s="1"/>
  <c r="P29" i="57" s="1"/>
  <c r="R29" i="57" s="1"/>
  <c r="P7" i="80" l="1"/>
  <c r="R7" i="80"/>
  <c r="N7" i="81" s="1"/>
  <c r="N38" i="79"/>
  <c r="P38" i="79" s="1"/>
  <c r="R38" i="79" s="1"/>
  <c r="N38" i="80" s="1"/>
  <c r="P38" i="80" s="1"/>
  <c r="R38" i="80" s="1"/>
  <c r="N38" i="81" s="1"/>
  <c r="P38" i="81" s="1"/>
  <c r="R38" i="81" s="1"/>
  <c r="N31" i="51"/>
  <c r="P31" i="51" s="1"/>
  <c r="R31" i="51" s="1"/>
  <c r="N31" i="53" s="1"/>
  <c r="P31" i="53" s="1"/>
  <c r="R31" i="53" s="1"/>
  <c r="P7" i="81" l="1"/>
  <c r="N31" i="55"/>
  <c r="P31" i="55" s="1"/>
  <c r="R31" i="55" s="1"/>
  <c r="N31" i="57" s="1"/>
  <c r="P31" i="57" s="1"/>
  <c r="R31" i="57" s="1"/>
  <c r="Q24" i="51"/>
  <c r="Q39" i="51" s="1"/>
  <c r="R7" i="81" l="1"/>
  <c r="N33" i="51"/>
  <c r="N34" i="51"/>
  <c r="H19" i="50" l="1"/>
  <c r="P34" i="51"/>
  <c r="P33" i="51"/>
  <c r="E20" i="49"/>
  <c r="P7" i="51" l="1"/>
  <c r="R7" i="51" s="1"/>
  <c r="P8" i="51"/>
  <c r="R8" i="51" s="1"/>
  <c r="N8" i="53" s="1"/>
  <c r="P9" i="51"/>
  <c r="R9" i="51" s="1"/>
  <c r="N9" i="53" s="1"/>
  <c r="P9" i="53" s="1"/>
  <c r="R9" i="53" s="1"/>
  <c r="N9" i="55" s="1"/>
  <c r="P9" i="55" s="1"/>
  <c r="R9" i="55" s="1"/>
  <c r="N9" i="57" s="1"/>
  <c r="P9" i="57" s="1"/>
  <c r="R9" i="57" s="1"/>
  <c r="N9" i="59" s="1"/>
  <c r="P9" i="59" s="1"/>
  <c r="R9" i="59" s="1"/>
  <c r="M9" i="60" s="1"/>
  <c r="O9" i="60" s="1"/>
  <c r="Q9" i="60" s="1"/>
  <c r="M9" i="61" s="1"/>
  <c r="O9" i="61" s="1"/>
  <c r="Q9" i="61" s="1"/>
  <c r="R10" i="51"/>
  <c r="N10" i="53" s="1"/>
  <c r="P10" i="53" s="1"/>
  <c r="R10" i="53" s="1"/>
  <c r="P11" i="51"/>
  <c r="R11" i="51" s="1"/>
  <c r="N11" i="53" s="1"/>
  <c r="P11" i="53" s="1"/>
  <c r="R11" i="53" s="1"/>
  <c r="N11" i="55" s="1"/>
  <c r="P11" i="55" s="1"/>
  <c r="P12" i="51"/>
  <c r="R12" i="51" s="1"/>
  <c r="P13" i="51"/>
  <c r="R13" i="51" s="1"/>
  <c r="N13" i="53" s="1"/>
  <c r="P13" i="53" s="1"/>
  <c r="R13" i="53" s="1"/>
  <c r="N13" i="55" s="1"/>
  <c r="P13" i="55" s="1"/>
  <c r="R13" i="55" s="1"/>
  <c r="N13" i="57" s="1"/>
  <c r="P13" i="57" s="1"/>
  <c r="R13" i="57" s="1"/>
  <c r="N13" i="59" s="1"/>
  <c r="P13" i="59" s="1"/>
  <c r="R13" i="59" s="1"/>
  <c r="M13" i="60" s="1"/>
  <c r="O13" i="60" s="1"/>
  <c r="Q13" i="60" s="1"/>
  <c r="M13" i="61" s="1"/>
  <c r="O13" i="61" s="1"/>
  <c r="Q13" i="61" s="1"/>
  <c r="M13" i="62" s="1"/>
  <c r="O13" i="62" s="1"/>
  <c r="Q13" i="62" s="1"/>
  <c r="M13" i="63" s="1"/>
  <c r="O13" i="63" s="1"/>
  <c r="Q13" i="63" s="1"/>
  <c r="M13" i="64" s="1"/>
  <c r="O13" i="64" s="1"/>
  <c r="Q13" i="64" s="1"/>
  <c r="M13" i="65" s="1"/>
  <c r="O13" i="65" s="1"/>
  <c r="Q13" i="65" s="1"/>
  <c r="M13" i="66" s="1"/>
  <c r="O13" i="66" s="1"/>
  <c r="Q13" i="66" s="1"/>
  <c r="M13" i="67" s="1"/>
  <c r="O13" i="67" s="1"/>
  <c r="Q13" i="67" s="1"/>
  <c r="M13" i="68" s="1"/>
  <c r="O13" i="68" s="1"/>
  <c r="Q13" i="68" s="1"/>
  <c r="N13" i="69" s="1"/>
  <c r="P13" i="69" s="1"/>
  <c r="R13" i="69" s="1"/>
  <c r="N13" i="70" s="1"/>
  <c r="P13" i="70" s="1"/>
  <c r="R13" i="70" s="1"/>
  <c r="N13" i="71" s="1"/>
  <c r="P13" i="71" s="1"/>
  <c r="R13" i="71" s="1"/>
  <c r="N13" i="72" s="1"/>
  <c r="P13" i="72" s="1"/>
  <c r="R13" i="72" s="1"/>
  <c r="N13" i="73" s="1"/>
  <c r="P13" i="73" s="1"/>
  <c r="R13" i="73" s="1"/>
  <c r="N13" i="74" s="1"/>
  <c r="P13" i="74" s="1"/>
  <c r="R13" i="74" s="1"/>
  <c r="N13" i="75" s="1"/>
  <c r="P13" i="75" s="1"/>
  <c r="R13" i="75" s="1"/>
  <c r="N13" i="76" s="1"/>
  <c r="P13" i="76" s="1"/>
  <c r="R13" i="76" s="1"/>
  <c r="N13" i="77" s="1"/>
  <c r="P13" i="77" s="1"/>
  <c r="R13" i="77" s="1"/>
  <c r="N13" i="78" s="1"/>
  <c r="P13" i="78" s="1"/>
  <c r="R13" i="78" s="1"/>
  <c r="N13" i="79" s="1"/>
  <c r="P13" i="79" s="1"/>
  <c r="R13" i="79" s="1"/>
  <c r="N13" i="80" s="1"/>
  <c r="P13" i="80" s="1"/>
  <c r="R13" i="80" s="1"/>
  <c r="N13" i="81" s="1"/>
  <c r="P13" i="81" s="1"/>
  <c r="R13" i="81" s="1"/>
  <c r="P14" i="51"/>
  <c r="R14" i="51" s="1"/>
  <c r="N14" i="53" s="1"/>
  <c r="P14" i="53" s="1"/>
  <c r="R14" i="53" s="1"/>
  <c r="N14" i="55" s="1"/>
  <c r="P14" i="55" s="1"/>
  <c r="R14" i="55" s="1"/>
  <c r="N14" i="57" s="1"/>
  <c r="P14" i="57" s="1"/>
  <c r="R14" i="57" s="1"/>
  <c r="N14" i="59" s="1"/>
  <c r="P14" i="59" s="1"/>
  <c r="R14" i="59" s="1"/>
  <c r="M14" i="60" s="1"/>
  <c r="O14" i="60" s="1"/>
  <c r="Q14" i="60" s="1"/>
  <c r="M14" i="61" s="1"/>
  <c r="O14" i="61" s="1"/>
  <c r="Q14" i="61" s="1"/>
  <c r="M14" i="62" s="1"/>
  <c r="O14" i="62" s="1"/>
  <c r="Q14" i="62" s="1"/>
  <c r="M14" i="63" s="1"/>
  <c r="O14" i="63" s="1"/>
  <c r="Q14" i="63" s="1"/>
  <c r="M14" i="64" s="1"/>
  <c r="O14" i="64" s="1"/>
  <c r="Q14" i="64" s="1"/>
  <c r="M14" i="65" s="1"/>
  <c r="O14" i="65" s="1"/>
  <c r="Q14" i="65" s="1"/>
  <c r="M14" i="66" s="1"/>
  <c r="O14" i="66" s="1"/>
  <c r="Q14" i="66" s="1"/>
  <c r="M14" i="67" s="1"/>
  <c r="O14" i="67" s="1"/>
  <c r="Q14" i="67" s="1"/>
  <c r="M14" i="68" s="1"/>
  <c r="O14" i="68" s="1"/>
  <c r="Q14" i="68" s="1"/>
  <c r="N14" i="69" s="1"/>
  <c r="P14" i="69" s="1"/>
  <c r="R14" i="69" s="1"/>
  <c r="N14" i="70" s="1"/>
  <c r="P14" i="70" s="1"/>
  <c r="R14" i="70" s="1"/>
  <c r="N14" i="71" s="1"/>
  <c r="P14" i="71" s="1"/>
  <c r="R14" i="71" s="1"/>
  <c r="N14" i="72" s="1"/>
  <c r="P14" i="72" s="1"/>
  <c r="R14" i="72" s="1"/>
  <c r="N14" i="73" s="1"/>
  <c r="P14" i="73" s="1"/>
  <c r="R14" i="73" s="1"/>
  <c r="N14" i="74" s="1"/>
  <c r="P14" i="74" s="1"/>
  <c r="R14" i="74" s="1"/>
  <c r="N14" i="75" s="1"/>
  <c r="P14" i="75" s="1"/>
  <c r="R14" i="75" s="1"/>
  <c r="N14" i="76" s="1"/>
  <c r="P14" i="76" s="1"/>
  <c r="R14" i="76" s="1"/>
  <c r="P15" i="51"/>
  <c r="R15" i="51" s="1"/>
  <c r="N15" i="53" s="1"/>
  <c r="P15" i="53" s="1"/>
  <c r="R15" i="53" s="1"/>
  <c r="P15" i="55" s="1"/>
  <c r="R15" i="55" s="1"/>
  <c r="P15" i="57" s="1"/>
  <c r="R15" i="57" s="1"/>
  <c r="P16" i="51"/>
  <c r="R16" i="51" s="1"/>
  <c r="N16" i="53" s="1"/>
  <c r="P16" i="53" s="1"/>
  <c r="R16" i="53" s="1"/>
  <c r="N16" i="55" s="1"/>
  <c r="P16" i="55" s="1"/>
  <c r="R16" i="55" s="1"/>
  <c r="N16" i="57" s="1"/>
  <c r="P16" i="57" s="1"/>
  <c r="R16" i="57" s="1"/>
  <c r="N16" i="59" s="1"/>
  <c r="P16" i="59" s="1"/>
  <c r="R16" i="59" s="1"/>
  <c r="M16" i="60" s="1"/>
  <c r="O16" i="60" s="1"/>
  <c r="Q16" i="60" s="1"/>
  <c r="M16" i="61" s="1"/>
  <c r="O16" i="61" s="1"/>
  <c r="Q16" i="61" s="1"/>
  <c r="M16" i="62" s="1"/>
  <c r="O16" i="62" s="1"/>
  <c r="Q16" i="62" s="1"/>
  <c r="M16" i="63" s="1"/>
  <c r="O16" i="63" s="1"/>
  <c r="Q16" i="63" s="1"/>
  <c r="M16" i="64" s="1"/>
  <c r="O16" i="64" s="1"/>
  <c r="Q16" i="64" s="1"/>
  <c r="M16" i="65" s="1"/>
  <c r="O16" i="65" s="1"/>
  <c r="Q16" i="65" s="1"/>
  <c r="M16" i="66" s="1"/>
  <c r="O16" i="66" s="1"/>
  <c r="Q16" i="66" s="1"/>
  <c r="M16" i="67" s="1"/>
  <c r="O16" i="67" s="1"/>
  <c r="M16" i="68" s="1"/>
  <c r="O16" i="68" s="1"/>
  <c r="Q16" i="68" s="1"/>
  <c r="N16" i="69" s="1"/>
  <c r="P16" i="69" s="1"/>
  <c r="R16" i="69" s="1"/>
  <c r="N16" i="70" s="1"/>
  <c r="P16" i="70" s="1"/>
  <c r="R16" i="70" s="1"/>
  <c r="N16" i="71" s="1"/>
  <c r="P16" i="71" s="1"/>
  <c r="R16" i="71" s="1"/>
  <c r="N16" i="72" s="1"/>
  <c r="P16" i="72" s="1"/>
  <c r="R16" i="72" s="1"/>
  <c r="N16" i="73" s="1"/>
  <c r="P16" i="73" s="1"/>
  <c r="R16" i="73" s="1"/>
  <c r="N16" i="74" s="1"/>
  <c r="P16" i="74" s="1"/>
  <c r="R16" i="74" s="1"/>
  <c r="N16" i="75" s="1"/>
  <c r="P16" i="75" s="1"/>
  <c r="R16" i="75" s="1"/>
  <c r="N16" i="76" s="1"/>
  <c r="P16" i="76" s="1"/>
  <c r="R16" i="76" s="1"/>
  <c r="N16" i="77" s="1"/>
  <c r="P16" i="77" s="1"/>
  <c r="R16" i="77" s="1"/>
  <c r="N16" i="78" s="1"/>
  <c r="P16" i="78" s="1"/>
  <c r="R16" i="78" s="1"/>
  <c r="N16" i="79" s="1"/>
  <c r="P16" i="79" s="1"/>
  <c r="R16" i="79" s="1"/>
  <c r="N16" i="80" s="1"/>
  <c r="P16" i="80" s="1"/>
  <c r="R16" i="80" s="1"/>
  <c r="N16" i="81" s="1"/>
  <c r="P16" i="81" s="1"/>
  <c r="R16" i="81" s="1"/>
  <c r="L42" i="51"/>
  <c r="M43" i="51" s="1"/>
  <c r="Q17" i="51"/>
  <c r="P28" i="51"/>
  <c r="R28" i="51" s="1"/>
  <c r="N28" i="53" s="1"/>
  <c r="P28" i="53" s="1"/>
  <c r="R28" i="53" s="1"/>
  <c r="P30" i="51"/>
  <c r="R30" i="51" s="1"/>
  <c r="N30" i="53" s="1"/>
  <c r="P30" i="53" s="1"/>
  <c r="R30" i="53" s="1"/>
  <c r="P32" i="51"/>
  <c r="R32" i="51" s="1"/>
  <c r="N32" i="53" s="1"/>
  <c r="P32" i="53" s="1"/>
  <c r="R32" i="53" s="1"/>
  <c r="R33" i="51"/>
  <c r="N33" i="53" s="1"/>
  <c r="P33" i="53" s="1"/>
  <c r="R33" i="53" s="1"/>
  <c r="R34" i="51"/>
  <c r="N34" i="53" s="1"/>
  <c r="P34" i="53" s="1"/>
  <c r="R34" i="53" s="1"/>
  <c r="M53" i="51"/>
  <c r="Q53" i="51"/>
  <c r="G14" i="51"/>
  <c r="I14" i="51" s="1"/>
  <c r="E18" i="51"/>
  <c r="F18" i="51"/>
  <c r="C34" i="51" s="1"/>
  <c r="H18" i="51"/>
  <c r="I19" i="51"/>
  <c r="E19" i="54" s="1"/>
  <c r="G19" i="54" s="1"/>
  <c r="I19" i="54" s="1"/>
  <c r="F21" i="51"/>
  <c r="H21" i="51" s="1"/>
  <c r="F22" i="51"/>
  <c r="H22" i="51" s="1"/>
  <c r="F23" i="51"/>
  <c r="H23" i="51" s="1"/>
  <c r="F25" i="51"/>
  <c r="H25" i="51" s="1"/>
  <c r="F26" i="51"/>
  <c r="H26" i="51" s="1"/>
  <c r="F27" i="51"/>
  <c r="H27" i="51" s="1"/>
  <c r="F28" i="51"/>
  <c r="H28" i="51" s="1"/>
  <c r="E29" i="51"/>
  <c r="G29" i="51"/>
  <c r="G32" i="51" s="1"/>
  <c r="H48" i="51"/>
  <c r="C32" i="51" l="1"/>
  <c r="D33" i="51" s="1"/>
  <c r="H33" i="51" s="1"/>
  <c r="M12" i="59"/>
  <c r="M12" i="57"/>
  <c r="M12" i="55"/>
  <c r="M12" i="53"/>
  <c r="N10" i="55"/>
  <c r="P10" i="55" s="1"/>
  <c r="R10" i="55" s="1"/>
  <c r="R18" i="53"/>
  <c r="P8" i="53"/>
  <c r="R8" i="53" s="1"/>
  <c r="N17" i="53"/>
  <c r="R19" i="61"/>
  <c r="M9" i="62"/>
  <c r="O9" i="62" s="1"/>
  <c r="Q9" i="62" s="1"/>
  <c r="M9" i="63" s="1"/>
  <c r="O9" i="63" s="1"/>
  <c r="Q9" i="63" s="1"/>
  <c r="M9" i="64" s="1"/>
  <c r="O9" i="64" s="1"/>
  <c r="Q9" i="64" s="1"/>
  <c r="M9" i="65" s="1"/>
  <c r="O9" i="65" s="1"/>
  <c r="Q9" i="65" s="1"/>
  <c r="M9" i="66" s="1"/>
  <c r="O9" i="66" s="1"/>
  <c r="Q9" i="66" s="1"/>
  <c r="M9" i="67" s="1"/>
  <c r="O9" i="67" s="1"/>
  <c r="Q9" i="67" s="1"/>
  <c r="M9" i="68" s="1"/>
  <c r="O9" i="68" s="1"/>
  <c r="Q9" i="68" s="1"/>
  <c r="N9" i="69" s="1"/>
  <c r="P9" i="69" s="1"/>
  <c r="R9" i="69" s="1"/>
  <c r="N9" i="70" s="1"/>
  <c r="P9" i="70" s="1"/>
  <c r="R9" i="70" s="1"/>
  <c r="N9" i="71" s="1"/>
  <c r="P9" i="71" s="1"/>
  <c r="R9" i="71" s="1"/>
  <c r="N9" i="72" s="1"/>
  <c r="P9" i="72" s="1"/>
  <c r="R9" i="72" s="1"/>
  <c r="N9" i="73" s="1"/>
  <c r="P9" i="73" s="1"/>
  <c r="R9" i="73" s="1"/>
  <c r="N9" i="74" s="1"/>
  <c r="P9" i="74" s="1"/>
  <c r="R9" i="74" s="1"/>
  <c r="N9" i="75" s="1"/>
  <c r="P9" i="75" s="1"/>
  <c r="R9" i="75" s="1"/>
  <c r="N9" i="76" s="1"/>
  <c r="P9" i="76" s="1"/>
  <c r="R9" i="76" s="1"/>
  <c r="N9" i="77" s="1"/>
  <c r="P9" i="77" s="1"/>
  <c r="R9" i="77" s="1"/>
  <c r="N9" i="78" s="1"/>
  <c r="P9" i="78" s="1"/>
  <c r="R9" i="78" s="1"/>
  <c r="N9" i="79" s="1"/>
  <c r="P9" i="79" s="1"/>
  <c r="R9" i="79" s="1"/>
  <c r="N9" i="80" s="1"/>
  <c r="P9" i="80" s="1"/>
  <c r="R9" i="80" s="1"/>
  <c r="N9" i="81" s="1"/>
  <c r="P9" i="81" s="1"/>
  <c r="R9" i="81" s="1"/>
  <c r="D14" i="53"/>
  <c r="G14" i="53" s="1"/>
  <c r="I14" i="53" s="1"/>
  <c r="D14" i="55" s="1"/>
  <c r="G14" i="55" s="1"/>
  <c r="I14" i="55" s="1"/>
  <c r="D14" i="57" s="1"/>
  <c r="E14" i="54"/>
  <c r="G14" i="54" s="1"/>
  <c r="I14" i="54" s="1"/>
  <c r="N34" i="55"/>
  <c r="P34" i="55" s="1"/>
  <c r="R34" i="55" s="1"/>
  <c r="N34" i="57" s="1"/>
  <c r="P34" i="57" s="1"/>
  <c r="R34" i="57" s="1"/>
  <c r="N32" i="55"/>
  <c r="P32" i="55" s="1"/>
  <c r="R32" i="55" s="1"/>
  <c r="N32" i="57" s="1"/>
  <c r="P32" i="57" s="1"/>
  <c r="R32" i="57" s="1"/>
  <c r="N28" i="55"/>
  <c r="P28" i="55" s="1"/>
  <c r="R28" i="55" s="1"/>
  <c r="N28" i="57" s="1"/>
  <c r="P28" i="57" s="1"/>
  <c r="R28" i="57" s="1"/>
  <c r="N29" i="59" s="1"/>
  <c r="P29" i="59" s="1"/>
  <c r="R29" i="59" s="1"/>
  <c r="M29" i="60" s="1"/>
  <c r="O29" i="60" s="1"/>
  <c r="Q29" i="60" s="1"/>
  <c r="M29" i="61" s="1"/>
  <c r="O29" i="61" s="1"/>
  <c r="Q29" i="61" s="1"/>
  <c r="M29" i="62" s="1"/>
  <c r="O29" i="62" s="1"/>
  <c r="Q29" i="62" s="1"/>
  <c r="M29" i="63" s="1"/>
  <c r="O29" i="63" s="1"/>
  <c r="Q29" i="63" s="1"/>
  <c r="M29" i="64" s="1"/>
  <c r="O29" i="64" s="1"/>
  <c r="Q29" i="64" s="1"/>
  <c r="M29" i="65" s="1"/>
  <c r="O29" i="65" s="1"/>
  <c r="Q29" i="65" s="1"/>
  <c r="M29" i="66" s="1"/>
  <c r="O29" i="66" s="1"/>
  <c r="Q29" i="66" s="1"/>
  <c r="M29" i="67" s="1"/>
  <c r="O29" i="67" s="1"/>
  <c r="Q29" i="67" s="1"/>
  <c r="N33" i="55"/>
  <c r="P33" i="55" s="1"/>
  <c r="R33" i="55" s="1"/>
  <c r="N33" i="57" s="1"/>
  <c r="P33" i="57" s="1"/>
  <c r="R33" i="57" s="1"/>
  <c r="N30" i="55"/>
  <c r="P30" i="55" s="1"/>
  <c r="R30" i="55" s="1"/>
  <c r="N30" i="57" s="1"/>
  <c r="P30" i="57" s="1"/>
  <c r="R30" i="57" s="1"/>
  <c r="P42" i="51"/>
  <c r="D48" i="51"/>
  <c r="Q43" i="51"/>
  <c r="L46" i="51"/>
  <c r="F29" i="51"/>
  <c r="H29" i="51" s="1"/>
  <c r="P17" i="51"/>
  <c r="R17" i="51"/>
  <c r="P12" i="53" l="1"/>
  <c r="R12" i="53" s="1"/>
  <c r="M17" i="53"/>
  <c r="P17" i="53" s="1"/>
  <c r="M18" i="57"/>
  <c r="P12" i="57"/>
  <c r="R12" i="57" s="1"/>
  <c r="M29" i="68"/>
  <c r="O29" i="68" s="1"/>
  <c r="Q29" i="68" s="1"/>
  <c r="N29" i="69" s="1"/>
  <c r="P29" i="69" s="1"/>
  <c r="R29" i="69" s="1"/>
  <c r="N29" i="70" s="1"/>
  <c r="P29" i="70" s="1"/>
  <c r="R29" i="70" s="1"/>
  <c r="N29" i="71" s="1"/>
  <c r="N8" i="55"/>
  <c r="R17" i="53"/>
  <c r="K60" i="55"/>
  <c r="N10" i="57"/>
  <c r="P10" i="57" s="1"/>
  <c r="R10" i="57" s="1"/>
  <c r="P10" i="59" s="1"/>
  <c r="R10" i="59" s="1"/>
  <c r="P12" i="55"/>
  <c r="R12" i="55" s="1"/>
  <c r="M17" i="55"/>
  <c r="M19" i="59"/>
  <c r="P12" i="59"/>
  <c r="R12" i="59" s="1"/>
  <c r="N31" i="59"/>
  <c r="P31" i="59" s="1"/>
  <c r="R31" i="59" s="1"/>
  <c r="M31" i="60" s="1"/>
  <c r="O31" i="60" s="1"/>
  <c r="Q31" i="60" s="1"/>
  <c r="M31" i="61" s="1"/>
  <c r="O31" i="61" s="1"/>
  <c r="Q31" i="61" s="1"/>
  <c r="M31" i="62" s="1"/>
  <c r="O31" i="62" s="1"/>
  <c r="Q31" i="62" s="1"/>
  <c r="M31" i="63" s="1"/>
  <c r="O31" i="63" s="1"/>
  <c r="Q31" i="63" s="1"/>
  <c r="M31" i="64" s="1"/>
  <c r="O31" i="64" s="1"/>
  <c r="Q31" i="64" s="1"/>
  <c r="M31" i="65" s="1"/>
  <c r="O31" i="65" s="1"/>
  <c r="Q31" i="65" s="1"/>
  <c r="M31" i="66" s="1"/>
  <c r="O31" i="66" s="1"/>
  <c r="Q31" i="66" s="1"/>
  <c r="M31" i="67" s="1"/>
  <c r="O31" i="67" s="1"/>
  <c r="Q31" i="67" s="1"/>
  <c r="N30" i="59"/>
  <c r="P30" i="59" s="1"/>
  <c r="R30" i="59" s="1"/>
  <c r="M30" i="60" s="1"/>
  <c r="O30" i="60" s="1"/>
  <c r="Q30" i="60" s="1"/>
  <c r="M30" i="61" s="1"/>
  <c r="O30" i="61" s="1"/>
  <c r="Q30" i="61" s="1"/>
  <c r="M30" i="62" s="1"/>
  <c r="O30" i="62" s="1"/>
  <c r="Q30" i="62" s="1"/>
  <c r="M30" i="63" s="1"/>
  <c r="O30" i="63" s="1"/>
  <c r="Q30" i="63" s="1"/>
  <c r="M30" i="64" s="1"/>
  <c r="O30" i="64" s="1"/>
  <c r="Q30" i="64" s="1"/>
  <c r="M30" i="65" s="1"/>
  <c r="O30" i="65" s="1"/>
  <c r="Q30" i="65" s="1"/>
  <c r="M30" i="66" s="1"/>
  <c r="O30" i="66" s="1"/>
  <c r="Q30" i="66" s="1"/>
  <c r="M30" i="67" s="1"/>
  <c r="O30" i="67" s="1"/>
  <c r="Q30" i="67" s="1"/>
  <c r="N34" i="59"/>
  <c r="P34" i="59" s="1"/>
  <c r="R34" i="59" s="1"/>
  <c r="M34" i="60" s="1"/>
  <c r="O34" i="60" s="1"/>
  <c r="Q34" i="60" s="1"/>
  <c r="M34" i="61" s="1"/>
  <c r="O34" i="61" s="1"/>
  <c r="Q34" i="61" s="1"/>
  <c r="M34" i="62" s="1"/>
  <c r="O34" i="62" s="1"/>
  <c r="Q34" i="62" s="1"/>
  <c r="M34" i="63" s="1"/>
  <c r="O34" i="63" s="1"/>
  <c r="Q34" i="63" s="1"/>
  <c r="M34" i="64" s="1"/>
  <c r="O34" i="64" s="1"/>
  <c r="Q34" i="64" s="1"/>
  <c r="M34" i="65" s="1"/>
  <c r="O34" i="65" s="1"/>
  <c r="Q34" i="65" s="1"/>
  <c r="M34" i="66" s="1"/>
  <c r="O34" i="66" s="1"/>
  <c r="Q34" i="66" s="1"/>
  <c r="M34" i="67" s="1"/>
  <c r="O34" i="67" s="1"/>
  <c r="Q34" i="67" s="1"/>
  <c r="N33" i="59"/>
  <c r="P33" i="59" s="1"/>
  <c r="R33" i="59" s="1"/>
  <c r="N32" i="59"/>
  <c r="P32" i="59" s="1"/>
  <c r="R32" i="59" s="1"/>
  <c r="M32" i="60" s="1"/>
  <c r="O32" i="60" s="1"/>
  <c r="Q32" i="60" s="1"/>
  <c r="M32" i="61" s="1"/>
  <c r="O32" i="61" s="1"/>
  <c r="R40" i="50"/>
  <c r="N40" i="50"/>
  <c r="P29" i="71" l="1"/>
  <c r="R29" i="71" s="1"/>
  <c r="N29" i="72" s="1"/>
  <c r="M30" i="68"/>
  <c r="O30" i="68" s="1"/>
  <c r="Q30" i="68" s="1"/>
  <c r="N30" i="69" s="1"/>
  <c r="P30" i="69" s="1"/>
  <c r="R30" i="69" s="1"/>
  <c r="N30" i="70" s="1"/>
  <c r="P30" i="70" s="1"/>
  <c r="R30" i="70" s="1"/>
  <c r="N30" i="71" s="1"/>
  <c r="P30" i="71" s="1"/>
  <c r="R30" i="71" s="1"/>
  <c r="M34" i="68"/>
  <c r="O34" i="68" s="1"/>
  <c r="Q34" i="68" s="1"/>
  <c r="N34" i="69" s="1"/>
  <c r="P34" i="69" s="1"/>
  <c r="R34" i="69" s="1"/>
  <c r="N34" i="70" s="1"/>
  <c r="P34" i="70" s="1"/>
  <c r="R34" i="70" s="1"/>
  <c r="N34" i="71" s="1"/>
  <c r="P34" i="71" s="1"/>
  <c r="R34" i="71" s="1"/>
  <c r="N34" i="72" s="1"/>
  <c r="P34" i="72" s="1"/>
  <c r="R34" i="72" s="1"/>
  <c r="N34" i="73" s="1"/>
  <c r="P34" i="73" s="1"/>
  <c r="R34" i="73" s="1"/>
  <c r="N34" i="74" s="1"/>
  <c r="P34" i="74" s="1"/>
  <c r="R34" i="74" s="1"/>
  <c r="N34" i="75" s="1"/>
  <c r="P34" i="75" s="1"/>
  <c r="R34" i="75" s="1"/>
  <c r="N34" i="76" s="1"/>
  <c r="P34" i="76" s="1"/>
  <c r="R34" i="76" s="1"/>
  <c r="N34" i="77" s="1"/>
  <c r="P34" i="77" s="1"/>
  <c r="R34" i="77" s="1"/>
  <c r="N34" i="78" s="1"/>
  <c r="P34" i="78" s="1"/>
  <c r="R34" i="78" s="1"/>
  <c r="M31" i="68"/>
  <c r="O31" i="68" s="1"/>
  <c r="Q31" i="68" s="1"/>
  <c r="N31" i="69" s="1"/>
  <c r="P31" i="69" s="1"/>
  <c r="R31" i="69" s="1"/>
  <c r="N31" i="70" s="1"/>
  <c r="P31" i="70" s="1"/>
  <c r="R31" i="70" s="1"/>
  <c r="N31" i="71" s="1"/>
  <c r="P31" i="71" s="1"/>
  <c r="R31" i="71" s="1"/>
  <c r="N31" i="72" s="1"/>
  <c r="P31" i="72" s="1"/>
  <c r="R31" i="72" s="1"/>
  <c r="N31" i="73" s="1"/>
  <c r="P31" i="73" s="1"/>
  <c r="R31" i="73" s="1"/>
  <c r="N31" i="74" s="1"/>
  <c r="P31" i="74" s="1"/>
  <c r="R31" i="74" s="1"/>
  <c r="N31" i="75" s="1"/>
  <c r="P31" i="75" s="1"/>
  <c r="R31" i="75" s="1"/>
  <c r="N31" i="76" s="1"/>
  <c r="P31" i="76" s="1"/>
  <c r="R31" i="76" s="1"/>
  <c r="N31" i="77" s="1"/>
  <c r="P31" i="77" s="1"/>
  <c r="R31" i="77" s="1"/>
  <c r="N31" i="78" s="1"/>
  <c r="P31" i="78" s="1"/>
  <c r="R31" i="78" s="1"/>
  <c r="P8" i="55"/>
  <c r="R8" i="55" s="1"/>
  <c r="N17" i="55"/>
  <c r="P17" i="55" s="1"/>
  <c r="Q32" i="61"/>
  <c r="M32" i="62" s="1"/>
  <c r="O32" i="62" s="1"/>
  <c r="E51" i="61"/>
  <c r="N31" i="79" l="1"/>
  <c r="P31" i="79" s="1"/>
  <c r="R31" i="79" s="1"/>
  <c r="N31" i="80" s="1"/>
  <c r="P31" i="80" s="1"/>
  <c r="R31" i="80" s="1"/>
  <c r="N31" i="81" s="1"/>
  <c r="N34" i="79"/>
  <c r="P34" i="79" s="1"/>
  <c r="R34" i="79" s="1"/>
  <c r="N34" i="80" s="1"/>
  <c r="P34" i="80" s="1"/>
  <c r="R34" i="80" s="1"/>
  <c r="N34" i="81" s="1"/>
  <c r="P34" i="81" s="1"/>
  <c r="R34" i="81" s="1"/>
  <c r="P29" i="72"/>
  <c r="R29" i="72" s="1"/>
  <c r="N29" i="73" s="1"/>
  <c r="P29" i="73" s="1"/>
  <c r="R29" i="73" s="1"/>
  <c r="N29" i="74" s="1"/>
  <c r="P29" i="74" s="1"/>
  <c r="R29" i="74" s="1"/>
  <c r="N29" i="75" s="1"/>
  <c r="P29" i="75" s="1"/>
  <c r="R29" i="75" s="1"/>
  <c r="N29" i="76" s="1"/>
  <c r="P29" i="76" s="1"/>
  <c r="R29" i="76" s="1"/>
  <c r="N29" i="77" s="1"/>
  <c r="P29" i="77" s="1"/>
  <c r="R29" i="77" s="1"/>
  <c r="N29" i="78" s="1"/>
  <c r="P29" i="78" s="1"/>
  <c r="R29" i="78" s="1"/>
  <c r="N8" i="57"/>
  <c r="R17" i="55"/>
  <c r="E51" i="62"/>
  <c r="Q32" i="62"/>
  <c r="M32" i="63" s="1"/>
  <c r="O32" i="63" s="1"/>
  <c r="Q36" i="50"/>
  <c r="M36" i="50"/>
  <c r="R29" i="50"/>
  <c r="Q31" i="50" s="1"/>
  <c r="P29" i="50"/>
  <c r="M31" i="50" s="1"/>
  <c r="N29" i="50"/>
  <c r="M35" i="50" s="1"/>
  <c r="Q27" i="50"/>
  <c r="S27" i="50" s="1"/>
  <c r="N27" i="51" s="1"/>
  <c r="P27" i="51" s="1"/>
  <c r="R27" i="51" s="1"/>
  <c r="N27" i="53" s="1"/>
  <c r="P27" i="53" s="1"/>
  <c r="R27" i="53" s="1"/>
  <c r="Q26" i="50"/>
  <c r="S26" i="50" s="1"/>
  <c r="Q25" i="50"/>
  <c r="S25" i="50" s="1"/>
  <c r="Q24" i="50"/>
  <c r="S24" i="50" s="1"/>
  <c r="Q23" i="50"/>
  <c r="S23" i="50" s="1"/>
  <c r="N23" i="51" s="1"/>
  <c r="P23" i="51" s="1"/>
  <c r="R23" i="51" s="1"/>
  <c r="N23" i="53" s="1"/>
  <c r="P23" i="53" s="1"/>
  <c r="R23" i="53" s="1"/>
  <c r="Q22" i="50"/>
  <c r="S22" i="50" s="1"/>
  <c r="Q21" i="50"/>
  <c r="S21" i="50" s="1"/>
  <c r="N21" i="51" s="1"/>
  <c r="P21" i="51" s="1"/>
  <c r="R21" i="51" s="1"/>
  <c r="N21" i="53" s="1"/>
  <c r="P21" i="53" s="1"/>
  <c r="R21" i="53" s="1"/>
  <c r="Q20" i="50"/>
  <c r="S20" i="50" s="1"/>
  <c r="Q19" i="50"/>
  <c r="S19" i="50" s="1"/>
  <c r="N19" i="51" s="1"/>
  <c r="P19" i="51" s="1"/>
  <c r="R19" i="51" s="1"/>
  <c r="N19" i="53" s="1"/>
  <c r="P19" i="53" s="1"/>
  <c r="R19" i="53" s="1"/>
  <c r="N19" i="55" s="1"/>
  <c r="P19" i="55" s="1"/>
  <c r="R19" i="55" s="1"/>
  <c r="Q18" i="50"/>
  <c r="S18" i="50" s="1"/>
  <c r="Q17" i="50"/>
  <c r="S17" i="50" s="1"/>
  <c r="Q16" i="50"/>
  <c r="S16" i="50" s="1"/>
  <c r="Q15" i="50"/>
  <c r="S15" i="50" s="1"/>
  <c r="Q14" i="50"/>
  <c r="S14" i="50" s="1"/>
  <c r="Q13" i="50"/>
  <c r="S13" i="50" s="1"/>
  <c r="Q12" i="50"/>
  <c r="S12" i="50" s="1"/>
  <c r="Q11" i="50"/>
  <c r="S11" i="50" s="1"/>
  <c r="Q10" i="50"/>
  <c r="S10" i="50" s="1"/>
  <c r="Q9" i="50"/>
  <c r="S9" i="50" s="1"/>
  <c r="Q8" i="50"/>
  <c r="S8" i="50" s="1"/>
  <c r="P31" i="81" l="1"/>
  <c r="N29" i="79"/>
  <c r="P29" i="79" s="1"/>
  <c r="R29" i="79" s="1"/>
  <c r="N29" i="80" s="1"/>
  <c r="P29" i="80" s="1"/>
  <c r="R29" i="80" s="1"/>
  <c r="N29" i="81" s="1"/>
  <c r="P29" i="81" s="1"/>
  <c r="R29" i="81" s="1"/>
  <c r="P8" i="57"/>
  <c r="R8" i="57" s="1"/>
  <c r="N18" i="57"/>
  <c r="P18" i="57" s="1"/>
  <c r="Q32" i="63"/>
  <c r="M32" i="64" s="1"/>
  <c r="O32" i="64" s="1"/>
  <c r="E51" i="63"/>
  <c r="N21" i="55"/>
  <c r="P21" i="55" s="1"/>
  <c r="R21" i="55" s="1"/>
  <c r="P21" i="57"/>
  <c r="R21" i="57" s="1"/>
  <c r="N27" i="55"/>
  <c r="P27" i="55" s="1"/>
  <c r="R27" i="55" s="1"/>
  <c r="N27" i="57" s="1"/>
  <c r="P27" i="57" s="1"/>
  <c r="R27" i="57" s="1"/>
  <c r="N28" i="59" s="1"/>
  <c r="P28" i="59" s="1"/>
  <c r="R28" i="59" s="1"/>
  <c r="M28" i="60" s="1"/>
  <c r="O28" i="60" s="1"/>
  <c r="Q28" i="60" s="1"/>
  <c r="M28" i="61" s="1"/>
  <c r="O28" i="61" s="1"/>
  <c r="Q28" i="61" s="1"/>
  <c r="M28" i="62" s="1"/>
  <c r="O28" i="62" s="1"/>
  <c r="Q28" i="62" s="1"/>
  <c r="M28" i="63" s="1"/>
  <c r="O28" i="63" s="1"/>
  <c r="Q28" i="63" s="1"/>
  <c r="N23" i="55"/>
  <c r="P23" i="55" s="1"/>
  <c r="R23" i="55" s="1"/>
  <c r="N23" i="57" s="1"/>
  <c r="P23" i="57" s="1"/>
  <c r="R23" i="57" s="1"/>
  <c r="N20" i="51"/>
  <c r="P20" i="51" s="1"/>
  <c r="R20" i="51" s="1"/>
  <c r="N20" i="53" s="1"/>
  <c r="N22" i="51"/>
  <c r="P22" i="51" s="1"/>
  <c r="R22" i="51" s="1"/>
  <c r="N22" i="53" s="1"/>
  <c r="P22" i="53" s="1"/>
  <c r="R22" i="53" s="1"/>
  <c r="N24" i="51"/>
  <c r="P24" i="51" s="1"/>
  <c r="R24" i="51" s="1"/>
  <c r="N24" i="53" s="1"/>
  <c r="P24" i="53" s="1"/>
  <c r="R24" i="53" s="1"/>
  <c r="N32" i="50"/>
  <c r="M40" i="50" s="1"/>
  <c r="M37" i="50"/>
  <c r="Q37" i="50"/>
  <c r="Q29" i="50"/>
  <c r="S29" i="50" s="1"/>
  <c r="N26" i="51" s="1"/>
  <c r="R31" i="81" l="1"/>
  <c r="N8" i="59"/>
  <c r="R18" i="57"/>
  <c r="E51" i="64"/>
  <c r="Q32" i="64"/>
  <c r="M32" i="65" s="1"/>
  <c r="O32" i="65" s="1"/>
  <c r="P24" i="59"/>
  <c r="R24" i="59" s="1"/>
  <c r="M24" i="60" s="1"/>
  <c r="O24" i="60" s="1"/>
  <c r="Q24" i="60" s="1"/>
  <c r="O24" i="61" s="1"/>
  <c r="Q24" i="61" s="1"/>
  <c r="M24" i="62" s="1"/>
  <c r="O24" i="62" s="1"/>
  <c r="Q24" i="62" s="1"/>
  <c r="M24" i="63" s="1"/>
  <c r="O24" i="63" s="1"/>
  <c r="Q24" i="63" s="1"/>
  <c r="M24" i="64" s="1"/>
  <c r="O24" i="64" s="1"/>
  <c r="Q24" i="64" s="1"/>
  <c r="M24" i="65" s="1"/>
  <c r="O24" i="65" s="1"/>
  <c r="Q24" i="65" s="1"/>
  <c r="M24" i="66" s="1"/>
  <c r="O24" i="66" s="1"/>
  <c r="Q24" i="66" s="1"/>
  <c r="M24" i="67" s="1"/>
  <c r="O24" i="67" s="1"/>
  <c r="Q24" i="67" s="1"/>
  <c r="N23" i="59"/>
  <c r="N24" i="55"/>
  <c r="P24" i="55" s="1"/>
  <c r="R24" i="55" s="1"/>
  <c r="N24" i="57" s="1"/>
  <c r="P24" i="57" s="1"/>
  <c r="R24" i="57" s="1"/>
  <c r="P20" i="53"/>
  <c r="R20" i="53" s="1"/>
  <c r="N22" i="55"/>
  <c r="P22" i="55" s="1"/>
  <c r="R22" i="55" s="1"/>
  <c r="N22" i="57" s="1"/>
  <c r="P22" i="57" s="1"/>
  <c r="R22" i="57" s="1"/>
  <c r="N25" i="51"/>
  <c r="P25" i="51" s="1"/>
  <c r="R25" i="51" s="1"/>
  <c r="N25" i="53" s="1"/>
  <c r="P25" i="53" s="1"/>
  <c r="R25" i="53" s="1"/>
  <c r="P26" i="51"/>
  <c r="R26" i="51" s="1"/>
  <c r="N26" i="53" s="1"/>
  <c r="P26" i="53" s="1"/>
  <c r="R26" i="53" s="1"/>
  <c r="R32" i="50"/>
  <c r="Q40" i="50" s="1"/>
  <c r="M24" i="68" l="1"/>
  <c r="O24" i="68" s="1"/>
  <c r="Q24" i="68" s="1"/>
  <c r="N24" i="69" s="1"/>
  <c r="P24" i="69" s="1"/>
  <c r="R24" i="69" s="1"/>
  <c r="N24" i="70" s="1"/>
  <c r="P24" i="70" s="1"/>
  <c r="R24" i="70" s="1"/>
  <c r="N24" i="71" s="1"/>
  <c r="P24" i="71" s="1"/>
  <c r="R24" i="71" s="1"/>
  <c r="N24" i="72" s="1"/>
  <c r="P24" i="72" s="1"/>
  <c r="R24" i="72" s="1"/>
  <c r="N24" i="73" s="1"/>
  <c r="P24" i="73" s="1"/>
  <c r="R24" i="73" s="1"/>
  <c r="N24" i="74" s="1"/>
  <c r="P24" i="74" s="1"/>
  <c r="M53" i="74" s="1"/>
  <c r="N19" i="59"/>
  <c r="P19" i="59" s="1"/>
  <c r="P8" i="59"/>
  <c r="R8" i="59" s="1"/>
  <c r="E51" i="65"/>
  <c r="Q32" i="65"/>
  <c r="P23" i="59"/>
  <c r="R23" i="59" s="1"/>
  <c r="M23" i="60" s="1"/>
  <c r="O23" i="60" s="1"/>
  <c r="Q23" i="60" s="1"/>
  <c r="M23" i="61" s="1"/>
  <c r="O23" i="61" s="1"/>
  <c r="Q23" i="61" s="1"/>
  <c r="M23" i="62" s="1"/>
  <c r="O23" i="62" s="1"/>
  <c r="Q23" i="62" s="1"/>
  <c r="M23" i="63" s="1"/>
  <c r="O23" i="63" s="1"/>
  <c r="Q23" i="63" s="1"/>
  <c r="M23" i="64" s="1"/>
  <c r="O23" i="64" s="1"/>
  <c r="Q23" i="64" s="1"/>
  <c r="M23" i="65" s="1"/>
  <c r="O23" i="65" s="1"/>
  <c r="Q23" i="65" s="1"/>
  <c r="M23" i="66" s="1"/>
  <c r="O23" i="66" s="1"/>
  <c r="Q23" i="66" s="1"/>
  <c r="M23" i="67" s="1"/>
  <c r="O23" i="67" s="1"/>
  <c r="Q23" i="67" s="1"/>
  <c r="N22" i="59"/>
  <c r="P22" i="59" s="1"/>
  <c r="R22" i="59" s="1"/>
  <c r="M22" i="60" s="1"/>
  <c r="O22" i="60" s="1"/>
  <c r="Q22" i="60" s="1"/>
  <c r="M22" i="61" s="1"/>
  <c r="O22" i="61" s="1"/>
  <c r="Q22" i="61" s="1"/>
  <c r="M22" i="62" s="1"/>
  <c r="O22" i="62" s="1"/>
  <c r="Q22" i="62" s="1"/>
  <c r="M22" i="63" s="1"/>
  <c r="O22" i="63" s="1"/>
  <c r="Q22" i="63" s="1"/>
  <c r="M22" i="64" s="1"/>
  <c r="O22" i="64" s="1"/>
  <c r="Q22" i="64" s="1"/>
  <c r="M22" i="65" s="1"/>
  <c r="O22" i="65" s="1"/>
  <c r="Q22" i="65" s="1"/>
  <c r="M22" i="66" s="1"/>
  <c r="O22" i="66" s="1"/>
  <c r="Q22" i="66" s="1"/>
  <c r="M22" i="67" s="1"/>
  <c r="O22" i="67" s="1"/>
  <c r="Q22" i="67" s="1"/>
  <c r="N25" i="59"/>
  <c r="P25" i="59" s="1"/>
  <c r="R25" i="59" s="1"/>
  <c r="M25" i="60" s="1"/>
  <c r="O25" i="60" s="1"/>
  <c r="Q25" i="60" s="1"/>
  <c r="M25" i="61" s="1"/>
  <c r="N26" i="55"/>
  <c r="P26" i="55" s="1"/>
  <c r="R26" i="55" s="1"/>
  <c r="N26" i="57" s="1"/>
  <c r="P26" i="57" s="1"/>
  <c r="R26" i="57" s="1"/>
  <c r="N27" i="59" s="1"/>
  <c r="P27" i="59" s="1"/>
  <c r="R27" i="59" s="1"/>
  <c r="M27" i="60" s="1"/>
  <c r="O27" i="60" s="1"/>
  <c r="Q27" i="60" s="1"/>
  <c r="M27" i="61" s="1"/>
  <c r="O27" i="61" s="1"/>
  <c r="Q27" i="61" s="1"/>
  <c r="M27" i="62" s="1"/>
  <c r="O27" i="62" s="1"/>
  <c r="Q27" i="62" s="1"/>
  <c r="M27" i="63" s="1"/>
  <c r="O27" i="63" s="1"/>
  <c r="Q27" i="63" s="1"/>
  <c r="M27" i="64" s="1"/>
  <c r="O27" i="64" s="1"/>
  <c r="Q27" i="64" s="1"/>
  <c r="M27" i="65" s="1"/>
  <c r="O27" i="65" s="1"/>
  <c r="Q27" i="65" s="1"/>
  <c r="M27" i="66" s="1"/>
  <c r="O27" i="66" s="1"/>
  <c r="Q27" i="66" s="1"/>
  <c r="M27" i="67" s="1"/>
  <c r="O27" i="67" s="1"/>
  <c r="Q27" i="67" s="1"/>
  <c r="N20" i="55"/>
  <c r="N25" i="55"/>
  <c r="P25" i="55" s="1"/>
  <c r="R25" i="55" s="1"/>
  <c r="N25" i="57" s="1"/>
  <c r="G43" i="50"/>
  <c r="E43" i="50"/>
  <c r="F42" i="50"/>
  <c r="H42" i="50" s="1"/>
  <c r="F41" i="50"/>
  <c r="H41" i="50" s="1"/>
  <c r="F40" i="50"/>
  <c r="H40" i="50" s="1"/>
  <c r="F39" i="50"/>
  <c r="H39" i="50" s="1"/>
  <c r="F38" i="50"/>
  <c r="H38" i="50" s="1"/>
  <c r="F37" i="50"/>
  <c r="H37" i="50" s="1"/>
  <c r="F36" i="50"/>
  <c r="I34" i="50"/>
  <c r="E33" i="50"/>
  <c r="I21" i="50"/>
  <c r="D21" i="52" s="1"/>
  <c r="F21" i="52" s="1"/>
  <c r="H21" i="52" s="1"/>
  <c r="H20" i="50"/>
  <c r="F20" i="50"/>
  <c r="C48" i="50" s="1"/>
  <c r="E20" i="50"/>
  <c r="F43" i="50" l="1"/>
  <c r="H43" i="50" s="1"/>
  <c r="M27" i="68"/>
  <c r="O27" i="68" s="1"/>
  <c r="Q27" i="68" s="1"/>
  <c r="N27" i="69" s="1"/>
  <c r="P27" i="69" s="1"/>
  <c r="R27" i="69" s="1"/>
  <c r="N27" i="70" s="1"/>
  <c r="P27" i="70" s="1"/>
  <c r="R27" i="70" s="1"/>
  <c r="N27" i="71" s="1"/>
  <c r="P27" i="71" s="1"/>
  <c r="R27" i="71" s="1"/>
  <c r="N27" i="72" s="1"/>
  <c r="P27" i="72" s="1"/>
  <c r="R27" i="72" s="1"/>
  <c r="N27" i="73" s="1"/>
  <c r="P27" i="73" s="1"/>
  <c r="R27" i="73" s="1"/>
  <c r="N27" i="74" s="1"/>
  <c r="P27" i="74" s="1"/>
  <c r="M54" i="74" s="1"/>
  <c r="M55" i="74" s="1"/>
  <c r="M22" i="68"/>
  <c r="O22" i="68" s="1"/>
  <c r="Q22" i="68" s="1"/>
  <c r="N22" i="69" s="1"/>
  <c r="P22" i="69" s="1"/>
  <c r="R22" i="69" s="1"/>
  <c r="N22" i="70" s="1"/>
  <c r="P22" i="70" s="1"/>
  <c r="R22" i="70" s="1"/>
  <c r="N22" i="71" s="1"/>
  <c r="P22" i="71" s="1"/>
  <c r="R22" i="71" s="1"/>
  <c r="P22" i="72" s="1"/>
  <c r="R22" i="72" s="1"/>
  <c r="N22" i="73" s="1"/>
  <c r="P22" i="73" s="1"/>
  <c r="R22" i="73" s="1"/>
  <c r="N22" i="74" s="1"/>
  <c r="P22" i="74" s="1"/>
  <c r="R22" i="74" s="1"/>
  <c r="N22" i="75" s="1"/>
  <c r="P22" i="75" s="1"/>
  <c r="R22" i="75" s="1"/>
  <c r="N22" i="76" s="1"/>
  <c r="P22" i="76" s="1"/>
  <c r="R22" i="76" s="1"/>
  <c r="N22" i="77" s="1"/>
  <c r="P22" i="77" s="1"/>
  <c r="R22" i="77" s="1"/>
  <c r="N22" i="78" s="1"/>
  <c r="P22" i="78" s="1"/>
  <c r="R22" i="78" s="1"/>
  <c r="R19" i="59"/>
  <c r="M8" i="60"/>
  <c r="C46" i="50"/>
  <c r="D47" i="50" s="1"/>
  <c r="H47" i="50" s="1"/>
  <c r="G46" i="50"/>
  <c r="M23" i="68"/>
  <c r="O23" i="68" s="1"/>
  <c r="Q23" i="68" s="1"/>
  <c r="N23" i="69" s="1"/>
  <c r="P25" i="57"/>
  <c r="R25" i="57" s="1"/>
  <c r="N26" i="59" s="1"/>
  <c r="P26" i="59" s="1"/>
  <c r="R26" i="59" s="1"/>
  <c r="M26" i="60" s="1"/>
  <c r="O26" i="60" s="1"/>
  <c r="Q26" i="60" s="1"/>
  <c r="M26" i="61" s="1"/>
  <c r="O26" i="61" s="1"/>
  <c r="Q26" i="61" s="1"/>
  <c r="M26" i="62" s="1"/>
  <c r="O26" i="62" s="1"/>
  <c r="Q26" i="62" s="1"/>
  <c r="M26" i="63" s="1"/>
  <c r="O26" i="63" s="1"/>
  <c r="Q26" i="63" s="1"/>
  <c r="M26" i="64" s="1"/>
  <c r="O26" i="64" s="1"/>
  <c r="Q26" i="64" s="1"/>
  <c r="M26" i="65" s="1"/>
  <c r="O26" i="65" s="1"/>
  <c r="Q26" i="65" s="1"/>
  <c r="M26" i="66" s="1"/>
  <c r="O26" i="66" s="1"/>
  <c r="Q26" i="66" s="1"/>
  <c r="M26" i="67" s="1"/>
  <c r="O26" i="67" s="1"/>
  <c r="Q26" i="67" s="1"/>
  <c r="O25" i="61"/>
  <c r="Q25" i="61" s="1"/>
  <c r="M25" i="62" s="1"/>
  <c r="O25" i="62" s="1"/>
  <c r="Q25" i="62" s="1"/>
  <c r="M25" i="63" s="1"/>
  <c r="O25" i="63" s="1"/>
  <c r="Q25" i="63" s="1"/>
  <c r="M25" i="64" s="1"/>
  <c r="O25" i="64" s="1"/>
  <c r="Q25" i="64" s="1"/>
  <c r="M25" i="65" s="1"/>
  <c r="O25" i="65" s="1"/>
  <c r="Q25" i="65" s="1"/>
  <c r="P20" i="55"/>
  <c r="R20" i="55" s="1"/>
  <c r="P20" i="57" s="1"/>
  <c r="R20" i="57" s="1"/>
  <c r="N21" i="59" s="1"/>
  <c r="P21" i="59" s="1"/>
  <c r="R21" i="59" s="1"/>
  <c r="M21" i="60" s="1"/>
  <c r="O21" i="60" s="1"/>
  <c r="Q21" i="60" s="1"/>
  <c r="M21" i="61" s="1"/>
  <c r="O21" i="61" s="1"/>
  <c r="Q21" i="61" s="1"/>
  <c r="M21" i="62" s="1"/>
  <c r="O21" i="62" s="1"/>
  <c r="Q21" i="62" s="1"/>
  <c r="M21" i="63" s="1"/>
  <c r="D34" i="52"/>
  <c r="F34" i="52" s="1"/>
  <c r="H34" i="52" s="1"/>
  <c r="D33" i="52"/>
  <c r="F33" i="52" s="1"/>
  <c r="H33" i="52" s="1"/>
  <c r="H36" i="50"/>
  <c r="N22" i="79" l="1"/>
  <c r="P22" i="79" s="1"/>
  <c r="R22" i="79" s="1"/>
  <c r="N22" i="80" s="1"/>
  <c r="P22" i="80" s="1"/>
  <c r="R22" i="80" s="1"/>
  <c r="N22" i="81" s="1"/>
  <c r="O8" i="60"/>
  <c r="Q8" i="60" s="1"/>
  <c r="M19" i="60"/>
  <c r="O19" i="60" s="1"/>
  <c r="M26" i="68"/>
  <c r="O26" i="68" s="1"/>
  <c r="Q26" i="68" s="1"/>
  <c r="N26" i="69" s="1"/>
  <c r="P26" i="69" s="1"/>
  <c r="R26" i="69" s="1"/>
  <c r="N26" i="70" s="1"/>
  <c r="P26" i="70" s="1"/>
  <c r="R26" i="70" s="1"/>
  <c r="N26" i="71" s="1"/>
  <c r="P26" i="71" s="1"/>
  <c r="P23" i="69"/>
  <c r="R23" i="69" s="1"/>
  <c r="N23" i="70" s="1"/>
  <c r="P23" i="70" s="1"/>
  <c r="R23" i="70" s="1"/>
  <c r="N23" i="71" s="1"/>
  <c r="P23" i="71" s="1"/>
  <c r="R23" i="71" s="1"/>
  <c r="N23" i="72" s="1"/>
  <c r="P23" i="72" s="1"/>
  <c r="R23" i="72" s="1"/>
  <c r="N23" i="73" s="1"/>
  <c r="P23" i="73" s="1"/>
  <c r="R23" i="73" s="1"/>
  <c r="N23" i="74" s="1"/>
  <c r="P23" i="74" s="1"/>
  <c r="R23" i="74" s="1"/>
  <c r="N23" i="75" s="1"/>
  <c r="P23" i="75" s="1"/>
  <c r="R23" i="75" s="1"/>
  <c r="N23" i="76" s="1"/>
  <c r="P23" i="76" s="1"/>
  <c r="R23" i="76" s="1"/>
  <c r="N23" i="77" s="1"/>
  <c r="P23" i="77" s="1"/>
  <c r="R23" i="77" s="1"/>
  <c r="N23" i="78" s="1"/>
  <c r="P23" i="78" s="1"/>
  <c r="R23" i="78" s="1"/>
  <c r="O21" i="63"/>
  <c r="Q21" i="63" s="1"/>
  <c r="M21" i="64" s="1"/>
  <c r="H20" i="49"/>
  <c r="P22" i="81" l="1"/>
  <c r="N23" i="79"/>
  <c r="P23" i="79" s="1"/>
  <c r="R23" i="79" s="1"/>
  <c r="N23" i="80" s="1"/>
  <c r="P23" i="80" s="1"/>
  <c r="R23" i="80" s="1"/>
  <c r="N23" i="81" s="1"/>
  <c r="P23" i="81" s="1"/>
  <c r="R23" i="81" s="1"/>
  <c r="R26" i="71"/>
  <c r="P26" i="72" s="1"/>
  <c r="R26" i="72" s="1"/>
  <c r="N26" i="73" s="1"/>
  <c r="P26" i="73" s="1"/>
  <c r="R26" i="73" s="1"/>
  <c r="N26" i="74" s="1"/>
  <c r="P26" i="74" s="1"/>
  <c r="R26" i="74" s="1"/>
  <c r="N26" i="75" s="1"/>
  <c r="P26" i="75" s="1"/>
  <c r="R26" i="75" s="1"/>
  <c r="N26" i="76" s="1"/>
  <c r="P26" i="76" s="1"/>
  <c r="R26" i="76" s="1"/>
  <c r="N26" i="77" s="1"/>
  <c r="P26" i="77" s="1"/>
  <c r="R26" i="77" s="1"/>
  <c r="N26" i="78" s="1"/>
  <c r="P26" i="78" s="1"/>
  <c r="R26" i="78" s="1"/>
  <c r="M55" i="71"/>
  <c r="M58" i="71" s="1"/>
  <c r="M8" i="61"/>
  <c r="Q19" i="60"/>
  <c r="O21" i="64"/>
  <c r="Q21" i="64" s="1"/>
  <c r="M21" i="65" s="1"/>
  <c r="C34" i="49"/>
  <c r="F24" i="49"/>
  <c r="F25" i="49"/>
  <c r="F26" i="49"/>
  <c r="F27" i="49"/>
  <c r="F28" i="49"/>
  <c r="F29" i="49"/>
  <c r="F30" i="49"/>
  <c r="F31" i="49"/>
  <c r="F32" i="49"/>
  <c r="F23" i="49"/>
  <c r="H23" i="49" s="1"/>
  <c r="D23" i="50" s="1"/>
  <c r="F23" i="50" s="1"/>
  <c r="R22" i="81" l="1"/>
  <c r="N26" i="79"/>
  <c r="P26" i="79" s="1"/>
  <c r="R26" i="79" s="1"/>
  <c r="N26" i="80" s="1"/>
  <c r="P26" i="80" s="1"/>
  <c r="R26" i="80" s="1"/>
  <c r="N26" i="81" s="1"/>
  <c r="P26" i="81" s="1"/>
  <c r="R26" i="81" s="1"/>
  <c r="O8" i="61"/>
  <c r="Q8" i="61" s="1"/>
  <c r="M19" i="61"/>
  <c r="O19" i="61" s="1"/>
  <c r="O21" i="65"/>
  <c r="Q21" i="65" s="1"/>
  <c r="M21" i="66" s="1"/>
  <c r="O21" i="66" s="1"/>
  <c r="Q21" i="66" s="1"/>
  <c r="M21" i="67" s="1"/>
  <c r="O21" i="67" s="1"/>
  <c r="Q21" i="67" s="1"/>
  <c r="O21" i="68" s="1"/>
  <c r="Q21" i="68" s="1"/>
  <c r="N21" i="69" s="1"/>
  <c r="H59" i="50"/>
  <c r="H23" i="50"/>
  <c r="D67" i="49"/>
  <c r="G44" i="49"/>
  <c r="E44" i="49"/>
  <c r="F43" i="49"/>
  <c r="H43" i="49" s="1"/>
  <c r="F42" i="49"/>
  <c r="H42" i="49" s="1"/>
  <c r="F41" i="49"/>
  <c r="H41" i="49" s="1"/>
  <c r="F40" i="49"/>
  <c r="H40" i="49" s="1"/>
  <c r="F39" i="49"/>
  <c r="H39" i="49" s="1"/>
  <c r="F38" i="49"/>
  <c r="H38" i="49" s="1"/>
  <c r="F37" i="49"/>
  <c r="I35" i="49"/>
  <c r="I34" i="49"/>
  <c r="G33" i="49"/>
  <c r="E33" i="49"/>
  <c r="H32" i="49"/>
  <c r="D32" i="50" s="1"/>
  <c r="F32" i="50" s="1"/>
  <c r="H32" i="50" s="1"/>
  <c r="H31" i="49"/>
  <c r="D31" i="50" s="1"/>
  <c r="F31" i="50" s="1"/>
  <c r="H31" i="50" s="1"/>
  <c r="H30" i="49"/>
  <c r="D30" i="50" s="1"/>
  <c r="F30" i="50" s="1"/>
  <c r="H30" i="50" s="1"/>
  <c r="H29" i="49"/>
  <c r="D29" i="50" s="1"/>
  <c r="F29" i="50" s="1"/>
  <c r="H29" i="50" s="1"/>
  <c r="H28" i="49"/>
  <c r="H27" i="49"/>
  <c r="D27" i="50" s="1"/>
  <c r="F27" i="50" s="1"/>
  <c r="H27" i="50" s="1"/>
  <c r="H26" i="49"/>
  <c r="D26" i="50" s="1"/>
  <c r="F26" i="50" s="1"/>
  <c r="H26" i="50" s="1"/>
  <c r="H25" i="49"/>
  <c r="D25" i="50" s="1"/>
  <c r="F25" i="50" s="1"/>
  <c r="H25" i="50" s="1"/>
  <c r="H24" i="49"/>
  <c r="I21" i="49"/>
  <c r="F20" i="49"/>
  <c r="C52" i="49" s="1"/>
  <c r="G8" i="49"/>
  <c r="I8" i="49" s="1"/>
  <c r="F44" i="49" l="1"/>
  <c r="G50" i="49"/>
  <c r="D8" i="51"/>
  <c r="G8" i="51" s="1"/>
  <c r="I8" i="51" s="1"/>
  <c r="D8" i="50"/>
  <c r="G8" i="50" s="1"/>
  <c r="I8" i="50" s="1"/>
  <c r="I24" i="49"/>
  <c r="D24" i="50"/>
  <c r="F24" i="50" s="1"/>
  <c r="H24" i="50" s="1"/>
  <c r="I24" i="50" s="1"/>
  <c r="D24" i="52" s="1"/>
  <c r="F24" i="52" s="1"/>
  <c r="H24" i="52" s="1"/>
  <c r="P21" i="69"/>
  <c r="R21" i="69" s="1"/>
  <c r="N21" i="70" s="1"/>
  <c r="M8" i="62"/>
  <c r="Q19" i="61"/>
  <c r="H33" i="50"/>
  <c r="C50" i="49"/>
  <c r="F33" i="49"/>
  <c r="H33" i="49"/>
  <c r="D33" i="50" s="1"/>
  <c r="F33" i="50" s="1"/>
  <c r="H44" i="49"/>
  <c r="H37" i="49"/>
  <c r="G15" i="48"/>
  <c r="P21" i="70" l="1"/>
  <c r="R21" i="70" s="1"/>
  <c r="N21" i="71" s="1"/>
  <c r="O8" i="62"/>
  <c r="Q8" i="62" s="1"/>
  <c r="M19" i="62"/>
  <c r="O19" i="62" s="1"/>
  <c r="D8" i="53"/>
  <c r="G8" i="53" s="1"/>
  <c r="I8" i="53" s="1"/>
  <c r="D8" i="55" s="1"/>
  <c r="G8" i="55" s="1"/>
  <c r="I8" i="55" s="1"/>
  <c r="D8" i="57" s="1"/>
  <c r="G7" i="57" s="1"/>
  <c r="I7" i="57" s="1"/>
  <c r="D7" i="59" s="1"/>
  <c r="G6" i="59" s="1"/>
  <c r="I6" i="59" s="1"/>
  <c r="C6" i="60" s="1"/>
  <c r="E8" i="54"/>
  <c r="G8" i="54" s="1"/>
  <c r="I8" i="54" s="1"/>
  <c r="D51" i="49"/>
  <c r="H51" i="49" s="1"/>
  <c r="P21" i="71" l="1"/>
  <c r="R21" i="71" s="1"/>
  <c r="N21" i="72" s="1"/>
  <c r="M8" i="63"/>
  <c r="Q19" i="62"/>
  <c r="H65" i="48"/>
  <c r="D65" i="48"/>
  <c r="P21" i="72" l="1"/>
  <c r="R21" i="72" s="1"/>
  <c r="N21" i="73" s="1"/>
  <c r="O8" i="63"/>
  <c r="Q8" i="63" s="1"/>
  <c r="M19" i="63"/>
  <c r="O19" i="63" s="1"/>
  <c r="G44" i="48"/>
  <c r="E44" i="48"/>
  <c r="F43" i="48"/>
  <c r="H43" i="48" s="1"/>
  <c r="F42" i="48"/>
  <c r="H42" i="48" s="1"/>
  <c r="F41" i="48"/>
  <c r="H41" i="48" s="1"/>
  <c r="F40" i="48"/>
  <c r="H40" i="48" s="1"/>
  <c r="F39" i="48"/>
  <c r="H39" i="48" s="1"/>
  <c r="F38" i="48"/>
  <c r="H38" i="48" s="1"/>
  <c r="F37" i="48"/>
  <c r="I35" i="48"/>
  <c r="I34" i="48"/>
  <c r="G33" i="48"/>
  <c r="E33" i="48"/>
  <c r="F32" i="48"/>
  <c r="H32" i="48" s="1"/>
  <c r="F31" i="48"/>
  <c r="H31" i="48" s="1"/>
  <c r="F30" i="48"/>
  <c r="H30" i="48" s="1"/>
  <c r="F29" i="48"/>
  <c r="H29" i="48" s="1"/>
  <c r="F28" i="48"/>
  <c r="H28" i="48" s="1"/>
  <c r="F27" i="48"/>
  <c r="H27" i="48" s="1"/>
  <c r="F26" i="48"/>
  <c r="H26" i="48" s="1"/>
  <c r="F25" i="48"/>
  <c r="H25" i="48" s="1"/>
  <c r="F24" i="48"/>
  <c r="H24" i="48" s="1"/>
  <c r="I24" i="48" s="1"/>
  <c r="F23" i="48"/>
  <c r="I21" i="48"/>
  <c r="H20" i="48"/>
  <c r="F20" i="48"/>
  <c r="C52" i="48" s="1"/>
  <c r="E20" i="48"/>
  <c r="G19" i="48"/>
  <c r="I19" i="48" s="1"/>
  <c r="D19" i="49" s="1"/>
  <c r="G19" i="49" s="1"/>
  <c r="G18" i="48"/>
  <c r="I18" i="48" s="1"/>
  <c r="D18" i="49" s="1"/>
  <c r="G18" i="49" s="1"/>
  <c r="I18" i="49" s="1"/>
  <c r="D18" i="50" s="1"/>
  <c r="G18" i="50" s="1"/>
  <c r="I18" i="50" s="1"/>
  <c r="G17" i="48"/>
  <c r="I17" i="48" s="1"/>
  <c r="D17" i="49" s="1"/>
  <c r="G17" i="49" s="1"/>
  <c r="I17" i="49" s="1"/>
  <c r="G16" i="48"/>
  <c r="I16" i="48" s="1"/>
  <c r="D16" i="49" s="1"/>
  <c r="G16" i="49" s="1"/>
  <c r="I16" i="49" s="1"/>
  <c r="I15" i="48"/>
  <c r="D15" i="49" s="1"/>
  <c r="G15" i="49" s="1"/>
  <c r="I15" i="49" s="1"/>
  <c r="G14" i="48"/>
  <c r="I14" i="48" s="1"/>
  <c r="D14" i="49" s="1"/>
  <c r="G14" i="49" s="1"/>
  <c r="I14" i="49" s="1"/>
  <c r="D14" i="50" s="1"/>
  <c r="G14" i="50" s="1"/>
  <c r="G13" i="48"/>
  <c r="I13" i="48" s="1"/>
  <c r="D13" i="49" s="1"/>
  <c r="G13" i="49" s="1"/>
  <c r="I13" i="49" s="1"/>
  <c r="G12" i="48"/>
  <c r="I12" i="48" s="1"/>
  <c r="D12" i="49" s="1"/>
  <c r="G12" i="49" s="1"/>
  <c r="I12" i="49" s="1"/>
  <c r="G11" i="48"/>
  <c r="I11" i="48" s="1"/>
  <c r="D11" i="49" s="1"/>
  <c r="G11" i="49" s="1"/>
  <c r="I11" i="49" s="1"/>
  <c r="G10" i="48"/>
  <c r="I10" i="48" s="1"/>
  <c r="D10" i="49" s="1"/>
  <c r="G10" i="49" s="1"/>
  <c r="I10" i="49" s="1"/>
  <c r="G9" i="48"/>
  <c r="I9" i="48" s="1"/>
  <c r="D9" i="49" s="1"/>
  <c r="G9" i="49" s="1"/>
  <c r="I9" i="49" s="1"/>
  <c r="G8" i="48"/>
  <c r="I8" i="48" s="1"/>
  <c r="G7" i="48"/>
  <c r="I7" i="48" s="1"/>
  <c r="D7" i="49" s="1"/>
  <c r="G7" i="49" s="1"/>
  <c r="I7" i="49" s="1"/>
  <c r="G6" i="48"/>
  <c r="P21" i="73" l="1"/>
  <c r="C50" i="48"/>
  <c r="K48" i="48" s="1"/>
  <c r="K49" i="48" s="1"/>
  <c r="D10" i="50"/>
  <c r="G10" i="50" s="1"/>
  <c r="I10" i="50" s="1"/>
  <c r="D10" i="51"/>
  <c r="G10" i="51" s="1"/>
  <c r="I10" i="51" s="1"/>
  <c r="D12" i="50"/>
  <c r="G12" i="50" s="1"/>
  <c r="I12" i="50" s="1"/>
  <c r="D12" i="51"/>
  <c r="G12" i="51" s="1"/>
  <c r="I12" i="51" s="1"/>
  <c r="I14" i="50"/>
  <c r="D58" i="50"/>
  <c r="D16" i="50"/>
  <c r="G16" i="50" s="1"/>
  <c r="I16" i="50" s="1"/>
  <c r="D16" i="51"/>
  <c r="G16" i="51" s="1"/>
  <c r="I16" i="51" s="1"/>
  <c r="D7" i="50"/>
  <c r="G7" i="50" s="1"/>
  <c r="I7" i="50" s="1"/>
  <c r="D7" i="51"/>
  <c r="G7" i="51" s="1"/>
  <c r="I7" i="51" s="1"/>
  <c r="D7" i="53" s="1"/>
  <c r="G7" i="53" s="1"/>
  <c r="I7" i="53" s="1"/>
  <c r="D7" i="55" s="1"/>
  <c r="G7" i="55" s="1"/>
  <c r="I7" i="55" s="1"/>
  <c r="D7" i="57" s="1"/>
  <c r="D9" i="50"/>
  <c r="G9" i="50" s="1"/>
  <c r="I9" i="50" s="1"/>
  <c r="D9" i="51"/>
  <c r="G9" i="51" s="1"/>
  <c r="I9" i="51" s="1"/>
  <c r="D11" i="50"/>
  <c r="G11" i="50" s="1"/>
  <c r="I11" i="50" s="1"/>
  <c r="D11" i="51"/>
  <c r="G11" i="51" s="1"/>
  <c r="I11" i="51" s="1"/>
  <c r="D13" i="50"/>
  <c r="G13" i="50" s="1"/>
  <c r="I13" i="50" s="1"/>
  <c r="D13" i="51"/>
  <c r="G13" i="51" s="1"/>
  <c r="I13" i="51" s="1"/>
  <c r="D15" i="50"/>
  <c r="G15" i="50" s="1"/>
  <c r="I15" i="50" s="1"/>
  <c r="D15" i="51"/>
  <c r="G15" i="51" s="1"/>
  <c r="I15" i="51" s="1"/>
  <c r="D17" i="50"/>
  <c r="G17" i="50" s="1"/>
  <c r="I17" i="50" s="1"/>
  <c r="D17" i="52" s="1"/>
  <c r="F17" i="52" s="1"/>
  <c r="H17" i="52" s="1"/>
  <c r="D17" i="51"/>
  <c r="G17" i="51" s="1"/>
  <c r="I17" i="51" s="1"/>
  <c r="D17" i="53" s="1"/>
  <c r="G17" i="53" s="1"/>
  <c r="I17" i="53" s="1"/>
  <c r="D17" i="55" s="1"/>
  <c r="G17" i="55" s="1"/>
  <c r="I17" i="55" s="1"/>
  <c r="Q19" i="63"/>
  <c r="M8" i="64"/>
  <c r="I19" i="49"/>
  <c r="F33" i="48"/>
  <c r="G50" i="48"/>
  <c r="F44" i="48"/>
  <c r="H44" i="48" s="1"/>
  <c r="G20" i="48"/>
  <c r="H23" i="48"/>
  <c r="H33" i="48" s="1"/>
  <c r="I6" i="48"/>
  <c r="H37" i="48"/>
  <c r="D66" i="47"/>
  <c r="H66" i="46"/>
  <c r="D66" i="46"/>
  <c r="H65" i="45"/>
  <c r="D65" i="45"/>
  <c r="D79" i="44"/>
  <c r="D80" i="43"/>
  <c r="D74" i="42"/>
  <c r="H74" i="41"/>
  <c r="D74" i="41"/>
  <c r="H74" i="40"/>
  <c r="D74" i="40"/>
  <c r="D51" i="48" l="1"/>
  <c r="H51" i="48" s="1"/>
  <c r="R21" i="73"/>
  <c r="N21" i="74" s="1"/>
  <c r="I20" i="48"/>
  <c r="L19" i="48" s="1"/>
  <c r="D6" i="49"/>
  <c r="G6" i="49" s="1"/>
  <c r="O8" i="64"/>
  <c r="Q8" i="64" s="1"/>
  <c r="M19" i="64"/>
  <c r="O19" i="64" s="1"/>
  <c r="E15" i="54"/>
  <c r="G15" i="54" s="1"/>
  <c r="I15" i="54" s="1"/>
  <c r="D15" i="53"/>
  <c r="G15" i="53" s="1"/>
  <c r="I15" i="53" s="1"/>
  <c r="D15" i="55" s="1"/>
  <c r="G15" i="55" s="1"/>
  <c r="I15" i="55" s="1"/>
  <c r="D15" i="57" s="1"/>
  <c r="E13" i="54"/>
  <c r="G13" i="54" s="1"/>
  <c r="I13" i="54" s="1"/>
  <c r="D13" i="53"/>
  <c r="G13" i="53" s="1"/>
  <c r="I13" i="53" s="1"/>
  <c r="D13" i="55" s="1"/>
  <c r="G13" i="55" s="1"/>
  <c r="I13" i="55" s="1"/>
  <c r="D13" i="57" s="1"/>
  <c r="G12" i="57" s="1"/>
  <c r="I12" i="57" s="1"/>
  <c r="D12" i="59" s="1"/>
  <c r="G11" i="59" s="1"/>
  <c r="I11" i="59" s="1"/>
  <c r="C11" i="60" s="1"/>
  <c r="F10" i="60" s="1"/>
  <c r="H10" i="60" s="1"/>
  <c r="C10" i="61" s="1"/>
  <c r="F9" i="61" s="1"/>
  <c r="H9" i="61" s="1"/>
  <c r="C9" i="62" s="1"/>
  <c r="D11" i="53"/>
  <c r="G11" i="53" s="1"/>
  <c r="I11" i="53" s="1"/>
  <c r="D11" i="55" s="1"/>
  <c r="G11" i="55" s="1"/>
  <c r="I11" i="55" s="1"/>
  <c r="D11" i="57" s="1"/>
  <c r="G10" i="57" s="1"/>
  <c r="I10" i="57" s="1"/>
  <c r="D10" i="59" s="1"/>
  <c r="G9" i="59" s="1"/>
  <c r="I9" i="59" s="1"/>
  <c r="C9" i="60" s="1"/>
  <c r="F8" i="60" s="1"/>
  <c r="H8" i="60" s="1"/>
  <c r="C8" i="61" s="1"/>
  <c r="F7" i="61" s="1"/>
  <c r="H7" i="61" s="1"/>
  <c r="C7" i="62" s="1"/>
  <c r="F7" i="62" s="1"/>
  <c r="H7" i="62" s="1"/>
  <c r="C7" i="63" s="1"/>
  <c r="F7" i="63" s="1"/>
  <c r="H7" i="63" s="1"/>
  <c r="C7" i="64" s="1"/>
  <c r="F7" i="64" s="1"/>
  <c r="H7" i="64" s="1"/>
  <c r="C7" i="65" s="1"/>
  <c r="F7" i="65" s="1"/>
  <c r="H7" i="65" s="1"/>
  <c r="C7" i="66" s="1"/>
  <c r="F7" i="66" s="1"/>
  <c r="H7" i="66" s="1"/>
  <c r="C7" i="67" s="1"/>
  <c r="F7" i="67" s="1"/>
  <c r="H7" i="67" s="1"/>
  <c r="C7" i="68" s="1"/>
  <c r="F7" i="68" s="1"/>
  <c r="H7" i="68" s="1"/>
  <c r="D7" i="69" s="1"/>
  <c r="G7" i="69" s="1"/>
  <c r="I7" i="69" s="1"/>
  <c r="D7" i="70" s="1"/>
  <c r="G7" i="70" s="1"/>
  <c r="I7" i="70" s="1"/>
  <c r="D7" i="71" s="1"/>
  <c r="G7" i="71" s="1"/>
  <c r="I7" i="71" s="1"/>
  <c r="D7" i="72" s="1"/>
  <c r="G7" i="72" s="1"/>
  <c r="I7" i="72" s="1"/>
  <c r="D7" i="73" s="1"/>
  <c r="G7" i="73" s="1"/>
  <c r="I7" i="73" s="1"/>
  <c r="D7" i="74" s="1"/>
  <c r="G7" i="74" s="1"/>
  <c r="I7" i="74" s="1"/>
  <c r="D7" i="75" s="1"/>
  <c r="G7" i="75" s="1"/>
  <c r="I7" i="75" s="1"/>
  <c r="D7" i="76" s="1"/>
  <c r="G7" i="76" s="1"/>
  <c r="I7" i="76" s="1"/>
  <c r="D7" i="77" s="1"/>
  <c r="G7" i="77" s="1"/>
  <c r="I7" i="77" s="1"/>
  <c r="D7" i="78" s="1"/>
  <c r="G7" i="78" s="1"/>
  <c r="I7" i="78" s="1"/>
  <c r="D7" i="79" s="1"/>
  <c r="G7" i="79" s="1"/>
  <c r="I7" i="79" s="1"/>
  <c r="D7" i="80" s="1"/>
  <c r="G7" i="80" s="1"/>
  <c r="I7" i="80" s="1"/>
  <c r="D7" i="81" s="1"/>
  <c r="G7" i="81" s="1"/>
  <c r="I7" i="81" s="1"/>
  <c r="E11" i="54"/>
  <c r="G11" i="54" s="1"/>
  <c r="I11" i="54" s="1"/>
  <c r="D9" i="53"/>
  <c r="G9" i="53" s="1"/>
  <c r="I9" i="53" s="1"/>
  <c r="D9" i="55" s="1"/>
  <c r="G9" i="55" s="1"/>
  <c r="I9" i="55" s="1"/>
  <c r="D9" i="57" s="1"/>
  <c r="G8" i="57" s="1"/>
  <c r="I8" i="57" s="1"/>
  <c r="D8" i="59" s="1"/>
  <c r="G7" i="59" s="1"/>
  <c r="I7" i="59" s="1"/>
  <c r="E9" i="54"/>
  <c r="G6" i="57"/>
  <c r="I6" i="57" s="1"/>
  <c r="D16" i="53"/>
  <c r="G16" i="53" s="1"/>
  <c r="I16" i="53" s="1"/>
  <c r="G16" i="55" s="1"/>
  <c r="I16" i="55" s="1"/>
  <c r="D16" i="57" s="1"/>
  <c r="E16" i="54"/>
  <c r="G16" i="54" s="1"/>
  <c r="I16" i="54" s="1"/>
  <c r="H58" i="50"/>
  <c r="K57" i="50"/>
  <c r="K58" i="50" s="1"/>
  <c r="D12" i="54"/>
  <c r="D12" i="53"/>
  <c r="G12" i="53" s="1"/>
  <c r="I12" i="53" s="1"/>
  <c r="D12" i="55" s="1"/>
  <c r="G12" i="55" s="1"/>
  <c r="I12" i="55" s="1"/>
  <c r="D12" i="57" s="1"/>
  <c r="G11" i="57" s="1"/>
  <c r="I11" i="57" s="1"/>
  <c r="D11" i="59" s="1"/>
  <c r="G10" i="59" s="1"/>
  <c r="I10" i="59" s="1"/>
  <c r="C10" i="60" s="1"/>
  <c r="F9" i="60" s="1"/>
  <c r="H9" i="60" s="1"/>
  <c r="C9" i="61" s="1"/>
  <c r="F8" i="61" s="1"/>
  <c r="H8" i="61" s="1"/>
  <c r="C8" i="62" s="1"/>
  <c r="D10" i="53"/>
  <c r="G10" i="53" s="1"/>
  <c r="I10" i="53" s="1"/>
  <c r="D10" i="55" s="1"/>
  <c r="G10" i="55" s="1"/>
  <c r="I10" i="55" s="1"/>
  <c r="D10" i="57" s="1"/>
  <c r="G9" i="57" s="1"/>
  <c r="I9" i="57" s="1"/>
  <c r="D9" i="59" s="1"/>
  <c r="G8" i="59" s="1"/>
  <c r="I8" i="59" s="1"/>
  <c r="C8" i="60" s="1"/>
  <c r="F7" i="60" s="1"/>
  <c r="H7" i="60" s="1"/>
  <c r="C7" i="61" s="1"/>
  <c r="F6" i="61" s="1"/>
  <c r="H6" i="61" s="1"/>
  <c r="C6" i="62" s="1"/>
  <c r="F6" i="62" s="1"/>
  <c r="H6" i="62" s="1"/>
  <c r="C6" i="63" s="1"/>
  <c r="F6" i="63" s="1"/>
  <c r="H6" i="63" s="1"/>
  <c r="C6" i="64" s="1"/>
  <c r="F6" i="64" s="1"/>
  <c r="H6" i="64" s="1"/>
  <c r="E10" i="54"/>
  <c r="G10" i="54" s="1"/>
  <c r="I10" i="54" s="1"/>
  <c r="D20" i="49"/>
  <c r="D19" i="50"/>
  <c r="G19" i="50" s="1"/>
  <c r="F38" i="47"/>
  <c r="F39" i="47"/>
  <c r="F40" i="47"/>
  <c r="F41" i="47"/>
  <c r="F42" i="47"/>
  <c r="F43" i="47"/>
  <c r="F37" i="47"/>
  <c r="P21" i="74" l="1"/>
  <c r="D19" i="57"/>
  <c r="G19" i="57" s="1"/>
  <c r="G9" i="54"/>
  <c r="I9" i="54" s="1"/>
  <c r="E17" i="54"/>
  <c r="F9" i="62"/>
  <c r="H9" i="62" s="1"/>
  <c r="C9" i="63" s="1"/>
  <c r="F8" i="62"/>
  <c r="H8" i="62" s="1"/>
  <c r="C8" i="63" s="1"/>
  <c r="I6" i="49"/>
  <c r="G20" i="49"/>
  <c r="D17" i="54"/>
  <c r="G12" i="54"/>
  <c r="I12" i="54" s="1"/>
  <c r="G16" i="57"/>
  <c r="I16" i="57" s="1"/>
  <c r="D16" i="59" s="1"/>
  <c r="G15" i="57"/>
  <c r="I15" i="57" s="1"/>
  <c r="D15" i="59" s="1"/>
  <c r="D6" i="59"/>
  <c r="C7" i="60"/>
  <c r="F6" i="60" s="1"/>
  <c r="H6" i="60" s="1"/>
  <c r="M8" i="65"/>
  <c r="Q19" i="64"/>
  <c r="C6" i="65"/>
  <c r="F6" i="65" s="1"/>
  <c r="I19" i="50"/>
  <c r="D19" i="52" s="1"/>
  <c r="E20" i="47"/>
  <c r="F20" i="47"/>
  <c r="H20" i="47"/>
  <c r="G19" i="47"/>
  <c r="G13" i="47"/>
  <c r="G16" i="47"/>
  <c r="E44" i="47"/>
  <c r="E33" i="47"/>
  <c r="G19" i="26"/>
  <c r="G20" i="26"/>
  <c r="I19" i="57" l="1"/>
  <c r="I17" i="54"/>
  <c r="R21" i="74"/>
  <c r="N21" i="75" s="1"/>
  <c r="P21" i="75" s="1"/>
  <c r="O8" i="65"/>
  <c r="Q8" i="65" s="1"/>
  <c r="M19" i="65"/>
  <c r="O19" i="65" s="1"/>
  <c r="C6" i="61"/>
  <c r="D20" i="59"/>
  <c r="G20" i="59" s="1"/>
  <c r="G16" i="59"/>
  <c r="I16" i="59" s="1"/>
  <c r="C16" i="60" s="1"/>
  <c r="G15" i="59"/>
  <c r="I15" i="59" s="1"/>
  <c r="D6" i="51"/>
  <c r="D6" i="50"/>
  <c r="G6" i="50" s="1"/>
  <c r="I20" i="49"/>
  <c r="F8" i="63"/>
  <c r="H8" i="63" s="1"/>
  <c r="C8" i="64" s="1"/>
  <c r="F9" i="63"/>
  <c r="H9" i="63" s="1"/>
  <c r="C9" i="64" s="1"/>
  <c r="G17" i="54"/>
  <c r="H6" i="65"/>
  <c r="F19" i="52"/>
  <c r="H19" i="52" s="1"/>
  <c r="R21" i="75" l="1"/>
  <c r="N21" i="76" s="1"/>
  <c r="F9" i="64"/>
  <c r="H9" i="64" s="1"/>
  <c r="C9" i="65" s="1"/>
  <c r="F8" i="64"/>
  <c r="H8" i="64" s="1"/>
  <c r="D20" i="50"/>
  <c r="L18" i="49"/>
  <c r="D18" i="51"/>
  <c r="G6" i="51"/>
  <c r="F15" i="60"/>
  <c r="H15" i="60" s="1"/>
  <c r="F16" i="60"/>
  <c r="H16" i="60" s="1"/>
  <c r="C16" i="61" s="1"/>
  <c r="I6" i="50"/>
  <c r="I20" i="50" s="1"/>
  <c r="F20" i="52" s="1"/>
  <c r="H20" i="52" s="1"/>
  <c r="G20" i="50"/>
  <c r="C15" i="60"/>
  <c r="C20" i="60" s="1"/>
  <c r="F20" i="60" s="1"/>
  <c r="I20" i="59"/>
  <c r="Q19" i="65"/>
  <c r="M8" i="66"/>
  <c r="C6" i="66"/>
  <c r="F6" i="66" s="1"/>
  <c r="D37" i="52"/>
  <c r="F37" i="52" s="1"/>
  <c r="H37" i="52" s="1"/>
  <c r="D61" i="50"/>
  <c r="H57" i="50"/>
  <c r="H61" i="50" s="1"/>
  <c r="H43" i="47"/>
  <c r="G44" i="47"/>
  <c r="H42" i="47"/>
  <c r="H41" i="47"/>
  <c r="H40" i="47"/>
  <c r="H39" i="47"/>
  <c r="I35" i="47"/>
  <c r="I34" i="47"/>
  <c r="G33" i="47"/>
  <c r="F32" i="47"/>
  <c r="H32" i="47" s="1"/>
  <c r="F31" i="47"/>
  <c r="H31" i="47" s="1"/>
  <c r="F30" i="47"/>
  <c r="H30" i="47" s="1"/>
  <c r="F29" i="47"/>
  <c r="H29" i="47" s="1"/>
  <c r="F28" i="47"/>
  <c r="H28" i="47" s="1"/>
  <c r="F27" i="47"/>
  <c r="H27" i="47" s="1"/>
  <c r="F26" i="47"/>
  <c r="F25" i="47"/>
  <c r="H25" i="47" s="1"/>
  <c r="F24" i="47"/>
  <c r="H24" i="47" s="1"/>
  <c r="I24" i="47" s="1"/>
  <c r="F23" i="47"/>
  <c r="I21" i="47"/>
  <c r="C53" i="47"/>
  <c r="I19" i="47"/>
  <c r="G18" i="47"/>
  <c r="I18" i="47" s="1"/>
  <c r="G17" i="47"/>
  <c r="I17" i="47" s="1"/>
  <c r="I16" i="47"/>
  <c r="G15" i="47"/>
  <c r="G14" i="47"/>
  <c r="I14" i="47" s="1"/>
  <c r="I13" i="47"/>
  <c r="G12" i="47"/>
  <c r="I12" i="47" s="1"/>
  <c r="G11" i="47"/>
  <c r="I11" i="47" s="1"/>
  <c r="G10" i="47"/>
  <c r="I10" i="47" s="1"/>
  <c r="G9" i="47"/>
  <c r="I9" i="47" s="1"/>
  <c r="G8" i="47"/>
  <c r="I8" i="47" s="1"/>
  <c r="G7" i="47"/>
  <c r="I7" i="47" s="1"/>
  <c r="G6" i="47"/>
  <c r="I6" i="47" s="1"/>
  <c r="G19" i="46"/>
  <c r="G17" i="46"/>
  <c r="F43" i="46"/>
  <c r="F56" i="44"/>
  <c r="P21" i="76" l="1"/>
  <c r="F15" i="61"/>
  <c r="H15" i="61" s="1"/>
  <c r="F16" i="61"/>
  <c r="H16" i="61" s="1"/>
  <c r="C16" i="62" s="1"/>
  <c r="F16" i="62" s="1"/>
  <c r="H16" i="62" s="1"/>
  <c r="C16" i="63" s="1"/>
  <c r="F16" i="63" s="1"/>
  <c r="H16" i="63" s="1"/>
  <c r="C16" i="64" s="1"/>
  <c r="G18" i="51"/>
  <c r="I6" i="51"/>
  <c r="C8" i="65"/>
  <c r="O8" i="66"/>
  <c r="Q8" i="66" s="1"/>
  <c r="M19" i="66"/>
  <c r="O19" i="66" s="1"/>
  <c r="C15" i="61"/>
  <c r="C20" i="61" s="1"/>
  <c r="F20" i="61" s="1"/>
  <c r="H20" i="60"/>
  <c r="F9" i="65"/>
  <c r="H9" i="65" s="1"/>
  <c r="C9" i="66" s="1"/>
  <c r="F9" i="66" s="1"/>
  <c r="H9" i="66" s="1"/>
  <c r="C9" i="67" s="1"/>
  <c r="F9" i="67" s="1"/>
  <c r="H9" i="67" s="1"/>
  <c r="C9" i="68" s="1"/>
  <c r="F9" i="68" s="1"/>
  <c r="H9" i="68" s="1"/>
  <c r="D9" i="69" s="1"/>
  <c r="G9" i="69" s="1"/>
  <c r="I9" i="69" s="1"/>
  <c r="D9" i="70" s="1"/>
  <c r="G9" i="70" s="1"/>
  <c r="I9" i="70" s="1"/>
  <c r="D9" i="71" s="1"/>
  <c r="G9" i="71" s="1"/>
  <c r="I9" i="71" s="1"/>
  <c r="D9" i="72" s="1"/>
  <c r="G9" i="72" s="1"/>
  <c r="I9" i="72" s="1"/>
  <c r="D9" i="73" s="1"/>
  <c r="G9" i="73" s="1"/>
  <c r="I9" i="73" s="1"/>
  <c r="F8" i="65"/>
  <c r="H8" i="65" s="1"/>
  <c r="G20" i="47"/>
  <c r="H26" i="47"/>
  <c r="F33" i="47"/>
  <c r="G50" i="47"/>
  <c r="H38" i="47"/>
  <c r="F44" i="47"/>
  <c r="H44" i="47" s="1"/>
  <c r="I15" i="47"/>
  <c r="I20" i="47" s="1"/>
  <c r="H23" i="47"/>
  <c r="H33" i="47" s="1"/>
  <c r="C50" i="47"/>
  <c r="H37" i="47"/>
  <c r="D9" i="74" l="1"/>
  <c r="G9" i="74" s="1"/>
  <c r="I9" i="74" s="1"/>
  <c r="D9" i="75" s="1"/>
  <c r="G9" i="75" s="1"/>
  <c r="I9" i="75" s="1"/>
  <c r="D9" i="76" s="1"/>
  <c r="G9" i="76" s="1"/>
  <c r="I9" i="76" s="1"/>
  <c r="D9" i="77" s="1"/>
  <c r="G9" i="77" s="1"/>
  <c r="I9" i="77" s="1"/>
  <c r="D9" i="78" s="1"/>
  <c r="G9" i="78" s="1"/>
  <c r="I9" i="78" s="1"/>
  <c r="D9" i="79" s="1"/>
  <c r="G9" i="79" s="1"/>
  <c r="I9" i="79" s="1"/>
  <c r="D9" i="80" s="1"/>
  <c r="G9" i="80" s="1"/>
  <c r="I9" i="80" s="1"/>
  <c r="D9" i="81" s="1"/>
  <c r="G9" i="81" s="1"/>
  <c r="I9" i="81" s="1"/>
  <c r="R21" i="76"/>
  <c r="N21" i="77" s="1"/>
  <c r="C8" i="66"/>
  <c r="D6" i="53"/>
  <c r="I18" i="51"/>
  <c r="F16" i="64"/>
  <c r="H16" i="64" s="1"/>
  <c r="C20" i="64"/>
  <c r="F20" i="64" s="1"/>
  <c r="M8" i="67"/>
  <c r="O8" i="67" s="1"/>
  <c r="Q8" i="67" s="1"/>
  <c r="Q19" i="66"/>
  <c r="M19" i="67" s="1"/>
  <c r="O19" i="67" s="1"/>
  <c r="H20" i="61"/>
  <c r="C15" i="62"/>
  <c r="H6" i="66"/>
  <c r="D51" i="47"/>
  <c r="H51" i="47" s="1"/>
  <c r="P21" i="77" l="1"/>
  <c r="C20" i="62"/>
  <c r="F20" i="62" s="1"/>
  <c r="F15" i="62"/>
  <c r="H15" i="62" s="1"/>
  <c r="M8" i="68"/>
  <c r="O8" i="68" s="1"/>
  <c r="Q8" i="68" s="1"/>
  <c r="Q19" i="67"/>
  <c r="C16" i="65"/>
  <c r="H20" i="64"/>
  <c r="I28" i="64" s="1"/>
  <c r="D18" i="53"/>
  <c r="G6" i="53"/>
  <c r="F8" i="66"/>
  <c r="C6" i="67"/>
  <c r="F6" i="67" s="1"/>
  <c r="F24" i="46"/>
  <c r="H24" i="46" s="1"/>
  <c r="F25" i="46"/>
  <c r="H25" i="46" s="1"/>
  <c r="F26" i="46"/>
  <c r="H26" i="46" s="1"/>
  <c r="F27" i="46"/>
  <c r="R21" i="77" l="1"/>
  <c r="N21" i="78" s="1"/>
  <c r="G18" i="53"/>
  <c r="I6" i="53"/>
  <c r="N19" i="69"/>
  <c r="P19" i="69" s="1"/>
  <c r="M19" i="68"/>
  <c r="O19" i="68" s="1"/>
  <c r="H20" i="62"/>
  <c r="C15" i="63"/>
  <c r="H8" i="66"/>
  <c r="F16" i="65"/>
  <c r="H16" i="65" s="1"/>
  <c r="C20" i="65"/>
  <c r="F20" i="65" s="1"/>
  <c r="Q19" i="68"/>
  <c r="N8" i="69"/>
  <c r="P8" i="69" s="1"/>
  <c r="R8" i="69" s="1"/>
  <c r="H6" i="67"/>
  <c r="G14" i="46"/>
  <c r="I14" i="46" s="1"/>
  <c r="G15" i="46"/>
  <c r="I15" i="46" s="1"/>
  <c r="G16" i="46"/>
  <c r="I16" i="46" s="1"/>
  <c r="I17" i="46"/>
  <c r="G18" i="46"/>
  <c r="I18" i="46" s="1"/>
  <c r="I19" i="46"/>
  <c r="G44" i="46"/>
  <c r="E44" i="46"/>
  <c r="H43" i="46"/>
  <c r="F42" i="46"/>
  <c r="H42" i="46" s="1"/>
  <c r="F41" i="46"/>
  <c r="H41" i="46" s="1"/>
  <c r="F40" i="46"/>
  <c r="H40" i="46" s="1"/>
  <c r="F39" i="46"/>
  <c r="H39" i="46" s="1"/>
  <c r="F38" i="46"/>
  <c r="H38" i="46" s="1"/>
  <c r="F37" i="46"/>
  <c r="I35" i="46"/>
  <c r="I34" i="46"/>
  <c r="G33" i="46"/>
  <c r="E33" i="46"/>
  <c r="F32" i="46"/>
  <c r="H32" i="46" s="1"/>
  <c r="F31" i="46"/>
  <c r="H31" i="46" s="1"/>
  <c r="F30" i="46"/>
  <c r="H30" i="46" s="1"/>
  <c r="F29" i="46"/>
  <c r="H29" i="46" s="1"/>
  <c r="F28" i="46"/>
  <c r="H28" i="46" s="1"/>
  <c r="H27" i="46"/>
  <c r="I24" i="46"/>
  <c r="F23" i="46"/>
  <c r="I21" i="46"/>
  <c r="H20" i="46"/>
  <c r="F20" i="46"/>
  <c r="C53" i="46" s="1"/>
  <c r="G53" i="46" s="1"/>
  <c r="E20" i="46"/>
  <c r="G13" i="46"/>
  <c r="I13" i="46" s="1"/>
  <c r="G12" i="46"/>
  <c r="I12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F33" i="46" l="1"/>
  <c r="P21" i="78"/>
  <c r="N42" i="78"/>
  <c r="R19" i="69"/>
  <c r="N8" i="70"/>
  <c r="C50" i="46"/>
  <c r="K52" i="46" s="1"/>
  <c r="C46" i="63"/>
  <c r="C50" i="63" s="1"/>
  <c r="C20" i="63"/>
  <c r="F20" i="63" s="1"/>
  <c r="F15" i="63"/>
  <c r="H15" i="63" s="1"/>
  <c r="H20" i="63" s="1"/>
  <c r="I28" i="63" s="1"/>
  <c r="D6" i="55"/>
  <c r="G6" i="55" s="1"/>
  <c r="I18" i="53"/>
  <c r="D18" i="55" s="1"/>
  <c r="C16" i="66"/>
  <c r="H20" i="65"/>
  <c r="C8" i="67"/>
  <c r="F8" i="67" s="1"/>
  <c r="C6" i="68"/>
  <c r="F6" i="68" s="1"/>
  <c r="F44" i="46"/>
  <c r="H44" i="46" s="1"/>
  <c r="H23" i="46"/>
  <c r="H33" i="46" s="1"/>
  <c r="H37" i="46"/>
  <c r="G50" i="46"/>
  <c r="R21" i="78" l="1"/>
  <c r="N21" i="79" s="1"/>
  <c r="P21" i="79" s="1"/>
  <c r="P42" i="78"/>
  <c r="R42" i="78" s="1"/>
  <c r="P8" i="70"/>
  <c r="R8" i="70" s="1"/>
  <c r="N19" i="70"/>
  <c r="P19" i="70" s="1"/>
  <c r="I28" i="65"/>
  <c r="I31" i="65"/>
  <c r="H8" i="67"/>
  <c r="F16" i="66"/>
  <c r="C20" i="66"/>
  <c r="G18" i="55"/>
  <c r="I6" i="55"/>
  <c r="I18" i="55" s="1"/>
  <c r="H6" i="68"/>
  <c r="D6" i="69" s="1"/>
  <c r="G6" i="69" s="1"/>
  <c r="D51" i="46"/>
  <c r="H51" i="46" s="1"/>
  <c r="F38" i="45"/>
  <c r="H38" i="45" s="1"/>
  <c r="N42" i="79" l="1"/>
  <c r="R19" i="70"/>
  <c r="N8" i="71"/>
  <c r="R21" i="79"/>
  <c r="N21" i="80" s="1"/>
  <c r="P42" i="79"/>
  <c r="R42" i="79" s="1"/>
  <c r="H16" i="66"/>
  <c r="F20" i="66"/>
  <c r="C8" i="68"/>
  <c r="F8" i="68" s="1"/>
  <c r="F32" i="45"/>
  <c r="E39" i="45"/>
  <c r="E28" i="45"/>
  <c r="G7" i="45"/>
  <c r="G39" i="45"/>
  <c r="F37" i="45"/>
  <c r="H37" i="45" s="1"/>
  <c r="F36" i="45"/>
  <c r="H36" i="45" s="1"/>
  <c r="F35" i="45"/>
  <c r="H35" i="45" s="1"/>
  <c r="F34" i="45"/>
  <c r="H34" i="45" s="1"/>
  <c r="F33" i="45"/>
  <c r="H33" i="45" s="1"/>
  <c r="I30" i="45"/>
  <c r="I29" i="45"/>
  <c r="G28" i="45"/>
  <c r="F27" i="45"/>
  <c r="H27" i="45" s="1"/>
  <c r="F26" i="45"/>
  <c r="H26" i="45" s="1"/>
  <c r="F25" i="45"/>
  <c r="H25" i="45" s="1"/>
  <c r="F24" i="45"/>
  <c r="H24" i="45" s="1"/>
  <c r="F23" i="45"/>
  <c r="H23" i="45" s="1"/>
  <c r="F22" i="45"/>
  <c r="H22" i="45" s="1"/>
  <c r="F21" i="45"/>
  <c r="H21" i="45" s="1"/>
  <c r="F20" i="45"/>
  <c r="H20" i="45" s="1"/>
  <c r="F19" i="45"/>
  <c r="H19" i="45" s="1"/>
  <c r="I19" i="45" s="1"/>
  <c r="F18" i="45"/>
  <c r="I16" i="45"/>
  <c r="H15" i="45"/>
  <c r="G49" i="45" s="1"/>
  <c r="F15" i="45"/>
  <c r="C52" i="45" s="1"/>
  <c r="E15" i="45"/>
  <c r="G14" i="45"/>
  <c r="I14" i="45" s="1"/>
  <c r="G13" i="45"/>
  <c r="I13" i="45" s="1"/>
  <c r="G12" i="45"/>
  <c r="I12" i="45" s="1"/>
  <c r="G11" i="45"/>
  <c r="I11" i="45" s="1"/>
  <c r="G10" i="45"/>
  <c r="I10" i="45" s="1"/>
  <c r="G9" i="45"/>
  <c r="I9" i="45" s="1"/>
  <c r="G8" i="45"/>
  <c r="I8" i="45" s="1"/>
  <c r="I7" i="45"/>
  <c r="G6" i="45"/>
  <c r="I6" i="45" s="1"/>
  <c r="P21" i="80" l="1"/>
  <c r="P42" i="80" s="1"/>
  <c r="R42" i="80" s="1"/>
  <c r="N42" i="80"/>
  <c r="R21" i="80"/>
  <c r="N21" i="81" s="1"/>
  <c r="P8" i="71"/>
  <c r="R8" i="71" s="1"/>
  <c r="N19" i="71"/>
  <c r="P19" i="71" s="1"/>
  <c r="C49" i="45"/>
  <c r="L47" i="45" s="1"/>
  <c r="F39" i="45"/>
  <c r="I6" i="69"/>
  <c r="D6" i="70" s="1"/>
  <c r="G6" i="70" s="1"/>
  <c r="H8" i="68"/>
  <c r="C16" i="67"/>
  <c r="F16" i="67" s="1"/>
  <c r="H20" i="66"/>
  <c r="H39" i="45"/>
  <c r="F28" i="45"/>
  <c r="H18" i="45"/>
  <c r="H28" i="45" s="1"/>
  <c r="H32" i="45"/>
  <c r="F38" i="44"/>
  <c r="H38" i="44" s="1"/>
  <c r="H70" i="44"/>
  <c r="H79" i="44" s="1"/>
  <c r="G57" i="44"/>
  <c r="E57" i="44"/>
  <c r="H56" i="44"/>
  <c r="F55" i="44"/>
  <c r="H55" i="44" s="1"/>
  <c r="F54" i="44"/>
  <c r="H54" i="44" s="1"/>
  <c r="F53" i="44"/>
  <c r="H53" i="44" s="1"/>
  <c r="F52" i="44"/>
  <c r="H52" i="44" s="1"/>
  <c r="F51" i="44"/>
  <c r="H51" i="44" s="1"/>
  <c r="F50" i="44"/>
  <c r="I48" i="44"/>
  <c r="I44" i="44"/>
  <c r="G43" i="44"/>
  <c r="E43" i="44"/>
  <c r="F42" i="44"/>
  <c r="H42" i="44" s="1"/>
  <c r="F41" i="44"/>
  <c r="H41" i="44" s="1"/>
  <c r="F40" i="44"/>
  <c r="H40" i="44" s="1"/>
  <c r="F39" i="44"/>
  <c r="H39" i="44" s="1"/>
  <c r="F37" i="44"/>
  <c r="H37" i="44" s="1"/>
  <c r="F36" i="44"/>
  <c r="H36" i="44" s="1"/>
  <c r="F35" i="44"/>
  <c r="H35" i="44" s="1"/>
  <c r="F34" i="44"/>
  <c r="H34" i="44" s="1"/>
  <c r="I34" i="44" s="1"/>
  <c r="F33" i="44"/>
  <c r="I31" i="44"/>
  <c r="H30" i="44"/>
  <c r="F30" i="44"/>
  <c r="E30" i="44"/>
  <c r="G29" i="44"/>
  <c r="I29" i="44" s="1"/>
  <c r="G28" i="44"/>
  <c r="I28" i="44" s="1"/>
  <c r="G27" i="44"/>
  <c r="I27" i="44" s="1"/>
  <c r="G26" i="44"/>
  <c r="I26" i="44" s="1"/>
  <c r="G25" i="44"/>
  <c r="I25" i="44" s="1"/>
  <c r="G24" i="44"/>
  <c r="I24" i="44" s="1"/>
  <c r="G23" i="44"/>
  <c r="I23" i="44" s="1"/>
  <c r="I22" i="44"/>
  <c r="G21" i="44"/>
  <c r="I21" i="44" s="1"/>
  <c r="G20" i="44"/>
  <c r="I20" i="44" s="1"/>
  <c r="G19" i="44"/>
  <c r="I19" i="44" s="1"/>
  <c r="G18" i="44"/>
  <c r="I18" i="44" s="1"/>
  <c r="G17" i="44"/>
  <c r="I17" i="44" s="1"/>
  <c r="G16" i="44"/>
  <c r="I16" i="44" s="1"/>
  <c r="G15" i="44"/>
  <c r="I15" i="44" s="1"/>
  <c r="G14" i="44"/>
  <c r="I14" i="44" s="1"/>
  <c r="G13" i="44"/>
  <c r="I13" i="44" s="1"/>
  <c r="G12" i="44"/>
  <c r="I12" i="44" s="1"/>
  <c r="G11" i="44"/>
  <c r="I11" i="44" s="1"/>
  <c r="G10" i="44"/>
  <c r="I10" i="44" s="1"/>
  <c r="G9" i="44"/>
  <c r="I9" i="44" s="1"/>
  <c r="G8" i="44"/>
  <c r="I8" i="44" s="1"/>
  <c r="G7" i="44"/>
  <c r="I7" i="44" s="1"/>
  <c r="G6" i="44"/>
  <c r="I6" i="44" s="1"/>
  <c r="G5" i="44"/>
  <c r="I5" i="44" s="1"/>
  <c r="D50" i="45" l="1"/>
  <c r="H50" i="45" s="1"/>
  <c r="C63" i="44"/>
  <c r="L62" i="44" s="1"/>
  <c r="P21" i="81"/>
  <c r="N42" i="81"/>
  <c r="N8" i="72"/>
  <c r="R19" i="71"/>
  <c r="H16" i="67"/>
  <c r="F20" i="67"/>
  <c r="D8" i="69"/>
  <c r="C20" i="67"/>
  <c r="I28" i="66"/>
  <c r="F57" i="44"/>
  <c r="I30" i="44"/>
  <c r="F43" i="44"/>
  <c r="G63" i="44"/>
  <c r="H33" i="44"/>
  <c r="H43" i="44" s="1"/>
  <c r="H50" i="44"/>
  <c r="H57" i="44" s="1"/>
  <c r="F40" i="43"/>
  <c r="D64" i="44" l="1"/>
  <c r="H64" i="44" s="1"/>
  <c r="R21" i="81"/>
  <c r="P42" i="81"/>
  <c r="R42" i="81" s="1"/>
  <c r="P8" i="72"/>
  <c r="R8" i="72" s="1"/>
  <c r="N19" i="72"/>
  <c r="P19" i="72" s="1"/>
  <c r="I6" i="70"/>
  <c r="D6" i="71" s="1"/>
  <c r="G6" i="71" s="1"/>
  <c r="L45" i="44"/>
  <c r="G8" i="69"/>
  <c r="C16" i="68"/>
  <c r="F16" i="68" s="1"/>
  <c r="H20" i="67"/>
  <c r="C20" i="68" s="1"/>
  <c r="H71" i="43"/>
  <c r="H80" i="43" s="1"/>
  <c r="G58" i="43"/>
  <c r="E58" i="43"/>
  <c r="F57" i="43"/>
  <c r="H57" i="43" s="1"/>
  <c r="F56" i="43"/>
  <c r="H56" i="43" s="1"/>
  <c r="F55" i="43"/>
  <c r="H55" i="43" s="1"/>
  <c r="F54" i="43"/>
  <c r="H54" i="43" s="1"/>
  <c r="F53" i="43"/>
  <c r="H53" i="43" s="1"/>
  <c r="F52" i="43"/>
  <c r="H52" i="43" s="1"/>
  <c r="F51" i="43"/>
  <c r="F58" i="43" s="1"/>
  <c r="I49" i="43"/>
  <c r="I44" i="43"/>
  <c r="G43" i="43"/>
  <c r="E43" i="43"/>
  <c r="F42" i="43"/>
  <c r="H42" i="43" s="1"/>
  <c r="F41" i="43"/>
  <c r="H41" i="43" s="1"/>
  <c r="H40" i="43"/>
  <c r="F39" i="43"/>
  <c r="H39" i="43" s="1"/>
  <c r="F38" i="43"/>
  <c r="H38" i="43" s="1"/>
  <c r="F37" i="43"/>
  <c r="H37" i="43" s="1"/>
  <c r="F36" i="43"/>
  <c r="H36" i="43" s="1"/>
  <c r="F35" i="43"/>
  <c r="H35" i="43" s="1"/>
  <c r="F34" i="43"/>
  <c r="H34" i="43" s="1"/>
  <c r="I34" i="43" s="1"/>
  <c r="F33" i="43"/>
  <c r="I31" i="43"/>
  <c r="H30" i="43"/>
  <c r="G64" i="43" s="1"/>
  <c r="F30" i="43"/>
  <c r="C67" i="43" s="1"/>
  <c r="G67" i="43" s="1"/>
  <c r="E30" i="43"/>
  <c r="G29" i="43"/>
  <c r="I29" i="43" s="1"/>
  <c r="G28" i="43"/>
  <c r="I28" i="43" s="1"/>
  <c r="G27" i="43"/>
  <c r="I27" i="43" s="1"/>
  <c r="G26" i="43"/>
  <c r="I26" i="43" s="1"/>
  <c r="G25" i="43"/>
  <c r="I25" i="43" s="1"/>
  <c r="G24" i="43"/>
  <c r="I24" i="43" s="1"/>
  <c r="G23" i="43"/>
  <c r="I23" i="43" s="1"/>
  <c r="G22" i="43"/>
  <c r="I22" i="43" s="1"/>
  <c r="G21" i="43"/>
  <c r="I21" i="43" s="1"/>
  <c r="G20" i="43"/>
  <c r="I20" i="43" s="1"/>
  <c r="G19" i="43"/>
  <c r="I19" i="43" s="1"/>
  <c r="G18" i="43"/>
  <c r="I18" i="43" s="1"/>
  <c r="G17" i="43"/>
  <c r="I17" i="43" s="1"/>
  <c r="G16" i="43"/>
  <c r="I16" i="43" s="1"/>
  <c r="G15" i="43"/>
  <c r="I15" i="43" s="1"/>
  <c r="G14" i="43"/>
  <c r="I14" i="43" s="1"/>
  <c r="G13" i="43"/>
  <c r="I13" i="43" s="1"/>
  <c r="G12" i="43"/>
  <c r="I12" i="43" s="1"/>
  <c r="G11" i="43"/>
  <c r="I11" i="43" s="1"/>
  <c r="G10" i="43"/>
  <c r="I10" i="43" s="1"/>
  <c r="G9" i="43"/>
  <c r="I9" i="43" s="1"/>
  <c r="G8" i="43"/>
  <c r="I8" i="43" s="1"/>
  <c r="G7" i="43"/>
  <c r="I7" i="43" s="1"/>
  <c r="G6" i="43"/>
  <c r="I6" i="43" s="1"/>
  <c r="G5" i="43"/>
  <c r="I5" i="43" s="1"/>
  <c r="H67" i="42"/>
  <c r="H74" i="42" s="1"/>
  <c r="N8" i="73" l="1"/>
  <c r="P8" i="73" s="1"/>
  <c r="R8" i="73" s="1"/>
  <c r="R19" i="72"/>
  <c r="N19" i="73" s="1"/>
  <c r="P19" i="73" s="1"/>
  <c r="H16" i="68"/>
  <c r="F20" i="68"/>
  <c r="I8" i="69"/>
  <c r="D8" i="70" s="1"/>
  <c r="C64" i="43"/>
  <c r="F43" i="43"/>
  <c r="D65" i="43"/>
  <c r="H65" i="43" s="1"/>
  <c r="H33" i="43"/>
  <c r="H43" i="43" s="1"/>
  <c r="H51" i="43"/>
  <c r="H58" i="43" s="1"/>
  <c r="G15" i="42"/>
  <c r="I15" i="42" s="1"/>
  <c r="N8" i="74" l="1"/>
  <c r="R19" i="73"/>
  <c r="I6" i="71"/>
  <c r="G8" i="70"/>
  <c r="D16" i="69"/>
  <c r="H20" i="68"/>
  <c r="P8" i="74" l="1"/>
  <c r="R8" i="74" s="1"/>
  <c r="N19" i="74"/>
  <c r="P19" i="74" s="1"/>
  <c r="D6" i="72"/>
  <c r="G6" i="72" s="1"/>
  <c r="I8" i="70"/>
  <c r="D8" i="71" s="1"/>
  <c r="G16" i="69"/>
  <c r="D20" i="69"/>
  <c r="I28" i="68"/>
  <c r="I32" i="68"/>
  <c r="E51" i="68" s="1"/>
  <c r="G23" i="42"/>
  <c r="G8" i="71" l="1"/>
  <c r="N8" i="75"/>
  <c r="P8" i="75" s="1"/>
  <c r="R8" i="75" s="1"/>
  <c r="R19" i="74"/>
  <c r="N19" i="75" s="1"/>
  <c r="P19" i="75" s="1"/>
  <c r="I16" i="69"/>
  <c r="G20" i="69"/>
  <c r="G13" i="42"/>
  <c r="I13" i="42" s="1"/>
  <c r="G43" i="42"/>
  <c r="G54" i="42"/>
  <c r="N8" i="76" l="1"/>
  <c r="R19" i="75"/>
  <c r="I8" i="71"/>
  <c r="I6" i="72"/>
  <c r="I20" i="69"/>
  <c r="J28" i="69" s="1"/>
  <c r="D16" i="70"/>
  <c r="J32" i="69"/>
  <c r="F51" i="69" s="1"/>
  <c r="G14" i="42"/>
  <c r="I14" i="42" s="1"/>
  <c r="J21" i="72" l="1"/>
  <c r="D6" i="73"/>
  <c r="G6" i="73" s="1"/>
  <c r="D8" i="72"/>
  <c r="P8" i="76"/>
  <c r="R8" i="76" s="1"/>
  <c r="N19" i="76"/>
  <c r="P19" i="76" s="1"/>
  <c r="G16" i="70"/>
  <c r="D20" i="70"/>
  <c r="F53" i="42"/>
  <c r="H53" i="42" s="1"/>
  <c r="F48" i="42"/>
  <c r="H48" i="42" s="1"/>
  <c r="F49" i="42"/>
  <c r="H49" i="42" s="1"/>
  <c r="F50" i="42"/>
  <c r="H50" i="42" s="1"/>
  <c r="F51" i="42"/>
  <c r="H51" i="42" s="1"/>
  <c r="F52" i="42"/>
  <c r="H52" i="42" s="1"/>
  <c r="E54" i="42"/>
  <c r="F47" i="42"/>
  <c r="I45" i="42"/>
  <c r="I44" i="42"/>
  <c r="E43" i="42"/>
  <c r="F42" i="42"/>
  <c r="H42" i="42" s="1"/>
  <c r="F41" i="42"/>
  <c r="H41" i="42" s="1"/>
  <c r="H40" i="42"/>
  <c r="F39" i="42"/>
  <c r="H39" i="42" s="1"/>
  <c r="F38" i="42"/>
  <c r="H38" i="42" s="1"/>
  <c r="F37" i="42"/>
  <c r="H37" i="42" s="1"/>
  <c r="F36" i="42"/>
  <c r="H36" i="42" s="1"/>
  <c r="F35" i="42"/>
  <c r="H35" i="42" s="1"/>
  <c r="F34" i="42"/>
  <c r="H34" i="42" s="1"/>
  <c r="I34" i="42" s="1"/>
  <c r="F33" i="42"/>
  <c r="I31" i="42"/>
  <c r="H30" i="42"/>
  <c r="G60" i="42" s="1"/>
  <c r="F30" i="42"/>
  <c r="C63" i="42" s="1"/>
  <c r="G63" i="42" s="1"/>
  <c r="E30" i="42"/>
  <c r="G29" i="42"/>
  <c r="I29" i="42" s="1"/>
  <c r="G28" i="42"/>
  <c r="I28" i="42" s="1"/>
  <c r="G27" i="42"/>
  <c r="I27" i="42" s="1"/>
  <c r="G26" i="42"/>
  <c r="I26" i="42" s="1"/>
  <c r="G25" i="42"/>
  <c r="I25" i="42" s="1"/>
  <c r="G24" i="42"/>
  <c r="I24" i="42" s="1"/>
  <c r="I23" i="42"/>
  <c r="G22" i="42"/>
  <c r="I22" i="42" s="1"/>
  <c r="G21" i="42"/>
  <c r="I21" i="42" s="1"/>
  <c r="G20" i="42"/>
  <c r="I20" i="42" s="1"/>
  <c r="G19" i="42"/>
  <c r="I19" i="42" s="1"/>
  <c r="G18" i="42"/>
  <c r="I18" i="42" s="1"/>
  <c r="G17" i="42"/>
  <c r="I17" i="42" s="1"/>
  <c r="G16" i="42"/>
  <c r="I16" i="42" s="1"/>
  <c r="G12" i="42"/>
  <c r="I12" i="42" s="1"/>
  <c r="G11" i="42"/>
  <c r="I11" i="42" s="1"/>
  <c r="G10" i="42"/>
  <c r="I10" i="42" s="1"/>
  <c r="G9" i="42"/>
  <c r="I9" i="42" s="1"/>
  <c r="G8" i="42"/>
  <c r="I8" i="42" s="1"/>
  <c r="G7" i="42"/>
  <c r="I7" i="42" s="1"/>
  <c r="G6" i="42"/>
  <c r="I6" i="42" s="1"/>
  <c r="G5" i="42"/>
  <c r="I5" i="42" s="1"/>
  <c r="F54" i="42" l="1"/>
  <c r="I6" i="73"/>
  <c r="N8" i="77"/>
  <c r="R19" i="76"/>
  <c r="G8" i="72"/>
  <c r="I16" i="70"/>
  <c r="G20" i="70"/>
  <c r="H47" i="42"/>
  <c r="H54" i="42" s="1"/>
  <c r="F43" i="42"/>
  <c r="C60" i="42"/>
  <c r="H33" i="42"/>
  <c r="H43" i="42" s="1"/>
  <c r="I20" i="70" l="1"/>
  <c r="J32" i="70" s="1"/>
  <c r="F51" i="70" s="1"/>
  <c r="D16" i="71"/>
  <c r="I8" i="72"/>
  <c r="P8" i="77"/>
  <c r="R8" i="77" s="1"/>
  <c r="N19" i="77"/>
  <c r="P19" i="77" s="1"/>
  <c r="D6" i="74"/>
  <c r="J28" i="70"/>
  <c r="D61" i="42"/>
  <c r="H61" i="42" s="1"/>
  <c r="F41" i="41"/>
  <c r="F34" i="41"/>
  <c r="H34" i="41" s="1"/>
  <c r="F35" i="41"/>
  <c r="H35" i="41" s="1"/>
  <c r="G6" i="74" l="1"/>
  <c r="N8" i="78"/>
  <c r="R19" i="77"/>
  <c r="D8" i="73"/>
  <c r="G8" i="73" s="1"/>
  <c r="G16" i="71"/>
  <c r="D20" i="71"/>
  <c r="I33" i="29"/>
  <c r="I16" i="71" l="1"/>
  <c r="G20" i="71"/>
  <c r="I8" i="73"/>
  <c r="P8" i="78"/>
  <c r="N19" i="78"/>
  <c r="I6" i="74"/>
  <c r="G54" i="41"/>
  <c r="E54" i="41"/>
  <c r="F53" i="41"/>
  <c r="H53" i="41" s="1"/>
  <c r="F52" i="41"/>
  <c r="H52" i="41" s="1"/>
  <c r="F51" i="41"/>
  <c r="H51" i="41" s="1"/>
  <c r="F50" i="41"/>
  <c r="H50" i="41" s="1"/>
  <c r="F49" i="41"/>
  <c r="H49" i="41" s="1"/>
  <c r="F48" i="41"/>
  <c r="H48" i="41" s="1"/>
  <c r="F47" i="41"/>
  <c r="H47" i="41" s="1"/>
  <c r="I45" i="41"/>
  <c r="I44" i="41"/>
  <c r="G43" i="41"/>
  <c r="E43" i="41"/>
  <c r="F42" i="41"/>
  <c r="H41" i="41"/>
  <c r="F40" i="41"/>
  <c r="H40" i="41" s="1"/>
  <c r="F39" i="41"/>
  <c r="H39" i="41" s="1"/>
  <c r="F38" i="41"/>
  <c r="H38" i="41" s="1"/>
  <c r="F36" i="41"/>
  <c r="H36" i="41" s="1"/>
  <c r="F37" i="41"/>
  <c r="H37" i="41" s="1"/>
  <c r="I34" i="41"/>
  <c r="F33" i="41"/>
  <c r="H33" i="41" s="1"/>
  <c r="I31" i="41"/>
  <c r="H30" i="41"/>
  <c r="F30" i="41"/>
  <c r="C63" i="41" s="1"/>
  <c r="G63" i="41" s="1"/>
  <c r="E30" i="41"/>
  <c r="G29" i="41"/>
  <c r="I29" i="41" s="1"/>
  <c r="G28" i="41"/>
  <c r="I28" i="41" s="1"/>
  <c r="G27" i="41"/>
  <c r="I27" i="41" s="1"/>
  <c r="G26" i="41"/>
  <c r="I26" i="41" s="1"/>
  <c r="G25" i="41"/>
  <c r="I25" i="41" s="1"/>
  <c r="G24" i="41"/>
  <c r="I24" i="41" s="1"/>
  <c r="G23" i="41"/>
  <c r="I23" i="41" s="1"/>
  <c r="G22" i="41"/>
  <c r="I22" i="41" s="1"/>
  <c r="G21" i="41"/>
  <c r="I21" i="41" s="1"/>
  <c r="G20" i="41"/>
  <c r="I20" i="41" s="1"/>
  <c r="G19" i="41"/>
  <c r="I19" i="41" s="1"/>
  <c r="G18" i="41"/>
  <c r="I18" i="41" s="1"/>
  <c r="G17" i="41"/>
  <c r="I17" i="41" s="1"/>
  <c r="G16" i="41"/>
  <c r="I16" i="41" s="1"/>
  <c r="G15" i="41"/>
  <c r="I15" i="41" s="1"/>
  <c r="G14" i="41"/>
  <c r="I14" i="41" s="1"/>
  <c r="G13" i="41"/>
  <c r="I13" i="41" s="1"/>
  <c r="G12" i="41"/>
  <c r="I12" i="41" s="1"/>
  <c r="G11" i="41"/>
  <c r="I11" i="41" s="1"/>
  <c r="G10" i="41"/>
  <c r="I10" i="41" s="1"/>
  <c r="G9" i="41"/>
  <c r="I9" i="41" s="1"/>
  <c r="G8" i="41"/>
  <c r="I8" i="41" s="1"/>
  <c r="G7" i="41"/>
  <c r="I7" i="41" s="1"/>
  <c r="G6" i="41"/>
  <c r="I6" i="41" s="1"/>
  <c r="G5" i="41"/>
  <c r="I5" i="41" s="1"/>
  <c r="R8" i="78" l="1"/>
  <c r="P19" i="78"/>
  <c r="D8" i="74"/>
  <c r="D16" i="72"/>
  <c r="I20" i="71"/>
  <c r="D6" i="75"/>
  <c r="G6" i="75" s="1"/>
  <c r="H43" i="41"/>
  <c r="G60" i="41"/>
  <c r="C60" i="41"/>
  <c r="D61" i="41" s="1"/>
  <c r="H61" i="41" s="1"/>
  <c r="F43" i="41"/>
  <c r="G16" i="72" l="1"/>
  <c r="D20" i="72"/>
  <c r="G8" i="74"/>
  <c r="N8" i="79"/>
  <c r="P8" i="79" s="1"/>
  <c r="R19" i="78"/>
  <c r="I6" i="75"/>
  <c r="J32" i="71"/>
  <c r="F51" i="71" s="1"/>
  <c r="J28" i="71"/>
  <c r="L62" i="41"/>
  <c r="G54" i="40"/>
  <c r="E54" i="40"/>
  <c r="F53" i="40"/>
  <c r="H53" i="40" s="1"/>
  <c r="F52" i="40"/>
  <c r="H52" i="40" s="1"/>
  <c r="F51" i="40"/>
  <c r="H51" i="40" s="1"/>
  <c r="F50" i="40"/>
  <c r="H50" i="40" s="1"/>
  <c r="F49" i="40"/>
  <c r="H49" i="40" s="1"/>
  <c r="F48" i="40"/>
  <c r="H48" i="40" s="1"/>
  <c r="F47" i="40"/>
  <c r="H47" i="40" s="1"/>
  <c r="I45" i="40"/>
  <c r="I44" i="40"/>
  <c r="G43" i="40"/>
  <c r="E43" i="40"/>
  <c r="F42" i="40"/>
  <c r="H42" i="40" s="1"/>
  <c r="F41" i="40"/>
  <c r="H41" i="40" s="1"/>
  <c r="F40" i="40"/>
  <c r="H40" i="40" s="1"/>
  <c r="F39" i="40"/>
  <c r="H39" i="40" s="1"/>
  <c r="F38" i="40"/>
  <c r="H38" i="40" s="1"/>
  <c r="F37" i="40"/>
  <c r="H37" i="40" s="1"/>
  <c r="F36" i="40"/>
  <c r="H36" i="40" s="1"/>
  <c r="F35" i="40"/>
  <c r="H35" i="40" s="1"/>
  <c r="F34" i="40"/>
  <c r="H34" i="40" s="1"/>
  <c r="I34" i="40" s="1"/>
  <c r="F33" i="40"/>
  <c r="H33" i="40" s="1"/>
  <c r="I31" i="40"/>
  <c r="H30" i="40"/>
  <c r="F30" i="40"/>
  <c r="C63" i="40" s="1"/>
  <c r="G63" i="40" s="1"/>
  <c r="E30" i="40"/>
  <c r="G29" i="40"/>
  <c r="I29" i="40" s="1"/>
  <c r="G28" i="40"/>
  <c r="I28" i="40" s="1"/>
  <c r="G27" i="40"/>
  <c r="I27" i="40" s="1"/>
  <c r="G26" i="40"/>
  <c r="I26" i="40" s="1"/>
  <c r="G25" i="40"/>
  <c r="I25" i="40" s="1"/>
  <c r="G24" i="40"/>
  <c r="I24" i="40" s="1"/>
  <c r="G23" i="40"/>
  <c r="I23" i="40" s="1"/>
  <c r="G22" i="40"/>
  <c r="I22" i="40" s="1"/>
  <c r="G21" i="40"/>
  <c r="I21" i="40" s="1"/>
  <c r="G20" i="40"/>
  <c r="I20" i="40" s="1"/>
  <c r="G19" i="40"/>
  <c r="I19" i="40" s="1"/>
  <c r="G18" i="40"/>
  <c r="I18" i="40" s="1"/>
  <c r="G17" i="40"/>
  <c r="I17" i="40" s="1"/>
  <c r="G16" i="40"/>
  <c r="I16" i="40" s="1"/>
  <c r="G15" i="40"/>
  <c r="I15" i="40" s="1"/>
  <c r="G14" i="40"/>
  <c r="I14" i="40" s="1"/>
  <c r="G13" i="40"/>
  <c r="I13" i="40" s="1"/>
  <c r="G12" i="40"/>
  <c r="I12" i="40" s="1"/>
  <c r="G11" i="40"/>
  <c r="I11" i="40" s="1"/>
  <c r="G10" i="40"/>
  <c r="I10" i="40" s="1"/>
  <c r="G9" i="40"/>
  <c r="I9" i="40" s="1"/>
  <c r="G8" i="40"/>
  <c r="I8" i="40" s="1"/>
  <c r="G7" i="40"/>
  <c r="I7" i="40" s="1"/>
  <c r="G6" i="40"/>
  <c r="I6" i="40" s="1"/>
  <c r="G5" i="40"/>
  <c r="I5" i="40" s="1"/>
  <c r="N19" i="79" l="1"/>
  <c r="R8" i="79"/>
  <c r="P19" i="79"/>
  <c r="I8" i="74"/>
  <c r="I16" i="72"/>
  <c r="G20" i="72"/>
  <c r="D6" i="76"/>
  <c r="G60" i="40"/>
  <c r="C60" i="40"/>
  <c r="F43" i="40"/>
  <c r="H43" i="40" s="1"/>
  <c r="F34" i="37"/>
  <c r="F35" i="37"/>
  <c r="F36" i="37"/>
  <c r="F37" i="37"/>
  <c r="F38" i="37"/>
  <c r="F39" i="37"/>
  <c r="R19" i="79" l="1"/>
  <c r="N8" i="80"/>
  <c r="D16" i="73"/>
  <c r="G16" i="73" s="1"/>
  <c r="I20" i="72"/>
  <c r="D8" i="75"/>
  <c r="G8" i="75" s="1"/>
  <c r="G6" i="76"/>
  <c r="D61" i="40"/>
  <c r="H61" i="40" s="1"/>
  <c r="L62" i="40"/>
  <c r="P8" i="80" l="1"/>
  <c r="N19" i="80"/>
  <c r="R8" i="80"/>
  <c r="P19" i="80"/>
  <c r="I6" i="76"/>
  <c r="D6" i="77" s="1"/>
  <c r="I8" i="75"/>
  <c r="I16" i="73"/>
  <c r="G20" i="73"/>
  <c r="D20" i="73"/>
  <c r="J32" i="72"/>
  <c r="F51" i="72" s="1"/>
  <c r="J28" i="72"/>
  <c r="G55" i="39"/>
  <c r="E55" i="39"/>
  <c r="F53" i="39"/>
  <c r="H53" i="39" s="1"/>
  <c r="F52" i="39"/>
  <c r="H52" i="39" s="1"/>
  <c r="F51" i="39"/>
  <c r="H51" i="39" s="1"/>
  <c r="F50" i="39"/>
  <c r="H50" i="39" s="1"/>
  <c r="F49" i="39"/>
  <c r="H49" i="39" s="1"/>
  <c r="F48" i="39"/>
  <c r="H48" i="39" s="1"/>
  <c r="F47" i="39"/>
  <c r="H47" i="39" s="1"/>
  <c r="I45" i="39"/>
  <c r="I44" i="39"/>
  <c r="G43" i="39"/>
  <c r="E43" i="39"/>
  <c r="F42" i="39"/>
  <c r="H42" i="39" s="1"/>
  <c r="F41" i="39"/>
  <c r="H41" i="39" s="1"/>
  <c r="F40" i="39"/>
  <c r="H40" i="39" s="1"/>
  <c r="F39" i="39"/>
  <c r="H39" i="39" s="1"/>
  <c r="F38" i="39"/>
  <c r="H38" i="39" s="1"/>
  <c r="F37" i="39"/>
  <c r="H37" i="39" s="1"/>
  <c r="F36" i="39"/>
  <c r="H36" i="39" s="1"/>
  <c r="F35" i="39"/>
  <c r="H35" i="39" s="1"/>
  <c r="F34" i="39"/>
  <c r="H34" i="39" s="1"/>
  <c r="I34" i="39" s="1"/>
  <c r="F33" i="39"/>
  <c r="H33" i="39" s="1"/>
  <c r="I31" i="39"/>
  <c r="H30" i="39"/>
  <c r="F30" i="39"/>
  <c r="C64" i="39" s="1"/>
  <c r="G64" i="39" s="1"/>
  <c r="E30" i="39"/>
  <c r="G29" i="39"/>
  <c r="I29" i="39" s="1"/>
  <c r="G28" i="39"/>
  <c r="I28" i="39" s="1"/>
  <c r="G27" i="39"/>
  <c r="I27" i="39" s="1"/>
  <c r="G26" i="39"/>
  <c r="I26" i="39" s="1"/>
  <c r="G25" i="39"/>
  <c r="I25" i="39" s="1"/>
  <c r="G24" i="39"/>
  <c r="I24" i="39" s="1"/>
  <c r="G23" i="39"/>
  <c r="I23" i="39" s="1"/>
  <c r="G22" i="39"/>
  <c r="I22" i="39" s="1"/>
  <c r="G21" i="39"/>
  <c r="I21" i="39" s="1"/>
  <c r="G20" i="39"/>
  <c r="I20" i="39" s="1"/>
  <c r="G19" i="39"/>
  <c r="I19" i="39" s="1"/>
  <c r="G18" i="39"/>
  <c r="I18" i="39" s="1"/>
  <c r="G17" i="39"/>
  <c r="I17" i="39" s="1"/>
  <c r="G16" i="39"/>
  <c r="I16" i="39" s="1"/>
  <c r="G15" i="39"/>
  <c r="I15" i="39" s="1"/>
  <c r="G14" i="39"/>
  <c r="I14" i="39" s="1"/>
  <c r="G13" i="39"/>
  <c r="I13" i="39" s="1"/>
  <c r="G12" i="39"/>
  <c r="I12" i="39" s="1"/>
  <c r="G11" i="39"/>
  <c r="I11" i="39" s="1"/>
  <c r="G10" i="39"/>
  <c r="I10" i="39" s="1"/>
  <c r="G9" i="39"/>
  <c r="I9" i="39" s="1"/>
  <c r="G8" i="39"/>
  <c r="I8" i="39" s="1"/>
  <c r="G7" i="39"/>
  <c r="I7" i="39" s="1"/>
  <c r="G6" i="39"/>
  <c r="I6" i="39" s="1"/>
  <c r="G5" i="39"/>
  <c r="I5" i="39" s="1"/>
  <c r="R19" i="80" l="1"/>
  <c r="N8" i="81"/>
  <c r="D16" i="74"/>
  <c r="I20" i="73"/>
  <c r="D8" i="76"/>
  <c r="G6" i="77"/>
  <c r="G61" i="39"/>
  <c r="C61" i="39"/>
  <c r="D62" i="39" s="1"/>
  <c r="D73" i="39" s="1"/>
  <c r="F43" i="39"/>
  <c r="H43" i="39" s="1"/>
  <c r="G23" i="38"/>
  <c r="G24" i="38"/>
  <c r="P8" i="81" l="1"/>
  <c r="N19" i="81"/>
  <c r="G8" i="76"/>
  <c r="G16" i="74"/>
  <c r="D20" i="74"/>
  <c r="I6" i="77"/>
  <c r="J28" i="73"/>
  <c r="J32" i="73"/>
  <c r="H62" i="39"/>
  <c r="H73" i="39" s="1"/>
  <c r="F48" i="38"/>
  <c r="H48" i="38" s="1"/>
  <c r="R8" i="81" l="1"/>
  <c r="R19" i="81" s="1"/>
  <c r="P19" i="81"/>
  <c r="I16" i="74"/>
  <c r="G20" i="74"/>
  <c r="I8" i="76"/>
  <c r="D6" i="78"/>
  <c r="G55" i="38"/>
  <c r="E55" i="38"/>
  <c r="F53" i="38"/>
  <c r="H53" i="38" s="1"/>
  <c r="F52" i="38"/>
  <c r="H52" i="38" s="1"/>
  <c r="F51" i="38"/>
  <c r="H51" i="38" s="1"/>
  <c r="F50" i="38"/>
  <c r="H50" i="38" s="1"/>
  <c r="F49" i="38"/>
  <c r="H49" i="38" s="1"/>
  <c r="F47" i="38"/>
  <c r="H47" i="38" s="1"/>
  <c r="I45" i="38"/>
  <c r="I44" i="38"/>
  <c r="G43" i="38"/>
  <c r="E43" i="38"/>
  <c r="F42" i="38"/>
  <c r="H42" i="38" s="1"/>
  <c r="F41" i="38"/>
  <c r="H41" i="38" s="1"/>
  <c r="F40" i="38"/>
  <c r="H40" i="38" s="1"/>
  <c r="F39" i="38"/>
  <c r="H39" i="38" s="1"/>
  <c r="F38" i="38"/>
  <c r="H38" i="38" s="1"/>
  <c r="F37" i="38"/>
  <c r="H37" i="38" s="1"/>
  <c r="F36" i="38"/>
  <c r="H36" i="38" s="1"/>
  <c r="F35" i="38"/>
  <c r="H35" i="38" s="1"/>
  <c r="F34" i="38"/>
  <c r="H34" i="38" s="1"/>
  <c r="I34" i="38" s="1"/>
  <c r="F33" i="38"/>
  <c r="H33" i="38" s="1"/>
  <c r="I31" i="38"/>
  <c r="H30" i="38"/>
  <c r="F30" i="38"/>
  <c r="C64" i="38" s="1"/>
  <c r="G64" i="38" s="1"/>
  <c r="E30" i="38"/>
  <c r="C61" i="38" s="1"/>
  <c r="G29" i="38"/>
  <c r="I29" i="38" s="1"/>
  <c r="G28" i="38"/>
  <c r="I28" i="38" s="1"/>
  <c r="G27" i="38"/>
  <c r="I27" i="38" s="1"/>
  <c r="G26" i="38"/>
  <c r="I26" i="38" s="1"/>
  <c r="G25" i="38"/>
  <c r="I25" i="38" s="1"/>
  <c r="I24" i="38"/>
  <c r="I23" i="38"/>
  <c r="G22" i="38"/>
  <c r="I22" i="38" s="1"/>
  <c r="G21" i="38"/>
  <c r="I21" i="38" s="1"/>
  <c r="G20" i="38"/>
  <c r="I20" i="38" s="1"/>
  <c r="G19" i="38"/>
  <c r="I19" i="38" s="1"/>
  <c r="G18" i="38"/>
  <c r="I18" i="38" s="1"/>
  <c r="G17" i="38"/>
  <c r="I17" i="38" s="1"/>
  <c r="G16" i="38"/>
  <c r="I16" i="38" s="1"/>
  <c r="G15" i="38"/>
  <c r="I15" i="38" s="1"/>
  <c r="G14" i="38"/>
  <c r="I14" i="38" s="1"/>
  <c r="G13" i="38"/>
  <c r="I13" i="38" s="1"/>
  <c r="G12" i="38"/>
  <c r="I12" i="38" s="1"/>
  <c r="G11" i="38"/>
  <c r="I11" i="38" s="1"/>
  <c r="G10" i="38"/>
  <c r="I10" i="38" s="1"/>
  <c r="G9" i="38"/>
  <c r="I9" i="38" s="1"/>
  <c r="G8" i="38"/>
  <c r="I8" i="38" s="1"/>
  <c r="G7" i="38"/>
  <c r="I7" i="38" s="1"/>
  <c r="G6" i="38"/>
  <c r="I6" i="38" s="1"/>
  <c r="G5" i="38"/>
  <c r="I5" i="38" s="1"/>
  <c r="D8" i="77" l="1"/>
  <c r="D16" i="75"/>
  <c r="G16" i="75" s="1"/>
  <c r="I20" i="74"/>
  <c r="G6" i="78"/>
  <c r="D62" i="38"/>
  <c r="D73" i="38" s="1"/>
  <c r="G61" i="38"/>
  <c r="F43" i="38"/>
  <c r="H43" i="38" s="1"/>
  <c r="I6" i="78" l="1"/>
  <c r="I16" i="75"/>
  <c r="G20" i="75"/>
  <c r="D20" i="75"/>
  <c r="J28" i="74"/>
  <c r="J32" i="74"/>
  <c r="G8" i="77"/>
  <c r="H62" i="38"/>
  <c r="H73" i="38" s="1"/>
  <c r="D16" i="76" l="1"/>
  <c r="I20" i="75"/>
  <c r="D6" i="79"/>
  <c r="G6" i="79" s="1"/>
  <c r="I8" i="77"/>
  <c r="H30" i="37"/>
  <c r="D8" i="78" l="1"/>
  <c r="I6" i="79"/>
  <c r="D6" i="80" s="1"/>
  <c r="G6" i="80" s="1"/>
  <c r="G16" i="76"/>
  <c r="D20" i="76"/>
  <c r="J32" i="75"/>
  <c r="J28" i="75"/>
  <c r="E30" i="37"/>
  <c r="I6" i="80" l="1"/>
  <c r="D6" i="81" s="1"/>
  <c r="I16" i="76"/>
  <c r="G20" i="76"/>
  <c r="G8" i="78"/>
  <c r="J76" i="37"/>
  <c r="G55" i="37"/>
  <c r="E55" i="37"/>
  <c r="F53" i="37"/>
  <c r="H53" i="37" s="1"/>
  <c r="F52" i="37"/>
  <c r="H52" i="37" s="1"/>
  <c r="F51" i="37"/>
  <c r="H51" i="37" s="1"/>
  <c r="F50" i="37"/>
  <c r="H50" i="37" s="1"/>
  <c r="F49" i="37"/>
  <c r="H49" i="37" s="1"/>
  <c r="F47" i="37"/>
  <c r="H47" i="37" s="1"/>
  <c r="I45" i="37"/>
  <c r="I44" i="37"/>
  <c r="G43" i="37"/>
  <c r="E43" i="37"/>
  <c r="C61" i="37" s="1"/>
  <c r="F42" i="37"/>
  <c r="H42" i="37" s="1"/>
  <c r="F41" i="37"/>
  <c r="H41" i="37" s="1"/>
  <c r="F40" i="37"/>
  <c r="H40" i="37" s="1"/>
  <c r="H39" i="37"/>
  <c r="H38" i="37"/>
  <c r="H37" i="37"/>
  <c r="H36" i="37"/>
  <c r="H35" i="37"/>
  <c r="H34" i="37"/>
  <c r="I34" i="37" s="1"/>
  <c r="F33" i="37"/>
  <c r="H33" i="37" s="1"/>
  <c r="I31" i="37"/>
  <c r="F30" i="37"/>
  <c r="C64" i="37" s="1"/>
  <c r="G64" i="37" s="1"/>
  <c r="G29" i="37"/>
  <c r="I29" i="37" s="1"/>
  <c r="G28" i="37"/>
  <c r="I28" i="37" s="1"/>
  <c r="G27" i="37"/>
  <c r="I27" i="37" s="1"/>
  <c r="G26" i="37"/>
  <c r="I26" i="37" s="1"/>
  <c r="G25" i="37"/>
  <c r="I25" i="37" s="1"/>
  <c r="G24" i="37"/>
  <c r="I24" i="37" s="1"/>
  <c r="G23" i="37"/>
  <c r="I23" i="37" s="1"/>
  <c r="G22" i="37"/>
  <c r="I22" i="37" s="1"/>
  <c r="G21" i="37"/>
  <c r="I21" i="37" s="1"/>
  <c r="G20" i="37"/>
  <c r="I20" i="37" s="1"/>
  <c r="G19" i="37"/>
  <c r="I19" i="37" s="1"/>
  <c r="G18" i="37"/>
  <c r="I18" i="37" s="1"/>
  <c r="G17" i="37"/>
  <c r="I17" i="37" s="1"/>
  <c r="G16" i="37"/>
  <c r="I16" i="37" s="1"/>
  <c r="G15" i="37"/>
  <c r="I15" i="37" s="1"/>
  <c r="G14" i="37"/>
  <c r="I14" i="37" s="1"/>
  <c r="G13" i="37"/>
  <c r="I13" i="37" s="1"/>
  <c r="G12" i="37"/>
  <c r="I12" i="37" s="1"/>
  <c r="G11" i="37"/>
  <c r="I11" i="37" s="1"/>
  <c r="G10" i="37"/>
  <c r="I10" i="37" s="1"/>
  <c r="G9" i="37"/>
  <c r="I9" i="37" s="1"/>
  <c r="G8" i="37"/>
  <c r="I8" i="37" s="1"/>
  <c r="G7" i="37"/>
  <c r="I7" i="37" s="1"/>
  <c r="G6" i="37"/>
  <c r="I6" i="37" s="1"/>
  <c r="G5" i="37"/>
  <c r="I5" i="37" s="1"/>
  <c r="G6" i="81" l="1"/>
  <c r="D16" i="77"/>
  <c r="I20" i="76"/>
  <c r="I8" i="78"/>
  <c r="G61" i="37"/>
  <c r="F43" i="37"/>
  <c r="H43" i="37" s="1"/>
  <c r="D62" i="37"/>
  <c r="E30" i="36"/>
  <c r="E43" i="36"/>
  <c r="E55" i="36"/>
  <c r="G28" i="36"/>
  <c r="I28" i="36" s="1"/>
  <c r="G11" i="36"/>
  <c r="I6" i="81" l="1"/>
  <c r="D8" i="79"/>
  <c r="G8" i="79" s="1"/>
  <c r="G16" i="77"/>
  <c r="D20" i="77"/>
  <c r="J32" i="76"/>
  <c r="J28" i="76"/>
  <c r="D76" i="37"/>
  <c r="H62" i="37"/>
  <c r="H76" i="37" s="1"/>
  <c r="G13" i="36"/>
  <c r="I16" i="77" l="1"/>
  <c r="G20" i="77"/>
  <c r="I8" i="79"/>
  <c r="D8" i="80" s="1"/>
  <c r="G8" i="80" s="1"/>
  <c r="H30" i="36"/>
  <c r="G55" i="36"/>
  <c r="G23" i="36"/>
  <c r="G22" i="36"/>
  <c r="I8" i="80" l="1"/>
  <c r="D8" i="81" s="1"/>
  <c r="D16" i="78"/>
  <c r="I20" i="77"/>
  <c r="G43" i="36"/>
  <c r="F34" i="36"/>
  <c r="H34" i="36" s="1"/>
  <c r="I34" i="36" s="1"/>
  <c r="F35" i="36"/>
  <c r="H35" i="36" s="1"/>
  <c r="F36" i="36"/>
  <c r="H36" i="36" s="1"/>
  <c r="F37" i="36"/>
  <c r="H37" i="36" s="1"/>
  <c r="F38" i="36"/>
  <c r="H38" i="36" s="1"/>
  <c r="F39" i="36"/>
  <c r="H39" i="36" s="1"/>
  <c r="F40" i="36"/>
  <c r="H40" i="36" s="1"/>
  <c r="F41" i="36"/>
  <c r="H41" i="36" s="1"/>
  <c r="F42" i="36"/>
  <c r="H42" i="36" s="1"/>
  <c r="F33" i="36"/>
  <c r="H33" i="36" s="1"/>
  <c r="J76" i="36"/>
  <c r="F53" i="36"/>
  <c r="H53" i="36" s="1"/>
  <c r="F52" i="36"/>
  <c r="H52" i="36" s="1"/>
  <c r="F51" i="36"/>
  <c r="H51" i="36" s="1"/>
  <c r="F50" i="36"/>
  <c r="H50" i="36" s="1"/>
  <c r="F49" i="36"/>
  <c r="H49" i="36" s="1"/>
  <c r="F48" i="36"/>
  <c r="H48" i="36" s="1"/>
  <c r="F47" i="36"/>
  <c r="H47" i="36" s="1"/>
  <c r="I45" i="36"/>
  <c r="I44" i="36"/>
  <c r="I31" i="36"/>
  <c r="F30" i="36"/>
  <c r="G29" i="36"/>
  <c r="I29" i="36" s="1"/>
  <c r="G27" i="36"/>
  <c r="I27" i="36" s="1"/>
  <c r="G26" i="36"/>
  <c r="I26" i="36" s="1"/>
  <c r="G25" i="36"/>
  <c r="I25" i="36" s="1"/>
  <c r="G24" i="36"/>
  <c r="I24" i="36" s="1"/>
  <c r="I23" i="36"/>
  <c r="I22" i="36"/>
  <c r="G21" i="36"/>
  <c r="I21" i="36" s="1"/>
  <c r="G20" i="36"/>
  <c r="I20" i="36" s="1"/>
  <c r="G19" i="36"/>
  <c r="I19" i="36" s="1"/>
  <c r="G18" i="36"/>
  <c r="I18" i="36" s="1"/>
  <c r="G17" i="36"/>
  <c r="I17" i="36" s="1"/>
  <c r="G16" i="36"/>
  <c r="I16" i="36" s="1"/>
  <c r="G15" i="36"/>
  <c r="I15" i="36" s="1"/>
  <c r="G14" i="36"/>
  <c r="I14" i="36" s="1"/>
  <c r="I13" i="36"/>
  <c r="G12" i="36"/>
  <c r="I12" i="36" s="1"/>
  <c r="I11" i="36"/>
  <c r="G10" i="36"/>
  <c r="I10" i="36" s="1"/>
  <c r="G9" i="36"/>
  <c r="I9" i="36" s="1"/>
  <c r="G8" i="36"/>
  <c r="I8" i="36" s="1"/>
  <c r="G7" i="36"/>
  <c r="I7" i="36" s="1"/>
  <c r="G6" i="36"/>
  <c r="I6" i="36" s="1"/>
  <c r="G5" i="36"/>
  <c r="I5" i="36" s="1"/>
  <c r="G8" i="81" l="1"/>
  <c r="J28" i="77"/>
  <c r="J32" i="77"/>
  <c r="G16" i="78"/>
  <c r="D20" i="78"/>
  <c r="C61" i="36"/>
  <c r="D62" i="36" s="1"/>
  <c r="D76" i="36" s="1"/>
  <c r="F43" i="36"/>
  <c r="H43" i="36" s="1"/>
  <c r="C64" i="36"/>
  <c r="G64" i="36" s="1"/>
  <c r="G61" i="36"/>
  <c r="I8" i="81" l="1"/>
  <c r="I16" i="78"/>
  <c r="G20" i="78"/>
  <c r="H62" i="36"/>
  <c r="H76" i="36" s="1"/>
  <c r="G6" i="35"/>
  <c r="I6" i="35" s="1"/>
  <c r="G7" i="35"/>
  <c r="I7" i="35" s="1"/>
  <c r="G8" i="35"/>
  <c r="G9" i="35"/>
  <c r="G5" i="35"/>
  <c r="D16" i="79" l="1"/>
  <c r="G16" i="79" s="1"/>
  <c r="I20" i="78"/>
  <c r="E55" i="35"/>
  <c r="E43" i="35"/>
  <c r="E30" i="35"/>
  <c r="J76" i="35"/>
  <c r="G55" i="35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I45" i="35"/>
  <c r="I44" i="35"/>
  <c r="G43" i="35"/>
  <c r="F42" i="35"/>
  <c r="H42" i="35" s="1"/>
  <c r="F41" i="35"/>
  <c r="H41" i="35" s="1"/>
  <c r="F40" i="35"/>
  <c r="H40" i="35" s="1"/>
  <c r="F39" i="35"/>
  <c r="H39" i="35" s="1"/>
  <c r="F34" i="35"/>
  <c r="I31" i="35"/>
  <c r="H30" i="35"/>
  <c r="F30" i="35"/>
  <c r="C64" i="35" s="1"/>
  <c r="G64" i="35" s="1"/>
  <c r="G29" i="35"/>
  <c r="I29" i="35" s="1"/>
  <c r="G28" i="35"/>
  <c r="I28" i="35" s="1"/>
  <c r="G27" i="35"/>
  <c r="I27" i="35" s="1"/>
  <c r="G26" i="35"/>
  <c r="I26" i="35" s="1"/>
  <c r="G25" i="35"/>
  <c r="I25" i="35" s="1"/>
  <c r="G24" i="35"/>
  <c r="I24" i="35" s="1"/>
  <c r="I23" i="35"/>
  <c r="G22" i="35"/>
  <c r="I22" i="35" s="1"/>
  <c r="G21" i="35"/>
  <c r="I21" i="35" s="1"/>
  <c r="G20" i="35"/>
  <c r="I20" i="35" s="1"/>
  <c r="G19" i="35"/>
  <c r="I19" i="35" s="1"/>
  <c r="G18" i="35"/>
  <c r="I18" i="35" s="1"/>
  <c r="G17" i="35"/>
  <c r="I17" i="35" s="1"/>
  <c r="G16" i="35"/>
  <c r="I16" i="35" s="1"/>
  <c r="G15" i="35"/>
  <c r="I15" i="35" s="1"/>
  <c r="G14" i="35"/>
  <c r="I14" i="35" s="1"/>
  <c r="G13" i="35"/>
  <c r="I13" i="35" s="1"/>
  <c r="G12" i="35"/>
  <c r="I12" i="35" s="1"/>
  <c r="I11" i="35"/>
  <c r="G10" i="35"/>
  <c r="I10" i="35" s="1"/>
  <c r="I9" i="35"/>
  <c r="I8" i="35"/>
  <c r="I5" i="35"/>
  <c r="C61" i="35" l="1"/>
  <c r="D20" i="79"/>
  <c r="D20" i="80"/>
  <c r="I16" i="79"/>
  <c r="G20" i="79"/>
  <c r="H34" i="35"/>
  <c r="I34" i="35" s="1"/>
  <c r="G61" i="35"/>
  <c r="H43" i="35"/>
  <c r="F33" i="34"/>
  <c r="F35" i="34"/>
  <c r="H35" i="34" s="1"/>
  <c r="F37" i="34"/>
  <c r="F38" i="34"/>
  <c r="H38" i="34" s="1"/>
  <c r="F39" i="34"/>
  <c r="F40" i="34"/>
  <c r="H40" i="34" s="1"/>
  <c r="F41" i="34"/>
  <c r="H33" i="34"/>
  <c r="H37" i="34"/>
  <c r="H39" i="34"/>
  <c r="H41" i="34"/>
  <c r="I20" i="79" l="1"/>
  <c r="J32" i="79" s="1"/>
  <c r="D16" i="80"/>
  <c r="G16" i="80" s="1"/>
  <c r="D62" i="35"/>
  <c r="F29" i="34"/>
  <c r="F29" i="31"/>
  <c r="F29" i="32"/>
  <c r="F29" i="33"/>
  <c r="J28" i="79" l="1"/>
  <c r="I16" i="80"/>
  <c r="G20" i="80"/>
  <c r="D76" i="35"/>
  <c r="H62" i="35"/>
  <c r="H76" i="35" s="1"/>
  <c r="J75" i="34"/>
  <c r="C63" i="34"/>
  <c r="G63" i="34" s="1"/>
  <c r="G54" i="34"/>
  <c r="E54" i="34"/>
  <c r="F52" i="34"/>
  <c r="H52" i="34" s="1"/>
  <c r="F51" i="34"/>
  <c r="H51" i="34" s="1"/>
  <c r="F50" i="34"/>
  <c r="H50" i="34" s="1"/>
  <c r="F49" i="34"/>
  <c r="H49" i="34" s="1"/>
  <c r="F48" i="34"/>
  <c r="H48" i="34" s="1"/>
  <c r="F47" i="34"/>
  <c r="H47" i="34" s="1"/>
  <c r="F46" i="34"/>
  <c r="H46" i="34" s="1"/>
  <c r="I44" i="34"/>
  <c r="I43" i="34"/>
  <c r="G42" i="34"/>
  <c r="E42" i="34"/>
  <c r="I33" i="34"/>
  <c r="I30" i="34"/>
  <c r="H29" i="34"/>
  <c r="E29" i="34"/>
  <c r="G28" i="34"/>
  <c r="I28" i="34" s="1"/>
  <c r="G27" i="34"/>
  <c r="I27" i="34" s="1"/>
  <c r="G26" i="34"/>
  <c r="I26" i="34" s="1"/>
  <c r="G25" i="34"/>
  <c r="I25" i="34" s="1"/>
  <c r="G24" i="34"/>
  <c r="I24" i="34" s="1"/>
  <c r="G23" i="34"/>
  <c r="I23" i="34" s="1"/>
  <c r="I22" i="34"/>
  <c r="G21" i="34"/>
  <c r="I21" i="34" s="1"/>
  <c r="G20" i="34"/>
  <c r="I20" i="34" s="1"/>
  <c r="G19" i="34"/>
  <c r="I19" i="34" s="1"/>
  <c r="G18" i="34"/>
  <c r="I18" i="34" s="1"/>
  <c r="G17" i="34"/>
  <c r="I17" i="34" s="1"/>
  <c r="G16" i="34"/>
  <c r="I16" i="34" s="1"/>
  <c r="G15" i="34"/>
  <c r="I15" i="34" s="1"/>
  <c r="G14" i="34"/>
  <c r="I14" i="34" s="1"/>
  <c r="G13" i="34"/>
  <c r="I13" i="34" s="1"/>
  <c r="G12" i="34"/>
  <c r="I12" i="34" s="1"/>
  <c r="G11" i="34"/>
  <c r="I11" i="34" s="1"/>
  <c r="G10" i="34"/>
  <c r="I10" i="34" s="1"/>
  <c r="G9" i="34"/>
  <c r="I9" i="34" s="1"/>
  <c r="G8" i="34"/>
  <c r="I8" i="34" s="1"/>
  <c r="G7" i="34"/>
  <c r="I7" i="34" s="1"/>
  <c r="G6" i="34"/>
  <c r="I6" i="34" s="1"/>
  <c r="I5" i="34"/>
  <c r="G4" i="34"/>
  <c r="I4" i="34" s="1"/>
  <c r="I20" i="80" l="1"/>
  <c r="J32" i="80" s="1"/>
  <c r="D16" i="81"/>
  <c r="C60" i="34"/>
  <c r="G60" i="34"/>
  <c r="H61" i="34" s="1"/>
  <c r="J28" i="80" l="1"/>
  <c r="G16" i="81"/>
  <c r="D20" i="81"/>
  <c r="H75" i="34"/>
  <c r="D61" i="34"/>
  <c r="D75" i="34" s="1"/>
  <c r="J75" i="33"/>
  <c r="C63" i="33"/>
  <c r="G63" i="33" s="1"/>
  <c r="G54" i="33"/>
  <c r="E54" i="33"/>
  <c r="F52" i="33"/>
  <c r="H52" i="33" s="1"/>
  <c r="F51" i="33"/>
  <c r="H51" i="33" s="1"/>
  <c r="F50" i="33"/>
  <c r="H50" i="33" s="1"/>
  <c r="F49" i="33"/>
  <c r="H49" i="33" s="1"/>
  <c r="F48" i="33"/>
  <c r="H48" i="33" s="1"/>
  <c r="F47" i="33"/>
  <c r="H47" i="33" s="1"/>
  <c r="F46" i="33"/>
  <c r="H46" i="33" s="1"/>
  <c r="I44" i="33"/>
  <c r="I43" i="33"/>
  <c r="G42" i="33"/>
  <c r="E42" i="33"/>
  <c r="H41" i="33"/>
  <c r="F40" i="33"/>
  <c r="H40" i="33" s="1"/>
  <c r="F39" i="33"/>
  <c r="H39" i="33" s="1"/>
  <c r="F38" i="33"/>
  <c r="H38" i="33" s="1"/>
  <c r="F37" i="33"/>
  <c r="H37" i="33" s="1"/>
  <c r="F36" i="33"/>
  <c r="H36" i="33" s="1"/>
  <c r="F35" i="33"/>
  <c r="H35" i="33" s="1"/>
  <c r="F34" i="33"/>
  <c r="H34" i="33" s="1"/>
  <c r="I33" i="33"/>
  <c r="I30" i="33"/>
  <c r="H29" i="33"/>
  <c r="E29" i="33"/>
  <c r="C60" i="33" s="1"/>
  <c r="G28" i="33"/>
  <c r="I28" i="33" s="1"/>
  <c r="G27" i="33"/>
  <c r="I27" i="33" s="1"/>
  <c r="G26" i="33"/>
  <c r="I26" i="33" s="1"/>
  <c r="G25" i="33"/>
  <c r="I25" i="33" s="1"/>
  <c r="G24" i="33"/>
  <c r="I24" i="33" s="1"/>
  <c r="G23" i="33"/>
  <c r="I23" i="33" s="1"/>
  <c r="I22" i="33"/>
  <c r="G21" i="33"/>
  <c r="I21" i="33" s="1"/>
  <c r="G20" i="33"/>
  <c r="I20" i="33" s="1"/>
  <c r="G19" i="33"/>
  <c r="I19" i="33" s="1"/>
  <c r="G18" i="33"/>
  <c r="I18" i="33" s="1"/>
  <c r="G17" i="33"/>
  <c r="I17" i="33" s="1"/>
  <c r="G16" i="33"/>
  <c r="I16" i="33" s="1"/>
  <c r="G15" i="33"/>
  <c r="I15" i="33" s="1"/>
  <c r="G14" i="33"/>
  <c r="I14" i="33" s="1"/>
  <c r="G13" i="33"/>
  <c r="I13" i="33" s="1"/>
  <c r="G12" i="33"/>
  <c r="I12" i="33" s="1"/>
  <c r="G11" i="33"/>
  <c r="I11" i="33" s="1"/>
  <c r="G10" i="33"/>
  <c r="I10" i="33" s="1"/>
  <c r="G9" i="33"/>
  <c r="I9" i="33" s="1"/>
  <c r="G8" i="33"/>
  <c r="I8" i="33" s="1"/>
  <c r="G7" i="33"/>
  <c r="I7" i="33" s="1"/>
  <c r="G6" i="33"/>
  <c r="I6" i="33" s="1"/>
  <c r="I5" i="33"/>
  <c r="G4" i="33"/>
  <c r="I4" i="33" s="1"/>
  <c r="I16" i="81" l="1"/>
  <c r="I20" i="81" s="1"/>
  <c r="G20" i="81"/>
  <c r="G60" i="33"/>
  <c r="H42" i="33"/>
  <c r="D61" i="33"/>
  <c r="J32" i="81" l="1"/>
  <c r="J28" i="81"/>
  <c r="D75" i="33"/>
  <c r="H61" i="33"/>
  <c r="H75" i="33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4" i="31"/>
  <c r="G28" i="31" l="1"/>
  <c r="I5" i="32"/>
  <c r="I30" i="32"/>
  <c r="I33" i="32"/>
  <c r="I43" i="32"/>
  <c r="I44" i="32"/>
  <c r="J71" i="32"/>
  <c r="C63" i="32"/>
  <c r="G63" i="32" s="1"/>
  <c r="G54" i="32"/>
  <c r="E54" i="32"/>
  <c r="F52" i="32"/>
  <c r="H52" i="32" s="1"/>
  <c r="F51" i="32"/>
  <c r="H51" i="32" s="1"/>
  <c r="F50" i="32"/>
  <c r="H50" i="32" s="1"/>
  <c r="F49" i="32"/>
  <c r="H49" i="32" s="1"/>
  <c r="F48" i="32"/>
  <c r="H48" i="32" s="1"/>
  <c r="F47" i="32"/>
  <c r="H47" i="32" s="1"/>
  <c r="F46" i="32"/>
  <c r="H46" i="32" s="1"/>
  <c r="G42" i="32"/>
  <c r="E42" i="32"/>
  <c r="H41" i="32"/>
  <c r="F40" i="32"/>
  <c r="H40" i="32" s="1"/>
  <c r="F39" i="32"/>
  <c r="H39" i="32" s="1"/>
  <c r="F38" i="32"/>
  <c r="H38" i="32" s="1"/>
  <c r="F37" i="32"/>
  <c r="H37" i="32" s="1"/>
  <c r="F36" i="32"/>
  <c r="H36" i="32" s="1"/>
  <c r="F35" i="32"/>
  <c r="H35" i="32" s="1"/>
  <c r="F34" i="32"/>
  <c r="H34" i="32" s="1"/>
  <c r="F32" i="32"/>
  <c r="H32" i="32" s="1"/>
  <c r="I32" i="32" s="1"/>
  <c r="H29" i="32"/>
  <c r="E29" i="32"/>
  <c r="G28" i="32"/>
  <c r="I28" i="32" s="1"/>
  <c r="G27" i="32"/>
  <c r="I27" i="32" s="1"/>
  <c r="G26" i="32"/>
  <c r="I26" i="32" s="1"/>
  <c r="G25" i="32"/>
  <c r="I25" i="32" s="1"/>
  <c r="G24" i="32"/>
  <c r="I24" i="32" s="1"/>
  <c r="G23" i="32"/>
  <c r="I23" i="32" s="1"/>
  <c r="I22" i="32"/>
  <c r="G21" i="32"/>
  <c r="I21" i="32" s="1"/>
  <c r="G20" i="32"/>
  <c r="I20" i="32" s="1"/>
  <c r="G19" i="32"/>
  <c r="I19" i="32" s="1"/>
  <c r="G18" i="32"/>
  <c r="I18" i="32" s="1"/>
  <c r="G17" i="32"/>
  <c r="I17" i="32" s="1"/>
  <c r="G16" i="32"/>
  <c r="I16" i="32" s="1"/>
  <c r="G15" i="32"/>
  <c r="I15" i="32" s="1"/>
  <c r="G14" i="32"/>
  <c r="I14" i="32" s="1"/>
  <c r="G13" i="32"/>
  <c r="I13" i="32" s="1"/>
  <c r="G12" i="32"/>
  <c r="I12" i="32" s="1"/>
  <c r="G11" i="32"/>
  <c r="I11" i="32" s="1"/>
  <c r="G10" i="32"/>
  <c r="I10" i="32" s="1"/>
  <c r="G9" i="32"/>
  <c r="I9" i="32" s="1"/>
  <c r="G8" i="32"/>
  <c r="I8" i="32" s="1"/>
  <c r="G7" i="32"/>
  <c r="I7" i="32" s="1"/>
  <c r="G6" i="32"/>
  <c r="I6" i="32" s="1"/>
  <c r="G4" i="32"/>
  <c r="I4" i="32" s="1"/>
  <c r="G60" i="32" l="1"/>
  <c r="C60" i="32"/>
  <c r="D61" i="32" s="1"/>
  <c r="H42" i="32"/>
  <c r="D71" i="32" l="1"/>
  <c r="H61" i="32"/>
  <c r="H71" i="32"/>
  <c r="J72" i="31"/>
  <c r="C63" i="31"/>
  <c r="G63" i="31" s="1"/>
  <c r="G54" i="31"/>
  <c r="E54" i="31"/>
  <c r="F52" i="31"/>
  <c r="H52" i="31" s="1"/>
  <c r="F51" i="31"/>
  <c r="H51" i="31" s="1"/>
  <c r="F50" i="31"/>
  <c r="H50" i="31" s="1"/>
  <c r="F49" i="31"/>
  <c r="H49" i="31" s="1"/>
  <c r="F48" i="31"/>
  <c r="H48" i="31" s="1"/>
  <c r="F47" i="31"/>
  <c r="H47" i="31" s="1"/>
  <c r="F46" i="31"/>
  <c r="H46" i="31" s="1"/>
  <c r="I44" i="31"/>
  <c r="I43" i="31"/>
  <c r="G42" i="31"/>
  <c r="E42" i="31"/>
  <c r="H41" i="31"/>
  <c r="F40" i="31"/>
  <c r="H40" i="31" s="1"/>
  <c r="F39" i="31"/>
  <c r="H39" i="31" s="1"/>
  <c r="F38" i="31"/>
  <c r="H38" i="31" s="1"/>
  <c r="F37" i="31"/>
  <c r="H37" i="31" s="1"/>
  <c r="F36" i="31"/>
  <c r="H36" i="31" s="1"/>
  <c r="F35" i="31"/>
  <c r="H35" i="31" s="1"/>
  <c r="F34" i="31"/>
  <c r="H34" i="31" s="1"/>
  <c r="I33" i="31"/>
  <c r="F32" i="31"/>
  <c r="H32" i="31" s="1"/>
  <c r="I32" i="31" s="1"/>
  <c r="I30" i="31"/>
  <c r="H29" i="31"/>
  <c r="E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G60" i="31" l="1"/>
  <c r="M36" i="31"/>
  <c r="C60" i="31"/>
  <c r="D61" i="31" s="1"/>
  <c r="H42" i="31"/>
  <c r="D72" i="31" l="1"/>
  <c r="H61" i="31"/>
  <c r="H72" i="31" s="1"/>
  <c r="F30" i="27"/>
  <c r="G64" i="27" s="1"/>
  <c r="F30" i="28" l="1"/>
  <c r="C64" i="28" s="1"/>
  <c r="J72" i="29"/>
  <c r="C64" i="29"/>
  <c r="G64" i="29" s="1"/>
  <c r="G55" i="29"/>
  <c r="E55" i="29"/>
  <c r="F53" i="29"/>
  <c r="H53" i="29" s="1"/>
  <c r="F52" i="29"/>
  <c r="H52" i="29" s="1"/>
  <c r="F51" i="29"/>
  <c r="H51" i="29" s="1"/>
  <c r="F50" i="29"/>
  <c r="H50" i="29" s="1"/>
  <c r="F49" i="29"/>
  <c r="H49" i="29" s="1"/>
  <c r="F48" i="29"/>
  <c r="H48" i="29" s="1"/>
  <c r="F47" i="29"/>
  <c r="H47" i="29" s="1"/>
  <c r="I45" i="29"/>
  <c r="I44" i="29"/>
  <c r="G43" i="29"/>
  <c r="E43" i="29"/>
  <c r="F42" i="29"/>
  <c r="H42" i="29" s="1"/>
  <c r="F41" i="29"/>
  <c r="H41" i="29" s="1"/>
  <c r="F40" i="29"/>
  <c r="H40" i="29" s="1"/>
  <c r="F39" i="29"/>
  <c r="H39" i="29" s="1"/>
  <c r="F38" i="29"/>
  <c r="H38" i="29" s="1"/>
  <c r="F37" i="29"/>
  <c r="H37" i="29" s="1"/>
  <c r="F36" i="29"/>
  <c r="H36" i="29" s="1"/>
  <c r="F35" i="29"/>
  <c r="H35" i="29" s="1"/>
  <c r="I31" i="29"/>
  <c r="H30" i="29"/>
  <c r="E30" i="29"/>
  <c r="C61" i="29" s="1"/>
  <c r="G29" i="29"/>
  <c r="I29" i="29" s="1"/>
  <c r="G28" i="29"/>
  <c r="I28" i="29" s="1"/>
  <c r="I27" i="29"/>
  <c r="G26" i="29"/>
  <c r="I26" i="29" s="1"/>
  <c r="G25" i="29"/>
  <c r="I25" i="29" s="1"/>
  <c r="G24" i="29"/>
  <c r="I24" i="29" s="1"/>
  <c r="G23" i="29"/>
  <c r="I23" i="29" s="1"/>
  <c r="G22" i="29"/>
  <c r="I22" i="29" s="1"/>
  <c r="G21" i="29"/>
  <c r="I21" i="29" s="1"/>
  <c r="G20" i="29"/>
  <c r="I20" i="29" s="1"/>
  <c r="I19" i="29"/>
  <c r="G18" i="29"/>
  <c r="I18" i="29" s="1"/>
  <c r="G17" i="29"/>
  <c r="I17" i="29" s="1"/>
  <c r="G16" i="29"/>
  <c r="I16" i="29" s="1"/>
  <c r="G15" i="29"/>
  <c r="I15" i="29" s="1"/>
  <c r="G14" i="29"/>
  <c r="I14" i="29" s="1"/>
  <c r="G13" i="29"/>
  <c r="I13" i="29" s="1"/>
  <c r="G12" i="29"/>
  <c r="I12" i="29" s="1"/>
  <c r="I11" i="29"/>
  <c r="I10" i="29"/>
  <c r="G9" i="29"/>
  <c r="I9" i="29" s="1"/>
  <c r="G8" i="29"/>
  <c r="I8" i="29" s="1"/>
  <c r="G7" i="29"/>
  <c r="I7" i="29" s="1"/>
  <c r="I6" i="29"/>
  <c r="G5" i="29"/>
  <c r="I5" i="29" s="1"/>
  <c r="G61" i="29" l="1"/>
  <c r="H43" i="29"/>
  <c r="D62" i="29"/>
  <c r="J73" i="28"/>
  <c r="G64" i="28"/>
  <c r="G55" i="28"/>
  <c r="E55" i="28"/>
  <c r="F53" i="28"/>
  <c r="H53" i="28" s="1"/>
  <c r="F52" i="28"/>
  <c r="H52" i="28" s="1"/>
  <c r="F51" i="28"/>
  <c r="H51" i="28" s="1"/>
  <c r="F50" i="28"/>
  <c r="H50" i="28" s="1"/>
  <c r="F49" i="28"/>
  <c r="H49" i="28" s="1"/>
  <c r="F48" i="28"/>
  <c r="H48" i="28" s="1"/>
  <c r="F47" i="28"/>
  <c r="H47" i="28" s="1"/>
  <c r="I45" i="28"/>
  <c r="I44" i="28"/>
  <c r="G43" i="28"/>
  <c r="E43" i="28"/>
  <c r="F42" i="28"/>
  <c r="H42" i="28" s="1"/>
  <c r="F41" i="28"/>
  <c r="H41" i="28" s="1"/>
  <c r="F40" i="28"/>
  <c r="H40" i="28" s="1"/>
  <c r="F39" i="28"/>
  <c r="H39" i="28" s="1"/>
  <c r="F38" i="28"/>
  <c r="H38" i="28" s="1"/>
  <c r="F37" i="28"/>
  <c r="H37" i="28" s="1"/>
  <c r="F36" i="28"/>
  <c r="H36" i="28" s="1"/>
  <c r="F35" i="28"/>
  <c r="H35" i="28" s="1"/>
  <c r="I34" i="28"/>
  <c r="I33" i="28"/>
  <c r="I31" i="28"/>
  <c r="H30" i="28"/>
  <c r="E30" i="28"/>
  <c r="C61" i="28" s="1"/>
  <c r="G29" i="28"/>
  <c r="I29" i="28" s="1"/>
  <c r="G28" i="28"/>
  <c r="I28" i="28" s="1"/>
  <c r="I27" i="28"/>
  <c r="G26" i="28"/>
  <c r="I26" i="28" s="1"/>
  <c r="G25" i="28"/>
  <c r="I25" i="28" s="1"/>
  <c r="G24" i="28"/>
  <c r="I24" i="28" s="1"/>
  <c r="G23" i="28"/>
  <c r="I23" i="28" s="1"/>
  <c r="G22" i="28"/>
  <c r="I22" i="28" s="1"/>
  <c r="G21" i="28"/>
  <c r="I21" i="28" s="1"/>
  <c r="G20" i="28"/>
  <c r="I20" i="28" s="1"/>
  <c r="G19" i="28"/>
  <c r="I19" i="28" s="1"/>
  <c r="G18" i="28"/>
  <c r="I18" i="28" s="1"/>
  <c r="G17" i="28"/>
  <c r="I17" i="28" s="1"/>
  <c r="G16" i="28"/>
  <c r="I16" i="28" s="1"/>
  <c r="G15" i="28"/>
  <c r="I15" i="28" s="1"/>
  <c r="G14" i="28"/>
  <c r="I14" i="28" s="1"/>
  <c r="G13" i="28"/>
  <c r="I13" i="28" s="1"/>
  <c r="G12" i="28"/>
  <c r="I12" i="28" s="1"/>
  <c r="G11" i="28"/>
  <c r="I11" i="28" s="1"/>
  <c r="G10" i="28"/>
  <c r="I10" i="28" s="1"/>
  <c r="G9" i="28"/>
  <c r="I9" i="28" s="1"/>
  <c r="G8" i="28"/>
  <c r="I8" i="28" s="1"/>
  <c r="G7" i="28"/>
  <c r="I7" i="28" s="1"/>
  <c r="I6" i="28"/>
  <c r="G5" i="28"/>
  <c r="I5" i="28" s="1"/>
  <c r="I31" i="27"/>
  <c r="D72" i="29" l="1"/>
  <c r="H62" i="29"/>
  <c r="H72" i="29" s="1"/>
  <c r="D62" i="28"/>
  <c r="G61" i="28"/>
  <c r="H43" i="28"/>
  <c r="J72" i="27"/>
  <c r="C64" i="27"/>
  <c r="G55" i="27"/>
  <c r="E55" i="27"/>
  <c r="F53" i="27"/>
  <c r="H53" i="27" s="1"/>
  <c r="F52" i="27"/>
  <c r="H52" i="27" s="1"/>
  <c r="F51" i="27"/>
  <c r="H51" i="27" s="1"/>
  <c r="F50" i="27"/>
  <c r="H50" i="27" s="1"/>
  <c r="F49" i="27"/>
  <c r="H49" i="27" s="1"/>
  <c r="F48" i="27"/>
  <c r="H48" i="27" s="1"/>
  <c r="F47" i="27"/>
  <c r="H47" i="27" s="1"/>
  <c r="I45" i="27"/>
  <c r="I44" i="27"/>
  <c r="G43" i="27"/>
  <c r="E43" i="27"/>
  <c r="F42" i="27"/>
  <c r="H42" i="27" s="1"/>
  <c r="F41" i="27"/>
  <c r="F40" i="27"/>
  <c r="H40" i="27" s="1"/>
  <c r="F39" i="27"/>
  <c r="H39" i="27" s="1"/>
  <c r="F38" i="27"/>
  <c r="H38" i="27" s="1"/>
  <c r="F37" i="27"/>
  <c r="H37" i="27" s="1"/>
  <c r="F36" i="27"/>
  <c r="H36" i="27" s="1"/>
  <c r="F35" i="27"/>
  <c r="H35" i="27" s="1"/>
  <c r="I34" i="27"/>
  <c r="I33" i="27"/>
  <c r="H30" i="27"/>
  <c r="E30" i="27"/>
  <c r="C61" i="27" s="1"/>
  <c r="D62" i="27" s="1"/>
  <c r="G29" i="27"/>
  <c r="I29" i="27" s="1"/>
  <c r="G28" i="27"/>
  <c r="I28" i="27" s="1"/>
  <c r="G27" i="27"/>
  <c r="I27" i="27" s="1"/>
  <c r="G26" i="27"/>
  <c r="I26" i="27" s="1"/>
  <c r="G25" i="27"/>
  <c r="I25" i="27" s="1"/>
  <c r="G24" i="27"/>
  <c r="I24" i="27" s="1"/>
  <c r="G23" i="27"/>
  <c r="I23" i="27" s="1"/>
  <c r="G22" i="27"/>
  <c r="I22" i="27" s="1"/>
  <c r="G21" i="27"/>
  <c r="I21" i="27" s="1"/>
  <c r="G20" i="27"/>
  <c r="I20" i="27" s="1"/>
  <c r="G19" i="27"/>
  <c r="I19" i="27" s="1"/>
  <c r="G18" i="27"/>
  <c r="I18" i="27" s="1"/>
  <c r="G17" i="27"/>
  <c r="I17" i="27" s="1"/>
  <c r="G16" i="27"/>
  <c r="I16" i="27" s="1"/>
  <c r="G15" i="27"/>
  <c r="I15" i="27" s="1"/>
  <c r="G14" i="27"/>
  <c r="I14" i="27" s="1"/>
  <c r="G13" i="27"/>
  <c r="I13" i="27" s="1"/>
  <c r="G12" i="27"/>
  <c r="I12" i="27" s="1"/>
  <c r="G11" i="27"/>
  <c r="I11" i="27" s="1"/>
  <c r="G10" i="27"/>
  <c r="I10" i="27" s="1"/>
  <c r="G9" i="27"/>
  <c r="I9" i="27" s="1"/>
  <c r="G8" i="27"/>
  <c r="I8" i="27" s="1"/>
  <c r="G7" i="27"/>
  <c r="I7" i="27" s="1"/>
  <c r="I6" i="27"/>
  <c r="G5" i="27"/>
  <c r="I5" i="27" s="1"/>
  <c r="D72" i="27" l="1"/>
  <c r="H62" i="27"/>
  <c r="H72" i="27" s="1"/>
  <c r="D73" i="28"/>
  <c r="H62" i="28"/>
  <c r="H73" i="28" s="1"/>
  <c r="G61" i="27"/>
  <c r="H43" i="27"/>
  <c r="E30" i="26"/>
  <c r="E43" i="26"/>
  <c r="F48" i="25"/>
  <c r="H30" i="26" l="1"/>
  <c r="F30" i="26"/>
  <c r="C64" i="26" s="1"/>
  <c r="G64" i="26" s="1"/>
  <c r="I6" i="26" l="1"/>
  <c r="G7" i="26"/>
  <c r="I7" i="26" s="1"/>
  <c r="G8" i="26"/>
  <c r="I8" i="26" s="1"/>
  <c r="I9" i="26"/>
  <c r="G10" i="26"/>
  <c r="I10" i="26" s="1"/>
  <c r="G11" i="26"/>
  <c r="I11" i="26" s="1"/>
  <c r="G12" i="26"/>
  <c r="I12" i="26" s="1"/>
  <c r="G13" i="26"/>
  <c r="I13" i="26" s="1"/>
  <c r="G14" i="26"/>
  <c r="I14" i="26" s="1"/>
  <c r="G15" i="26"/>
  <c r="I15" i="26" s="1"/>
  <c r="G16" i="26"/>
  <c r="I16" i="26" s="1"/>
  <c r="G17" i="26"/>
  <c r="I17" i="26" s="1"/>
  <c r="G18" i="26"/>
  <c r="I18" i="26" s="1"/>
  <c r="I19" i="26"/>
  <c r="I20" i="26"/>
  <c r="G21" i="26"/>
  <c r="I21" i="26" s="1"/>
  <c r="G22" i="26"/>
  <c r="I22" i="26" s="1"/>
  <c r="G23" i="26"/>
  <c r="I23" i="26" s="1"/>
  <c r="G24" i="26"/>
  <c r="I24" i="26" s="1"/>
  <c r="G25" i="26"/>
  <c r="I25" i="26" s="1"/>
  <c r="G26" i="26"/>
  <c r="I26" i="26" s="1"/>
  <c r="G27" i="26"/>
  <c r="I27" i="26" s="1"/>
  <c r="G28" i="26"/>
  <c r="G5" i="26"/>
  <c r="I5" i="26" s="1"/>
  <c r="G29" i="26"/>
  <c r="I29" i="26" s="1"/>
  <c r="G55" i="26"/>
  <c r="E55" i="26"/>
  <c r="C61" i="26" s="1"/>
  <c r="H62" i="26" s="1"/>
  <c r="H72" i="26" s="1"/>
  <c r="H53" i="26"/>
  <c r="F52" i="26"/>
  <c r="H52" i="26" s="1"/>
  <c r="F51" i="26"/>
  <c r="H51" i="26" s="1"/>
  <c r="F50" i="26"/>
  <c r="H50" i="26" s="1"/>
  <c r="F49" i="26"/>
  <c r="H49" i="26" s="1"/>
  <c r="F48" i="26"/>
  <c r="H48" i="26" s="1"/>
  <c r="F47" i="26"/>
  <c r="H47" i="26" s="1"/>
  <c r="G43" i="26"/>
  <c r="F42" i="26"/>
  <c r="H42" i="26" s="1"/>
  <c r="I42" i="26" s="1"/>
  <c r="F41" i="26"/>
  <c r="H41" i="26" s="1"/>
  <c r="I41" i="26" s="1"/>
  <c r="F40" i="26"/>
  <c r="H40" i="26" s="1"/>
  <c r="I40" i="26" s="1"/>
  <c r="F39" i="26"/>
  <c r="H39" i="26" s="1"/>
  <c r="I39" i="26" s="1"/>
  <c r="F38" i="26"/>
  <c r="H38" i="26" s="1"/>
  <c r="I38" i="26" s="1"/>
  <c r="F37" i="26"/>
  <c r="H37" i="26" s="1"/>
  <c r="I37" i="26" s="1"/>
  <c r="F36" i="26"/>
  <c r="H36" i="26" s="1"/>
  <c r="I36" i="26" s="1"/>
  <c r="F35" i="26"/>
  <c r="I34" i="26"/>
  <c r="I33" i="26"/>
  <c r="I32" i="26"/>
  <c r="I31" i="26"/>
  <c r="G61" i="26" l="1"/>
  <c r="I28" i="26"/>
  <c r="G30" i="26"/>
  <c r="I30" i="26" s="1"/>
  <c r="F43" i="26"/>
  <c r="H43" i="26" s="1"/>
  <c r="H35" i="26"/>
  <c r="I35" i="26" s="1"/>
  <c r="G8" i="25" l="1"/>
  <c r="F47" i="25" l="1"/>
  <c r="H47" i="25" s="1"/>
  <c r="F36" i="25"/>
  <c r="H36" i="25" s="1"/>
  <c r="I36" i="25" s="1"/>
  <c r="F37" i="25"/>
  <c r="F38" i="25"/>
  <c r="H38" i="25" s="1"/>
  <c r="I38" i="25" s="1"/>
  <c r="F39" i="25"/>
  <c r="F40" i="25"/>
  <c r="F41" i="25"/>
  <c r="H41" i="25" s="1"/>
  <c r="I41" i="25" s="1"/>
  <c r="F42" i="25"/>
  <c r="H42" i="25" s="1"/>
  <c r="I42" i="25" s="1"/>
  <c r="F35" i="25"/>
  <c r="H35" i="25" s="1"/>
  <c r="G17" i="25"/>
  <c r="I17" i="25" s="1"/>
  <c r="G12" i="25"/>
  <c r="G13" i="25"/>
  <c r="I13" i="25" s="1"/>
  <c r="G9" i="25"/>
  <c r="G55" i="25"/>
  <c r="E55" i="25"/>
  <c r="H53" i="25"/>
  <c r="F52" i="25"/>
  <c r="H52" i="25" s="1"/>
  <c r="F51" i="25"/>
  <c r="H51" i="25" s="1"/>
  <c r="F50" i="25"/>
  <c r="H50" i="25" s="1"/>
  <c r="F49" i="25"/>
  <c r="H49" i="25" s="1"/>
  <c r="H48" i="25"/>
  <c r="G43" i="25"/>
  <c r="E43" i="25"/>
  <c r="H40" i="25"/>
  <c r="I40" i="25" s="1"/>
  <c r="H39" i="25"/>
  <c r="I39" i="25" s="1"/>
  <c r="H37" i="25"/>
  <c r="I37" i="25" s="1"/>
  <c r="I34" i="25"/>
  <c r="I33" i="25"/>
  <c r="I32" i="25"/>
  <c r="I31" i="25"/>
  <c r="H30" i="25"/>
  <c r="G61" i="25" s="1"/>
  <c r="H62" i="25" s="1"/>
  <c r="H72" i="25" s="1"/>
  <c r="F30" i="25"/>
  <c r="E30" i="25"/>
  <c r="G29" i="25"/>
  <c r="I29" i="25" s="1"/>
  <c r="I28" i="25"/>
  <c r="I27" i="25"/>
  <c r="I26" i="25"/>
  <c r="G25" i="25"/>
  <c r="I25" i="25" s="1"/>
  <c r="G24" i="25"/>
  <c r="I24" i="25" s="1"/>
  <c r="G23" i="25"/>
  <c r="I23" i="25" s="1"/>
  <c r="G22" i="25"/>
  <c r="I22" i="25" s="1"/>
  <c r="I21" i="25"/>
  <c r="G20" i="25"/>
  <c r="I20" i="25" s="1"/>
  <c r="G19" i="25"/>
  <c r="I19" i="25" s="1"/>
  <c r="I18" i="25"/>
  <c r="G16" i="25"/>
  <c r="I16" i="25" s="1"/>
  <c r="G15" i="25"/>
  <c r="I15" i="25" s="1"/>
  <c r="G14" i="25"/>
  <c r="I14" i="25" s="1"/>
  <c r="I12" i="25"/>
  <c r="G11" i="25"/>
  <c r="I11" i="25" s="1"/>
  <c r="G10" i="25"/>
  <c r="I10" i="25" s="1"/>
  <c r="I9" i="25"/>
  <c r="I8" i="25"/>
  <c r="G7" i="25"/>
  <c r="I7" i="25" s="1"/>
  <c r="I6" i="25"/>
  <c r="G5" i="25"/>
  <c r="I5" i="25" s="1"/>
  <c r="C61" i="25" l="1"/>
  <c r="I35" i="25"/>
  <c r="G30" i="25"/>
  <c r="I30" i="25" s="1"/>
  <c r="J72" i="25" s="1"/>
  <c r="F43" i="25"/>
  <c r="H43" i="25" s="1"/>
  <c r="C64" i="25"/>
  <c r="G55" i="24" l="1"/>
  <c r="F47" i="24" l="1"/>
  <c r="H47" i="24" s="1"/>
  <c r="H36" i="24"/>
  <c r="H37" i="24"/>
  <c r="H38" i="24"/>
  <c r="H39" i="24"/>
  <c r="H40" i="24"/>
  <c r="H41" i="24"/>
  <c r="H42" i="24"/>
  <c r="F35" i="24"/>
  <c r="H35" i="24" s="1"/>
  <c r="F43" i="24" l="1"/>
  <c r="I6" i="24"/>
  <c r="I8" i="24"/>
  <c r="I17" i="24"/>
  <c r="I18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E55" i="24" l="1"/>
  <c r="H53" i="24"/>
  <c r="F52" i="24"/>
  <c r="H52" i="24" s="1"/>
  <c r="F51" i="24"/>
  <c r="H51" i="24" s="1"/>
  <c r="F50" i="24"/>
  <c r="H50" i="24" s="1"/>
  <c r="F49" i="24"/>
  <c r="H49" i="24" s="1"/>
  <c r="F48" i="24"/>
  <c r="H48" i="24" s="1"/>
  <c r="G43" i="24"/>
  <c r="H43" i="24" s="1"/>
  <c r="E43" i="24"/>
  <c r="H30" i="24"/>
  <c r="F30" i="24"/>
  <c r="E30" i="24"/>
  <c r="G29" i="24"/>
  <c r="I29" i="24" s="1"/>
  <c r="G19" i="24"/>
  <c r="I19" i="24" s="1"/>
  <c r="G16" i="24"/>
  <c r="I16" i="24" s="1"/>
  <c r="G15" i="24"/>
  <c r="I15" i="24" s="1"/>
  <c r="G14" i="24"/>
  <c r="I14" i="24" s="1"/>
  <c r="G13" i="24"/>
  <c r="I13" i="24" s="1"/>
  <c r="G12" i="24"/>
  <c r="I12" i="24" s="1"/>
  <c r="G11" i="24"/>
  <c r="I11" i="24" s="1"/>
  <c r="G10" i="24"/>
  <c r="I10" i="24" s="1"/>
  <c r="G9" i="24"/>
  <c r="I9" i="24" s="1"/>
  <c r="G7" i="24"/>
  <c r="I7" i="24" s="1"/>
  <c r="G5" i="24"/>
  <c r="C61" i="24" l="1"/>
  <c r="G61" i="24"/>
  <c r="G64" i="24"/>
  <c r="C64" i="24"/>
  <c r="G30" i="24"/>
  <c r="I30" i="24" s="1"/>
  <c r="J72" i="24" s="1"/>
  <c r="I5" i="24"/>
  <c r="G63" i="22"/>
  <c r="G12" i="22"/>
  <c r="H52" i="22"/>
  <c r="F47" i="22"/>
  <c r="H47" i="22" s="1"/>
  <c r="F48" i="22"/>
  <c r="H48" i="22" s="1"/>
  <c r="F49" i="22"/>
  <c r="H49" i="22" s="1"/>
  <c r="F50" i="22"/>
  <c r="H50" i="22" s="1"/>
  <c r="F46" i="22"/>
  <c r="H46" i="22" s="1"/>
  <c r="F51" i="22"/>
  <c r="H51" i="22" s="1"/>
  <c r="G54" i="22"/>
  <c r="E54" i="22"/>
  <c r="G43" i="22"/>
  <c r="F43" i="22"/>
  <c r="E43" i="22"/>
  <c r="H30" i="22"/>
  <c r="F30" i="22"/>
  <c r="C63" i="22" s="1"/>
  <c r="E30" i="22"/>
  <c r="G19" i="22"/>
  <c r="G18" i="22"/>
  <c r="G17" i="22"/>
  <c r="G16" i="22"/>
  <c r="G15" i="22"/>
  <c r="G14" i="22"/>
  <c r="G13" i="22"/>
  <c r="G11" i="22"/>
  <c r="G10" i="22"/>
  <c r="G9" i="22"/>
  <c r="G7" i="22"/>
  <c r="G5" i="22"/>
  <c r="G60" i="22" l="1"/>
  <c r="C60" i="22"/>
  <c r="H61" i="22"/>
  <c r="H71" i="22" s="1"/>
  <c r="G30" i="22"/>
  <c r="D61" i="22" l="1"/>
  <c r="D71" i="22" s="1"/>
  <c r="E54" i="21"/>
  <c r="E54" i="19"/>
  <c r="G54" i="21"/>
  <c r="G43" i="21"/>
  <c r="F43" i="21"/>
  <c r="E43" i="21"/>
  <c r="H30" i="21"/>
  <c r="F30" i="21"/>
  <c r="C63" i="21" s="1"/>
  <c r="E30" i="21"/>
  <c r="G29" i="21"/>
  <c r="G28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1" i="21"/>
  <c r="G10" i="21"/>
  <c r="G9" i="21"/>
  <c r="G7" i="21"/>
  <c r="G5" i="21"/>
  <c r="C60" i="21" l="1"/>
  <c r="D61" i="21" s="1"/>
  <c r="D71" i="21" s="1"/>
  <c r="G30" i="21"/>
  <c r="E30" i="20"/>
  <c r="F30" i="20"/>
  <c r="G54" i="20" l="1"/>
  <c r="G43" i="20"/>
  <c r="E54" i="20" l="1"/>
  <c r="F43" i="20"/>
  <c r="E43" i="20"/>
  <c r="C60" i="20" s="1"/>
  <c r="H30" i="20"/>
  <c r="C63" i="20"/>
  <c r="G29" i="20"/>
  <c r="G28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1" i="20"/>
  <c r="G10" i="20"/>
  <c r="G9" i="20"/>
  <c r="G7" i="20"/>
  <c r="G5" i="20"/>
  <c r="G30" i="20" l="1"/>
  <c r="G22" i="19"/>
  <c r="G22" i="18"/>
  <c r="G23" i="18"/>
  <c r="E54" i="17"/>
  <c r="F30" i="16"/>
  <c r="C63" i="16" s="1"/>
  <c r="G22" i="16"/>
  <c r="G23" i="16"/>
  <c r="G24" i="16"/>
  <c r="G25" i="16"/>
  <c r="G26" i="16"/>
  <c r="G27" i="16"/>
  <c r="G28" i="16"/>
  <c r="E54" i="16"/>
  <c r="D61" i="20" l="1"/>
  <c r="D71" i="20" s="1"/>
  <c r="F30" i="17"/>
  <c r="E30" i="17"/>
  <c r="G6" i="17"/>
  <c r="F43" i="19" l="1"/>
  <c r="E43" i="19"/>
  <c r="H30" i="19"/>
  <c r="F30" i="19"/>
  <c r="C63" i="19" s="1"/>
  <c r="E30" i="19"/>
  <c r="C60" i="19" s="1"/>
  <c r="G29" i="19"/>
  <c r="G28" i="19"/>
  <c r="G26" i="19"/>
  <c r="G25" i="19"/>
  <c r="G24" i="19"/>
  <c r="G23" i="19"/>
  <c r="G21" i="19"/>
  <c r="G20" i="19"/>
  <c r="G19" i="19"/>
  <c r="G18" i="19"/>
  <c r="G17" i="19"/>
  <c r="G16" i="19"/>
  <c r="G15" i="19"/>
  <c r="G14" i="19"/>
  <c r="G13" i="19"/>
  <c r="G11" i="19"/>
  <c r="G10" i="19"/>
  <c r="G9" i="19"/>
  <c r="G5" i="19"/>
  <c r="E54" i="18"/>
  <c r="F43" i="18"/>
  <c r="E43" i="18"/>
  <c r="H30" i="18"/>
  <c r="F30" i="18"/>
  <c r="C63" i="18" s="1"/>
  <c r="E30" i="18"/>
  <c r="G29" i="18"/>
  <c r="G28" i="18"/>
  <c r="G26" i="18"/>
  <c r="G25" i="18"/>
  <c r="G24" i="18"/>
  <c r="G21" i="18"/>
  <c r="G20" i="18"/>
  <c r="G19" i="18"/>
  <c r="G16" i="18"/>
  <c r="G15" i="18"/>
  <c r="G14" i="18"/>
  <c r="G13" i="18"/>
  <c r="G11" i="18"/>
  <c r="G10" i="18"/>
  <c r="G9" i="18"/>
  <c r="G7" i="18"/>
  <c r="G5" i="18"/>
  <c r="F43" i="17"/>
  <c r="E43" i="17"/>
  <c r="C60" i="17" s="1"/>
  <c r="H30" i="17"/>
  <c r="C63" i="17"/>
  <c r="G29" i="17"/>
  <c r="G28" i="17"/>
  <c r="G26" i="17"/>
  <c r="G25" i="17"/>
  <c r="G24" i="17"/>
  <c r="G23" i="17"/>
  <c r="G21" i="17"/>
  <c r="G20" i="17"/>
  <c r="G19" i="17"/>
  <c r="G16" i="17"/>
  <c r="G15" i="17"/>
  <c r="G14" i="17"/>
  <c r="G13" i="17"/>
  <c r="G11" i="17"/>
  <c r="G10" i="17"/>
  <c r="G9" i="17"/>
  <c r="G8" i="17"/>
  <c r="G5" i="17"/>
  <c r="G30" i="17" l="1"/>
  <c r="D61" i="19"/>
  <c r="D71" i="19" s="1"/>
  <c r="D61" i="17"/>
  <c r="D72" i="17" s="1"/>
  <c r="G30" i="18"/>
  <c r="G30" i="19"/>
  <c r="C60" i="18"/>
  <c r="E55" i="14"/>
  <c r="D60" i="14" s="1"/>
  <c r="D61" i="18" l="1"/>
  <c r="D71" i="18" s="1"/>
  <c r="F43" i="16"/>
  <c r="D61" i="14"/>
  <c r="E43" i="16"/>
  <c r="H30" i="16"/>
  <c r="E30" i="16"/>
  <c r="G29" i="16"/>
  <c r="G21" i="16"/>
  <c r="G20" i="16"/>
  <c r="G19" i="16"/>
  <c r="G16" i="16"/>
  <c r="G15" i="16"/>
  <c r="G14" i="16"/>
  <c r="G13" i="16"/>
  <c r="G11" i="16"/>
  <c r="G10" i="16"/>
  <c r="G9" i="16"/>
  <c r="G8" i="16"/>
  <c r="G6" i="16"/>
  <c r="C60" i="16" l="1"/>
  <c r="C65" i="16" s="1"/>
  <c r="C71" i="16" s="1"/>
  <c r="G30" i="16"/>
  <c r="K75" i="15"/>
  <c r="E57" i="15"/>
  <c r="D61" i="15"/>
  <c r="D61" i="16" l="1"/>
  <c r="D71" i="16" s="1"/>
  <c r="F43" i="15"/>
  <c r="E43" i="15"/>
  <c r="H30" i="15"/>
  <c r="F30" i="15"/>
  <c r="E30" i="15"/>
  <c r="G29" i="15"/>
  <c r="G28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1" i="15"/>
  <c r="G10" i="15"/>
  <c r="G9" i="15"/>
  <c r="G7" i="15"/>
  <c r="G5" i="15"/>
  <c r="D63" i="14"/>
  <c r="F43" i="14"/>
  <c r="E43" i="14"/>
  <c r="H30" i="14"/>
  <c r="F30" i="14"/>
  <c r="E30" i="14"/>
  <c r="G29" i="14"/>
  <c r="G28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1" i="14"/>
  <c r="G10" i="14"/>
  <c r="G9" i="14"/>
  <c r="G7" i="14"/>
  <c r="G6" i="14"/>
  <c r="G5" i="14"/>
  <c r="E71" i="16" l="1"/>
  <c r="C64" i="17" s="1"/>
  <c r="C65" i="17" s="1"/>
  <c r="C72" i="17" s="1"/>
  <c r="E72" i="17" s="1"/>
  <c r="C64" i="18" s="1"/>
  <c r="G30" i="14"/>
  <c r="G30" i="15"/>
  <c r="D58" i="15" s="1"/>
  <c r="D60" i="15" s="1"/>
  <c r="D62" i="15" s="1"/>
  <c r="D64" i="15" s="1"/>
  <c r="D66" i="14"/>
  <c r="D68" i="14" s="1"/>
  <c r="D70" i="14" s="1"/>
  <c r="M21" i="13"/>
  <c r="C65" i="18" l="1"/>
  <c r="C71" i="18" s="1"/>
  <c r="E71" i="18" s="1"/>
  <c r="C64" i="19" s="1"/>
  <c r="D65" i="15"/>
  <c r="E43" i="13"/>
  <c r="F43" i="13"/>
  <c r="C65" i="19" l="1"/>
  <c r="C71" i="19" s="1"/>
  <c r="E71" i="19" s="1"/>
  <c r="C64" i="20" s="1"/>
  <c r="C65" i="20" s="1"/>
  <c r="C71" i="20" s="1"/>
  <c r="E71" i="20" s="1"/>
  <c r="C64" i="21" s="1"/>
  <c r="C65" i="21" s="1"/>
  <c r="C71" i="21" s="1"/>
  <c r="E71" i="21" s="1"/>
  <c r="C64" i="22" s="1"/>
  <c r="K73" i="13"/>
  <c r="F44" i="11"/>
  <c r="E57" i="13"/>
  <c r="D61" i="13"/>
  <c r="D66" i="13" s="1"/>
  <c r="D68" i="13" s="1"/>
  <c r="H30" i="13"/>
  <c r="F30" i="13"/>
  <c r="E30" i="13"/>
  <c r="G29" i="13"/>
  <c r="G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1" i="13"/>
  <c r="G10" i="13"/>
  <c r="G9" i="13"/>
  <c r="G7" i="13"/>
  <c r="G6" i="13"/>
  <c r="G5" i="13"/>
  <c r="H30" i="12"/>
  <c r="F30" i="12"/>
  <c r="E30" i="12"/>
  <c r="G29" i="12"/>
  <c r="G28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C65" i="22" l="1"/>
  <c r="C71" i="22" s="1"/>
  <c r="E71" i="22" s="1"/>
  <c r="C65" i="24" s="1"/>
  <c r="D62" i="24" s="1"/>
  <c r="D72" i="24" s="1"/>
  <c r="G64" i="22"/>
  <c r="G65" i="22" s="1"/>
  <c r="G71" i="22" s="1"/>
  <c r="I71" i="22" s="1"/>
  <c r="G65" i="24" s="1"/>
  <c r="C66" i="24"/>
  <c r="C72" i="24" s="1"/>
  <c r="G30" i="12"/>
  <c r="G30" i="13"/>
  <c r="D63" i="13"/>
  <c r="D70" i="13" s="1"/>
  <c r="G66" i="24" l="1"/>
  <c r="G72" i="24" s="1"/>
  <c r="H62" i="24"/>
  <c r="H72" i="24" s="1"/>
  <c r="E72" i="24"/>
  <c r="C65" i="25" s="1"/>
  <c r="K40" i="11"/>
  <c r="I30" i="11"/>
  <c r="H30" i="11"/>
  <c r="F30" i="11"/>
  <c r="E30" i="11"/>
  <c r="G29" i="11"/>
  <c r="G28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F45" i="10"/>
  <c r="E45" i="10"/>
  <c r="I30" i="10"/>
  <c r="H30" i="10"/>
  <c r="F30" i="10"/>
  <c r="E30" i="10"/>
  <c r="G29" i="10"/>
  <c r="G28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F45" i="9"/>
  <c r="E45" i="9"/>
  <c r="G15" i="9"/>
  <c r="G12" i="9"/>
  <c r="I30" i="9"/>
  <c r="H30" i="9"/>
  <c r="F30" i="9"/>
  <c r="E30" i="9"/>
  <c r="G29" i="9"/>
  <c r="G28" i="9"/>
  <c r="G26" i="9"/>
  <c r="G25" i="9"/>
  <c r="G24" i="9"/>
  <c r="G23" i="9"/>
  <c r="G22" i="9"/>
  <c r="G21" i="9"/>
  <c r="G20" i="9"/>
  <c r="G19" i="9"/>
  <c r="G18" i="9"/>
  <c r="G17" i="9"/>
  <c r="G16" i="9"/>
  <c r="G14" i="9"/>
  <c r="G13" i="9"/>
  <c r="G11" i="9"/>
  <c r="G10" i="9"/>
  <c r="G9" i="9"/>
  <c r="G8" i="9"/>
  <c r="G7" i="9"/>
  <c r="G6" i="9"/>
  <c r="G5" i="9"/>
  <c r="E47" i="8"/>
  <c r="I30" i="8"/>
  <c r="H30" i="8"/>
  <c r="F30" i="8"/>
  <c r="E30" i="8"/>
  <c r="D60" i="8" s="1"/>
  <c r="D64" i="8" s="1"/>
  <c r="G29" i="8"/>
  <c r="G28" i="8"/>
  <c r="G26" i="8"/>
  <c r="G25" i="8"/>
  <c r="G24" i="8"/>
  <c r="G23" i="8"/>
  <c r="G22" i="8"/>
  <c r="G21" i="8"/>
  <c r="G20" i="8"/>
  <c r="G19" i="8"/>
  <c r="G18" i="8"/>
  <c r="G17" i="8"/>
  <c r="G16" i="8"/>
  <c r="G14" i="8"/>
  <c r="G13" i="8"/>
  <c r="G12" i="8"/>
  <c r="G11" i="8"/>
  <c r="G10" i="8"/>
  <c r="G9" i="8"/>
  <c r="G8" i="8"/>
  <c r="G7" i="8"/>
  <c r="G6" i="8"/>
  <c r="G5" i="8"/>
  <c r="L34" i="7"/>
  <c r="L57" i="7"/>
  <c r="E47" i="7"/>
  <c r="K30" i="7"/>
  <c r="J30" i="7"/>
  <c r="I30" i="7"/>
  <c r="H30" i="7"/>
  <c r="F30" i="7"/>
  <c r="E30" i="7"/>
  <c r="G29" i="7"/>
  <c r="G28" i="7"/>
  <c r="L28" i="7" s="1"/>
  <c r="L27" i="7"/>
  <c r="G26" i="7"/>
  <c r="L26" i="7" s="1"/>
  <c r="G25" i="7"/>
  <c r="L25" i="7" s="1"/>
  <c r="G24" i="7"/>
  <c r="L24" i="7" s="1"/>
  <c r="G23" i="7"/>
  <c r="L23" i="7" s="1"/>
  <c r="G22" i="7"/>
  <c r="L22" i="7" s="1"/>
  <c r="G21" i="7"/>
  <c r="L21" i="7" s="1"/>
  <c r="G20" i="7"/>
  <c r="L20" i="7" s="1"/>
  <c r="G19" i="7"/>
  <c r="L19" i="7" s="1"/>
  <c r="G18" i="7"/>
  <c r="L18" i="7" s="1"/>
  <c r="G17" i="7"/>
  <c r="L17" i="7" s="1"/>
  <c r="G16" i="7"/>
  <c r="L16" i="7" s="1"/>
  <c r="L15" i="7"/>
  <c r="G14" i="7"/>
  <c r="L14" i="7" s="1"/>
  <c r="G13" i="7"/>
  <c r="L13" i="7" s="1"/>
  <c r="G12" i="7"/>
  <c r="L12" i="7" s="1"/>
  <c r="G11" i="7"/>
  <c r="L11" i="7" s="1"/>
  <c r="G10" i="7"/>
  <c r="L10" i="7" s="1"/>
  <c r="G9" i="7"/>
  <c r="L9" i="7" s="1"/>
  <c r="G8" i="7"/>
  <c r="L8" i="7" s="1"/>
  <c r="G7" i="7"/>
  <c r="L7" i="7" s="1"/>
  <c r="G6" i="7"/>
  <c r="L6" i="7" s="1"/>
  <c r="G5" i="7"/>
  <c r="M41" i="6"/>
  <c r="E48" i="6"/>
  <c r="K31" i="6"/>
  <c r="J31" i="6"/>
  <c r="I31" i="6"/>
  <c r="H31" i="6"/>
  <c r="F31" i="6"/>
  <c r="E31" i="6"/>
  <c r="D61" i="6" s="1"/>
  <c r="D64" i="6" s="1"/>
  <c r="G30" i="6"/>
  <c r="G29" i="6"/>
  <c r="L29" i="6" s="1"/>
  <c r="L28" i="6"/>
  <c r="G27" i="6"/>
  <c r="L27" i="6" s="1"/>
  <c r="G26" i="6"/>
  <c r="L26" i="6" s="1"/>
  <c r="G25" i="6"/>
  <c r="L25" i="6" s="1"/>
  <c r="G24" i="6"/>
  <c r="L24" i="6" s="1"/>
  <c r="G23" i="6"/>
  <c r="L23" i="6" s="1"/>
  <c r="G22" i="6"/>
  <c r="L22" i="6" s="1"/>
  <c r="G21" i="6"/>
  <c r="L21" i="6" s="1"/>
  <c r="G20" i="6"/>
  <c r="L20" i="6" s="1"/>
  <c r="G19" i="6"/>
  <c r="L19" i="6" s="1"/>
  <c r="G18" i="6"/>
  <c r="L18" i="6" s="1"/>
  <c r="G17" i="6"/>
  <c r="L17" i="6" s="1"/>
  <c r="L16" i="6"/>
  <c r="G15" i="6"/>
  <c r="L15" i="6" s="1"/>
  <c r="G14" i="6"/>
  <c r="L14" i="6" s="1"/>
  <c r="G13" i="6"/>
  <c r="L13" i="6" s="1"/>
  <c r="G12" i="6"/>
  <c r="L12" i="6" s="1"/>
  <c r="G11" i="6"/>
  <c r="L11" i="6" s="1"/>
  <c r="G10" i="6"/>
  <c r="L10" i="6" s="1"/>
  <c r="G9" i="6"/>
  <c r="L9" i="6" s="1"/>
  <c r="G8" i="6"/>
  <c r="L8" i="6" s="1"/>
  <c r="G7" i="6"/>
  <c r="L7" i="6" s="1"/>
  <c r="G6" i="6"/>
  <c r="G67" i="5"/>
  <c r="E48" i="5"/>
  <c r="K31" i="5"/>
  <c r="J31" i="5"/>
  <c r="I31" i="5"/>
  <c r="H31" i="5"/>
  <c r="F31" i="5"/>
  <c r="E31" i="5"/>
  <c r="G30" i="5"/>
  <c r="G29" i="5"/>
  <c r="L29" i="5" s="1"/>
  <c r="G28" i="5"/>
  <c r="L28" i="5" s="1"/>
  <c r="G27" i="5"/>
  <c r="L27" i="5" s="1"/>
  <c r="G26" i="5"/>
  <c r="L26" i="5" s="1"/>
  <c r="G25" i="5"/>
  <c r="L25" i="5" s="1"/>
  <c r="G24" i="5"/>
  <c r="L24" i="5" s="1"/>
  <c r="G23" i="5"/>
  <c r="L23" i="5" s="1"/>
  <c r="G22" i="5"/>
  <c r="L22" i="5" s="1"/>
  <c r="G21" i="5"/>
  <c r="L21" i="5" s="1"/>
  <c r="G20" i="5"/>
  <c r="L20" i="5" s="1"/>
  <c r="G19" i="5"/>
  <c r="L19" i="5" s="1"/>
  <c r="G18" i="5"/>
  <c r="L18" i="5" s="1"/>
  <c r="G17" i="5"/>
  <c r="L17" i="5" s="1"/>
  <c r="G16" i="5"/>
  <c r="L16" i="5" s="1"/>
  <c r="G15" i="5"/>
  <c r="L15" i="5" s="1"/>
  <c r="G14" i="5"/>
  <c r="L14" i="5" s="1"/>
  <c r="G13" i="5"/>
  <c r="L13" i="5" s="1"/>
  <c r="G12" i="5"/>
  <c r="L12" i="5" s="1"/>
  <c r="G11" i="5"/>
  <c r="L11" i="5" s="1"/>
  <c r="G10" i="5"/>
  <c r="L10" i="5" s="1"/>
  <c r="G9" i="5"/>
  <c r="L9" i="5" s="1"/>
  <c r="G8" i="5"/>
  <c r="L8" i="5" s="1"/>
  <c r="G7" i="5"/>
  <c r="L7" i="5" s="1"/>
  <c r="G6" i="5"/>
  <c r="D74" i="4"/>
  <c r="G64" i="4"/>
  <c r="E57" i="3"/>
  <c r="E47" i="4"/>
  <c r="K30" i="4"/>
  <c r="J30" i="4"/>
  <c r="I30" i="4"/>
  <c r="H30" i="4"/>
  <c r="F30" i="4"/>
  <c r="E30" i="4"/>
  <c r="G29" i="4"/>
  <c r="G28" i="4"/>
  <c r="L28" i="4" s="1"/>
  <c r="G27" i="4"/>
  <c r="L27" i="4" s="1"/>
  <c r="G26" i="4"/>
  <c r="L26" i="4" s="1"/>
  <c r="G25" i="4"/>
  <c r="L25" i="4" s="1"/>
  <c r="G24" i="4"/>
  <c r="L24" i="4" s="1"/>
  <c r="G23" i="4"/>
  <c r="L23" i="4" s="1"/>
  <c r="G22" i="4"/>
  <c r="L22" i="4" s="1"/>
  <c r="G21" i="4"/>
  <c r="L21" i="4" s="1"/>
  <c r="G20" i="4"/>
  <c r="L20" i="4" s="1"/>
  <c r="G19" i="4"/>
  <c r="L19" i="4" s="1"/>
  <c r="G18" i="4"/>
  <c r="L18" i="4" s="1"/>
  <c r="G17" i="4"/>
  <c r="L17" i="4" s="1"/>
  <c r="G16" i="4"/>
  <c r="L16" i="4" s="1"/>
  <c r="G15" i="4"/>
  <c r="L15" i="4" s="1"/>
  <c r="G14" i="4"/>
  <c r="L14" i="4" s="1"/>
  <c r="G13" i="4"/>
  <c r="L13" i="4" s="1"/>
  <c r="G12" i="4"/>
  <c r="L12" i="4" s="1"/>
  <c r="G11" i="4"/>
  <c r="L11" i="4" s="1"/>
  <c r="G10" i="4"/>
  <c r="L10" i="4" s="1"/>
  <c r="G9" i="4"/>
  <c r="L9" i="4" s="1"/>
  <c r="G8" i="4"/>
  <c r="L8" i="4" s="1"/>
  <c r="G7" i="4"/>
  <c r="L7" i="4" s="1"/>
  <c r="G6" i="4"/>
  <c r="L6" i="4" s="1"/>
  <c r="G5" i="4"/>
  <c r="E47" i="3"/>
  <c r="I30" i="3"/>
  <c r="H30" i="3"/>
  <c r="F30" i="3"/>
  <c r="E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31" i="2"/>
  <c r="H31" i="2"/>
  <c r="G30" i="2"/>
  <c r="G7" i="2"/>
  <c r="L7" i="2" s="1"/>
  <c r="G8" i="2"/>
  <c r="L8" i="2" s="1"/>
  <c r="G9" i="2"/>
  <c r="L9" i="2" s="1"/>
  <c r="G10" i="2"/>
  <c r="L10" i="2" s="1"/>
  <c r="G11" i="2"/>
  <c r="L11" i="2" s="1"/>
  <c r="G12" i="2"/>
  <c r="L12" i="2" s="1"/>
  <c r="G13" i="2"/>
  <c r="L13" i="2" s="1"/>
  <c r="G14" i="2"/>
  <c r="L14" i="2" s="1"/>
  <c r="G15" i="2"/>
  <c r="L15" i="2" s="1"/>
  <c r="G16" i="2"/>
  <c r="L16" i="2" s="1"/>
  <c r="G17" i="2"/>
  <c r="L17" i="2" s="1"/>
  <c r="G18" i="2"/>
  <c r="L18" i="2" s="1"/>
  <c r="G19" i="2"/>
  <c r="L19" i="2" s="1"/>
  <c r="G20" i="2"/>
  <c r="L20" i="2" s="1"/>
  <c r="G21" i="2"/>
  <c r="L21" i="2" s="1"/>
  <c r="G22" i="2"/>
  <c r="L22" i="2" s="1"/>
  <c r="G23" i="2"/>
  <c r="L23" i="2" s="1"/>
  <c r="G24" i="2"/>
  <c r="L24" i="2" s="1"/>
  <c r="G25" i="2"/>
  <c r="L25" i="2" s="1"/>
  <c r="G26" i="2"/>
  <c r="G27" i="2"/>
  <c r="L27" i="2" s="1"/>
  <c r="G28" i="2"/>
  <c r="L28" i="2" s="1"/>
  <c r="G29" i="2"/>
  <c r="L29" i="2" s="1"/>
  <c r="G6" i="2"/>
  <c r="L6" i="2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6" i="1"/>
  <c r="N6" i="1" s="1"/>
  <c r="K31" i="2"/>
  <c r="J31" i="2"/>
  <c r="I31" i="2"/>
  <c r="E31" i="2"/>
  <c r="D61" i="2" s="1"/>
  <c r="D63" i="2" s="1"/>
  <c r="D65" i="2" s="1"/>
  <c r="D70" i="2" s="1"/>
  <c r="D71" i="2" s="1"/>
  <c r="D31" i="2"/>
  <c r="M31" i="1"/>
  <c r="L31" i="1"/>
  <c r="K31" i="1"/>
  <c r="E34" i="1" s="1"/>
  <c r="J31" i="1"/>
  <c r="H31" i="1"/>
  <c r="G31" i="1"/>
  <c r="E33" i="1" s="1"/>
  <c r="E37" i="1" s="1"/>
  <c r="F31" i="1"/>
  <c r="E31" i="1"/>
  <c r="D31" i="1"/>
  <c r="C66" i="25" l="1"/>
  <c r="C72" i="25" s="1"/>
  <c r="D62" i="25"/>
  <c r="I72" i="24"/>
  <c r="G65" i="25" s="1"/>
  <c r="D60" i="7"/>
  <c r="D63" i="7" s="1"/>
  <c r="D60" i="3"/>
  <c r="G30" i="4"/>
  <c r="G31" i="6"/>
  <c r="I31" i="1"/>
  <c r="N31" i="1" s="1"/>
  <c r="D67" i="8"/>
  <c r="D69" i="8" s="1"/>
  <c r="D71" i="8" s="1"/>
  <c r="D66" i="6"/>
  <c r="D68" i="6" s="1"/>
  <c r="D70" i="6" s="1"/>
  <c r="D75" i="6" s="1"/>
  <c r="D77" i="6" s="1"/>
  <c r="G31" i="5"/>
  <c r="L6" i="6"/>
  <c r="L31" i="6" s="1"/>
  <c r="D61" i="5"/>
  <c r="D63" i="5" s="1"/>
  <c r="G30" i="8"/>
  <c r="G30" i="9"/>
  <c r="D58" i="9" s="1"/>
  <c r="D65" i="9" s="1"/>
  <c r="D66" i="9" s="1"/>
  <c r="G30" i="10"/>
  <c r="D58" i="10" s="1"/>
  <c r="D65" i="10" s="1"/>
  <c r="D66" i="10" s="1"/>
  <c r="G30" i="11"/>
  <c r="D60" i="11" s="1"/>
  <c r="G30" i="7"/>
  <c r="L5" i="7"/>
  <c r="L30" i="7" s="1"/>
  <c r="D60" i="4"/>
  <c r="D62" i="4" s="1"/>
  <c r="D64" i="4" s="1"/>
  <c r="L6" i="5"/>
  <c r="L31" i="5" s="1"/>
  <c r="L5" i="4"/>
  <c r="L30" i="4" s="1"/>
  <c r="D62" i="3"/>
  <c r="D64" i="3" s="1"/>
  <c r="D66" i="3" s="1"/>
  <c r="G30" i="3"/>
  <c r="G31" i="2"/>
  <c r="L26" i="2"/>
  <c r="L31" i="2"/>
  <c r="E39" i="1"/>
  <c r="E35" i="1"/>
  <c r="D65" i="7" l="1"/>
  <c r="D67" i="7" s="1"/>
  <c r="G66" i="25"/>
  <c r="G72" i="25" s="1"/>
  <c r="D62" i="9"/>
  <c r="D67" i="9" s="1"/>
  <c r="D65" i="5"/>
  <c r="D67" i="5"/>
  <c r="D69" i="7"/>
  <c r="D73" i="7" s="1"/>
  <c r="D75" i="7" s="1"/>
  <c r="D62" i="10"/>
  <c r="D67" i="10" s="1"/>
  <c r="D67" i="4"/>
  <c r="D70" i="4" s="1"/>
  <c r="D76" i="4" s="1"/>
  <c r="D67" i="3"/>
  <c r="D69" i="3" s="1"/>
  <c r="J33" i="1"/>
  <c r="I72" i="25" l="1"/>
  <c r="G65" i="26" s="1"/>
  <c r="G66" i="26" s="1"/>
  <c r="G72" i="26" s="1"/>
  <c r="I72" i="26" s="1"/>
  <c r="G65" i="27" s="1"/>
  <c r="G66" i="27" s="1"/>
  <c r="G72" i="27" s="1"/>
  <c r="I72" i="27" s="1"/>
  <c r="G65" i="28" s="1"/>
  <c r="D70" i="5"/>
  <c r="D73" i="5" s="1"/>
  <c r="D79" i="5" s="1"/>
  <c r="G67" i="28" l="1"/>
  <c r="G73" i="28" s="1"/>
  <c r="J35" i="13"/>
  <c r="D62" i="11"/>
  <c r="I73" i="28" l="1"/>
  <c r="G65" i="29" s="1"/>
  <c r="G66" i="29" s="1"/>
  <c r="G72" i="29" s="1"/>
  <c r="I72" i="29" s="1"/>
  <c r="G65" i="31" s="1"/>
  <c r="G66" i="31" s="1"/>
  <c r="G72" i="31" s="1"/>
  <c r="I72" i="31" s="1"/>
  <c r="G64" i="32" s="1"/>
  <c r="G65" i="32" s="1"/>
  <c r="G71" i="32" s="1"/>
  <c r="I71" i="32" s="1"/>
  <c r="G64" i="33" s="1"/>
  <c r="G65" i="33" s="1"/>
  <c r="G75" i="33" s="1"/>
  <c r="I75" i="33" s="1"/>
  <c r="G64" i="34" s="1"/>
  <c r="G65" i="34" s="1"/>
  <c r="G75" i="34" s="1"/>
  <c r="I75" i="34" s="1"/>
  <c r="D64" i="11"/>
  <c r="D65" i="11" s="1"/>
  <c r="D67" i="11" s="1"/>
  <c r="D72" i="25"/>
  <c r="E72" i="25" s="1"/>
  <c r="G65" i="35" l="1"/>
  <c r="G66" i="35" s="1"/>
  <c r="G76" i="35" s="1"/>
  <c r="I76" i="35" s="1"/>
  <c r="G65" i="36"/>
  <c r="G66" i="36" s="1"/>
  <c r="G76" i="36" s="1"/>
  <c r="I76" i="36" s="1"/>
  <c r="G65" i="37" s="1"/>
  <c r="G66" i="37" s="1"/>
  <c r="G76" i="37" s="1"/>
  <c r="I76" i="37" s="1"/>
  <c r="G65" i="38" s="1"/>
  <c r="G66" i="38" s="1"/>
  <c r="G73" i="38" s="1"/>
  <c r="I73" i="38" s="1"/>
  <c r="G65" i="39" s="1"/>
  <c r="G66" i="39" s="1"/>
  <c r="G73" i="39" s="1"/>
  <c r="I73" i="39" s="1"/>
  <c r="G64" i="40" s="1"/>
  <c r="G65" i="40" s="1"/>
  <c r="C65" i="26"/>
  <c r="C66" i="26" l="1"/>
  <c r="C72" i="26" s="1"/>
  <c r="D62" i="26"/>
  <c r="D72" i="26" s="1"/>
  <c r="G74" i="40"/>
  <c r="I74" i="40" s="1"/>
  <c r="G64" i="41" s="1"/>
  <c r="G74" i="41" l="1"/>
  <c r="I74" i="41" s="1"/>
  <c r="G64" i="42" s="1"/>
  <c r="G65" i="41"/>
  <c r="E72" i="26"/>
  <c r="C65" i="27" s="1"/>
  <c r="C66" i="27" s="1"/>
  <c r="C72" i="27" s="1"/>
  <c r="E72" i="27" s="1"/>
  <c r="C65" i="28" s="1"/>
  <c r="C67" i="28" l="1"/>
  <c r="C73" i="28" s="1"/>
  <c r="E73" i="28" s="1"/>
  <c r="C65" i="29" s="1"/>
  <c r="C66" i="29" s="1"/>
  <c r="C72" i="29" s="1"/>
  <c r="E72" i="29" s="1"/>
  <c r="C65" i="31" s="1"/>
  <c r="C66" i="31" s="1"/>
  <c r="C72" i="31" s="1"/>
  <c r="E72" i="31" s="1"/>
  <c r="G74" i="42"/>
  <c r="I74" i="42" s="1"/>
  <c r="G68" i="43" s="1"/>
  <c r="G65" i="42"/>
  <c r="G80" i="43" l="1"/>
  <c r="I80" i="43" s="1"/>
  <c r="G67" i="44" s="1"/>
  <c r="G69" i="43"/>
  <c r="C64" i="32"/>
  <c r="C65" i="32" s="1"/>
  <c r="C71" i="32" s="1"/>
  <c r="E71" i="32" s="1"/>
  <c r="C64" i="33" s="1"/>
  <c r="C65" i="33" s="1"/>
  <c r="C75" i="33" s="1"/>
  <c r="E75" i="33" s="1"/>
  <c r="C64" i="34" s="1"/>
  <c r="C65" i="34" s="1"/>
  <c r="C75" i="34" s="1"/>
  <c r="E75" i="34" s="1"/>
  <c r="C65" i="35" s="1"/>
  <c r="C66" i="35" s="1"/>
  <c r="C76" i="35" s="1"/>
  <c r="E76" i="35" s="1"/>
  <c r="G79" i="44" l="1"/>
  <c r="I79" i="44" s="1"/>
  <c r="G53" i="45" s="1"/>
  <c r="G68" i="44"/>
  <c r="C65" i="36"/>
  <c r="C66" i="36" s="1"/>
  <c r="C76" i="36" s="1"/>
  <c r="E76" i="36" s="1"/>
  <c r="C65" i="37" s="1"/>
  <c r="C66" i="37" s="1"/>
  <c r="C76" i="37" s="1"/>
  <c r="E76" i="37" s="1"/>
  <c r="C65" i="38" s="1"/>
  <c r="C66" i="38" s="1"/>
  <c r="C73" i="38" s="1"/>
  <c r="E73" i="38" s="1"/>
  <c r="G65" i="45" l="1"/>
  <c r="I65" i="45" s="1"/>
  <c r="G54" i="46" s="1"/>
  <c r="G54" i="45"/>
  <c r="C65" i="39"/>
  <c r="C66" i="39" s="1"/>
  <c r="C73" i="39" s="1"/>
  <c r="E73" i="39" s="1"/>
  <c r="G66" i="46" l="1"/>
  <c r="I66" i="46" s="1"/>
  <c r="G54" i="47" s="1"/>
  <c r="G66" i="47" s="1"/>
  <c r="G55" i="46"/>
  <c r="C64" i="40"/>
  <c r="O74" i="24"/>
  <c r="L69" i="24"/>
  <c r="C65" i="40" l="1"/>
  <c r="C74" i="40" s="1"/>
  <c r="E74" i="40" s="1"/>
  <c r="I66" i="47"/>
  <c r="G55" i="47"/>
  <c r="G53" i="48" l="1"/>
  <c r="G65" i="48" s="1"/>
  <c r="I65" i="48" s="1"/>
  <c r="C64" i="41"/>
  <c r="C74" i="41" s="1"/>
  <c r="C64" i="42"/>
  <c r="C74" i="42" s="1"/>
  <c r="E74" i="42" s="1"/>
  <c r="C68" i="43" s="1"/>
  <c r="C80" i="43" s="1"/>
  <c r="G54" i="48"/>
  <c r="C65" i="42"/>
  <c r="C65" i="41"/>
  <c r="G55" i="49" l="1"/>
  <c r="G67" i="49" s="1"/>
  <c r="I67" i="49" s="1"/>
  <c r="G56" i="49"/>
  <c r="E74" i="41"/>
  <c r="C69" i="43"/>
  <c r="E80" i="43"/>
  <c r="C67" i="44" s="1"/>
  <c r="C79" i="44" s="1"/>
  <c r="G51" i="50" l="1"/>
  <c r="G61" i="50" s="1"/>
  <c r="I61" i="50" s="1"/>
  <c r="C68" i="44"/>
  <c r="G52" i="50" l="1"/>
  <c r="G37" i="51"/>
  <c r="E79" i="44"/>
  <c r="C53" i="45" s="1"/>
  <c r="C65" i="45" s="1"/>
  <c r="G38" i="51" l="1"/>
  <c r="G48" i="51"/>
  <c r="I48" i="51" s="1"/>
  <c r="C54" i="45"/>
  <c r="E65" i="45"/>
  <c r="C54" i="46" s="1"/>
  <c r="C66" i="46" s="1"/>
  <c r="G37" i="53" l="1"/>
  <c r="G48" i="53" s="1"/>
  <c r="C55" i="46"/>
  <c r="G38" i="53" l="1"/>
  <c r="I48" i="53"/>
  <c r="E66" i="46"/>
  <c r="C54" i="47" s="1"/>
  <c r="C66" i="47" s="1"/>
  <c r="G37" i="55" l="1"/>
  <c r="G48" i="55" s="1"/>
  <c r="E66" i="47"/>
  <c r="C53" i="48" s="1"/>
  <c r="C55" i="47"/>
  <c r="I48" i="55" l="1"/>
  <c r="G38" i="57" s="1"/>
  <c r="G49" i="57" s="1"/>
  <c r="G38" i="55"/>
  <c r="C65" i="48"/>
  <c r="C54" i="48"/>
  <c r="G39" i="57" l="1"/>
  <c r="I49" i="57"/>
  <c r="E65" i="48"/>
  <c r="C55" i="49" s="1"/>
  <c r="G39" i="59" l="1"/>
  <c r="G50" i="59" s="1"/>
  <c r="C56" i="49"/>
  <c r="C67" i="49"/>
  <c r="E67" i="49" s="1"/>
  <c r="C51" i="50" s="1"/>
  <c r="C61" i="50" s="1"/>
  <c r="G40" i="59" l="1"/>
  <c r="G55" i="59" s="1"/>
  <c r="I50" i="59"/>
  <c r="F39" i="60" s="1"/>
  <c r="F50" i="60" s="1"/>
  <c r="E61" i="50"/>
  <c r="C52" i="50"/>
  <c r="C37" i="51" l="1"/>
  <c r="J62" i="50"/>
  <c r="H50" i="60"/>
  <c r="F39" i="61" s="1"/>
  <c r="F40" i="60"/>
  <c r="C38" i="51"/>
  <c r="C48" i="51"/>
  <c r="E48" i="51" s="1"/>
  <c r="O40" i="50"/>
  <c r="L47" i="51" s="1"/>
  <c r="S40" i="50"/>
  <c r="F50" i="61" l="1"/>
  <c r="H50" i="61" s="1"/>
  <c r="F39" i="62" s="1"/>
  <c r="F40" i="61"/>
  <c r="C37" i="53"/>
  <c r="C48" i="53" s="1"/>
  <c r="N35" i="51"/>
  <c r="P35" i="51" s="1"/>
  <c r="R35" i="51" s="1"/>
  <c r="N35" i="53" s="1"/>
  <c r="P47" i="51"/>
  <c r="P48" i="51" s="1"/>
  <c r="F45" i="52"/>
  <c r="N36" i="51"/>
  <c r="B45" i="52"/>
  <c r="L48" i="51"/>
  <c r="L53" i="51"/>
  <c r="N53" i="51" s="1"/>
  <c r="L47" i="53" s="1"/>
  <c r="F50" i="62" l="1"/>
  <c r="H50" i="62" s="1"/>
  <c r="F39" i="63" s="1"/>
  <c r="F40" i="62"/>
  <c r="P35" i="53"/>
  <c r="R35" i="53" s="1"/>
  <c r="L55" i="53"/>
  <c r="N55" i="53" s="1"/>
  <c r="L48" i="53"/>
  <c r="C47" i="54"/>
  <c r="C38" i="53"/>
  <c r="E48" i="53"/>
  <c r="C37" i="55" s="1"/>
  <c r="C48" i="55" s="1"/>
  <c r="E57" i="51"/>
  <c r="B46" i="52"/>
  <c r="B49" i="52"/>
  <c r="D49" i="52" s="1"/>
  <c r="P36" i="51"/>
  <c r="R36" i="51" s="1"/>
  <c r="N36" i="53" s="1"/>
  <c r="P36" i="53" s="1"/>
  <c r="R36" i="53" s="1"/>
  <c r="N39" i="51"/>
  <c r="F46" i="52"/>
  <c r="F49" i="52"/>
  <c r="H49" i="52" s="1"/>
  <c r="P53" i="51"/>
  <c r="R53" i="51" s="1"/>
  <c r="P47" i="53" s="1"/>
  <c r="F40" i="63" l="1"/>
  <c r="F50" i="63"/>
  <c r="H50" i="63" s="1"/>
  <c r="C38" i="55"/>
  <c r="P55" i="53"/>
  <c r="R55" i="53" s="1"/>
  <c r="G47" i="54"/>
  <c r="P48" i="53"/>
  <c r="N39" i="53"/>
  <c r="P39" i="53" s="1"/>
  <c r="R39" i="53" s="1"/>
  <c r="N36" i="55"/>
  <c r="P36" i="55" s="1"/>
  <c r="R36" i="55" s="1"/>
  <c r="N36" i="57" s="1"/>
  <c r="P36" i="57" s="1"/>
  <c r="R36" i="57" s="1"/>
  <c r="N37" i="59" s="1"/>
  <c r="C48" i="54"/>
  <c r="C51" i="54"/>
  <c r="E51" i="54" s="1"/>
  <c r="B47" i="56"/>
  <c r="L47" i="55"/>
  <c r="N35" i="55"/>
  <c r="E48" i="55"/>
  <c r="E59" i="53"/>
  <c r="F54" i="53"/>
  <c r="P39" i="51"/>
  <c r="R39" i="51" s="1"/>
  <c r="F39" i="64" l="1"/>
  <c r="P37" i="59"/>
  <c r="R37" i="59" s="1"/>
  <c r="M37" i="60" s="1"/>
  <c r="O37" i="60" s="1"/>
  <c r="Q37" i="60" s="1"/>
  <c r="M37" i="61" s="1"/>
  <c r="O37" i="61" s="1"/>
  <c r="Q37" i="61" s="1"/>
  <c r="M37" i="62" s="1"/>
  <c r="O37" i="62" s="1"/>
  <c r="Q37" i="62" s="1"/>
  <c r="M37" i="63" s="1"/>
  <c r="O37" i="63" s="1"/>
  <c r="Q37" i="63" s="1"/>
  <c r="M37" i="64" s="1"/>
  <c r="O37" i="64" s="1"/>
  <c r="Q37" i="64" s="1"/>
  <c r="M37" i="65" s="1"/>
  <c r="O37" i="65" s="1"/>
  <c r="Q37" i="65" s="1"/>
  <c r="M37" i="66" s="1"/>
  <c r="O37" i="66" s="1"/>
  <c r="Q37" i="66" s="1"/>
  <c r="M37" i="67" s="1"/>
  <c r="O37" i="67" s="1"/>
  <c r="Q37" i="67" s="1"/>
  <c r="P35" i="55"/>
  <c r="R35" i="55" s="1"/>
  <c r="N35" i="57" s="1"/>
  <c r="N40" i="57" s="1"/>
  <c r="N39" i="55"/>
  <c r="P39" i="55" s="1"/>
  <c r="R39" i="55" s="1"/>
  <c r="P39" i="57" s="1"/>
  <c r="R39" i="57" s="1"/>
  <c r="N40" i="59" s="1"/>
  <c r="L48" i="55"/>
  <c r="L53" i="55"/>
  <c r="N53" i="55" s="1"/>
  <c r="L48" i="57" s="1"/>
  <c r="L49" i="57" s="1"/>
  <c r="G48" i="54"/>
  <c r="G51" i="54"/>
  <c r="I51" i="54" s="1"/>
  <c r="P35" i="57"/>
  <c r="R35" i="57" s="1"/>
  <c r="P40" i="57"/>
  <c r="R40" i="57" s="1"/>
  <c r="S55" i="57" s="1"/>
  <c r="B48" i="56"/>
  <c r="B53" i="56"/>
  <c r="D53" i="56" s="1"/>
  <c r="F47" i="56"/>
  <c r="P47" i="55"/>
  <c r="P53" i="55" s="1"/>
  <c r="C38" i="57"/>
  <c r="C49" i="57" s="1"/>
  <c r="M37" i="68" l="1"/>
  <c r="O37" i="68" s="1"/>
  <c r="Q37" i="68" s="1"/>
  <c r="N37" i="69" s="1"/>
  <c r="F50" i="64"/>
  <c r="H50" i="64" s="1"/>
  <c r="F40" i="64"/>
  <c r="N36" i="59"/>
  <c r="P36" i="59" s="1"/>
  <c r="R36" i="59" s="1"/>
  <c r="M36" i="60" s="1"/>
  <c r="O36" i="60" s="1"/>
  <c r="Q36" i="60" s="1"/>
  <c r="M36" i="61" s="1"/>
  <c r="O36" i="61" s="1"/>
  <c r="Q36" i="61" s="1"/>
  <c r="M36" i="62" s="1"/>
  <c r="O36" i="62" s="1"/>
  <c r="Q36" i="62" s="1"/>
  <c r="M36" i="63" s="1"/>
  <c r="N35" i="59"/>
  <c r="P35" i="59" s="1"/>
  <c r="R35" i="59" s="1"/>
  <c r="M35" i="60" s="1"/>
  <c r="O35" i="60" s="1"/>
  <c r="Q35" i="60" s="1"/>
  <c r="M35" i="61" s="1"/>
  <c r="O35" i="61" s="1"/>
  <c r="Q35" i="61" s="1"/>
  <c r="P40" i="59"/>
  <c r="S50" i="57"/>
  <c r="L55" i="57"/>
  <c r="N55" i="57" s="1"/>
  <c r="R53" i="55"/>
  <c r="P48" i="57" s="1"/>
  <c r="P55" i="57" s="1"/>
  <c r="P48" i="55"/>
  <c r="F53" i="56"/>
  <c r="H53" i="56" s="1"/>
  <c r="F48" i="56"/>
  <c r="C39" i="57"/>
  <c r="P37" i="69" l="1"/>
  <c r="R37" i="69" s="1"/>
  <c r="N37" i="70" s="1"/>
  <c r="N41" i="59"/>
  <c r="P41" i="59" s="1"/>
  <c r="R41" i="59" s="1"/>
  <c r="F39" i="65"/>
  <c r="O36" i="63"/>
  <c r="Q36" i="63" s="1"/>
  <c r="M36" i="64" s="1"/>
  <c r="R40" i="59"/>
  <c r="M40" i="60" s="1"/>
  <c r="M55" i="59"/>
  <c r="P49" i="57"/>
  <c r="R55" i="57"/>
  <c r="P49" i="59" s="1"/>
  <c r="P55" i="59" s="1"/>
  <c r="L49" i="59"/>
  <c r="L55" i="59" s="1"/>
  <c r="E49" i="57"/>
  <c r="C39" i="59" s="1"/>
  <c r="P37" i="70" l="1"/>
  <c r="R37" i="70" s="1"/>
  <c r="N37" i="71" s="1"/>
  <c r="O36" i="64"/>
  <c r="Q36" i="64" s="1"/>
  <c r="M36" i="65" s="1"/>
  <c r="F50" i="65"/>
  <c r="H50" i="65" s="1"/>
  <c r="F39" i="66" s="1"/>
  <c r="F40" i="65"/>
  <c r="C50" i="59"/>
  <c r="C40" i="59"/>
  <c r="O40" i="60"/>
  <c r="Q40" i="60" s="1"/>
  <c r="M40" i="61" s="1"/>
  <c r="M41" i="60"/>
  <c r="N55" i="59"/>
  <c r="P50" i="59"/>
  <c r="R55" i="59"/>
  <c r="O49" i="60" s="1"/>
  <c r="O57" i="60" s="1"/>
  <c r="L50" i="59"/>
  <c r="E50" i="59"/>
  <c r="B39" i="60" s="1"/>
  <c r="D59" i="57"/>
  <c r="P37" i="71" l="1"/>
  <c r="R37" i="71" s="1"/>
  <c r="P37" i="72" s="1"/>
  <c r="R37" i="72" s="1"/>
  <c r="N37" i="73" s="1"/>
  <c r="F40" i="66"/>
  <c r="F50" i="66"/>
  <c r="H50" i="66" s="1"/>
  <c r="O36" i="65"/>
  <c r="B40" i="60"/>
  <c r="B50" i="60"/>
  <c r="O41" i="60"/>
  <c r="Q41" i="60" s="1"/>
  <c r="R48" i="60" s="1"/>
  <c r="O40" i="61"/>
  <c r="Q40" i="61" s="1"/>
  <c r="M40" i="62" s="1"/>
  <c r="M41" i="61"/>
  <c r="O41" i="61" s="1"/>
  <c r="Q41" i="61" s="1"/>
  <c r="O50" i="60"/>
  <c r="Q57" i="60"/>
  <c r="O49" i="61" s="1"/>
  <c r="D50" i="60"/>
  <c r="B39" i="61" s="1"/>
  <c r="K49" i="60"/>
  <c r="K57" i="60" s="1"/>
  <c r="G58" i="59"/>
  <c r="I59" i="59"/>
  <c r="P37" i="73" l="1"/>
  <c r="F39" i="67"/>
  <c r="O40" i="62"/>
  <c r="Q40" i="62" s="1"/>
  <c r="M40" i="63" s="1"/>
  <c r="M41" i="62"/>
  <c r="O41" i="62" s="1"/>
  <c r="Q41" i="62" s="1"/>
  <c r="K50" i="60"/>
  <c r="B40" i="61"/>
  <c r="B50" i="61"/>
  <c r="D50" i="61" s="1"/>
  <c r="B39" i="62" s="1"/>
  <c r="O50" i="61"/>
  <c r="O56" i="61"/>
  <c r="Q56" i="61" s="1"/>
  <c r="M57" i="60"/>
  <c r="F60" i="60" s="1"/>
  <c r="R37" i="73" l="1"/>
  <c r="N37" i="74" s="1"/>
  <c r="F40" i="67"/>
  <c r="F51" i="67"/>
  <c r="H51" i="67" s="1"/>
  <c r="F39" i="68" s="1"/>
  <c r="B40" i="62"/>
  <c r="B50" i="62"/>
  <c r="D50" i="62" s="1"/>
  <c r="B39" i="63" s="1"/>
  <c r="O40" i="63"/>
  <c r="Q40" i="63" s="1"/>
  <c r="M40" i="64" s="1"/>
  <c r="M41" i="63"/>
  <c r="O41" i="63" s="1"/>
  <c r="Q41" i="63" s="1"/>
  <c r="I62" i="61"/>
  <c r="O49" i="62"/>
  <c r="H66" i="61"/>
  <c r="K49" i="61"/>
  <c r="P37" i="74" l="1"/>
  <c r="N41" i="74"/>
  <c r="F40" i="68"/>
  <c r="F50" i="68"/>
  <c r="H50" i="68" s="1"/>
  <c r="G39" i="69" s="1"/>
  <c r="O40" i="64"/>
  <c r="Q40" i="64" s="1"/>
  <c r="M40" i="65" s="1"/>
  <c r="M41" i="64"/>
  <c r="O41" i="64" s="1"/>
  <c r="Q41" i="64" s="1"/>
  <c r="B50" i="63"/>
  <c r="D50" i="63" s="1"/>
  <c r="B39" i="64" s="1"/>
  <c r="B40" i="63"/>
  <c r="O50" i="62"/>
  <c r="O55" i="62"/>
  <c r="Q55" i="62" s="1"/>
  <c r="K56" i="61"/>
  <c r="M56" i="61" s="1"/>
  <c r="K50" i="61"/>
  <c r="R37" i="74" l="1"/>
  <c r="N37" i="75" s="1"/>
  <c r="P37" i="75" s="1"/>
  <c r="P41" i="74"/>
  <c r="R41" i="74" s="1"/>
  <c r="N41" i="75" s="1"/>
  <c r="G50" i="69"/>
  <c r="I50" i="69" s="1"/>
  <c r="G39" i="70" s="1"/>
  <c r="G40" i="69"/>
  <c r="O40" i="65"/>
  <c r="Q40" i="65" s="1"/>
  <c r="M40" i="66" s="1"/>
  <c r="M41" i="65"/>
  <c r="O41" i="65" s="1"/>
  <c r="Q41" i="65" s="1"/>
  <c r="B40" i="64"/>
  <c r="B50" i="64"/>
  <c r="D50" i="64" s="1"/>
  <c r="B39" i="65" s="1"/>
  <c r="H54" i="62"/>
  <c r="O49" i="63"/>
  <c r="K49" i="62"/>
  <c r="K50" i="62" s="1"/>
  <c r="R37" i="75" l="1"/>
  <c r="N37" i="76" s="1"/>
  <c r="P41" i="75"/>
  <c r="R41" i="75" s="1"/>
  <c r="G40" i="70"/>
  <c r="G50" i="70"/>
  <c r="I50" i="70" s="1"/>
  <c r="G39" i="71" s="1"/>
  <c r="M41" i="66"/>
  <c r="O41" i="66" s="1"/>
  <c r="Q41" i="66" s="1"/>
  <c r="M41" i="67" s="1"/>
  <c r="O41" i="67" s="1"/>
  <c r="O40" i="66"/>
  <c r="Q40" i="66" s="1"/>
  <c r="M40" i="67" s="1"/>
  <c r="O40" i="67" s="1"/>
  <c r="Q40" i="67" s="1"/>
  <c r="B40" i="65"/>
  <c r="B50" i="65"/>
  <c r="D50" i="65" s="1"/>
  <c r="K55" i="62"/>
  <c r="M55" i="62" s="1"/>
  <c r="K49" i="63" s="1"/>
  <c r="K50" i="63" s="1"/>
  <c r="O55" i="63"/>
  <c r="Q55" i="63" s="1"/>
  <c r="O50" i="63"/>
  <c r="K55" i="63"/>
  <c r="M55" i="63" s="1"/>
  <c r="K49" i="64" s="1"/>
  <c r="P37" i="76" l="1"/>
  <c r="N41" i="76"/>
  <c r="G40" i="71"/>
  <c r="G50" i="71"/>
  <c r="I50" i="71" s="1"/>
  <c r="M40" i="68"/>
  <c r="O40" i="68" s="1"/>
  <c r="Q40" i="68" s="1"/>
  <c r="N40" i="69" s="1"/>
  <c r="Q41" i="67"/>
  <c r="M41" i="68" s="1"/>
  <c r="O41" i="68" s="1"/>
  <c r="Q41" i="68" s="1"/>
  <c r="F54" i="65"/>
  <c r="B39" i="66"/>
  <c r="K50" i="64"/>
  <c r="K55" i="64"/>
  <c r="M55" i="64" s="1"/>
  <c r="K49" i="65" s="1"/>
  <c r="O49" i="64"/>
  <c r="F60" i="63"/>
  <c r="R37" i="76" l="1"/>
  <c r="N37" i="77" s="1"/>
  <c r="P41" i="76"/>
  <c r="R41" i="76" s="1"/>
  <c r="G39" i="72"/>
  <c r="P40" i="69"/>
  <c r="R40" i="69" s="1"/>
  <c r="N40" i="70" s="1"/>
  <c r="N41" i="69"/>
  <c r="P41" i="69" s="1"/>
  <c r="R41" i="69" s="1"/>
  <c r="B40" i="66"/>
  <c r="B50" i="66"/>
  <c r="D50" i="66" s="1"/>
  <c r="B39" i="67" s="1"/>
  <c r="K50" i="65"/>
  <c r="K55" i="65"/>
  <c r="M55" i="65" s="1"/>
  <c r="K49" i="66" s="1"/>
  <c r="K55" i="66" s="1"/>
  <c r="O55" i="64"/>
  <c r="Q55" i="64" s="1"/>
  <c r="O50" i="64"/>
  <c r="P37" i="77" l="1"/>
  <c r="N41" i="77"/>
  <c r="G40" i="72"/>
  <c r="G50" i="72"/>
  <c r="I50" i="72" s="1"/>
  <c r="P40" i="70"/>
  <c r="R40" i="70" s="1"/>
  <c r="N40" i="71" s="1"/>
  <c r="N41" i="70"/>
  <c r="P41" i="70" s="1"/>
  <c r="R41" i="70" s="1"/>
  <c r="B40" i="67"/>
  <c r="B51" i="67"/>
  <c r="D51" i="67" s="1"/>
  <c r="B39" i="68" s="1"/>
  <c r="K50" i="66"/>
  <c r="M55" i="66"/>
  <c r="K49" i="67" s="1"/>
  <c r="O49" i="65"/>
  <c r="H59" i="64"/>
  <c r="O61" i="64"/>
  <c r="P40" i="71" l="1"/>
  <c r="R40" i="71" s="1"/>
  <c r="N40" i="72" s="1"/>
  <c r="N41" i="71"/>
  <c r="P41" i="71" s="1"/>
  <c r="R41" i="71" s="1"/>
  <c r="R37" i="77"/>
  <c r="P41" i="77"/>
  <c r="R41" i="77" s="1"/>
  <c r="J59" i="72"/>
  <c r="J63" i="72"/>
  <c r="G39" i="73"/>
  <c r="B40" i="68"/>
  <c r="B50" i="68"/>
  <c r="D50" i="68" s="1"/>
  <c r="B39" i="69" s="1"/>
  <c r="K50" i="67"/>
  <c r="K55" i="67"/>
  <c r="M55" i="67" s="1"/>
  <c r="O50" i="65"/>
  <c r="O55" i="65"/>
  <c r="Q55" i="65" s="1"/>
  <c r="I61" i="65" s="1"/>
  <c r="P40" i="72" l="1"/>
  <c r="R40" i="72" s="1"/>
  <c r="N40" i="73" s="1"/>
  <c r="N41" i="72"/>
  <c r="P41" i="72" s="1"/>
  <c r="R41" i="72" s="1"/>
  <c r="G50" i="73"/>
  <c r="I50" i="73" s="1"/>
  <c r="G39" i="74" s="1"/>
  <c r="G40" i="73"/>
  <c r="K49" i="68"/>
  <c r="K55" i="68" s="1"/>
  <c r="M55" i="68" s="1"/>
  <c r="L49" i="69" s="1"/>
  <c r="B40" i="69"/>
  <c r="B50" i="69"/>
  <c r="E50" i="69" s="1"/>
  <c r="B39" i="70" s="1"/>
  <c r="O49" i="66"/>
  <c r="O55" i="66" s="1"/>
  <c r="K50" i="68" l="1"/>
  <c r="P40" i="73"/>
  <c r="N41" i="73"/>
  <c r="G40" i="74"/>
  <c r="G50" i="74"/>
  <c r="I50" i="74" s="1"/>
  <c r="G39" i="75" s="1"/>
  <c r="B40" i="70"/>
  <c r="B50" i="70"/>
  <c r="E50" i="70" s="1"/>
  <c r="B39" i="71" s="1"/>
  <c r="L50" i="69"/>
  <c r="L55" i="69"/>
  <c r="N55" i="69" s="1"/>
  <c r="L49" i="70" s="1"/>
  <c r="O50" i="66"/>
  <c r="Q55" i="66"/>
  <c r="G58" i="66" s="1"/>
  <c r="R40" i="73" l="1"/>
  <c r="P41" i="73"/>
  <c r="R41" i="73" s="1"/>
  <c r="G50" i="75"/>
  <c r="I50" i="75" s="1"/>
  <c r="G39" i="76" s="1"/>
  <c r="G40" i="75"/>
  <c r="B40" i="71"/>
  <c r="B50" i="71"/>
  <c r="E50" i="71" s="1"/>
  <c r="B39" i="72" s="1"/>
  <c r="L50" i="70"/>
  <c r="L55" i="70"/>
  <c r="N55" i="70" s="1"/>
  <c r="L49" i="71" s="1"/>
  <c r="O49" i="67"/>
  <c r="O55" i="67" s="1"/>
  <c r="G50" i="76" l="1"/>
  <c r="I50" i="76" s="1"/>
  <c r="G39" i="77" s="1"/>
  <c r="G40" i="76"/>
  <c r="L50" i="71"/>
  <c r="L58" i="71"/>
  <c r="N58" i="71" s="1"/>
  <c r="L49" i="72" s="1"/>
  <c r="B40" i="72"/>
  <c r="B50" i="72"/>
  <c r="E50" i="72" s="1"/>
  <c r="B39" i="73" s="1"/>
  <c r="O50" i="67"/>
  <c r="Q55" i="67"/>
  <c r="G50" i="77" l="1"/>
  <c r="I50" i="77" s="1"/>
  <c r="G39" i="78" s="1"/>
  <c r="G40" i="77"/>
  <c r="L50" i="72"/>
  <c r="L55" i="72"/>
  <c r="N55" i="72" s="1"/>
  <c r="L49" i="73" s="1"/>
  <c r="B40" i="73"/>
  <c r="B50" i="73"/>
  <c r="E50" i="73" s="1"/>
  <c r="B39" i="74" s="1"/>
  <c r="O49" i="68"/>
  <c r="H58" i="67"/>
  <c r="O50" i="68"/>
  <c r="G41" i="78" l="1"/>
  <c r="G51" i="78"/>
  <c r="I51" i="78" s="1"/>
  <c r="B40" i="74"/>
  <c r="B50" i="74"/>
  <c r="E50" i="74" s="1"/>
  <c r="B39" i="75" s="1"/>
  <c r="L55" i="73"/>
  <c r="N55" i="73" s="1"/>
  <c r="L49" i="74" s="1"/>
  <c r="L50" i="73"/>
  <c r="O55" i="68"/>
  <c r="Q55" i="68" s="1"/>
  <c r="G39" i="79" l="1"/>
  <c r="B50" i="75"/>
  <c r="E50" i="75" s="1"/>
  <c r="B39" i="76" s="1"/>
  <c r="B40" i="75"/>
  <c r="L50" i="74"/>
  <c r="L55" i="74"/>
  <c r="N55" i="74" s="1"/>
  <c r="L49" i="75" s="1"/>
  <c r="G57" i="68"/>
  <c r="P49" i="69"/>
  <c r="G41" i="79" l="1"/>
  <c r="G51" i="79"/>
  <c r="I51" i="79" s="1"/>
  <c r="B40" i="76"/>
  <c r="B50" i="76"/>
  <c r="E50" i="76" s="1"/>
  <c r="B39" i="77" s="1"/>
  <c r="L50" i="75"/>
  <c r="L55" i="75"/>
  <c r="N55" i="75" s="1"/>
  <c r="L49" i="76" s="1"/>
  <c r="P50" i="69"/>
  <c r="P55" i="69"/>
  <c r="R55" i="69" s="1"/>
  <c r="H57" i="69" s="1"/>
  <c r="G39" i="80" l="1"/>
  <c r="G41" i="80" s="1"/>
  <c r="G51" i="80"/>
  <c r="I51" i="80" s="1"/>
  <c r="G39" i="81" s="1"/>
  <c r="B40" i="77"/>
  <c r="B50" i="77"/>
  <c r="E50" i="77" s="1"/>
  <c r="B39" i="78" s="1"/>
  <c r="L50" i="76"/>
  <c r="L55" i="76"/>
  <c r="N55" i="76" s="1"/>
  <c r="L49" i="77" s="1"/>
  <c r="P49" i="70"/>
  <c r="G41" i="81" l="1"/>
  <c r="G51" i="81"/>
  <c r="I51" i="81" s="1"/>
  <c r="L50" i="77"/>
  <c r="L55" i="77"/>
  <c r="N55" i="77" s="1"/>
  <c r="L50" i="78" s="1"/>
  <c r="B51" i="78"/>
  <c r="E51" i="78" s="1"/>
  <c r="B39" i="79" s="1"/>
  <c r="B41" i="78"/>
  <c r="P50" i="70"/>
  <c r="P55" i="70"/>
  <c r="R55" i="70" s="1"/>
  <c r="L51" i="78" l="1"/>
  <c r="L56" i="78"/>
  <c r="N56" i="78" s="1"/>
  <c r="L50" i="79" s="1"/>
  <c r="B41" i="79"/>
  <c r="B51" i="79"/>
  <c r="E51" i="79" s="1"/>
  <c r="B39" i="80" s="1"/>
  <c r="H57" i="70"/>
  <c r="P49" i="71"/>
  <c r="B41" i="80" l="1"/>
  <c r="B51" i="80"/>
  <c r="E51" i="80" s="1"/>
  <c r="B39" i="81" s="1"/>
  <c r="L56" i="79"/>
  <c r="N56" i="79" s="1"/>
  <c r="L50" i="80" s="1"/>
  <c r="L51" i="79"/>
  <c r="P50" i="71"/>
  <c r="P58" i="71"/>
  <c r="R58" i="71" s="1"/>
  <c r="B41" i="81" l="1"/>
  <c r="B51" i="81"/>
  <c r="E51" i="81" s="1"/>
  <c r="L51" i="80"/>
  <c r="L56" i="80"/>
  <c r="N56" i="80" s="1"/>
  <c r="L50" i="81" s="1"/>
  <c r="P49" i="72"/>
  <c r="H60" i="71"/>
  <c r="L51" i="81" l="1"/>
  <c r="L56" i="81"/>
  <c r="N56" i="81" s="1"/>
  <c r="P55" i="72"/>
  <c r="R55" i="72" s="1"/>
  <c r="H57" i="72" s="1"/>
  <c r="P50" i="72"/>
  <c r="P49" i="73" l="1"/>
  <c r="P55" i="73" l="1"/>
  <c r="R55" i="73" s="1"/>
  <c r="P50" i="73"/>
  <c r="P49" i="74" l="1"/>
  <c r="H57" i="73"/>
  <c r="P50" i="74" l="1"/>
  <c r="P55" i="74"/>
  <c r="R55" i="74" s="1"/>
  <c r="I58" i="74" l="1"/>
  <c r="P49" i="75"/>
  <c r="P55" i="75" l="1"/>
  <c r="R55" i="75" s="1"/>
  <c r="P50" i="75"/>
  <c r="I58" i="75" l="1"/>
  <c r="I60" i="75" s="1"/>
  <c r="P49" i="76"/>
  <c r="P50" i="76" l="1"/>
  <c r="P55" i="76"/>
  <c r="R55" i="76" s="1"/>
  <c r="I64" i="76" l="1"/>
  <c r="P49" i="77"/>
  <c r="P55" i="77" l="1"/>
  <c r="R55" i="77" s="1"/>
  <c r="P50" i="77"/>
  <c r="P50" i="78" l="1"/>
  <c r="I64" i="77"/>
  <c r="P51" i="78" l="1"/>
  <c r="P56" i="78"/>
  <c r="R56" i="78" s="1"/>
  <c r="P50" i="79" s="1"/>
  <c r="P51" i="79" l="1"/>
  <c r="P56" i="79"/>
  <c r="R56" i="79" s="1"/>
  <c r="N63" i="79" s="1"/>
  <c r="I61" i="78"/>
  <c r="P50" i="80" l="1"/>
  <c r="P51" i="80" s="1"/>
  <c r="P56" i="80"/>
  <c r="R56" i="80" s="1"/>
  <c r="I62" i="80" s="1"/>
  <c r="P50" i="81" l="1"/>
  <c r="P51" i="81" s="1"/>
  <c r="P56" i="81" l="1"/>
  <c r="R56" i="81" s="1"/>
  <c r="D30" i="7" l="1"/>
  <c r="L46" i="7"/>
  <c r="D67" i="12"/>
  <c r="D62" i="12"/>
  <c r="D30" i="8"/>
  <c r="F44" i="12"/>
  <c r="D60" i="12"/>
  <c r="D64" i="12"/>
  <c r="D65" i="12"/>
  <c r="E44" i="11"/>
  <c r="E44" i="12"/>
  <c r="D43" i="38"/>
</calcChain>
</file>

<file path=xl/sharedStrings.xml><?xml version="1.0" encoding="utf-8"?>
<sst xmlns="http://schemas.openxmlformats.org/spreadsheetml/2006/main" count="11102" uniqueCount="708">
  <si>
    <r>
      <t xml:space="preserve">              </t>
    </r>
    <r>
      <rPr>
        <b/>
        <sz val="36"/>
        <color theme="5" tint="-0.499984740745262"/>
        <rFont val="Times New Roman"/>
        <family val="1"/>
      </rPr>
      <t>A</t>
    </r>
    <r>
      <rPr>
        <b/>
        <sz val="26"/>
        <color rgb="FF1A8600"/>
        <rFont val="Times New Roman"/>
        <family val="1"/>
      </rPr>
      <t>SSET FLOW LTD</t>
    </r>
  </si>
  <si>
    <t>RENT ACCOUNT FOR PETER P. MWAE  -  TUSKYS</t>
  </si>
  <si>
    <t>CASH STATEMENT FOR THE MONTH OF JUNE 2014</t>
  </si>
  <si>
    <t>NO</t>
  </si>
  <si>
    <t>NAME</t>
  </si>
  <si>
    <t>NO.</t>
  </si>
  <si>
    <t>DEP. DUE</t>
  </si>
  <si>
    <t>DEP. PAID</t>
  </si>
  <si>
    <t>BAL B/F</t>
  </si>
  <si>
    <t>RENT</t>
  </si>
  <si>
    <t>GARBAGE</t>
  </si>
  <si>
    <t>DUE BILL</t>
  </si>
  <si>
    <t>PAID</t>
  </si>
  <si>
    <t>SER</t>
  </si>
  <si>
    <t>S.  C/F</t>
  </si>
  <si>
    <t>RENT C/F</t>
  </si>
  <si>
    <t>TOTAL C/F</t>
  </si>
  <si>
    <t>Ibrahim M. Mwatati</t>
  </si>
  <si>
    <t>M1</t>
  </si>
  <si>
    <t>Victor Owiro</t>
  </si>
  <si>
    <t>M2</t>
  </si>
  <si>
    <t>Juliet Wanjiru Muturi</t>
  </si>
  <si>
    <t>M3</t>
  </si>
  <si>
    <t>Kali David Ruba</t>
  </si>
  <si>
    <t>M4</t>
  </si>
  <si>
    <t>Dan Mwendwa</t>
  </si>
  <si>
    <t>M5</t>
  </si>
  <si>
    <t>Shem Msala</t>
  </si>
  <si>
    <t>M6</t>
  </si>
  <si>
    <t>Jane Wanjiku Njenga</t>
  </si>
  <si>
    <t>N1</t>
  </si>
  <si>
    <t>John Njoroge</t>
  </si>
  <si>
    <t>N2</t>
  </si>
  <si>
    <t>Erick Migosi</t>
  </si>
  <si>
    <t>N3</t>
  </si>
  <si>
    <t>Teresiah Wangui</t>
  </si>
  <si>
    <t>N4</t>
  </si>
  <si>
    <t>Phyllis Muthoni</t>
  </si>
  <si>
    <t>N5</t>
  </si>
  <si>
    <t>Hesbon Kariuki</t>
  </si>
  <si>
    <t>N6</t>
  </si>
  <si>
    <t>Dorcas Muya</t>
  </si>
  <si>
    <t>N7</t>
  </si>
  <si>
    <t>Jackson Maina</t>
  </si>
  <si>
    <t>N8</t>
  </si>
  <si>
    <t>Irene Kinyua</t>
  </si>
  <si>
    <t>N9</t>
  </si>
  <si>
    <t>Millicent Wanja</t>
  </si>
  <si>
    <t>N10</t>
  </si>
  <si>
    <t>Lucy Nduta</t>
  </si>
  <si>
    <t>C1</t>
  </si>
  <si>
    <t>Patrick Gichuhi</t>
  </si>
  <si>
    <t>C2</t>
  </si>
  <si>
    <t>Geoffrey Kamau</t>
  </si>
  <si>
    <t>C3</t>
  </si>
  <si>
    <t>Hellen Njoki</t>
  </si>
  <si>
    <t>C4</t>
  </si>
  <si>
    <t>Evans Ngugi</t>
  </si>
  <si>
    <t>C5</t>
  </si>
  <si>
    <t>Morrice Otieno</t>
  </si>
  <si>
    <t>C6</t>
  </si>
  <si>
    <t>Musee Maundu</t>
  </si>
  <si>
    <t>C7</t>
  </si>
  <si>
    <t>John Kibe Njenga</t>
  </si>
  <si>
    <t>C8</t>
  </si>
  <si>
    <t>TOTALS</t>
  </si>
  <si>
    <t>REMITTANCE ADVICE</t>
  </si>
  <si>
    <t xml:space="preserve"> RENT PAYABLE</t>
  </si>
  <si>
    <t>LOYALTY PAYABLE</t>
  </si>
  <si>
    <t>GROSS</t>
  </si>
  <si>
    <t>DEDUCTIONS:</t>
  </si>
  <si>
    <t>PREPARED BY</t>
  </si>
  <si>
    <t>APPROVED BY</t>
  </si>
  <si>
    <t>RECEIVED BY</t>
  </si>
  <si>
    <t>George Mukiri</t>
  </si>
  <si>
    <t>L. Mwangi</t>
  </si>
  <si>
    <t>PETER MWAE</t>
  </si>
  <si>
    <t>TOTAL DEDUCTIONS</t>
  </si>
  <si>
    <t>DATE…………………………</t>
  </si>
  <si>
    <t>……………………………………….</t>
  </si>
  <si>
    <t>…………………………………</t>
  </si>
  <si>
    <t>DEPOSIT REFUND</t>
  </si>
  <si>
    <t>10% AGENCY FEE</t>
  </si>
  <si>
    <t xml:space="preserve">Ibrahim Mzame </t>
  </si>
  <si>
    <t>Victor Onyango</t>
  </si>
  <si>
    <t>Juliet W. Muturi</t>
  </si>
  <si>
    <t>Alfred Mutua</t>
  </si>
  <si>
    <t>Eric Migosi</t>
  </si>
  <si>
    <t>Phillis Muthoni</t>
  </si>
  <si>
    <t>Hezbon Kariuki</t>
  </si>
  <si>
    <t>Lucy Nduta Ngojo</t>
  </si>
  <si>
    <t>Geoffrey  Thion'go</t>
  </si>
  <si>
    <t>Patrick Gichohi</t>
  </si>
  <si>
    <t>Morris Otieno</t>
  </si>
  <si>
    <t>Jane Njenga</t>
  </si>
  <si>
    <t>William Mwaura</t>
  </si>
  <si>
    <t>CASH STATEMENT FOR THE MONTH OF FEB 2014</t>
  </si>
  <si>
    <t>BAL B/F/DEP</t>
  </si>
  <si>
    <t>MARY CHEGE</t>
  </si>
  <si>
    <t>DANIEL SOLITEI</t>
  </si>
  <si>
    <t>SAMUEL NGUITHI</t>
  </si>
  <si>
    <t>Ann Wairimu</t>
  </si>
  <si>
    <t>AGENCY FEE</t>
  </si>
  <si>
    <t>RENT PAYMENT SUMMARY FOR MARCH 2015</t>
  </si>
  <si>
    <t>DEP. BAL</t>
  </si>
  <si>
    <t>RENT  CF</t>
  </si>
  <si>
    <t>K1</t>
  </si>
  <si>
    <t>VACANT</t>
  </si>
  <si>
    <t>K2</t>
  </si>
  <si>
    <t>LANDLORD</t>
  </si>
  <si>
    <t>K3</t>
  </si>
  <si>
    <t>AGOLA MUGA</t>
  </si>
  <si>
    <t>K4</t>
  </si>
  <si>
    <t>CLAIRE ASHERA</t>
  </si>
  <si>
    <t>K5</t>
  </si>
  <si>
    <t>PETER ONYANGO</t>
  </si>
  <si>
    <t>K6</t>
  </si>
  <si>
    <t>JEFF MWANGI</t>
  </si>
  <si>
    <t>DEP</t>
  </si>
  <si>
    <t>K7</t>
  </si>
  <si>
    <t>ANN LUGARIA</t>
  </si>
  <si>
    <t>K8</t>
  </si>
  <si>
    <t>NAOMI WAITHERA</t>
  </si>
  <si>
    <t>K9</t>
  </si>
  <si>
    <t>PETER KINTALEL</t>
  </si>
  <si>
    <t>K10</t>
  </si>
  <si>
    <t>RACHEL LUKOYE</t>
  </si>
  <si>
    <t>PETER NYIHA</t>
  </si>
  <si>
    <t>DENNIS NG'ANG'A</t>
  </si>
  <si>
    <t>GEORGE NGUNGU</t>
  </si>
  <si>
    <t>ELIZABETH</t>
  </si>
  <si>
    <t>DATE</t>
  </si>
  <si>
    <t>…………………………</t>
  </si>
  <si>
    <t>………………………</t>
  </si>
  <si>
    <t xml:space="preserve">GRACE   </t>
  </si>
  <si>
    <t>GRACE</t>
  </si>
  <si>
    <t>PAYMENT</t>
  </si>
  <si>
    <t>BALANCE</t>
  </si>
  <si>
    <t>JOHN NJOROGE</t>
  </si>
  <si>
    <t>PAULINE</t>
  </si>
  <si>
    <t>siting for deposit</t>
  </si>
  <si>
    <t>BOARD</t>
  </si>
  <si>
    <t>TOTAL ROYOTIES</t>
  </si>
  <si>
    <t>NOTICE BOARD</t>
  </si>
  <si>
    <t>CASH STATEMENT FOR THE MONTH OF JULY2014</t>
  </si>
  <si>
    <t xml:space="preserve">VACANT </t>
  </si>
  <si>
    <t>CASH STATEMENT FOR THE MONTH OF MAY 2014</t>
  </si>
  <si>
    <t>CASH STATEMENT FOR THE MONTH OF JUNE  2014</t>
  </si>
  <si>
    <t>CASH STATEMENT FOR THE MONTH OF APRIL 2014</t>
  </si>
  <si>
    <t>OCCUPIED</t>
  </si>
  <si>
    <t>DEPOSITE</t>
  </si>
  <si>
    <t>DEPOSITE REFUND</t>
  </si>
  <si>
    <t>MAY  BALANCE</t>
  </si>
  <si>
    <t>JUNE BALANCE</t>
  </si>
  <si>
    <t>PAYMENT  ON 3 AUGUST</t>
  </si>
  <si>
    <t>DEPO</t>
  </si>
  <si>
    <t>JULY BALANCE</t>
  </si>
  <si>
    <t>PAYMENT  ON 1 SEP 2015</t>
  </si>
  <si>
    <t xml:space="preserve">   </t>
  </si>
  <si>
    <t xml:space="preserve">             </t>
  </si>
  <si>
    <t>CASH STATEMENT FOR THE MONTH OF  AUGUST 2014</t>
  </si>
  <si>
    <t>.</t>
  </si>
  <si>
    <t>BCF</t>
  </si>
  <si>
    <t>PAYMENT ON 28/9/2015</t>
  </si>
  <si>
    <t>LW MWANGI</t>
  </si>
  <si>
    <t>……………………</t>
  </si>
  <si>
    <t>DEPOSIT  REFUND</t>
  </si>
  <si>
    <t>PURITY SEEMA</t>
  </si>
  <si>
    <t>MARY KIENDE</t>
  </si>
  <si>
    <t>TOTAL DEDUCTION</t>
  </si>
  <si>
    <t>VICTOR ONYANGO</t>
  </si>
  <si>
    <t>UNPAID BALANCE</t>
  </si>
  <si>
    <t>CASH STATEMENT FOR THE MONTH OF  OCT 2015</t>
  </si>
  <si>
    <t>CASH STATEMENT FOR THE MONTH OF  NOV 2015</t>
  </si>
  <si>
    <t>CASH STATEMENT FOR THE MONTH OF  DEC 2015</t>
  </si>
  <si>
    <t>PAYMENT ON 7/1/2015</t>
  </si>
  <si>
    <t>PAYMENT ON 4 OCT 2015</t>
  </si>
  <si>
    <t>PAYMENT ON 4 NOV 2016</t>
  </si>
  <si>
    <t>JOSEPH MAUNA</t>
  </si>
  <si>
    <t>JACIL OMONDI</t>
  </si>
  <si>
    <t>SAMMY</t>
  </si>
  <si>
    <t>EDWIN MALOBO</t>
  </si>
  <si>
    <t>PAULINE NJOKI</t>
  </si>
  <si>
    <t>ROSE</t>
  </si>
  <si>
    <t>JAMES CHARO</t>
  </si>
  <si>
    <t>SAMUEL</t>
  </si>
  <si>
    <t>JACOB</t>
  </si>
  <si>
    <t>RODHA MAUNDU</t>
  </si>
  <si>
    <t>NEW</t>
  </si>
  <si>
    <t>DEP  REFUND  PETER  NYIHA</t>
  </si>
  <si>
    <t>CASH STATEMENT FOR THE MONTH OF FEB 2016</t>
  </si>
  <si>
    <t>VICTOR  ONYANGO</t>
  </si>
  <si>
    <t>)</t>
  </si>
  <si>
    <t>TOTAL</t>
  </si>
  <si>
    <t>DEDUCTION</t>
  </si>
  <si>
    <t xml:space="preserve">COMMISION </t>
  </si>
  <si>
    <t>on deposit</t>
  </si>
  <si>
    <t>john mukuru</t>
  </si>
  <si>
    <t>A</t>
  </si>
  <si>
    <t>NET</t>
  </si>
  <si>
    <t>CASH STATEMENT FOR THE MONTH OF APRIL 2016</t>
  </si>
  <si>
    <t>B</t>
  </si>
  <si>
    <t>A-B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</si>
  <si>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</si>
  <si>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DETAILS </t>
  </si>
  <si>
    <t xml:space="preserve">CR </t>
  </si>
  <si>
    <t>MAY  REMITANCE</t>
  </si>
  <si>
    <t>DR</t>
  </si>
  <si>
    <t>BL</t>
  </si>
  <si>
    <t xml:space="preserve">COMMISION  </t>
  </si>
  <si>
    <t>BOARDS</t>
  </si>
  <si>
    <t>DDUCTON</t>
  </si>
  <si>
    <t xml:space="preserve">PAID </t>
  </si>
  <si>
    <t>CASH STATEMENT FOR THE MONTH OF MARCH 2016</t>
  </si>
  <si>
    <t>MUKURU</t>
  </si>
  <si>
    <t xml:space="preserve">  </t>
  </si>
  <si>
    <t>ESTHER MWANGI</t>
  </si>
  <si>
    <t>EUNICE</t>
  </si>
  <si>
    <t>ROSYLINE  MWANGI</t>
  </si>
  <si>
    <t>JOSEPH MAINA</t>
  </si>
  <si>
    <t>PAUL KINORU</t>
  </si>
  <si>
    <t>JACK OMONDI</t>
  </si>
  <si>
    <t>JACKSON KIBURI</t>
  </si>
  <si>
    <t>ELIUD  MBIGUA</t>
  </si>
  <si>
    <t>FAITH KANINI</t>
  </si>
  <si>
    <t>BEATRICE  EGESA</t>
  </si>
  <si>
    <t>NAOMI MUTHONI</t>
  </si>
  <si>
    <t>FELIX  WAMBUI</t>
  </si>
  <si>
    <t>PARTRICK  GICHOHI</t>
  </si>
  <si>
    <t>SIMON GATHOGO</t>
  </si>
  <si>
    <t>TUTUS  KIMATHI</t>
  </si>
  <si>
    <t>JACLINE  NDUNGE</t>
  </si>
  <si>
    <t>GABBAGE</t>
  </si>
  <si>
    <t>CASH STATEMENT FOR THE MONTH OF JAN 2017</t>
  </si>
  <si>
    <t>CASH STATEMENT FOR THE MONTH OF FEB 2017</t>
  </si>
  <si>
    <t>CASH STATEMENT FOR THE MONTH OF MARCH 2017</t>
  </si>
  <si>
    <t>CASH STATEMENT FOR THE MONTH OF APRIL 2017</t>
  </si>
  <si>
    <t>IRENE  KARIMI</t>
  </si>
  <si>
    <t>CHEF  FEE</t>
  </si>
  <si>
    <t>BF</t>
  </si>
  <si>
    <t xml:space="preserve">ELECTRICITY </t>
  </si>
  <si>
    <t>JACKLINE</t>
  </si>
  <si>
    <t>PAIMENT</t>
  </si>
  <si>
    <t>EVANS</t>
  </si>
  <si>
    <t>DAVID</t>
  </si>
  <si>
    <t>\</t>
  </si>
  <si>
    <t>KWALE</t>
  </si>
  <si>
    <t>MAWE</t>
  </si>
  <si>
    <t>DOUGLAS ARISI</t>
  </si>
  <si>
    <t>DALVIC MWANIKI</t>
  </si>
  <si>
    <t>LILLIAN KAKENA</t>
  </si>
  <si>
    <t>CASH STATEMENT FOR THE MONTH OF MAY 2017</t>
  </si>
  <si>
    <t>ELIUD  MBUGUA</t>
  </si>
  <si>
    <t>PAYMENT ON 6/6/2017</t>
  </si>
  <si>
    <t>JOSPHINE KHALE</t>
  </si>
  <si>
    <t>STEPHEN MWAURA</t>
  </si>
  <si>
    <t>ISAAC NZIOKA</t>
  </si>
  <si>
    <t>CAROLINE MWAURA</t>
  </si>
  <si>
    <t>MARY NGENDO</t>
  </si>
  <si>
    <t>PAYMENT ON 4TH JULY</t>
  </si>
  <si>
    <t>CASH STATEMENT FOR THE MONTH OF JULY 2017</t>
  </si>
  <si>
    <t>CASH STATEMENT FOR THE MONTH OF JUNE 2017</t>
  </si>
  <si>
    <t>bl</t>
  </si>
  <si>
    <t>rent</t>
  </si>
  <si>
    <t>due</t>
  </si>
  <si>
    <t>ELECTRICITY PAYMENT</t>
  </si>
  <si>
    <t>UNPAID  RENT</t>
  </si>
  <si>
    <t xml:space="preserve">CASH STATEMENT FOR THE MONTH OF SEPT 2017 </t>
  </si>
  <si>
    <t>ADREW MBURU</t>
  </si>
  <si>
    <t>JANET  GATHONO</t>
  </si>
  <si>
    <t>MARY MUNENE</t>
  </si>
  <si>
    <t>PAYMENT ON 8TH SEPT</t>
  </si>
  <si>
    <t>PAYMENT ON 8TH SEP</t>
  </si>
  <si>
    <t>LUCY NDUTA</t>
  </si>
  <si>
    <t>ANASTACIA WAMBUI</t>
  </si>
  <si>
    <t xml:space="preserve">CASH STATEMENT FOR THE MONTH OF OCT 2017 </t>
  </si>
  <si>
    <t>DEDUCTON</t>
  </si>
  <si>
    <t>TITUS</t>
  </si>
  <si>
    <t>MARY</t>
  </si>
  <si>
    <t>OCT</t>
  </si>
  <si>
    <t xml:space="preserve">CASH STATEMENT FOR THE MONTH OF NOV 2017 </t>
  </si>
  <si>
    <t>VACCANT</t>
  </si>
  <si>
    <t>EVELYNE WANJIRU</t>
  </si>
  <si>
    <t>ESTHER NJERI</t>
  </si>
  <si>
    <t>CARETAKER</t>
  </si>
  <si>
    <t>JULIUS OLEGA</t>
  </si>
  <si>
    <t>ISACK NZIOKA</t>
  </si>
  <si>
    <t>DELVIC MWANIKI</t>
  </si>
  <si>
    <t xml:space="preserve">GEORGE </t>
  </si>
  <si>
    <t>NOV</t>
  </si>
  <si>
    <t>PAYMENT ON 7/11/17</t>
  </si>
  <si>
    <t>ANN WAIRIMU</t>
  </si>
  <si>
    <t>JANET  GATHONI</t>
  </si>
  <si>
    <t xml:space="preserve">CASH STATEMENT FOR THE MONTH OF DEC 2017 </t>
  </si>
  <si>
    <t>CASH STATEMENT FOR THE MONTH OF JAN 2018</t>
  </si>
  <si>
    <t>DEP REFUND</t>
  </si>
  <si>
    <t>DEC</t>
  </si>
  <si>
    <t>DIANA NELIMA</t>
  </si>
  <si>
    <t>ROSE ODEYO</t>
  </si>
  <si>
    <t>PAID TO CARETAKER</t>
  </si>
  <si>
    <t>AUG</t>
  </si>
  <si>
    <t>CASH STATEMENT FOR THE MONTH OF AUGUST 2017</t>
  </si>
  <si>
    <t>PAYMENT ON 7TH AUG</t>
  </si>
  <si>
    <t>SEP</t>
  </si>
  <si>
    <t>PAYMENT ON OCT 13</t>
  </si>
  <si>
    <r>
      <t xml:space="preserve">              </t>
    </r>
    <r>
      <rPr>
        <b/>
        <sz val="22"/>
        <color theme="5" tint="-0.499984740745262"/>
        <rFont val="Times New Roman"/>
        <family val="1"/>
      </rPr>
      <t>A</t>
    </r>
    <r>
      <rPr>
        <b/>
        <sz val="22"/>
        <color rgb="FF1A8600"/>
        <rFont val="Times New Roman"/>
        <family val="1"/>
      </rPr>
      <t>SSET FLOW LTD</t>
    </r>
  </si>
  <si>
    <t>BAL</t>
  </si>
  <si>
    <t>LEAH WAMBUI</t>
  </si>
  <si>
    <t>MERCY WAMBUI</t>
  </si>
  <si>
    <t>DIANA ODHIAMBO</t>
  </si>
  <si>
    <t>ANTHONY ANGWEYE</t>
  </si>
  <si>
    <t>GEORGE KIMANI</t>
  </si>
  <si>
    <t>MARK OTIENO</t>
  </si>
  <si>
    <t>JOHN MUKURU</t>
  </si>
  <si>
    <t>LYDIA NYARANGI</t>
  </si>
  <si>
    <t xml:space="preserve">DEP REFUND </t>
  </si>
  <si>
    <t>ESTHER WAYUA</t>
  </si>
  <si>
    <t>RENT STATEMENT FOR THE MONTH OF FEB 2018</t>
  </si>
  <si>
    <t>MAR</t>
  </si>
  <si>
    <t>FEB</t>
  </si>
  <si>
    <t>DEP. REFUND</t>
  </si>
  <si>
    <t>JAN</t>
  </si>
  <si>
    <t>DENIS ADUNDO</t>
  </si>
  <si>
    <t>DEPOSIT</t>
  </si>
  <si>
    <t>ELECTRICITY</t>
  </si>
  <si>
    <t>RENT STATEMENT FOR THE MONTH OF MARCH 2018</t>
  </si>
  <si>
    <t>RENT STATEMENT FOR THE MONTH OF APRIL  2018</t>
  </si>
  <si>
    <t>DAVID KAMAU</t>
  </si>
  <si>
    <t>MARGARET WAIRIMU</t>
  </si>
  <si>
    <t>DEP REFUND(bernard)</t>
  </si>
  <si>
    <t xml:space="preserve">bernard </t>
  </si>
  <si>
    <t>ELECTRICITY(leah &amp; Diana)</t>
  </si>
  <si>
    <t>elect(angweye)</t>
  </si>
  <si>
    <t>DEP REFUND(mercy)</t>
  </si>
  <si>
    <t>elect(wayua)</t>
  </si>
  <si>
    <t>elect(mercy)</t>
  </si>
  <si>
    <t>DEP REFUND-GATHOGO</t>
  </si>
  <si>
    <t>ELECT- JOSEPHINE</t>
  </si>
  <si>
    <t>APRIL</t>
  </si>
  <si>
    <t>MAY</t>
  </si>
  <si>
    <t>RENT STATEMENT FOR THE MONTH OF MAY  2018</t>
  </si>
  <si>
    <t>VICTOR OKOTH</t>
  </si>
  <si>
    <t>JUNE</t>
  </si>
  <si>
    <t>PURITY WANJIKU</t>
  </si>
  <si>
    <t>PURITY ELECT</t>
  </si>
  <si>
    <t>JOSEPH MUSYOKA</t>
  </si>
  <si>
    <t>KWARE</t>
  </si>
  <si>
    <t xml:space="preserve">LETTING FEE </t>
  </si>
  <si>
    <t>EUNICE WAMBUI</t>
  </si>
  <si>
    <t>SARAPHINE CHEPNGETICH</t>
  </si>
  <si>
    <t>WILLIAM MWAURA</t>
  </si>
  <si>
    <t>ORPAH AKINYI</t>
  </si>
  <si>
    <t>TITUS KIMATHI</t>
  </si>
  <si>
    <t>RUMCY ODONGO</t>
  </si>
  <si>
    <t>GEORGE NDUNGU</t>
  </si>
  <si>
    <t>JULY</t>
  </si>
  <si>
    <t>ELIZABETH MWAE</t>
  </si>
  <si>
    <t xml:space="preserve">RENT STATEMENT </t>
  </si>
  <si>
    <t>FOR THE MONTH OF JULY 2018</t>
  </si>
  <si>
    <t>FOR THE MONTH OF JUNE 2018</t>
  </si>
  <si>
    <t>MARTIN MAKOKHA</t>
  </si>
  <si>
    <t>DEP REFUND JACK</t>
  </si>
  <si>
    <t>MARTIN ELECT</t>
  </si>
  <si>
    <t>DEP REFUND ARISI</t>
  </si>
  <si>
    <t>EMILY SITUMA</t>
  </si>
  <si>
    <t>JOASH TEI</t>
  </si>
  <si>
    <t>MERCY NDUNGE</t>
  </si>
  <si>
    <t>GEORGE</t>
  </si>
  <si>
    <t>GEORGE ELECTRICITY</t>
  </si>
  <si>
    <t>ERICK KIMATHI</t>
  </si>
  <si>
    <t>JOHN MUNGAI</t>
  </si>
  <si>
    <t>ANDREW &amp;KANINI</t>
  </si>
  <si>
    <t>JACOB DEC,JAN</t>
  </si>
  <si>
    <t>JOSEPHINE</t>
  </si>
  <si>
    <t>CHARO</t>
  </si>
  <si>
    <t>DENIS</t>
  </si>
  <si>
    <t>FESTUS LUMBE</t>
  </si>
  <si>
    <t>FOR THE MONTH OF AUGUST 2018</t>
  </si>
  <si>
    <t xml:space="preserve">AUG </t>
  </si>
  <si>
    <t>RUTH</t>
  </si>
  <si>
    <t>PURITY DEP REFUND</t>
  </si>
  <si>
    <t>WAYUA DEP REFUND</t>
  </si>
  <si>
    <t>MWAE E2(LILIAN)</t>
  </si>
  <si>
    <t>ELIZABETH ATIENO</t>
  </si>
  <si>
    <t>MERCY KAGIRI</t>
  </si>
  <si>
    <t>23/8/18 LILIAN</t>
  </si>
  <si>
    <t>FOR THE MONTH OF SEPTEMBER 2018</t>
  </si>
  <si>
    <t>TERESIAH NYOKABI</t>
  </si>
  <si>
    <t>LYDIA KERUBO</t>
  </si>
  <si>
    <t>FOR THE MONTH OF OCTOBER 2018</t>
  </si>
  <si>
    <t>DEPOSIT REFUND-E3</t>
  </si>
  <si>
    <t>WILSAON JUMA</t>
  </si>
  <si>
    <t>DAVID  MWANIKI</t>
  </si>
  <si>
    <t>PURITY KANJA</t>
  </si>
  <si>
    <t>SAMMY HINGA</t>
  </si>
  <si>
    <t>FOR THE MONTH OF NOVEMBER 2018</t>
  </si>
  <si>
    <t>ANTON LIECH</t>
  </si>
  <si>
    <t>NAOMY DEPOSIT REFUND</t>
  </si>
  <si>
    <t>GAUDENCIA MONGINA</t>
  </si>
  <si>
    <t>KELVIN ODHIAMBO</t>
  </si>
  <si>
    <t>FOR THE MONTH OF DECEMBER 2018</t>
  </si>
  <si>
    <t>DEPOSIT REFUND-E2</t>
  </si>
  <si>
    <t>DEP REFUND-DIANA</t>
  </si>
  <si>
    <t>MARTIN K1</t>
  </si>
  <si>
    <t>RUMCY K5</t>
  </si>
  <si>
    <t xml:space="preserve">          </t>
  </si>
  <si>
    <t>FOR THE MONTH OF JANUARY 2019</t>
  </si>
  <si>
    <t>MARY WANJIRU</t>
  </si>
  <si>
    <t>LETTING FEE</t>
  </si>
  <si>
    <t>ELPHAS SIKUKU</t>
  </si>
  <si>
    <t>RIPHATS INGOSI</t>
  </si>
  <si>
    <t>SAMWEL LUSWETI</t>
  </si>
  <si>
    <t>JOAN JEPTOO</t>
  </si>
  <si>
    <t>MARGARET N10</t>
  </si>
  <si>
    <t>GAUDENCIAH N1</t>
  </si>
  <si>
    <t>PAID ON 14/1/19</t>
  </si>
  <si>
    <t>PAID ON 31/1/19</t>
  </si>
  <si>
    <t>FOR THE MONTH OF FEBRUARY 2019</t>
  </si>
  <si>
    <t>STEPHEN MASIBO</t>
  </si>
  <si>
    <t>LILIAN E5</t>
  </si>
  <si>
    <t>BENSON SIFUNA</t>
  </si>
  <si>
    <t>PAID ON 13/2/19</t>
  </si>
  <si>
    <t>SAMMY HINGA C2</t>
  </si>
  <si>
    <t>KINORU N2</t>
  </si>
  <si>
    <t>SARAPHINE M6</t>
  </si>
  <si>
    <t xml:space="preserve">EVICTED </t>
  </si>
  <si>
    <t>FOR THE MONTH OF MARCH 2019</t>
  </si>
  <si>
    <t>JAMES OZWARA</t>
  </si>
  <si>
    <t xml:space="preserve">LIZ </t>
  </si>
  <si>
    <t>EVERLINE MOSE</t>
  </si>
  <si>
    <t>ESTHER WAMBUI</t>
  </si>
  <si>
    <t>PAID ON 13/3/19</t>
  </si>
  <si>
    <t>MARCH</t>
  </si>
  <si>
    <t>BEATRICE  EGESHA</t>
  </si>
  <si>
    <t xml:space="preserve">APRIL </t>
  </si>
  <si>
    <t>TUSKYS</t>
  </si>
  <si>
    <t xml:space="preserve">KWARE </t>
  </si>
  <si>
    <t>WALTER MUKABANA</t>
  </si>
  <si>
    <t>PAID ON 30/4/19</t>
  </si>
  <si>
    <t>FOR THE MONTH OF APRIL 2019</t>
  </si>
  <si>
    <t>FOR THE MONTH OF MAY 2019</t>
  </si>
  <si>
    <t>PURITY C3</t>
  </si>
  <si>
    <t>DOREEN NEKESA</t>
  </si>
  <si>
    <t>DAVID OLUCH</t>
  </si>
  <si>
    <t>JERUSHA WANGECI</t>
  </si>
  <si>
    <t>PAID ON 21/5/19</t>
  </si>
  <si>
    <t>HARRISON NGUNJIRI</t>
  </si>
  <si>
    <t>ELIUD MBUGUA</t>
  </si>
  <si>
    <t>EVERLYNE WANJIRU</t>
  </si>
  <si>
    <t>FOR THE MONTH OF JUNE 2019</t>
  </si>
  <si>
    <t xml:space="preserve">JUNE </t>
  </si>
  <si>
    <t>ROBINSON NJOROGE</t>
  </si>
  <si>
    <t>PAID ON 18/6/19</t>
  </si>
  <si>
    <t>IBRAHIM SHEM</t>
  </si>
  <si>
    <t xml:space="preserve">for five days </t>
  </si>
  <si>
    <t>FOR THE MONTH OF JULY 2019</t>
  </si>
  <si>
    <t>JOHN MONYONCHO</t>
  </si>
  <si>
    <t>HARRISON DEPOSIT REFUND</t>
  </si>
  <si>
    <t>KELVIN DEPOSIT REFUND</t>
  </si>
  <si>
    <t>PAINTING S7</t>
  </si>
  <si>
    <t>NORAH AKINYI</t>
  </si>
  <si>
    <t>DERICK NAPALI</t>
  </si>
  <si>
    <t>PAID  ON 23/7/2019</t>
  </si>
  <si>
    <t>AUGUST</t>
  </si>
  <si>
    <t>FOR THE MONTH OF AUGUST 2019</t>
  </si>
  <si>
    <t>VICTIONE ADHIAMBO</t>
  </si>
  <si>
    <t>PAID ON 16/8/19</t>
  </si>
  <si>
    <t>CARETAKER/SUSAN</t>
  </si>
  <si>
    <t>BILLBOARD</t>
  </si>
  <si>
    <t>SEPT</t>
  </si>
  <si>
    <t xml:space="preserve">DEPOSIT </t>
  </si>
  <si>
    <t>FLORENCE</t>
  </si>
  <si>
    <t>PAID ON 14/9</t>
  </si>
  <si>
    <t>VACCATED</t>
  </si>
  <si>
    <t>SAMSON IRUNGU</t>
  </si>
  <si>
    <t>NELSON ANASWA</t>
  </si>
  <si>
    <t>JOYCE WANJIRA</t>
  </si>
  <si>
    <t>ALEX BARASA</t>
  </si>
  <si>
    <t>BUNDI AP</t>
  </si>
  <si>
    <t>SERAH MUMBI</t>
  </si>
  <si>
    <t>JOHN KABENI</t>
  </si>
  <si>
    <t>TUSKYS (NEW)</t>
  </si>
  <si>
    <t>RENT STATEMENT</t>
  </si>
  <si>
    <t>FOR THE MONT OF SEPTEMBER</t>
  </si>
  <si>
    <t>MERCY KAGIRI DEPO</t>
  </si>
  <si>
    <t>BILLBOARD PAID  ON 24/9/2019</t>
  </si>
  <si>
    <t>EUNICE THUTA</t>
  </si>
  <si>
    <t>SDERRIC NAPALI</t>
  </si>
  <si>
    <t>ELIJAH NAIPAA</t>
  </si>
  <si>
    <t>ELIJAH NAIPAAD16</t>
  </si>
  <si>
    <t>CAROLINE KEMUNTO</t>
  </si>
  <si>
    <t>JANET CHRISTOPHER</t>
  </si>
  <si>
    <t>JOASH</t>
  </si>
  <si>
    <t>CHIEF COST</t>
  </si>
  <si>
    <t>CAROLINE WAITHERA</t>
  </si>
  <si>
    <t>PETER MUSEMBI</t>
  </si>
  <si>
    <t>PETER KIRURI D 9</t>
  </si>
  <si>
    <t>EUNICE WANGUI</t>
  </si>
  <si>
    <t>EUNICE THUITA</t>
  </si>
  <si>
    <t>THUITA EUNICE</t>
  </si>
  <si>
    <t>VINCENT GUTO</t>
  </si>
  <si>
    <t>FRIDAH KARAMBU</t>
  </si>
  <si>
    <t>JOYCE WANJIRU</t>
  </si>
  <si>
    <t>FOR THE MONTH OF OCTOBER  2019</t>
  </si>
  <si>
    <t>FOR THE MONTH OF SEPTEMBER 2019</t>
  </si>
  <si>
    <t>TERESIA WANGUI</t>
  </si>
  <si>
    <t>DORINE BUNDI</t>
  </si>
  <si>
    <t>KAMAU KARANJA</t>
  </si>
  <si>
    <t>PAID ON 14/10/19</t>
  </si>
  <si>
    <t>SUMMARY</t>
  </si>
  <si>
    <t>VACCATED4200</t>
  </si>
  <si>
    <t>OCTOBER</t>
  </si>
  <si>
    <t>JOYCE WANJIKU</t>
  </si>
  <si>
    <t>FOR THE MONTH OF NOVEMBER  2019</t>
  </si>
  <si>
    <t>VICTINE ADHIAMBO</t>
  </si>
  <si>
    <t>BILBOARD</t>
  </si>
  <si>
    <t>PETER KINOTI</t>
  </si>
  <si>
    <t xml:space="preserve"> DORIS MUGAKA</t>
  </si>
  <si>
    <t>DORINE  BUNDI</t>
  </si>
  <si>
    <t>ISA JUMA</t>
  </si>
  <si>
    <t>AISHA</t>
  </si>
  <si>
    <t>PAID ON 14/11</t>
  </si>
  <si>
    <t>ON DEPOSIT</t>
  </si>
  <si>
    <t>FOR THE MONTH OF DECEMBER  2019</t>
  </si>
  <si>
    <t>NOVEMBER</t>
  </si>
  <si>
    <t>DECEMBER</t>
  </si>
  <si>
    <t>KENSON MWANGI</t>
  </si>
  <si>
    <t>DEPOSIT REFUND NELSON</t>
  </si>
  <si>
    <t>WILSON JUMA</t>
  </si>
  <si>
    <t xml:space="preserve">BUNDI </t>
  </si>
  <si>
    <t>MONICA WAMBUI</t>
  </si>
  <si>
    <t>JOSEPHAT MWONGELA</t>
  </si>
  <si>
    <t>KAMAU</t>
  </si>
  <si>
    <t>VACCATING</t>
  </si>
  <si>
    <t>DOLPHINE</t>
  </si>
  <si>
    <t>JANUARY</t>
  </si>
  <si>
    <t>FOR THE MONTH OF JANUARY  2020</t>
  </si>
  <si>
    <t>PAID ON 3/1</t>
  </si>
  <si>
    <r>
      <t xml:space="preserve">KENSON </t>
    </r>
    <r>
      <rPr>
        <b/>
        <sz val="12"/>
        <rFont val="Calibri"/>
        <family val="2"/>
        <scheme val="minor"/>
      </rPr>
      <t>MWANGI</t>
    </r>
  </si>
  <si>
    <t>CICILIA WANJIRU</t>
  </si>
  <si>
    <t>D20</t>
  </si>
  <si>
    <t>D2</t>
  </si>
  <si>
    <t>FOR THE MONTH OF FEBRUARY   2020</t>
  </si>
  <si>
    <t>FOR THE MONTH OF FEBRUARY  2020</t>
  </si>
  <si>
    <t>FEBRUARY</t>
  </si>
  <si>
    <t xml:space="preserve">o  </t>
  </si>
  <si>
    <t>PAID ON 31/1</t>
  </si>
  <si>
    <t>WINFRED RAPHAEL</t>
  </si>
  <si>
    <t>DEPOSIT REFUND WILSON</t>
  </si>
  <si>
    <t>GRACE WANGECHI</t>
  </si>
  <si>
    <t>FOR THE MONTH OF MARCH  2020</t>
  </si>
  <si>
    <t>evicted</t>
  </si>
  <si>
    <t>PAID ON 02/3</t>
  </si>
  <si>
    <t>SANDRA AWOUR</t>
  </si>
  <si>
    <t>FRANCIS MWAURA</t>
  </si>
  <si>
    <t>ANN WANDIA</t>
  </si>
  <si>
    <t>GEOFFREY MWANGI</t>
  </si>
  <si>
    <t xml:space="preserve"> </t>
  </si>
  <si>
    <t>JEREMIAH WANYOIKE</t>
  </si>
  <si>
    <t>MARGARET</t>
  </si>
  <si>
    <t>FOR THE MONTH OF APRIL 2020</t>
  </si>
  <si>
    <t>DEP REFUND WAITHERA</t>
  </si>
  <si>
    <t>PAID ON 26/3</t>
  </si>
  <si>
    <t>DEPOSIT REFUND SERAH+DORIS</t>
  </si>
  <si>
    <t>HARRIET KINYUA</t>
  </si>
  <si>
    <t>DANNIS WAWERU</t>
  </si>
  <si>
    <t>EUNICE ONYANGO</t>
  </si>
  <si>
    <t>ANNAH MUENI</t>
  </si>
  <si>
    <t>JANET</t>
  </si>
  <si>
    <t>FOR THE MONTH OF MAY  2020</t>
  </si>
  <si>
    <t>FOR THE MONTH OF MAY 2020</t>
  </si>
  <si>
    <t>ANN WAIRIMU DEP REFUND</t>
  </si>
  <si>
    <t>ANTONY ANGWENYE DEP REF</t>
  </si>
  <si>
    <t>AT HOME</t>
  </si>
  <si>
    <t>ON DEP</t>
  </si>
  <si>
    <t>TO BE EVICTED</t>
  </si>
  <si>
    <t>PAID ON 2/5</t>
  </si>
  <si>
    <t>TO PAY</t>
  </si>
  <si>
    <t>EMILY IVELAH</t>
  </si>
  <si>
    <t>DENNIS WAWERU</t>
  </si>
  <si>
    <t>FOR THE MONTH OF JUNE  2020</t>
  </si>
  <si>
    <t>FOR THE MONTH OF JUNE 2020</t>
  </si>
  <si>
    <t>PAID ON 2/6</t>
  </si>
  <si>
    <t>FOR THE MONTH OF JULY  2020</t>
  </si>
  <si>
    <t>FOR THE MONTH OF JULY 2020</t>
  </si>
  <si>
    <t>DEP REFUND MARGARET</t>
  </si>
  <si>
    <t>PAID ON 30/6</t>
  </si>
  <si>
    <t>DEPOSIT REFUND JOSPHAT</t>
  </si>
  <si>
    <t>ANN WANDIA 10 ON DEPO</t>
  </si>
  <si>
    <t>WALTER VACCATED</t>
  </si>
  <si>
    <t>PAID ON 1/7</t>
  </si>
  <si>
    <t>FOR THE MONTH OF AUGUST  2020</t>
  </si>
  <si>
    <t>FOR THE MONTH OF AUGUST 2020</t>
  </si>
  <si>
    <t>JEREMIAH VACCATED</t>
  </si>
  <si>
    <t>TERESIA VACCATED</t>
  </si>
  <si>
    <t>HYLINE MORAA</t>
  </si>
  <si>
    <t>JOSEPH MWANGI</t>
  </si>
  <si>
    <t>FOR THE MONTH OF SEPTEMBER  2020</t>
  </si>
  <si>
    <t>FOR THE MONTH OF SEPTEMBER 2020</t>
  </si>
  <si>
    <t>SEPTEMBER</t>
  </si>
  <si>
    <t>PAID ON 4/9</t>
  </si>
  <si>
    <t>JOYCE VACCTED</t>
  </si>
  <si>
    <t>MONICA VACCATED</t>
  </si>
  <si>
    <t>ESTHER VACCATED</t>
  </si>
  <si>
    <t>FOR THE MONTH OF OCTOBER  2020</t>
  </si>
  <si>
    <t>FOR THE MONTH OF OCTOBER 2020</t>
  </si>
  <si>
    <t>PAID ON 5/10</t>
  </si>
  <si>
    <t>FOR THE MONTH OF NOVEMBER  2020</t>
  </si>
  <si>
    <t>FOR THE MONTH OF NOVEMBER 2020</t>
  </si>
  <si>
    <t>FRANCIS KAMANDE</t>
  </si>
  <si>
    <t>GEOFREY EVICTED</t>
  </si>
  <si>
    <t>PAID ON 4/11</t>
  </si>
  <si>
    <t>JOHN BUYALA</t>
  </si>
  <si>
    <t>MUGAMBI NYAGA</t>
  </si>
  <si>
    <t>SAMMY EVICTED</t>
  </si>
  <si>
    <t>CAROLINE AWINO</t>
  </si>
  <si>
    <t>JOSEPH NJOROGE</t>
  </si>
  <si>
    <t>EVICTED</t>
  </si>
  <si>
    <t>FOR THE MONTH OF DECEMBER  2020</t>
  </si>
  <si>
    <t>FOR THE MONTH OF DECEMBER 2020</t>
  </si>
  <si>
    <t>DOMINIC NJERU</t>
  </si>
  <si>
    <t>SLVIA NDUKU</t>
  </si>
  <si>
    <t>PAID ON 3/12</t>
  </si>
  <si>
    <t>GIDEON MUTURI</t>
  </si>
  <si>
    <t>FOR THE MONTH OF JANUARY  2021</t>
  </si>
  <si>
    <t>AUCTIONEER</t>
  </si>
  <si>
    <t>DICKSON</t>
  </si>
  <si>
    <t>BIDAEL MURANGIRI</t>
  </si>
  <si>
    <t>PAID ON 5/1</t>
  </si>
  <si>
    <t>DEPOSIT M5&amp;M6</t>
  </si>
  <si>
    <t>FOR THE MONTH OF FEBRUARY  2021</t>
  </si>
  <si>
    <t>ESTHER NYAMBURA</t>
  </si>
  <si>
    <t>PAID ON 3/2</t>
  </si>
  <si>
    <t>PAID ION 3/2</t>
  </si>
  <si>
    <t>DAVID VACCATED</t>
  </si>
  <si>
    <t>SANDRA D10 VACCATED</t>
  </si>
  <si>
    <t>ESTHER WACHEKE</t>
  </si>
  <si>
    <t>PAID ON 2/3</t>
  </si>
  <si>
    <t>PAID ION 2/3</t>
  </si>
  <si>
    <t>FOR THE MONTH OF MARCH  2021</t>
  </si>
  <si>
    <t>MUGAMBI ON DEP</t>
  </si>
  <si>
    <t>GIDEON VACCATED</t>
  </si>
  <si>
    <t>WINFRED D2 VACCATED</t>
  </si>
  <si>
    <t>FRIDAH D6 VACCATED</t>
  </si>
  <si>
    <t>DENNIS D17 VACCATED</t>
  </si>
  <si>
    <t>JOYCE WAMBUI</t>
  </si>
  <si>
    <t>WILSON</t>
  </si>
  <si>
    <t>FOR THE MONTH OF APRIL  2021</t>
  </si>
  <si>
    <t>SERAH</t>
  </si>
  <si>
    <t>WILBER</t>
  </si>
  <si>
    <t>WILLIAM VACCATED</t>
  </si>
  <si>
    <t>MAURICE ATIENO</t>
  </si>
  <si>
    <t>ANTONEY</t>
  </si>
  <si>
    <t>PAID ON 8/4</t>
  </si>
  <si>
    <t>EUNICE VACCATED</t>
  </si>
  <si>
    <t>FOR THE MONTH OF MAY  2021</t>
  </si>
  <si>
    <t>PAID ON 11/5</t>
  </si>
  <si>
    <t>ROBERT GACEGE</t>
  </si>
  <si>
    <t>JOYCE MUTHONI</t>
  </si>
  <si>
    <t>JOSEPH KAMAU</t>
  </si>
  <si>
    <t>PETER MWANGI</t>
  </si>
  <si>
    <t>FOR THE MONTH OF JUNE  2021</t>
  </si>
  <si>
    <t>PAID ON 3/6</t>
  </si>
  <si>
    <t>DEP REFUND SILVIA</t>
  </si>
  <si>
    <t>james ngatia</t>
  </si>
  <si>
    <t>RUTH WAITHERA</t>
  </si>
  <si>
    <t>HARRIET VACCATED</t>
  </si>
  <si>
    <t>FRANCIS D7VACCATED</t>
  </si>
  <si>
    <t>PAID ON 3/7</t>
  </si>
  <si>
    <t>FOR THE MONTH OF JULY  2021</t>
  </si>
  <si>
    <t>ESTHER WAITHERA</t>
  </si>
  <si>
    <t>KEVIN MASIEKA</t>
  </si>
  <si>
    <t>PATRICK  NYALOOH</t>
  </si>
  <si>
    <t>PACIFICAH BUNDI</t>
  </si>
  <si>
    <t>AGNES MORAA</t>
  </si>
  <si>
    <t>JAMES NGATIA</t>
  </si>
  <si>
    <t>FOR THE MONTH OF AUGUST  2021</t>
  </si>
  <si>
    <t>DEPOSIT REFUND ROBINSON</t>
  </si>
  <si>
    <t>PAID ON 4/8</t>
  </si>
  <si>
    <t>RAYVON MUTURI</t>
  </si>
  <si>
    <t>EDWIN  MOMANYI</t>
  </si>
  <si>
    <t>veronica mutave</t>
  </si>
  <si>
    <t>JOHN MUIA</t>
  </si>
  <si>
    <t>PAID ON 2/9</t>
  </si>
  <si>
    <t>KENNEDY OYOO</t>
  </si>
  <si>
    <t>EMILY KANANA</t>
  </si>
  <si>
    <t>FOR THE MONTH OF SEPTEMBER  2021</t>
  </si>
  <si>
    <t>FOR THE MONTH OF OCTOBER  2021</t>
  </si>
  <si>
    <t>agnes vaccated</t>
  </si>
  <si>
    <t>NOEL  ALUBALE</t>
  </si>
  <si>
    <t>SERAH VACCATED</t>
  </si>
  <si>
    <t>DEPOSIT REFUND CAROLINE</t>
  </si>
  <si>
    <t>HYLINE MORAA VACCATED</t>
  </si>
  <si>
    <t>paid on 4/10</t>
  </si>
  <si>
    <t>CAROLINE VACCATED</t>
  </si>
  <si>
    <t>ANTOONEY VACATED</t>
  </si>
  <si>
    <t>FOR THE MONTH OF NOVEMBER  2021</t>
  </si>
  <si>
    <t>PAID ON 3/11</t>
  </si>
  <si>
    <t>HATUNGAMANE FELIX</t>
  </si>
  <si>
    <t>GABRIEL BUTOYI</t>
  </si>
  <si>
    <t>FRANCIS MUIRURI</t>
  </si>
  <si>
    <t>MOSES KIMATHI</t>
  </si>
  <si>
    <t>SERAH WANJIKU</t>
  </si>
  <si>
    <t>FOR THE MONTH OF DECEMBER  2021</t>
  </si>
  <si>
    <t>CAROLINE AKINYI</t>
  </si>
  <si>
    <t>RACHAEL ADHIAMBO</t>
  </si>
  <si>
    <t>CYRUS ONKARE OMARE</t>
  </si>
  <si>
    <t>MARYLINE 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</si>
</sst>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\-#,##0.00"/>
    <numFmt numFmtId="165" formatCode="_(* #,##0_);_(* \(#,##0\);_(* &quot;-&quot;??_);_(@_)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36"/>
      <color theme="5" tint="-0.499984740745262"/>
      <name val="Times New Roman"/>
      <family val="1"/>
    </font>
    <font>
      <sz val="2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Book Antiqua"/>
      <family val="1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b/>
      <sz val="20"/>
      <color theme="1"/>
      <name val="Book Antiqua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Book Antiqua"/>
      <family val="1"/>
    </font>
    <font>
      <sz val="16"/>
      <color theme="1"/>
      <name val="Calibri"/>
      <family val="2"/>
      <scheme val="minor"/>
    </font>
    <font>
      <sz val="8"/>
      <color rgb="FFFF0000"/>
      <name val="Cambria"/>
      <family val="1"/>
      <scheme val="major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rgb="FF00B0F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FF0000"/>
      <name val="Book Antiqua"/>
      <family val="1"/>
    </font>
    <font>
      <b/>
      <u/>
      <sz val="8"/>
      <color rgb="FFFF0000"/>
      <name val="Book Antiqua"/>
      <family val="1"/>
    </font>
    <font>
      <b/>
      <sz val="8"/>
      <color rgb="FFFF0000"/>
      <name val="Calibri"/>
      <family val="2"/>
      <scheme val="minor"/>
    </font>
    <font>
      <b/>
      <sz val="8"/>
      <color theme="1"/>
      <name val="Book Antiqua"/>
      <family val="1"/>
    </font>
    <font>
      <b/>
      <u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Times New Roman"/>
      <family val="1"/>
    </font>
    <font>
      <b/>
      <u val="doubleAccounting"/>
      <sz val="11"/>
      <color rgb="FFFF0000"/>
      <name val="Calibri"/>
      <family val="2"/>
      <scheme val="minor"/>
    </font>
    <font>
      <b/>
      <u val="singleAccounting"/>
      <sz val="8"/>
      <color theme="1"/>
      <name val="Times New Roman"/>
      <family val="1"/>
    </font>
    <font>
      <b/>
      <u val="singleAccounting"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u/>
      <sz val="8"/>
      <color rgb="FFFF0000"/>
      <name val="Cambria"/>
      <family val="1"/>
      <scheme val="major"/>
    </font>
    <font>
      <sz val="8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8"/>
      <name val="Times New Roman"/>
      <family val="1"/>
    </font>
    <font>
      <sz val="10"/>
      <color rgb="FFFF0000"/>
      <name val="Times New Roman"/>
      <family val="1"/>
    </font>
    <font>
      <sz val="9"/>
      <name val="Calibri"/>
      <family val="2"/>
      <scheme val="minor"/>
    </font>
    <font>
      <sz val="10"/>
      <name val="Times New Roman"/>
      <family val="1"/>
    </font>
    <font>
      <b/>
      <u/>
      <sz val="8"/>
      <name val="Book Antiqua"/>
      <family val="1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22"/>
      <color rgb="FF1A8600"/>
      <name val="Times New Roman"/>
      <family val="1"/>
    </font>
    <font>
      <b/>
      <sz val="22"/>
      <color theme="5" tint="-0.499984740745262"/>
      <name val="Times New Roman"/>
      <family val="1"/>
    </font>
    <font>
      <sz val="2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43" fontId="16" fillId="0" borderId="1" xfId="1" applyFont="1" applyBorder="1"/>
    <xf numFmtId="43" fontId="15" fillId="0" borderId="1" xfId="1" applyFont="1" applyBorder="1"/>
    <xf numFmtId="43" fontId="17" fillId="0" borderId="1" xfId="1" applyFont="1" applyBorder="1"/>
    <xf numFmtId="0" fontId="16" fillId="0" borderId="1" xfId="0" applyFont="1" applyFill="1" applyBorder="1"/>
    <xf numFmtId="0" fontId="18" fillId="0" borderId="1" xfId="0" applyFont="1" applyBorder="1"/>
    <xf numFmtId="43" fontId="16" fillId="0" borderId="1" xfId="1" applyFont="1" applyFill="1" applyBorder="1"/>
    <xf numFmtId="43" fontId="19" fillId="0" borderId="1" xfId="1" applyFont="1" applyBorder="1"/>
    <xf numFmtId="0" fontId="0" fillId="0" borderId="1" xfId="0" applyBorder="1"/>
    <xf numFmtId="0" fontId="16" fillId="0" borderId="2" xfId="0" applyFont="1" applyFill="1" applyBorder="1"/>
    <xf numFmtId="0" fontId="20" fillId="0" borderId="1" xfId="0" applyFont="1" applyBorder="1"/>
    <xf numFmtId="0" fontId="16" fillId="0" borderId="3" xfId="0" applyFont="1" applyFill="1" applyBorder="1"/>
    <xf numFmtId="0" fontId="16" fillId="0" borderId="3" xfId="0" applyFont="1" applyBorder="1" applyAlignment="1">
      <alignment horizontal="center"/>
    </xf>
    <xf numFmtId="43" fontId="16" fillId="0" borderId="3" xfId="1" applyFont="1" applyBorder="1"/>
    <xf numFmtId="0" fontId="18" fillId="0" borderId="3" xfId="0" applyFont="1" applyBorder="1"/>
    <xf numFmtId="43" fontId="16" fillId="0" borderId="3" xfId="1" applyFont="1" applyFill="1" applyBorder="1"/>
    <xf numFmtId="43" fontId="19" fillId="0" borderId="3" xfId="1" applyFont="1" applyBorder="1"/>
    <xf numFmtId="43" fontId="15" fillId="0" borderId="3" xfId="1" applyFont="1" applyBorder="1"/>
    <xf numFmtId="0" fontId="16" fillId="0" borderId="3" xfId="0" applyFont="1" applyBorder="1"/>
    <xf numFmtId="0" fontId="0" fillId="0" borderId="3" xfId="0" applyBorder="1"/>
    <xf numFmtId="0" fontId="16" fillId="0" borderId="1" xfId="1" applyNumberFormat="1" applyFont="1" applyBorder="1"/>
    <xf numFmtId="0" fontId="21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43" fontId="21" fillId="0" borderId="1" xfId="1" applyFont="1" applyBorder="1" applyAlignment="1">
      <alignment vertical="center"/>
    </xf>
    <xf numFmtId="43" fontId="23" fillId="0" borderId="1" xfId="0" applyNumberFormat="1" applyFont="1" applyBorder="1" applyAlignment="1">
      <alignment vertical="center"/>
    </xf>
    <xf numFmtId="43" fontId="23" fillId="0" borderId="1" xfId="1" applyFont="1" applyBorder="1" applyAlignment="1">
      <alignment vertical="center"/>
    </xf>
    <xf numFmtId="0" fontId="24" fillId="0" borderId="0" xfId="0" applyFont="1" applyBorder="1"/>
    <xf numFmtId="0" fontId="25" fillId="0" borderId="0" xfId="0" applyFont="1"/>
    <xf numFmtId="43" fontId="24" fillId="0" borderId="0" xfId="1" applyFont="1" applyBorder="1"/>
    <xf numFmtId="0" fontId="16" fillId="0" borderId="0" xfId="0" applyFont="1"/>
    <xf numFmtId="0" fontId="20" fillId="0" borderId="0" xfId="0" applyFont="1"/>
    <xf numFmtId="43" fontId="21" fillId="0" borderId="0" xfId="1" applyFont="1" applyBorder="1"/>
    <xf numFmtId="43" fontId="26" fillId="0" borderId="0" xfId="0" applyNumberFormat="1" applyFont="1" applyBorder="1"/>
    <xf numFmtId="0" fontId="27" fillId="0" borderId="0" xfId="0" applyFont="1"/>
    <xf numFmtId="43" fontId="28" fillId="0" borderId="0" xfId="1" applyFont="1"/>
    <xf numFmtId="43" fontId="29" fillId="0" borderId="0" xfId="0" applyNumberFormat="1" applyFont="1"/>
    <xf numFmtId="43" fontId="30" fillId="0" borderId="0" xfId="1" applyFont="1"/>
    <xf numFmtId="43" fontId="20" fillId="0" borderId="0" xfId="1" applyFont="1"/>
    <xf numFmtId="43" fontId="16" fillId="0" borderId="0" xfId="0" applyNumberFormat="1" applyFont="1"/>
    <xf numFmtId="43" fontId="31" fillId="0" borderId="0" xfId="0" applyNumberFormat="1" applyFont="1"/>
    <xf numFmtId="0" fontId="28" fillId="0" borderId="0" xfId="0" applyFont="1"/>
    <xf numFmtId="43" fontId="16" fillId="0" borderId="0" xfId="1" applyFont="1"/>
    <xf numFmtId="0" fontId="32" fillId="0" borderId="0" xfId="0" applyFont="1"/>
    <xf numFmtId="0" fontId="11" fillId="0" borderId="0" xfId="0" applyFont="1" applyAlignment="1"/>
    <xf numFmtId="0" fontId="0" fillId="0" borderId="0" xfId="0" applyAlignment="1"/>
    <xf numFmtId="0" fontId="5" fillId="0" borderId="0" xfId="0" applyFont="1" applyAlignment="1">
      <alignment horizontal="center"/>
    </xf>
    <xf numFmtId="0" fontId="20" fillId="0" borderId="1" xfId="0" applyFont="1" applyBorder="1"/>
    <xf numFmtId="0" fontId="1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49" fontId="34" fillId="0" borderId="1" xfId="0" applyNumberFormat="1" applyFont="1" applyBorder="1" applyAlignment="1">
      <alignment horizontal="center"/>
    </xf>
    <xf numFmtId="49" fontId="34" fillId="0" borderId="0" xfId="0" applyNumberFormat="1" applyFont="1"/>
    <xf numFmtId="164" fontId="34" fillId="0" borderId="0" xfId="0" applyNumberFormat="1" applyFont="1"/>
    <xf numFmtId="49" fontId="35" fillId="0" borderId="0" xfId="0" applyNumberFormat="1" applyFont="1"/>
    <xf numFmtId="164" fontId="35" fillId="0" borderId="0" xfId="0" applyNumberFormat="1" applyFont="1"/>
    <xf numFmtId="49" fontId="34" fillId="0" borderId="4" xfId="0" applyNumberFormat="1" applyFont="1" applyBorder="1" applyAlignment="1">
      <alignment horizontal="center"/>
    </xf>
    <xf numFmtId="49" fontId="34" fillId="0" borderId="1" xfId="0" applyNumberFormat="1" applyFont="1" applyBorder="1"/>
    <xf numFmtId="164" fontId="35" fillId="0" borderId="1" xfId="0" applyNumberFormat="1" applyFont="1" applyBorder="1"/>
    <xf numFmtId="164" fontId="34" fillId="0" borderId="1" xfId="0" applyNumberFormat="1" applyFont="1" applyBorder="1"/>
    <xf numFmtId="9" fontId="16" fillId="0" borderId="0" xfId="0" applyNumberFormat="1" applyFont="1"/>
    <xf numFmtId="0" fontId="0" fillId="0" borderId="0" xfId="0"/>
    <xf numFmtId="0" fontId="20" fillId="0" borderId="0" xfId="0" applyFont="1"/>
    <xf numFmtId="0" fontId="0" fillId="0" borderId="0" xfId="0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43" fontId="20" fillId="0" borderId="1" xfId="1" applyFont="1" applyBorder="1" applyAlignment="1">
      <alignment vertical="center" wrapText="1"/>
    </xf>
    <xf numFmtId="43" fontId="20" fillId="0" borderId="1" xfId="1" applyFont="1" applyBorder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43" fontId="20" fillId="0" borderId="3" xfId="1" applyFont="1" applyBorder="1" applyAlignment="1">
      <alignment vertical="center" wrapText="1"/>
    </xf>
    <xf numFmtId="43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vertical="center" wrapText="1"/>
    </xf>
    <xf numFmtId="43" fontId="0" fillId="0" borderId="1" xfId="1" applyFont="1" applyBorder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43" fontId="20" fillId="0" borderId="5" xfId="1" applyFont="1" applyBorder="1" applyAlignment="1">
      <alignment vertical="center" wrapText="1"/>
    </xf>
    <xf numFmtId="43" fontId="20" fillId="0" borderId="5" xfId="1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43" fontId="37" fillId="0" borderId="1" xfId="1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43" fontId="33" fillId="0" borderId="1" xfId="1" applyFont="1" applyBorder="1" applyAlignment="1">
      <alignment vertical="center"/>
    </xf>
    <xf numFmtId="0" fontId="20" fillId="0" borderId="2" xfId="0" applyFont="1" applyFill="1" applyBorder="1" applyAlignment="1">
      <alignment vertical="center" wrapText="1"/>
    </xf>
    <xf numFmtId="43" fontId="0" fillId="0" borderId="0" xfId="0" applyNumberFormat="1"/>
    <xf numFmtId="0" fontId="13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Border="1"/>
    <xf numFmtId="43" fontId="20" fillId="0" borderId="0" xfId="1" applyFont="1" applyBorder="1" applyAlignment="1">
      <alignment vertical="center"/>
    </xf>
    <xf numFmtId="43" fontId="20" fillId="0" borderId="0" xfId="0" applyNumberFormat="1" applyFont="1"/>
    <xf numFmtId="0" fontId="37" fillId="0" borderId="0" xfId="0" applyFont="1" applyBorder="1" applyAlignment="1">
      <alignment vertical="center"/>
    </xf>
    <xf numFmtId="0" fontId="20" fillId="0" borderId="1" xfId="0" applyFont="1" applyBorder="1"/>
    <xf numFmtId="43" fontId="37" fillId="0" borderId="0" xfId="1" applyFont="1" applyBorder="1" applyAlignment="1">
      <alignment vertical="center"/>
    </xf>
    <xf numFmtId="43" fontId="33" fillId="0" borderId="0" xfId="1" applyFont="1" applyBorder="1" applyAlignment="1">
      <alignment vertical="center"/>
    </xf>
    <xf numFmtId="0" fontId="0" fillId="0" borderId="1" xfId="0" applyBorder="1"/>
    <xf numFmtId="43" fontId="37" fillId="0" borderId="3" xfId="1" applyFont="1" applyBorder="1" applyAlignment="1">
      <alignment vertical="center"/>
    </xf>
    <xf numFmtId="43" fontId="37" fillId="0" borderId="5" xfId="1" applyFont="1" applyBorder="1" applyAlignment="1">
      <alignment vertical="center"/>
    </xf>
    <xf numFmtId="0" fontId="37" fillId="0" borderId="1" xfId="0" applyFont="1" applyBorder="1"/>
    <xf numFmtId="0" fontId="15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7" fillId="0" borderId="2" xfId="0" applyFont="1" applyFill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37" fillId="0" borderId="3" xfId="0" applyFont="1" applyBorder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9" fillId="0" borderId="1" xfId="0" applyFont="1" applyBorder="1"/>
    <xf numFmtId="3" fontId="0" fillId="0" borderId="0" xfId="0" applyNumberFormat="1"/>
    <xf numFmtId="43" fontId="0" fillId="0" borderId="0" xfId="1" applyFont="1"/>
    <xf numFmtId="43" fontId="20" fillId="0" borderId="0" xfId="0" applyNumberFormat="1" applyFont="1" applyBorder="1"/>
    <xf numFmtId="0" fontId="40" fillId="0" borderId="0" xfId="0" applyFont="1"/>
    <xf numFmtId="43" fontId="41" fillId="0" borderId="0" xfId="0" applyNumberFormat="1" applyFont="1"/>
    <xf numFmtId="15" fontId="0" fillId="0" borderId="0" xfId="0" applyNumberFormat="1"/>
    <xf numFmtId="0" fontId="15" fillId="0" borderId="6" xfId="0" applyFont="1" applyBorder="1" applyAlignment="1">
      <alignment horizontal="center" vertical="center"/>
    </xf>
    <xf numFmtId="43" fontId="15" fillId="0" borderId="6" xfId="1" applyFont="1" applyBorder="1"/>
    <xf numFmtId="43" fontId="15" fillId="0" borderId="7" xfId="1" applyFont="1" applyBorder="1"/>
    <xf numFmtId="43" fontId="16" fillId="0" borderId="6" xfId="1" applyFont="1" applyBorder="1"/>
    <xf numFmtId="43" fontId="21" fillId="0" borderId="6" xfId="1" applyFont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43" fontId="16" fillId="0" borderId="0" xfId="1" applyFont="1" applyBorder="1"/>
    <xf numFmtId="49" fontId="34" fillId="0" borderId="0" xfId="0" applyNumberFormat="1" applyFont="1" applyBorder="1" applyAlignment="1">
      <alignment horizontal="center"/>
    </xf>
    <xf numFmtId="49" fontId="34" fillId="0" borderId="0" xfId="0" applyNumberFormat="1" applyFont="1" applyBorder="1"/>
    <xf numFmtId="164" fontId="35" fillId="0" borderId="0" xfId="0" applyNumberFormat="1" applyFont="1" applyBorder="1"/>
    <xf numFmtId="164" fontId="34" fillId="0" borderId="0" xfId="0" applyNumberFormat="1" applyFont="1" applyBorder="1"/>
    <xf numFmtId="0" fontId="0" fillId="0" borderId="0" xfId="0" applyBorder="1"/>
    <xf numFmtId="0" fontId="18" fillId="0" borderId="0" xfId="0" applyFont="1" applyBorder="1"/>
    <xf numFmtId="0" fontId="16" fillId="0" borderId="0" xfId="0" applyFont="1" applyBorder="1"/>
    <xf numFmtId="43" fontId="23" fillId="0" borderId="0" xfId="0" applyNumberFormat="1" applyFont="1" applyBorder="1" applyAlignment="1">
      <alignment vertical="center"/>
    </xf>
    <xf numFmtId="43" fontId="23" fillId="0" borderId="0" xfId="1" applyFont="1" applyBorder="1" applyAlignment="1">
      <alignment vertical="center"/>
    </xf>
    <xf numFmtId="43" fontId="0" fillId="0" borderId="8" xfId="0" applyNumberFormat="1" applyFont="1" applyBorder="1"/>
    <xf numFmtId="0" fontId="42" fillId="0" borderId="0" xfId="0" applyFont="1"/>
    <xf numFmtId="43" fontId="0" fillId="0" borderId="1" xfId="0" applyNumberFormat="1" applyBorder="1"/>
    <xf numFmtId="0" fontId="0" fillId="0" borderId="0" xfId="0" applyFont="1"/>
    <xf numFmtId="43" fontId="20" fillId="0" borderId="2" xfId="1" applyFont="1" applyFill="1" applyBorder="1" applyAlignment="1">
      <alignment vertical="center"/>
    </xf>
    <xf numFmtId="43" fontId="20" fillId="0" borderId="2" xfId="1" applyFont="1" applyFill="1" applyBorder="1" applyAlignment="1">
      <alignment vertical="center" wrapText="1"/>
    </xf>
    <xf numFmtId="9" fontId="0" fillId="0" borderId="0" xfId="0" applyNumberFormat="1"/>
    <xf numFmtId="0" fontId="15" fillId="0" borderId="0" xfId="0" applyFont="1"/>
    <xf numFmtId="0" fontId="33" fillId="0" borderId="0" xfId="0" applyFont="1"/>
    <xf numFmtId="43" fontId="33" fillId="0" borderId="0" xfId="0" applyNumberFormat="1" applyFont="1"/>
    <xf numFmtId="4" fontId="0" fillId="0" borderId="0" xfId="0" applyNumberFormat="1"/>
    <xf numFmtId="0" fontId="44" fillId="0" borderId="1" xfId="0" applyFont="1" applyBorder="1"/>
    <xf numFmtId="0" fontId="33" fillId="0" borderId="1" xfId="0" applyFont="1" applyBorder="1"/>
    <xf numFmtId="43" fontId="33" fillId="0" borderId="1" xfId="0" applyNumberFormat="1" applyFont="1" applyBorder="1"/>
    <xf numFmtId="9" fontId="0" fillId="0" borderId="1" xfId="0" applyNumberFormat="1" applyBorder="1"/>
    <xf numFmtId="0" fontId="45" fillId="0" borderId="1" xfId="0" applyFont="1" applyBorder="1"/>
    <xf numFmtId="0" fontId="0" fillId="0" borderId="1" xfId="0" applyFont="1" applyFill="1" applyBorder="1"/>
    <xf numFmtId="0" fontId="0" fillId="0" borderId="1" xfId="0" applyFont="1" applyBorder="1"/>
    <xf numFmtId="3" fontId="0" fillId="0" borderId="1" xfId="0" applyNumberFormat="1" applyFont="1" applyBorder="1"/>
    <xf numFmtId="0" fontId="43" fillId="0" borderId="1" xfId="0" applyFont="1" applyBorder="1"/>
    <xf numFmtId="43" fontId="0" fillId="0" borderId="1" xfId="1" applyFont="1" applyBorder="1"/>
    <xf numFmtId="0" fontId="0" fillId="0" borderId="1" xfId="0" applyFill="1" applyBorder="1"/>
    <xf numFmtId="43" fontId="46" fillId="0" borderId="1" xfId="1" applyFont="1" applyBorder="1" applyAlignment="1">
      <alignment vertical="center"/>
    </xf>
    <xf numFmtId="43" fontId="46" fillId="0" borderId="3" xfId="1" applyFont="1" applyBorder="1" applyAlignment="1">
      <alignment vertical="center"/>
    </xf>
    <xf numFmtId="43" fontId="46" fillId="0" borderId="5" xfId="1" applyFont="1" applyBorder="1" applyAlignment="1">
      <alignment vertical="center"/>
    </xf>
    <xf numFmtId="0" fontId="20" fillId="0" borderId="10" xfId="0" applyFont="1" applyFill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43" fontId="48" fillId="0" borderId="1" xfId="1" applyFont="1" applyBorder="1"/>
    <xf numFmtId="43" fontId="48" fillId="0" borderId="3" xfId="1" applyFont="1" applyBorder="1"/>
    <xf numFmtId="43" fontId="37" fillId="0" borderId="1" xfId="1" applyFont="1" applyBorder="1" applyAlignment="1">
      <alignment vertical="center" wrapText="1"/>
    </xf>
    <xf numFmtId="3" fontId="20" fillId="0" borderId="0" xfId="0" applyNumberFormat="1" applyFont="1"/>
    <xf numFmtId="43" fontId="48" fillId="0" borderId="6" xfId="1" applyFont="1" applyBorder="1"/>
    <xf numFmtId="43" fontId="48" fillId="0" borderId="7" xfId="1" applyFont="1" applyBorder="1"/>
    <xf numFmtId="0" fontId="36" fillId="0" borderId="6" xfId="0" applyFont="1" applyFill="1" applyBorder="1" applyAlignment="1">
      <alignment horizontal="center" vertical="center"/>
    </xf>
    <xf numFmtId="0" fontId="0" fillId="0" borderId="6" xfId="0" applyBorder="1"/>
    <xf numFmtId="43" fontId="0" fillId="0" borderId="6" xfId="0" applyNumberFormat="1" applyBorder="1"/>
    <xf numFmtId="0" fontId="44" fillId="0" borderId="1" xfId="0" applyFont="1" applyFill="1" applyBorder="1"/>
    <xf numFmtId="43" fontId="0" fillId="0" borderId="2" xfId="1" applyFont="1" applyFill="1" applyBorder="1" applyAlignment="1">
      <alignment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3" fontId="15" fillId="0" borderId="3" xfId="1" applyFont="1" applyFill="1" applyBorder="1"/>
    <xf numFmtId="43" fontId="49" fillId="0" borderId="3" xfId="1" applyFont="1" applyBorder="1"/>
    <xf numFmtId="0" fontId="46" fillId="0" borderId="1" xfId="0" applyFont="1" applyBorder="1"/>
    <xf numFmtId="0" fontId="48" fillId="0" borderId="1" xfId="0" applyFont="1" applyBorder="1" applyAlignment="1">
      <alignment horizontal="center"/>
    </xf>
    <xf numFmtId="0" fontId="50" fillId="0" borderId="1" xfId="0" applyFont="1" applyBorder="1"/>
    <xf numFmtId="0" fontId="48" fillId="0" borderId="1" xfId="0" applyFont="1" applyBorder="1" applyAlignment="1">
      <alignment horizontal="left" vertical="center"/>
    </xf>
    <xf numFmtId="0" fontId="48" fillId="0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left" vertical="center"/>
    </xf>
    <xf numFmtId="43" fontId="48" fillId="0" borderId="3" xfId="1" applyFont="1" applyFill="1" applyBorder="1"/>
    <xf numFmtId="43" fontId="51" fillId="0" borderId="3" xfId="1" applyFont="1" applyBorder="1"/>
    <xf numFmtId="0" fontId="52" fillId="0" borderId="1" xfId="0" applyFont="1" applyBorder="1" applyAlignment="1">
      <alignment vertical="center"/>
    </xf>
    <xf numFmtId="0" fontId="46" fillId="0" borderId="1" xfId="0" applyFont="1" applyBorder="1" applyAlignment="1">
      <alignment vertical="center" wrapText="1"/>
    </xf>
    <xf numFmtId="0" fontId="46" fillId="0" borderId="0" xfId="0" applyFont="1" applyFill="1" applyBorder="1" applyAlignment="1">
      <alignment vertical="center" wrapText="1"/>
    </xf>
    <xf numFmtId="0" fontId="46" fillId="0" borderId="3" xfId="0" applyFont="1" applyBorder="1" applyAlignment="1">
      <alignment vertical="center" wrapText="1"/>
    </xf>
    <xf numFmtId="0" fontId="46" fillId="0" borderId="2" xfId="0" applyFont="1" applyFill="1" applyBorder="1" applyAlignment="1">
      <alignment vertical="center" wrapText="1"/>
    </xf>
    <xf numFmtId="0" fontId="53" fillId="0" borderId="1" xfId="0" applyFont="1" applyFill="1" applyBorder="1" applyAlignment="1">
      <alignment vertical="center" wrapText="1"/>
    </xf>
    <xf numFmtId="43" fontId="26" fillId="0" borderId="1" xfId="1" applyFont="1" applyBorder="1" applyAlignment="1">
      <alignment vertical="center" wrapText="1"/>
    </xf>
    <xf numFmtId="43" fontId="43" fillId="0" borderId="1" xfId="1" applyFont="1" applyBorder="1" applyAlignment="1">
      <alignment vertical="center"/>
    </xf>
    <xf numFmtId="43" fontId="53" fillId="0" borderId="1" xfId="1" applyFont="1" applyBorder="1" applyAlignment="1">
      <alignment vertical="center" wrapText="1"/>
    </xf>
    <xf numFmtId="43" fontId="53" fillId="0" borderId="1" xfId="1" applyFont="1" applyBorder="1" applyAlignment="1">
      <alignment vertical="center"/>
    </xf>
    <xf numFmtId="43" fontId="43" fillId="0" borderId="6" xfId="0" applyNumberFormat="1" applyFont="1" applyBorder="1"/>
    <xf numFmtId="0" fontId="46" fillId="0" borderId="10" xfId="0" applyFont="1" applyFill="1" applyBorder="1" applyAlignment="1">
      <alignment vertical="center" wrapText="1"/>
    </xf>
    <xf numFmtId="0" fontId="55" fillId="0" borderId="1" xfId="0" applyFont="1" applyBorder="1"/>
    <xf numFmtId="0" fontId="56" fillId="0" borderId="1" xfId="0" applyFont="1" applyBorder="1"/>
    <xf numFmtId="14" fontId="0" fillId="0" borderId="1" xfId="0" applyNumberFormat="1" applyFont="1" applyBorder="1"/>
    <xf numFmtId="43" fontId="55" fillId="0" borderId="1" xfId="0" applyNumberFormat="1" applyFont="1" applyBorder="1"/>
    <xf numFmtId="0" fontId="5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9" fillId="0" borderId="0" xfId="0" applyFont="1" applyAlignment="1">
      <alignment horizontal="center"/>
    </xf>
    <xf numFmtId="0" fontId="46" fillId="0" borderId="2" xfId="0" applyFont="1" applyFill="1" applyBorder="1"/>
    <xf numFmtId="14" fontId="0" fillId="0" borderId="1" xfId="0" applyNumberFormat="1" applyFont="1" applyFill="1" applyBorder="1"/>
    <xf numFmtId="165" fontId="0" fillId="0" borderId="0" xfId="0" applyNumberFormat="1"/>
    <xf numFmtId="165" fontId="0" fillId="0" borderId="1" xfId="0" applyNumberFormat="1" applyBorder="1"/>
    <xf numFmtId="165" fontId="44" fillId="0" borderId="1" xfId="0" applyNumberFormat="1" applyFont="1" applyBorder="1"/>
    <xf numFmtId="165" fontId="48" fillId="0" borderId="6" xfId="1" applyNumberFormat="1" applyFont="1" applyBorder="1"/>
    <xf numFmtId="165" fontId="48" fillId="0" borderId="7" xfId="1" applyNumberFormat="1" applyFont="1" applyBorder="1"/>
    <xf numFmtId="165" fontId="48" fillId="0" borderId="1" xfId="1" applyNumberFormat="1" applyFont="1" applyBorder="1"/>
    <xf numFmtId="165" fontId="16" fillId="0" borderId="1" xfId="1" applyNumberFormat="1" applyFont="1" applyBorder="1"/>
    <xf numFmtId="165" fontId="19" fillId="0" borderId="1" xfId="1" applyNumberFormat="1" applyFont="1" applyBorder="1"/>
    <xf numFmtId="165" fontId="51" fillId="0" borderId="3" xfId="1" applyNumberFormat="1" applyFont="1" applyBorder="1"/>
    <xf numFmtId="165" fontId="16" fillId="0" borderId="1" xfId="1" applyNumberFormat="1" applyFont="1" applyFill="1" applyBorder="1"/>
    <xf numFmtId="165" fontId="48" fillId="0" borderId="3" xfId="1" applyNumberFormat="1" applyFont="1" applyFill="1" applyBorder="1"/>
    <xf numFmtId="165" fontId="20" fillId="0" borderId="1" xfId="1" applyNumberFormat="1" applyFont="1" applyBorder="1" applyAlignment="1">
      <alignment vertical="center" wrapText="1"/>
    </xf>
    <xf numFmtId="165" fontId="20" fillId="0" borderId="1" xfId="1" applyNumberFormat="1" applyFont="1" applyBorder="1" applyAlignment="1">
      <alignment vertical="center"/>
    </xf>
    <xf numFmtId="165" fontId="0" fillId="0" borderId="6" xfId="0" applyNumberFormat="1" applyBorder="1"/>
    <xf numFmtId="165" fontId="46" fillId="0" borderId="1" xfId="1" applyNumberFormat="1" applyFont="1" applyBorder="1" applyAlignment="1">
      <alignment vertical="center"/>
    </xf>
    <xf numFmtId="165" fontId="20" fillId="0" borderId="3" xfId="1" applyNumberFormat="1" applyFont="1" applyBorder="1" applyAlignment="1">
      <alignment vertical="center" wrapText="1"/>
    </xf>
    <xf numFmtId="165" fontId="46" fillId="0" borderId="3" xfId="1" applyNumberFormat="1" applyFont="1" applyBorder="1" applyAlignment="1">
      <alignment vertical="center"/>
    </xf>
    <xf numFmtId="165" fontId="20" fillId="0" borderId="5" xfId="1" applyNumberFormat="1" applyFont="1" applyBorder="1" applyAlignment="1">
      <alignment vertical="center" wrapText="1"/>
    </xf>
    <xf numFmtId="165" fontId="46" fillId="0" borderId="5" xfId="1" applyNumberFormat="1" applyFont="1" applyBorder="1" applyAlignment="1">
      <alignment vertical="center"/>
    </xf>
    <xf numFmtId="165" fontId="53" fillId="0" borderId="1" xfId="1" applyNumberFormat="1" applyFont="1" applyBorder="1" applyAlignment="1">
      <alignment vertical="center" wrapText="1"/>
    </xf>
    <xf numFmtId="165" fontId="53" fillId="0" borderId="1" xfId="1" applyNumberFormat="1" applyFont="1" applyBorder="1" applyAlignment="1">
      <alignment vertical="center"/>
    </xf>
    <xf numFmtId="165" fontId="43" fillId="0" borderId="6" xfId="0" applyNumberFormat="1" applyFont="1" applyBorder="1"/>
    <xf numFmtId="165" fontId="37" fillId="0" borderId="1" xfId="1" applyNumberFormat="1" applyFont="1" applyBorder="1" applyAlignment="1">
      <alignment vertical="center"/>
    </xf>
    <xf numFmtId="165" fontId="0" fillId="0" borderId="1" xfId="1" applyNumberFormat="1" applyFont="1" applyBorder="1"/>
    <xf numFmtId="165" fontId="33" fillId="0" borderId="1" xfId="0" applyNumberFormat="1" applyFont="1" applyBorder="1"/>
    <xf numFmtId="165" fontId="20" fillId="0" borderId="2" xfId="1" applyNumberFormat="1" applyFont="1" applyFill="1" applyBorder="1" applyAlignment="1">
      <alignment vertical="center" wrapText="1"/>
    </xf>
    <xf numFmtId="165" fontId="0" fillId="0" borderId="1" xfId="1" applyNumberFormat="1" applyFont="1" applyBorder="1" applyAlignment="1">
      <alignment vertical="center"/>
    </xf>
    <xf numFmtId="165" fontId="23" fillId="0" borderId="1" xfId="1" applyNumberFormat="1" applyFont="1" applyBorder="1" applyAlignment="1">
      <alignment vertical="center"/>
    </xf>
    <xf numFmtId="165" fontId="20" fillId="0" borderId="10" xfId="1" applyNumberFormat="1" applyFont="1" applyBorder="1" applyAlignment="1">
      <alignment vertical="center" wrapText="1"/>
    </xf>
    <xf numFmtId="0" fontId="4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top"/>
    </xf>
    <xf numFmtId="165" fontId="42" fillId="0" borderId="1" xfId="1" applyNumberFormat="1" applyFont="1" applyBorder="1" applyAlignment="1">
      <alignment vertical="center"/>
    </xf>
    <xf numFmtId="165" fontId="50" fillId="0" borderId="3" xfId="1" applyNumberFormat="1" applyFont="1" applyBorder="1" applyAlignment="1">
      <alignment vertical="center"/>
    </xf>
    <xf numFmtId="165" fontId="42" fillId="0" borderId="6" xfId="0" applyNumberFormat="1" applyFont="1" applyBorder="1"/>
    <xf numFmtId="165" fontId="42" fillId="0" borderId="1" xfId="1" applyNumberFormat="1" applyFont="1" applyBorder="1" applyAlignment="1">
      <alignment vertical="center" wrapText="1"/>
    </xf>
    <xf numFmtId="165" fontId="50" fillId="0" borderId="5" xfId="1" applyNumberFormat="1" applyFont="1" applyBorder="1" applyAlignment="1">
      <alignment vertical="center"/>
    </xf>
    <xf numFmtId="165" fontId="50" fillId="0" borderId="1" xfId="1" applyNumberFormat="1" applyFont="1" applyBorder="1" applyAlignment="1">
      <alignment vertical="center"/>
    </xf>
    <xf numFmtId="165" fontId="50" fillId="0" borderId="2" xfId="1" applyNumberFormat="1" applyFont="1" applyFill="1" applyBorder="1" applyAlignment="1">
      <alignment vertical="center"/>
    </xf>
    <xf numFmtId="165" fontId="60" fillId="0" borderId="1" xfId="1" applyNumberFormat="1" applyFont="1" applyBorder="1" applyAlignment="1">
      <alignment vertical="center" wrapText="1"/>
    </xf>
    <xf numFmtId="165" fontId="60" fillId="0" borderId="1" xfId="1" applyNumberFormat="1" applyFont="1" applyBorder="1" applyAlignment="1">
      <alignment vertical="center"/>
    </xf>
    <xf numFmtId="165" fontId="42" fillId="0" borderId="3" xfId="1" applyNumberFormat="1" applyFont="1" applyBorder="1" applyAlignment="1">
      <alignment horizontal="right" vertical="center" wrapText="1"/>
    </xf>
    <xf numFmtId="165" fontId="42" fillId="0" borderId="1" xfId="1" applyNumberFormat="1" applyFont="1" applyBorder="1" applyAlignment="1">
      <alignment horizontal="right" vertical="center" wrapText="1"/>
    </xf>
    <xf numFmtId="0" fontId="42" fillId="0" borderId="1" xfId="0" applyFont="1" applyBorder="1" applyAlignment="1">
      <alignment horizontal="right"/>
    </xf>
    <xf numFmtId="165" fontId="42" fillId="0" borderId="1" xfId="1" applyNumberFormat="1" applyFont="1" applyBorder="1" applyAlignment="1">
      <alignment horizontal="right" vertical="center"/>
    </xf>
    <xf numFmtId="165" fontId="42" fillId="0" borderId="2" xfId="1" applyNumberFormat="1" applyFont="1" applyFill="1" applyBorder="1" applyAlignment="1">
      <alignment horizontal="right" vertical="center" wrapText="1"/>
    </xf>
    <xf numFmtId="165" fontId="42" fillId="0" borderId="10" xfId="1" applyNumberFormat="1" applyFont="1" applyBorder="1" applyAlignment="1">
      <alignment horizontal="right" vertical="center" wrapText="1"/>
    </xf>
    <xf numFmtId="165" fontId="42" fillId="0" borderId="1" xfId="1" applyNumberFormat="1" applyFont="1" applyBorder="1" applyAlignment="1">
      <alignment horizontal="right"/>
    </xf>
    <xf numFmtId="0" fontId="0" fillId="0" borderId="0" xfId="0" applyFont="1" applyAlignment="1">
      <alignment vertical="center"/>
    </xf>
    <xf numFmtId="165" fontId="0" fillId="0" borderId="0" xfId="0" applyNumberFormat="1" applyFont="1"/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165" fontId="0" fillId="0" borderId="1" xfId="0" applyNumberFormat="1" applyFont="1" applyBorder="1"/>
    <xf numFmtId="0" fontId="20" fillId="0" borderId="1" xfId="0" applyFont="1" applyBorder="1" applyAlignment="1">
      <alignment horizontal="center"/>
    </xf>
    <xf numFmtId="165" fontId="20" fillId="0" borderId="1" xfId="1" applyNumberFormat="1" applyFont="1" applyBorder="1"/>
    <xf numFmtId="165" fontId="46" fillId="0" borderId="1" xfId="1" applyNumberFormat="1" applyFont="1" applyBorder="1"/>
    <xf numFmtId="165" fontId="46" fillId="0" borderId="6" xfId="1" applyNumberFormat="1" applyFont="1" applyBorder="1"/>
    <xf numFmtId="0" fontId="46" fillId="0" borderId="1" xfId="0" applyFont="1" applyBorder="1" applyAlignment="1">
      <alignment horizontal="center"/>
    </xf>
    <xf numFmtId="0" fontId="20" fillId="0" borderId="1" xfId="0" applyFont="1" applyFill="1" applyBorder="1"/>
    <xf numFmtId="165" fontId="20" fillId="0" borderId="1" xfId="1" applyNumberFormat="1" applyFont="1" applyFill="1" applyBorder="1"/>
    <xf numFmtId="165" fontId="32" fillId="0" borderId="1" xfId="1" applyNumberFormat="1" applyFont="1" applyBorder="1"/>
    <xf numFmtId="0" fontId="46" fillId="0" borderId="1" xfId="0" applyFont="1" applyFill="1" applyBorder="1" applyAlignment="1">
      <alignment horizontal="left" vertical="center"/>
    </xf>
    <xf numFmtId="0" fontId="20" fillId="0" borderId="3" xfId="0" applyFont="1" applyFill="1" applyBorder="1"/>
    <xf numFmtId="0" fontId="20" fillId="0" borderId="3" xfId="0" applyFont="1" applyBorder="1" applyAlignment="1">
      <alignment horizontal="center"/>
    </xf>
    <xf numFmtId="165" fontId="46" fillId="0" borderId="3" xfId="1" applyNumberFormat="1" applyFont="1" applyFill="1" applyBorder="1"/>
    <xf numFmtId="165" fontId="61" fillId="0" borderId="3" xfId="1" applyNumberFormat="1" applyFont="1" applyBorder="1"/>
    <xf numFmtId="165" fontId="46" fillId="0" borderId="7" xfId="1" applyNumberFormat="1" applyFont="1" applyBorder="1"/>
    <xf numFmtId="0" fontId="20" fillId="0" borderId="1" xfId="1" applyNumberFormat="1" applyFont="1" applyBorder="1"/>
    <xf numFmtId="43" fontId="46" fillId="0" borderId="1" xfId="1" applyFont="1" applyBorder="1"/>
    <xf numFmtId="43" fontId="20" fillId="0" borderId="1" xfId="1" applyFont="1" applyBorder="1"/>
    <xf numFmtId="43" fontId="37" fillId="0" borderId="1" xfId="1" applyFont="1" applyBorder="1"/>
    <xf numFmtId="43" fontId="37" fillId="0" borderId="6" xfId="1" applyFont="1" applyBorder="1"/>
    <xf numFmtId="0" fontId="23" fillId="0" borderId="1" xfId="0" applyFont="1" applyBorder="1" applyAlignment="1">
      <alignment vertical="center"/>
    </xf>
    <xf numFmtId="0" fontId="62" fillId="0" borderId="1" xfId="0" applyFont="1" applyBorder="1" applyAlignment="1">
      <alignment vertical="center"/>
    </xf>
    <xf numFmtId="43" fontId="0" fillId="0" borderId="1" xfId="0" applyNumberFormat="1" applyFont="1" applyBorder="1"/>
    <xf numFmtId="43" fontId="23" fillId="0" borderId="6" xfId="1" applyFont="1" applyBorder="1" applyAlignment="1">
      <alignment vertical="center"/>
    </xf>
    <xf numFmtId="0" fontId="63" fillId="0" borderId="1" xfId="0" applyFont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/>
    </xf>
    <xf numFmtId="0" fontId="0" fillId="0" borderId="6" xfId="0" applyFont="1" applyBorder="1"/>
    <xf numFmtId="165" fontId="0" fillId="0" borderId="6" xfId="0" applyNumberFormat="1" applyFont="1" applyBorder="1"/>
    <xf numFmtId="0" fontId="0" fillId="0" borderId="0" xfId="0" applyFont="1" applyBorder="1"/>
    <xf numFmtId="0" fontId="26" fillId="0" borderId="0" xfId="0" applyFont="1" applyBorder="1"/>
    <xf numFmtId="0" fontId="64" fillId="0" borderId="0" xfId="0" applyFont="1"/>
    <xf numFmtId="9" fontId="0" fillId="0" borderId="1" xfId="0" applyNumberFormat="1" applyFont="1" applyBorder="1"/>
    <xf numFmtId="0" fontId="0" fillId="0" borderId="1" xfId="0" applyNumberFormat="1" applyFont="1" applyBorder="1"/>
    <xf numFmtId="9" fontId="55" fillId="0" borderId="1" xfId="0" applyNumberFormat="1" applyFont="1" applyBorder="1"/>
    <xf numFmtId="165" fontId="55" fillId="0" borderId="1" xfId="0" applyNumberFormat="1" applyFont="1" applyBorder="1"/>
    <xf numFmtId="0" fontId="55" fillId="0" borderId="1" xfId="0" applyFont="1" applyFill="1" applyBorder="1"/>
    <xf numFmtId="3" fontId="55" fillId="0" borderId="1" xfId="0" applyNumberFormat="1" applyFont="1" applyBorder="1"/>
    <xf numFmtId="14" fontId="55" fillId="0" borderId="1" xfId="0" applyNumberFormat="1" applyFont="1" applyBorder="1"/>
    <xf numFmtId="165" fontId="20" fillId="0" borderId="3" xfId="1" applyNumberFormat="1" applyFont="1" applyBorder="1" applyAlignment="1">
      <alignment vertical="center"/>
    </xf>
    <xf numFmtId="165" fontId="42" fillId="0" borderId="1" xfId="0" applyNumberFormat="1" applyFont="1" applyBorder="1" applyAlignment="1">
      <alignment horizontal="right"/>
    </xf>
    <xf numFmtId="165" fontId="42" fillId="0" borderId="0" xfId="0" applyNumberFormat="1" applyFont="1"/>
    <xf numFmtId="165" fontId="43" fillId="0" borderId="1" xfId="1" applyNumberFormat="1" applyFont="1" applyBorder="1" applyAlignment="1">
      <alignment vertical="center"/>
    </xf>
    <xf numFmtId="43" fontId="53" fillId="0" borderId="6" xfId="1" applyFont="1" applyBorder="1" applyAlignment="1">
      <alignment vertical="center"/>
    </xf>
    <xf numFmtId="165" fontId="43" fillId="0" borderId="1" xfId="1" applyNumberFormat="1" applyFont="1" applyBorder="1"/>
    <xf numFmtId="165" fontId="43" fillId="0" borderId="1" xfId="0" applyNumberFormat="1" applyFont="1" applyBorder="1"/>
    <xf numFmtId="165" fontId="20" fillId="0" borderId="1" xfId="0" applyNumberFormat="1" applyFont="1" applyBorder="1"/>
    <xf numFmtId="165" fontId="20" fillId="0" borderId="1" xfId="1" applyNumberFormat="1" applyFont="1" applyBorder="1" applyAlignment="1">
      <alignment horizontal="right" vertical="center" wrapText="1"/>
    </xf>
    <xf numFmtId="165" fontId="20" fillId="0" borderId="1" xfId="0" applyNumberFormat="1" applyFont="1" applyBorder="1" applyAlignment="1">
      <alignment horizontal="right"/>
    </xf>
    <xf numFmtId="165" fontId="26" fillId="0" borderId="1" xfId="1" applyNumberFormat="1" applyFont="1" applyBorder="1" applyAlignment="1">
      <alignment vertical="center"/>
    </xf>
    <xf numFmtId="165" fontId="26" fillId="0" borderId="6" xfId="0" applyNumberFormat="1" applyFont="1" applyBorder="1"/>
    <xf numFmtId="0" fontId="20" fillId="0" borderId="6" xfId="0" applyFont="1" applyBorder="1"/>
    <xf numFmtId="165" fontId="20" fillId="0" borderId="1" xfId="1" applyNumberFormat="1" applyFont="1" applyFill="1" applyBorder="1" applyAlignment="1">
      <alignment horizontal="right" vertical="center" wrapText="1"/>
    </xf>
    <xf numFmtId="165" fontId="46" fillId="0" borderId="1" xfId="1" applyNumberFormat="1" applyFont="1" applyFill="1" applyBorder="1" applyAlignment="1">
      <alignment vertical="center"/>
    </xf>
    <xf numFmtId="0" fontId="23" fillId="0" borderId="10" xfId="0" applyFont="1" applyBorder="1" applyAlignment="1">
      <alignment vertical="center"/>
    </xf>
    <xf numFmtId="0" fontId="20" fillId="0" borderId="2" xfId="0" applyFont="1" applyFill="1" applyBorder="1" applyAlignment="1">
      <alignment horizontal="center"/>
    </xf>
    <xf numFmtId="165" fontId="46" fillId="0" borderId="1" xfId="1" applyNumberFormat="1" applyFont="1" applyFill="1" applyBorder="1"/>
    <xf numFmtId="165" fontId="0" fillId="0" borderId="1" xfId="0" applyNumberFormat="1" applyFont="1" applyFill="1" applyBorder="1"/>
    <xf numFmtId="0" fontId="46" fillId="0" borderId="1" xfId="0" applyFont="1" applyFill="1" applyBorder="1"/>
    <xf numFmtId="0" fontId="53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62" fillId="0" borderId="6" xfId="0" applyFont="1" applyFill="1" applyBorder="1" applyAlignment="1">
      <alignment horizontal="center" vertical="center"/>
    </xf>
    <xf numFmtId="165" fontId="53" fillId="0" borderId="1" xfId="0" applyNumberFormat="1" applyFont="1" applyBorder="1"/>
    <xf numFmtId="0" fontId="53" fillId="0" borderId="10" xfId="0" applyFont="1" applyBorder="1" applyAlignment="1">
      <alignment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54" fillId="0" borderId="10" xfId="0" applyFont="1" applyBorder="1" applyAlignment="1">
      <alignment horizontal="center" vertical="center"/>
    </xf>
    <xf numFmtId="0" fontId="65" fillId="0" borderId="9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43" fontId="20" fillId="0" borderId="1" xfId="1" applyFont="1" applyBorder="1" applyAlignment="1">
      <alignment horizont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0" fontId="66" fillId="0" borderId="6" xfId="0" applyFont="1" applyFill="1" applyBorder="1" applyAlignment="1">
      <alignment horizontal="center" vertical="center"/>
    </xf>
    <xf numFmtId="165" fontId="53" fillId="0" borderId="6" xfId="1" applyNumberFormat="1" applyFont="1" applyBorder="1"/>
    <xf numFmtId="0" fontId="36" fillId="0" borderId="9" xfId="0" applyFont="1" applyFill="1" applyBorder="1" applyAlignment="1">
      <alignment horizontal="center" vertical="center"/>
    </xf>
    <xf numFmtId="165" fontId="0" fillId="0" borderId="9" xfId="0" applyNumberFormat="1" applyBorder="1"/>
    <xf numFmtId="0" fontId="40" fillId="0" borderId="1" xfId="0" applyFont="1" applyBorder="1"/>
    <xf numFmtId="165" fontId="40" fillId="0" borderId="1" xfId="0" applyNumberFormat="1" applyFont="1" applyBorder="1"/>
    <xf numFmtId="165" fontId="53" fillId="0" borderId="6" xfId="1" applyNumberFormat="1" applyFont="1" applyBorder="1" applyAlignment="1">
      <alignment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1" fillId="0" borderId="1" xfId="0" applyFont="1" applyFill="1" applyBorder="1"/>
    <xf numFmtId="0" fontId="61" fillId="0" borderId="1" xfId="0" applyFont="1" applyBorder="1"/>
    <xf numFmtId="3" fontId="61" fillId="0" borderId="1" xfId="0" applyNumberFormat="1" applyFont="1" applyBorder="1"/>
    <xf numFmtId="165" fontId="32" fillId="0" borderId="1" xfId="0" applyNumberFormat="1" applyFont="1" applyBorder="1"/>
    <xf numFmtId="14" fontId="32" fillId="0" borderId="1" xfId="0" applyNumberFormat="1" applyFont="1" applyFill="1" applyBorder="1"/>
    <xf numFmtId="0" fontId="32" fillId="0" borderId="1" xfId="0" applyFont="1" applyBorder="1"/>
    <xf numFmtId="3" fontId="32" fillId="0" borderId="1" xfId="0" applyNumberFormat="1" applyFont="1" applyBorder="1"/>
    <xf numFmtId="165" fontId="53" fillId="0" borderId="1" xfId="1" applyNumberFormat="1" applyFont="1" applyBorder="1"/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67" fillId="0" borderId="0" xfId="0" applyFont="1"/>
    <xf numFmtId="0" fontId="68" fillId="0" borderId="0" xfId="0" applyFont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9" fontId="61" fillId="0" borderId="1" xfId="0" applyNumberFormat="1" applyFont="1" applyBorder="1"/>
    <xf numFmtId="0" fontId="43" fillId="0" borderId="9" xfId="0" applyFont="1" applyBorder="1" applyAlignment="1">
      <alignment horizontal="center"/>
    </xf>
    <xf numFmtId="0" fontId="26" fillId="0" borderId="0" xfId="0" applyFont="1"/>
    <xf numFmtId="0" fontId="69" fillId="0" borderId="0" xfId="0" applyFont="1"/>
    <xf numFmtId="0" fontId="43" fillId="0" borderId="0" xfId="0" applyFont="1"/>
    <xf numFmtId="0" fontId="70" fillId="0" borderId="1" xfId="0" applyFont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/>
    </xf>
    <xf numFmtId="0" fontId="70" fillId="0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5" fillId="0" borderId="1" xfId="0" applyFont="1" applyFill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165" fontId="0" fillId="0" borderId="1" xfId="1" applyNumberFormat="1" applyFont="1" applyBorder="1" applyAlignment="1">
      <alignment horizontal="right" vertical="center" wrapText="1"/>
    </xf>
    <xf numFmtId="165" fontId="55" fillId="0" borderId="1" xfId="1" applyNumberFormat="1" applyFont="1" applyBorder="1" applyAlignment="1">
      <alignment vertical="center"/>
    </xf>
    <xf numFmtId="0" fontId="55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horizontal="right"/>
    </xf>
    <xf numFmtId="165" fontId="0" fillId="0" borderId="1" xfId="1" applyNumberFormat="1" applyFont="1" applyFill="1" applyBorder="1" applyAlignment="1">
      <alignment horizontal="right" vertical="center" wrapText="1"/>
    </xf>
    <xf numFmtId="165" fontId="55" fillId="0" borderId="1" xfId="1" applyNumberFormat="1" applyFont="1" applyFill="1" applyBorder="1" applyAlignment="1">
      <alignment vertical="center"/>
    </xf>
    <xf numFmtId="165" fontId="33" fillId="0" borderId="1" xfId="1" applyNumberFormat="1" applyFont="1" applyBorder="1" applyAlignment="1">
      <alignment vertical="center"/>
    </xf>
    <xf numFmtId="0" fontId="43" fillId="0" borderId="1" xfId="0" applyFont="1" applyFill="1" applyBorder="1" applyAlignment="1">
      <alignment vertical="center" wrapText="1"/>
    </xf>
    <xf numFmtId="43" fontId="43" fillId="0" borderId="1" xfId="1" applyFont="1" applyBorder="1" applyAlignment="1">
      <alignment vertical="center" wrapText="1"/>
    </xf>
    <xf numFmtId="165" fontId="43" fillId="0" borderId="1" xfId="1" applyNumberFormat="1" applyFont="1" applyBorder="1" applyAlignment="1">
      <alignment vertical="center" wrapText="1"/>
    </xf>
    <xf numFmtId="0" fontId="43" fillId="0" borderId="0" xfId="0" applyFont="1" applyAlignment="1">
      <alignment horizontal="left" vertical="top"/>
    </xf>
    <xf numFmtId="0" fontId="71" fillId="0" borderId="1" xfId="0" applyFont="1" applyBorder="1" applyAlignment="1">
      <alignment horizontal="center" vertical="center"/>
    </xf>
    <xf numFmtId="0" fontId="71" fillId="0" borderId="1" xfId="0" applyFont="1" applyFill="1" applyBorder="1" applyAlignment="1">
      <alignment horizontal="center" vertical="center"/>
    </xf>
    <xf numFmtId="0" fontId="71" fillId="0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 wrapText="1"/>
    </xf>
    <xf numFmtId="0" fontId="65" fillId="0" borderId="1" xfId="0" applyFont="1" applyFill="1" applyBorder="1" applyAlignment="1">
      <alignment vertical="center" wrapText="1"/>
    </xf>
    <xf numFmtId="165" fontId="65" fillId="0" borderId="1" xfId="1" applyNumberFormat="1" applyFont="1" applyBorder="1" applyAlignment="1">
      <alignment vertical="center" wrapText="1"/>
    </xf>
    <xf numFmtId="165" fontId="65" fillId="0" borderId="1" xfId="1" applyNumberFormat="1" applyFont="1" applyBorder="1" applyAlignment="1">
      <alignment vertical="center"/>
    </xf>
    <xf numFmtId="43" fontId="0" fillId="0" borderId="0" xfId="1" applyFont="1" applyBorder="1" applyAlignment="1">
      <alignment vertical="center"/>
    </xf>
    <xf numFmtId="43" fontId="0" fillId="0" borderId="0" xfId="0" applyNumberFormat="1" applyFont="1"/>
    <xf numFmtId="0" fontId="65" fillId="0" borderId="1" xfId="0" applyFont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65" fillId="0" borderId="6" xfId="0" applyFont="1" applyBorder="1" applyAlignment="1">
      <alignment horizontal="center" vertical="center"/>
    </xf>
    <xf numFmtId="0" fontId="55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165" fontId="0" fillId="0" borderId="1" xfId="1" applyNumberFormat="1" applyFont="1" applyFill="1" applyBorder="1"/>
    <xf numFmtId="165" fontId="55" fillId="0" borderId="1" xfId="1" applyNumberFormat="1" applyFont="1" applyBorder="1"/>
    <xf numFmtId="165" fontId="55" fillId="0" borderId="6" xfId="1" applyNumberFormat="1" applyFont="1" applyBorder="1"/>
    <xf numFmtId="0" fontId="55" fillId="0" borderId="1" xfId="0" applyFont="1" applyFill="1" applyBorder="1" applyAlignment="1">
      <alignment horizontal="left" vertical="center"/>
    </xf>
    <xf numFmtId="0" fontId="0" fillId="0" borderId="3" xfId="0" applyFont="1" applyFill="1" applyBorder="1"/>
    <xf numFmtId="0" fontId="0" fillId="0" borderId="3" xfId="0" applyFont="1" applyBorder="1" applyAlignment="1">
      <alignment horizontal="center"/>
    </xf>
    <xf numFmtId="165" fontId="55" fillId="0" borderId="3" xfId="1" applyNumberFormat="1" applyFont="1" applyFill="1" applyBorder="1"/>
    <xf numFmtId="165" fontId="55" fillId="0" borderId="3" xfId="1" applyNumberFormat="1" applyFont="1" applyBorder="1"/>
    <xf numFmtId="0" fontId="0" fillId="0" borderId="1" xfId="1" applyNumberFormat="1" applyFont="1" applyBorder="1"/>
    <xf numFmtId="43" fontId="0" fillId="0" borderId="1" xfId="1" applyFont="1" applyBorder="1" applyAlignment="1">
      <alignment horizontal="center"/>
    </xf>
    <xf numFmtId="43" fontId="55" fillId="0" borderId="1" xfId="1" applyFont="1" applyBorder="1"/>
    <xf numFmtId="0" fontId="72" fillId="0" borderId="1" xfId="0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165" fontId="65" fillId="0" borderId="1" xfId="1" applyNumberFormat="1" applyFont="1" applyBorder="1"/>
    <xf numFmtId="165" fontId="65" fillId="0" borderId="6" xfId="1" applyNumberFormat="1" applyFont="1" applyBorder="1" applyAlignment="1">
      <alignment vertical="center"/>
    </xf>
    <xf numFmtId="165" fontId="65" fillId="0" borderId="1" xfId="0" applyNumberFormat="1" applyFont="1" applyBorder="1"/>
    <xf numFmtId="0" fontId="65" fillId="0" borderId="10" xfId="0" applyFont="1" applyBorder="1" applyAlignment="1">
      <alignment horizontal="center" vertical="center"/>
    </xf>
    <xf numFmtId="0" fontId="55" fillId="0" borderId="2" xfId="0" applyFont="1" applyFill="1" applyBorder="1"/>
    <xf numFmtId="0" fontId="55" fillId="0" borderId="10" xfId="0" applyFont="1" applyFill="1" applyBorder="1" applyAlignment="1">
      <alignment vertical="center" wrapText="1"/>
    </xf>
    <xf numFmtId="0" fontId="65" fillId="0" borderId="10" xfId="0" applyFont="1" applyBorder="1" applyAlignment="1">
      <alignment vertical="center"/>
    </xf>
    <xf numFmtId="43" fontId="72" fillId="0" borderId="1" xfId="1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43" fillId="0" borderId="0" xfId="0" applyFont="1" applyBorder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37" fillId="0" borderId="2" xfId="0" applyFont="1" applyFill="1" applyBorder="1" applyAlignment="1">
      <alignment horizontal="left" vertical="center"/>
    </xf>
    <xf numFmtId="165" fontId="46" fillId="0" borderId="11" xfId="1" applyNumberFormat="1" applyFont="1" applyFill="1" applyBorder="1"/>
    <xf numFmtId="0" fontId="73" fillId="0" borderId="1" xfId="0" applyFont="1" applyFill="1" applyBorder="1"/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9" fontId="32" fillId="0" borderId="1" xfId="0" applyNumberFormat="1" applyFont="1" applyBorder="1"/>
    <xf numFmtId="165" fontId="20" fillId="0" borderId="6" xfId="0" applyNumberFormat="1" applyFont="1" applyBorder="1"/>
    <xf numFmtId="0" fontId="74" fillId="0" borderId="0" xfId="0" applyFont="1"/>
    <xf numFmtId="0" fontId="74" fillId="0" borderId="0" xfId="0" applyFont="1" applyAlignment="1">
      <alignment vertical="center"/>
    </xf>
    <xf numFmtId="0" fontId="75" fillId="0" borderId="1" xfId="0" applyFont="1" applyBorder="1" applyAlignment="1">
      <alignment horizontal="center" vertical="center"/>
    </xf>
    <xf numFmtId="0" fontId="75" fillId="0" borderId="1" xfId="0" applyFont="1" applyFill="1" applyBorder="1" applyAlignment="1">
      <alignment horizontal="center" vertical="center"/>
    </xf>
    <xf numFmtId="0" fontId="75" fillId="0" borderId="6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 wrapText="1"/>
    </xf>
    <xf numFmtId="0" fontId="76" fillId="0" borderId="1" xfId="0" applyFont="1" applyFill="1" applyBorder="1" applyAlignment="1">
      <alignment vertical="center" wrapText="1"/>
    </xf>
    <xf numFmtId="43" fontId="74" fillId="0" borderId="1" xfId="1" applyFont="1" applyBorder="1" applyAlignment="1">
      <alignment vertical="center" wrapText="1"/>
    </xf>
    <xf numFmtId="165" fontId="74" fillId="0" borderId="1" xfId="1" applyNumberFormat="1" applyFont="1" applyBorder="1" applyAlignment="1">
      <alignment vertical="center"/>
    </xf>
    <xf numFmtId="165" fontId="74" fillId="0" borderId="1" xfId="1" applyNumberFormat="1" applyFont="1" applyBorder="1" applyAlignment="1">
      <alignment horizontal="right" vertical="center" wrapText="1"/>
    </xf>
    <xf numFmtId="165" fontId="76" fillId="0" borderId="1" xfId="1" applyNumberFormat="1" applyFont="1" applyBorder="1" applyAlignment="1">
      <alignment vertical="center"/>
    </xf>
    <xf numFmtId="165" fontId="74" fillId="0" borderId="1" xfId="0" applyNumberFormat="1" applyFont="1" applyBorder="1"/>
    <xf numFmtId="0" fontId="76" fillId="0" borderId="1" xfId="0" applyFont="1" applyBorder="1" applyAlignment="1">
      <alignment vertical="center" wrapText="1"/>
    </xf>
    <xf numFmtId="0" fontId="74" fillId="0" borderId="1" xfId="0" applyFont="1" applyBorder="1"/>
    <xf numFmtId="0" fontId="74" fillId="0" borderId="3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right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 wrapText="1"/>
    </xf>
    <xf numFmtId="165" fontId="74" fillId="0" borderId="1" xfId="1" applyNumberFormat="1" applyFont="1" applyFill="1" applyBorder="1" applyAlignment="1">
      <alignment horizontal="right" vertical="center" wrapText="1"/>
    </xf>
    <xf numFmtId="165" fontId="76" fillId="0" borderId="1" xfId="1" applyNumberFormat="1" applyFont="1" applyFill="1" applyBorder="1" applyAlignment="1">
      <alignment vertical="center"/>
    </xf>
    <xf numFmtId="165" fontId="74" fillId="0" borderId="1" xfId="1" applyNumberFormat="1" applyFont="1" applyBorder="1" applyAlignment="1">
      <alignment vertical="center" wrapText="1"/>
    </xf>
    <xf numFmtId="0" fontId="77" fillId="0" borderId="1" xfId="0" applyFont="1" applyFill="1" applyBorder="1" applyAlignment="1">
      <alignment vertical="center" wrapText="1"/>
    </xf>
    <xf numFmtId="43" fontId="6" fillId="0" borderId="1" xfId="1" applyFont="1" applyBorder="1" applyAlignment="1">
      <alignment vertical="center" wrapText="1"/>
    </xf>
    <xf numFmtId="165" fontId="77" fillId="0" borderId="1" xfId="1" applyNumberFormat="1" applyFont="1" applyBorder="1" applyAlignment="1">
      <alignment vertical="center" wrapText="1"/>
    </xf>
    <xf numFmtId="165" fontId="77" fillId="0" borderId="1" xfId="1" applyNumberFormat="1" applyFont="1" applyBorder="1" applyAlignment="1">
      <alignment vertical="center"/>
    </xf>
    <xf numFmtId="165" fontId="6" fillId="0" borderId="6" xfId="0" applyNumberFormat="1" applyFont="1" applyBorder="1"/>
    <xf numFmtId="0" fontId="74" fillId="0" borderId="0" xfId="0" applyFont="1" applyBorder="1"/>
    <xf numFmtId="43" fontId="74" fillId="0" borderId="0" xfId="1" applyFont="1" applyBorder="1" applyAlignment="1">
      <alignment vertical="center"/>
    </xf>
    <xf numFmtId="43" fontId="74" fillId="0" borderId="0" xfId="0" applyNumberFormat="1" applyFont="1"/>
    <xf numFmtId="165" fontId="74" fillId="0" borderId="0" xfId="0" applyNumberFormat="1" applyFont="1"/>
    <xf numFmtId="0" fontId="78" fillId="0" borderId="1" xfId="0" applyFont="1" applyBorder="1"/>
    <xf numFmtId="165" fontId="78" fillId="0" borderId="1" xfId="0" applyNumberFormat="1" applyFont="1" applyBorder="1"/>
    <xf numFmtId="0" fontId="76" fillId="0" borderId="1" xfId="0" applyFont="1" applyBorder="1"/>
    <xf numFmtId="9" fontId="76" fillId="0" borderId="1" xfId="0" applyNumberFormat="1" applyFont="1" applyBorder="1"/>
    <xf numFmtId="165" fontId="76" fillId="0" borderId="1" xfId="0" applyNumberFormat="1" applyFont="1" applyBorder="1"/>
    <xf numFmtId="0" fontId="76" fillId="0" borderId="1" xfId="0" applyFont="1" applyFill="1" applyBorder="1"/>
    <xf numFmtId="0" fontId="79" fillId="0" borderId="1" xfId="0" applyFont="1" applyBorder="1"/>
    <xf numFmtId="43" fontId="76" fillId="0" borderId="1" xfId="0" applyNumberFormat="1" applyFont="1" applyBorder="1"/>
    <xf numFmtId="3" fontId="76" fillId="0" borderId="1" xfId="0" applyNumberFormat="1" applyFont="1" applyBorder="1"/>
    <xf numFmtId="14" fontId="74" fillId="0" borderId="1" xfId="0" applyNumberFormat="1" applyFont="1" applyFill="1" applyBorder="1"/>
    <xf numFmtId="3" fontId="74" fillId="0" borderId="1" xfId="0" applyNumberFormat="1" applyFont="1" applyBorder="1"/>
    <xf numFmtId="0" fontId="6" fillId="0" borderId="1" xfId="0" applyFont="1" applyBorder="1"/>
    <xf numFmtId="165" fontId="6" fillId="0" borderId="1" xfId="1" applyNumberFormat="1" applyFont="1" applyBorder="1"/>
    <xf numFmtId="165" fontId="6" fillId="0" borderId="1" xfId="0" applyNumberFormat="1" applyFont="1" applyBorder="1"/>
    <xf numFmtId="0" fontId="77" fillId="0" borderId="1" xfId="0" applyFont="1" applyBorder="1" applyAlignment="1">
      <alignment horizontal="center" vertical="center"/>
    </xf>
    <xf numFmtId="0" fontId="77" fillId="0" borderId="1" xfId="0" applyFont="1" applyFill="1" applyBorder="1" applyAlignment="1">
      <alignment horizontal="center" vertical="center"/>
    </xf>
    <xf numFmtId="0" fontId="77" fillId="0" borderId="6" xfId="0" applyFont="1" applyBorder="1" applyAlignment="1">
      <alignment horizontal="center" vertical="center"/>
    </xf>
    <xf numFmtId="0" fontId="74" fillId="0" borderId="1" xfId="0" applyFont="1" applyFill="1" applyBorder="1"/>
    <xf numFmtId="0" fontId="76" fillId="0" borderId="1" xfId="0" applyFont="1" applyBorder="1" applyAlignment="1">
      <alignment horizontal="left" vertical="center"/>
    </xf>
    <xf numFmtId="0" fontId="74" fillId="0" borderId="1" xfId="0" applyFont="1" applyBorder="1" applyAlignment="1">
      <alignment horizontal="center"/>
    </xf>
    <xf numFmtId="165" fontId="74" fillId="0" borderId="1" xfId="1" applyNumberFormat="1" applyFont="1" applyBorder="1"/>
    <xf numFmtId="165" fontId="74" fillId="0" borderId="1" xfId="1" applyNumberFormat="1" applyFont="1" applyFill="1" applyBorder="1"/>
    <xf numFmtId="165" fontId="76" fillId="0" borderId="1" xfId="1" applyNumberFormat="1" applyFont="1" applyBorder="1"/>
    <xf numFmtId="165" fontId="76" fillId="0" borderId="6" xfId="1" applyNumberFormat="1" applyFont="1" applyBorder="1"/>
    <xf numFmtId="0" fontId="76" fillId="0" borderId="1" xfId="0" applyFont="1" applyFill="1" applyBorder="1" applyAlignment="1">
      <alignment horizontal="left" vertical="center"/>
    </xf>
    <xf numFmtId="0" fontId="74" fillId="0" borderId="3" xfId="0" applyFont="1" applyFill="1" applyBorder="1"/>
    <xf numFmtId="0" fontId="74" fillId="0" borderId="3" xfId="0" applyFont="1" applyBorder="1" applyAlignment="1">
      <alignment horizontal="center"/>
    </xf>
    <xf numFmtId="165" fontId="76" fillId="0" borderId="3" xfId="1" applyNumberFormat="1" applyFont="1" applyFill="1" applyBorder="1"/>
    <xf numFmtId="165" fontId="76" fillId="0" borderId="3" xfId="1" applyNumberFormat="1" applyFont="1" applyBorder="1"/>
    <xf numFmtId="0" fontId="80" fillId="0" borderId="1" xfId="0" applyFont="1" applyBorder="1" applyAlignment="1">
      <alignment vertical="center"/>
    </xf>
    <xf numFmtId="0" fontId="79" fillId="0" borderId="1" xfId="0" applyFont="1" applyBorder="1" applyAlignment="1">
      <alignment vertical="center"/>
    </xf>
    <xf numFmtId="165" fontId="77" fillId="0" borderId="1" xfId="1" applyNumberFormat="1" applyFont="1" applyBorder="1"/>
    <xf numFmtId="165" fontId="77" fillId="0" borderId="6" xfId="1" applyNumberFormat="1" applyFont="1" applyBorder="1" applyAlignment="1">
      <alignment vertical="center"/>
    </xf>
    <xf numFmtId="0" fontId="77" fillId="0" borderId="9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43" fontId="74" fillId="0" borderId="1" xfId="1" applyFont="1" applyBorder="1" applyAlignment="1">
      <alignment vertical="center"/>
    </xf>
    <xf numFmtId="0" fontId="76" fillId="0" borderId="2" xfId="0" applyFont="1" applyFill="1" applyBorder="1"/>
    <xf numFmtId="0" fontId="76" fillId="0" borderId="10" xfId="0" applyFont="1" applyFill="1" applyBorder="1" applyAlignment="1">
      <alignment vertical="center" wrapText="1"/>
    </xf>
    <xf numFmtId="0" fontId="77" fillId="0" borderId="10" xfId="0" applyFont="1" applyBorder="1" applyAlignment="1">
      <alignment vertical="center"/>
    </xf>
    <xf numFmtId="43" fontId="80" fillId="0" borderId="1" xfId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0" fontId="76" fillId="0" borderId="2" xfId="0" applyFont="1" applyFill="1" applyBorder="1" applyAlignment="1">
      <alignment horizontal="left" vertical="center"/>
    </xf>
    <xf numFmtId="0" fontId="46" fillId="0" borderId="2" xfId="0" applyFont="1" applyFill="1" applyBorder="1" applyAlignment="1">
      <alignment horizontal="left" vertical="center"/>
    </xf>
    <xf numFmtId="0" fontId="46" fillId="0" borderId="2" xfId="0" applyFont="1" applyBorder="1" applyAlignment="1">
      <alignment horizontal="left" vertic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5" fontId="76" fillId="0" borderId="11" xfId="1" applyNumberFormat="1" applyFont="1" applyFill="1" applyBorder="1"/>
    <xf numFmtId="165" fontId="74" fillId="0" borderId="6" xfId="0" applyNumberFormat="1" applyFont="1" applyBorder="1"/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165" fontId="53" fillId="0" borderId="1" xfId="1" quotePrefix="1" applyNumberFormat="1" applyFont="1" applyBorder="1" applyAlignment="1">
      <alignment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37" fillId="0" borderId="1" xfId="0" applyFont="1" applyFill="1" applyBorder="1" applyAlignment="1">
      <alignment vertical="center" wrapText="1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65" fillId="0" borderId="8" xfId="0" applyFont="1" applyBorder="1" applyAlignment="1">
      <alignment horizontal="center" vertical="center"/>
    </xf>
    <xf numFmtId="165" fontId="61" fillId="0" borderId="1" xfId="1" applyNumberFormat="1" applyFont="1" applyBorder="1"/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7" fillId="0" borderId="6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/>
    </xf>
    <xf numFmtId="0" fontId="54" fillId="0" borderId="6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0</xdr:row>
      <xdr:rowOff>19049</xdr:rowOff>
    </xdr:from>
    <xdr:to>
      <xdr:col>4</xdr:col>
      <xdr:colOff>266701</xdr:colOff>
      <xdr:row>0</xdr:row>
      <xdr:rowOff>276224</xdr:rowOff>
    </xdr:to>
    <xdr:sp macro="" textlink="">
      <xdr:nvSpPr>
        <xdr:cNvPr id="2" name="Isosceles Triangle 1"/>
        <xdr:cNvSpPr/>
      </xdr:nvSpPr>
      <xdr:spPr>
        <a:xfrm>
          <a:off x="2276476" y="19049"/>
          <a:ext cx="190500" cy="257175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0</xdr:row>
      <xdr:rowOff>142874</xdr:rowOff>
    </xdr:from>
    <xdr:to>
      <xdr:col>4</xdr:col>
      <xdr:colOff>171450</xdr:colOff>
      <xdr:row>0</xdr:row>
      <xdr:rowOff>228599</xdr:rowOff>
    </xdr:to>
    <xdr:sp macro="" textlink="">
      <xdr:nvSpPr>
        <xdr:cNvPr id="3" name="Rectangle 2"/>
        <xdr:cNvSpPr/>
      </xdr:nvSpPr>
      <xdr:spPr>
        <a:xfrm>
          <a:off x="2276475" y="142874"/>
          <a:ext cx="95250" cy="85725"/>
        </a:xfrm>
        <a:prstGeom prst="rect">
          <a:avLst/>
        </a:prstGeom>
        <a:solidFill>
          <a:srgbClr val="00B05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24</xdr:row>
      <xdr:rowOff>85725</xdr:rowOff>
    </xdr:from>
    <xdr:to>
      <xdr:col>25</xdr:col>
      <xdr:colOff>0</xdr:colOff>
      <xdr:row>25</xdr:row>
      <xdr:rowOff>57150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6648450" y="5133975"/>
          <a:ext cx="10477500" cy="1619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37" sqref="I37"/>
    </sheetView>
  </sheetViews>
  <sheetFormatPr defaultRowHeight="15" x14ac:dyDescent="0.25"/>
  <cols>
    <col min="1" max="1" width="3.42578125" customWidth="1"/>
    <col min="2" max="2" width="16.28515625" customWidth="1"/>
    <col min="3" max="3" width="4.140625" customWidth="1"/>
    <col min="10" max="10" width="11.5703125" customWidth="1"/>
  </cols>
  <sheetData>
    <row r="1" spans="1:14" s="61" customFormat="1" ht="26.25" customHeight="1" x14ac:dyDescent="0.6">
      <c r="C1" s="2"/>
      <c r="D1" s="2"/>
      <c r="E1" s="2"/>
      <c r="F1" s="3" t="s">
        <v>0</v>
      </c>
      <c r="G1" s="4"/>
      <c r="H1" s="4"/>
      <c r="I1" s="4"/>
      <c r="J1" s="2"/>
      <c r="M1" s="62"/>
    </row>
    <row r="2" spans="1:14" ht="16.5" x14ac:dyDescent="0.3">
      <c r="A2" s="5"/>
      <c r="B2" s="5"/>
      <c r="C2" s="5"/>
      <c r="D2" s="5"/>
      <c r="E2" s="5"/>
      <c r="F2" s="5"/>
      <c r="G2" s="6" t="s">
        <v>1</v>
      </c>
      <c r="H2" s="7"/>
      <c r="I2" s="5"/>
      <c r="J2" s="5"/>
      <c r="K2" s="7"/>
      <c r="L2" s="7"/>
      <c r="M2" s="5"/>
      <c r="N2" s="5"/>
    </row>
    <row r="3" spans="1:14" ht="16.5" customHeight="1" x14ac:dyDescent="0.35">
      <c r="A3" s="8"/>
      <c r="B3" s="9"/>
      <c r="C3" s="10" t="s">
        <v>2</v>
      </c>
      <c r="D3" s="60"/>
      <c r="E3" s="10"/>
      <c r="F3" s="11"/>
      <c r="G3" s="11"/>
      <c r="H3" s="11"/>
      <c r="I3" s="12"/>
      <c r="J3" s="12"/>
      <c r="K3" s="12"/>
      <c r="L3" s="1"/>
      <c r="M3" s="1"/>
      <c r="N3" s="1"/>
    </row>
    <row r="4" spans="1:14" ht="9" customHeight="1" x14ac:dyDescent="0.25">
      <c r="A4" s="8"/>
      <c r="B4" s="9"/>
      <c r="C4" s="10"/>
      <c r="D4" s="10"/>
      <c r="E4" s="10"/>
      <c r="F4" s="11"/>
      <c r="G4" s="11"/>
      <c r="H4" s="11"/>
      <c r="I4" s="12"/>
      <c r="J4" s="12"/>
      <c r="K4" s="12"/>
      <c r="L4" s="1"/>
      <c r="M4" s="1"/>
      <c r="N4" s="1"/>
    </row>
    <row r="5" spans="1:14" ht="12" customHeight="1" x14ac:dyDescent="0.25">
      <c r="A5" s="13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5" t="s">
        <v>10</v>
      </c>
      <c r="I5" s="15" t="s">
        <v>11</v>
      </c>
      <c r="J5" s="14" t="s">
        <v>12</v>
      </c>
      <c r="K5" s="14" t="s">
        <v>13</v>
      </c>
      <c r="L5" s="15" t="s">
        <v>14</v>
      </c>
      <c r="M5" s="15" t="s">
        <v>15</v>
      </c>
      <c r="N5" s="15" t="s">
        <v>16</v>
      </c>
    </row>
    <row r="6" spans="1:14" ht="12" customHeight="1" x14ac:dyDescent="0.25">
      <c r="A6" s="16">
        <v>1</v>
      </c>
      <c r="B6" s="16" t="s">
        <v>17</v>
      </c>
      <c r="C6" s="17" t="s">
        <v>18</v>
      </c>
      <c r="D6" s="18">
        <v>2500</v>
      </c>
      <c r="E6" s="18">
        <v>2500</v>
      </c>
      <c r="F6" s="18">
        <v>0</v>
      </c>
      <c r="G6" s="18">
        <v>2500</v>
      </c>
      <c r="H6" s="18">
        <v>100</v>
      </c>
      <c r="I6" s="18">
        <f>F6+G6+H6</f>
        <v>2600</v>
      </c>
      <c r="J6" s="19">
        <v>2500</v>
      </c>
      <c r="K6" s="19">
        <v>100</v>
      </c>
      <c r="L6" s="18"/>
      <c r="M6" s="18">
        <v>0</v>
      </c>
      <c r="N6" s="18">
        <f>I6-J6-K6</f>
        <v>0</v>
      </c>
    </row>
    <row r="7" spans="1:14" ht="12" customHeight="1" x14ac:dyDescent="0.25">
      <c r="A7" s="16">
        <v>2</v>
      </c>
      <c r="B7" s="16" t="s">
        <v>19</v>
      </c>
      <c r="C7" s="17" t="s">
        <v>20</v>
      </c>
      <c r="D7" s="18">
        <v>2500</v>
      </c>
      <c r="E7" s="18">
        <v>2500</v>
      </c>
      <c r="F7" s="18">
        <v>0</v>
      </c>
      <c r="G7" s="18">
        <v>2500</v>
      </c>
      <c r="H7" s="18">
        <v>100</v>
      </c>
      <c r="I7" s="18">
        <f t="shared" ref="I7:I31" si="0">F7+G7+H7</f>
        <v>2600</v>
      </c>
      <c r="J7" s="19">
        <v>2000</v>
      </c>
      <c r="K7" s="19">
        <v>100</v>
      </c>
      <c r="L7" s="18"/>
      <c r="M7" s="18"/>
      <c r="N7" s="18">
        <f t="shared" ref="N7:N31" si="1">I7-J7-K7</f>
        <v>500</v>
      </c>
    </row>
    <row r="8" spans="1:14" ht="12" customHeight="1" x14ac:dyDescent="0.25">
      <c r="A8" s="16">
        <v>3</v>
      </c>
      <c r="B8" s="16" t="s">
        <v>21</v>
      </c>
      <c r="C8" s="17" t="s">
        <v>22</v>
      </c>
      <c r="D8" s="18">
        <v>2500</v>
      </c>
      <c r="E8" s="18">
        <v>2500</v>
      </c>
      <c r="F8" s="18">
        <v>0</v>
      </c>
      <c r="G8" s="18">
        <v>2500</v>
      </c>
      <c r="H8" s="18">
        <v>100</v>
      </c>
      <c r="I8" s="18">
        <f t="shared" si="0"/>
        <v>2600</v>
      </c>
      <c r="J8" s="19">
        <v>2500</v>
      </c>
      <c r="K8" s="19">
        <v>100</v>
      </c>
      <c r="L8" s="18">
        <v>0</v>
      </c>
      <c r="M8" s="18">
        <v>0</v>
      </c>
      <c r="N8" s="18">
        <f t="shared" si="1"/>
        <v>0</v>
      </c>
    </row>
    <row r="9" spans="1:14" ht="12" customHeight="1" x14ac:dyDescent="0.25">
      <c r="A9" s="16">
        <v>4</v>
      </c>
      <c r="B9" s="16" t="s">
        <v>23</v>
      </c>
      <c r="C9" s="17" t="s">
        <v>24</v>
      </c>
      <c r="D9" s="18">
        <v>2500</v>
      </c>
      <c r="E9" s="18">
        <v>2500</v>
      </c>
      <c r="F9" s="18">
        <v>0</v>
      </c>
      <c r="G9" s="18">
        <v>2500</v>
      </c>
      <c r="H9" s="18">
        <v>100</v>
      </c>
      <c r="I9" s="18">
        <f t="shared" si="0"/>
        <v>2600</v>
      </c>
      <c r="J9" s="19">
        <v>2500</v>
      </c>
      <c r="K9" s="19">
        <v>100</v>
      </c>
      <c r="L9" s="20"/>
      <c r="M9" s="18">
        <v>0</v>
      </c>
      <c r="N9" s="18">
        <f t="shared" si="1"/>
        <v>0</v>
      </c>
    </row>
    <row r="10" spans="1:14" ht="12" customHeight="1" x14ac:dyDescent="0.25">
      <c r="A10" s="16">
        <v>5</v>
      </c>
      <c r="B10" s="16" t="s">
        <v>25</v>
      </c>
      <c r="C10" s="17" t="s">
        <v>26</v>
      </c>
      <c r="D10" s="18">
        <v>2500</v>
      </c>
      <c r="E10" s="18">
        <v>2500</v>
      </c>
      <c r="F10" s="18">
        <v>0</v>
      </c>
      <c r="G10" s="18">
        <v>2500</v>
      </c>
      <c r="H10" s="18">
        <v>100</v>
      </c>
      <c r="I10" s="18">
        <f t="shared" si="0"/>
        <v>2600</v>
      </c>
      <c r="J10" s="19">
        <v>2500</v>
      </c>
      <c r="K10" s="19">
        <v>100</v>
      </c>
      <c r="L10" s="18">
        <v>0</v>
      </c>
      <c r="M10" s="18">
        <v>0</v>
      </c>
      <c r="N10" s="18">
        <f t="shared" si="1"/>
        <v>0</v>
      </c>
    </row>
    <row r="11" spans="1:14" ht="12" customHeight="1" x14ac:dyDescent="0.25">
      <c r="A11" s="16">
        <v>6</v>
      </c>
      <c r="B11" s="16" t="s">
        <v>27</v>
      </c>
      <c r="C11" s="17" t="s">
        <v>28</v>
      </c>
      <c r="D11" s="18">
        <v>2500</v>
      </c>
      <c r="E11" s="18">
        <v>2500</v>
      </c>
      <c r="F11" s="18">
        <v>5200</v>
      </c>
      <c r="G11" s="18">
        <v>2500</v>
      </c>
      <c r="H11" s="18">
        <v>100</v>
      </c>
      <c r="I11" s="18">
        <f t="shared" si="0"/>
        <v>7800</v>
      </c>
      <c r="J11" s="19">
        <v>5000</v>
      </c>
      <c r="K11" s="19">
        <v>0</v>
      </c>
      <c r="L11" s="18"/>
      <c r="M11" s="18"/>
      <c r="N11" s="18">
        <f t="shared" si="1"/>
        <v>2800</v>
      </c>
    </row>
    <row r="12" spans="1:14" ht="12" customHeight="1" x14ac:dyDescent="0.25">
      <c r="A12" s="16">
        <v>7</v>
      </c>
      <c r="B12" s="16" t="s">
        <v>29</v>
      </c>
      <c r="C12" s="17" t="s">
        <v>30</v>
      </c>
      <c r="D12" s="18">
        <v>2500</v>
      </c>
      <c r="E12" s="18">
        <v>2500</v>
      </c>
      <c r="F12" s="18">
        <v>0</v>
      </c>
      <c r="G12" s="18">
        <v>2500</v>
      </c>
      <c r="H12" s="18">
        <v>100</v>
      </c>
      <c r="I12" s="18">
        <f t="shared" si="0"/>
        <v>2600</v>
      </c>
      <c r="J12" s="19">
        <v>2500</v>
      </c>
      <c r="K12" s="19">
        <v>100</v>
      </c>
      <c r="L12" s="18">
        <v>0</v>
      </c>
      <c r="M12" s="18">
        <v>0</v>
      </c>
      <c r="N12" s="18">
        <f t="shared" si="1"/>
        <v>0</v>
      </c>
    </row>
    <row r="13" spans="1:14" ht="12" customHeight="1" x14ac:dyDescent="0.25">
      <c r="A13" s="16">
        <v>8</v>
      </c>
      <c r="B13" s="16" t="s">
        <v>31</v>
      </c>
      <c r="C13" s="17" t="s">
        <v>32</v>
      </c>
      <c r="D13" s="18">
        <v>2500</v>
      </c>
      <c r="E13" s="18">
        <v>2500</v>
      </c>
      <c r="F13" s="18">
        <v>2600</v>
      </c>
      <c r="G13" s="18">
        <v>2500</v>
      </c>
      <c r="H13" s="18">
        <v>100</v>
      </c>
      <c r="I13" s="18">
        <f t="shared" si="0"/>
        <v>5200</v>
      </c>
      <c r="J13" s="19">
        <v>2500</v>
      </c>
      <c r="K13" s="19">
        <v>100</v>
      </c>
      <c r="L13" s="18">
        <v>0</v>
      </c>
      <c r="M13" s="18">
        <v>0</v>
      </c>
      <c r="N13" s="18">
        <f t="shared" si="1"/>
        <v>2600</v>
      </c>
    </row>
    <row r="14" spans="1:14" ht="12" customHeight="1" x14ac:dyDescent="0.25">
      <c r="A14" s="16">
        <v>9</v>
      </c>
      <c r="B14" s="16" t="s">
        <v>33</v>
      </c>
      <c r="C14" s="17" t="s">
        <v>34</v>
      </c>
      <c r="D14" s="18">
        <v>2500</v>
      </c>
      <c r="E14" s="18">
        <v>2500</v>
      </c>
      <c r="F14" s="18">
        <v>0</v>
      </c>
      <c r="G14" s="18">
        <v>2500</v>
      </c>
      <c r="H14" s="18">
        <v>100</v>
      </c>
      <c r="I14" s="18">
        <f t="shared" si="0"/>
        <v>2600</v>
      </c>
      <c r="J14" s="19">
        <v>2500</v>
      </c>
      <c r="K14" s="19">
        <v>100</v>
      </c>
      <c r="L14" s="18">
        <v>0</v>
      </c>
      <c r="M14" s="18">
        <v>0</v>
      </c>
      <c r="N14" s="18">
        <f t="shared" si="1"/>
        <v>0</v>
      </c>
    </row>
    <row r="15" spans="1:14" ht="12" customHeight="1" x14ac:dyDescent="0.25">
      <c r="A15" s="16">
        <v>10</v>
      </c>
      <c r="B15" s="16" t="s">
        <v>35</v>
      </c>
      <c r="C15" s="17" t="s">
        <v>36</v>
      </c>
      <c r="D15" s="18">
        <v>2500</v>
      </c>
      <c r="E15" s="18">
        <v>2500</v>
      </c>
      <c r="F15" s="18"/>
      <c r="G15" s="18">
        <v>2500</v>
      </c>
      <c r="H15" s="18">
        <v>100</v>
      </c>
      <c r="I15" s="18">
        <f t="shared" si="0"/>
        <v>2600</v>
      </c>
      <c r="J15" s="19">
        <v>2500</v>
      </c>
      <c r="K15" s="19">
        <v>100</v>
      </c>
      <c r="L15" s="18"/>
      <c r="M15" s="18">
        <v>0</v>
      </c>
      <c r="N15" s="18">
        <f t="shared" si="1"/>
        <v>0</v>
      </c>
    </row>
    <row r="16" spans="1:14" ht="12" customHeight="1" x14ac:dyDescent="0.25">
      <c r="A16" s="16">
        <v>11</v>
      </c>
      <c r="B16" s="16" t="s">
        <v>37</v>
      </c>
      <c r="C16" s="17" t="s">
        <v>38</v>
      </c>
      <c r="D16" s="18">
        <v>2500</v>
      </c>
      <c r="E16" s="18">
        <v>2500</v>
      </c>
      <c r="F16" s="18">
        <v>0</v>
      </c>
      <c r="G16" s="18">
        <v>2500</v>
      </c>
      <c r="H16" s="18">
        <v>100</v>
      </c>
      <c r="I16" s="18">
        <f t="shared" si="0"/>
        <v>2600</v>
      </c>
      <c r="J16" s="19">
        <v>2500</v>
      </c>
      <c r="K16" s="19">
        <v>100</v>
      </c>
      <c r="L16" s="18">
        <v>0</v>
      </c>
      <c r="M16" s="18">
        <v>0</v>
      </c>
      <c r="N16" s="18">
        <f t="shared" si="1"/>
        <v>0</v>
      </c>
    </row>
    <row r="17" spans="1:14" ht="12" customHeight="1" x14ac:dyDescent="0.25">
      <c r="A17" s="16">
        <v>12</v>
      </c>
      <c r="B17" s="16" t="s">
        <v>39</v>
      </c>
      <c r="C17" s="17" t="s">
        <v>40</v>
      </c>
      <c r="D17" s="18">
        <v>2500</v>
      </c>
      <c r="E17" s="18">
        <v>2500</v>
      </c>
      <c r="F17" s="18">
        <v>0</v>
      </c>
      <c r="G17" s="18">
        <v>2500</v>
      </c>
      <c r="H17" s="18">
        <v>100</v>
      </c>
      <c r="I17" s="18">
        <f t="shared" si="0"/>
        <v>2600</v>
      </c>
      <c r="J17" s="19">
        <v>2500</v>
      </c>
      <c r="K17" s="19">
        <v>100</v>
      </c>
      <c r="L17" s="18"/>
      <c r="M17" s="18">
        <v>0</v>
      </c>
      <c r="N17" s="18">
        <f t="shared" si="1"/>
        <v>0</v>
      </c>
    </row>
    <row r="18" spans="1:14" ht="12" customHeight="1" x14ac:dyDescent="0.25">
      <c r="A18" s="16">
        <v>13</v>
      </c>
      <c r="B18" s="16" t="s">
        <v>41</v>
      </c>
      <c r="C18" s="17" t="s">
        <v>42</v>
      </c>
      <c r="D18" s="18">
        <v>2500</v>
      </c>
      <c r="E18" s="18">
        <v>2500</v>
      </c>
      <c r="F18" s="18">
        <v>0</v>
      </c>
      <c r="G18" s="18">
        <v>2500</v>
      </c>
      <c r="H18" s="18">
        <v>100</v>
      </c>
      <c r="I18" s="18">
        <f t="shared" si="0"/>
        <v>2600</v>
      </c>
      <c r="J18" s="19">
        <v>2500</v>
      </c>
      <c r="K18" s="19">
        <v>100</v>
      </c>
      <c r="L18" s="18">
        <v>0</v>
      </c>
      <c r="M18" s="18">
        <v>0</v>
      </c>
      <c r="N18" s="18">
        <f t="shared" si="1"/>
        <v>0</v>
      </c>
    </row>
    <row r="19" spans="1:14" ht="12" customHeight="1" x14ac:dyDescent="0.25">
      <c r="A19" s="16">
        <v>14</v>
      </c>
      <c r="B19" s="16" t="s">
        <v>43</v>
      </c>
      <c r="C19" s="17" t="s">
        <v>44</v>
      </c>
      <c r="D19" s="18">
        <v>2500</v>
      </c>
      <c r="E19" s="18">
        <v>2500</v>
      </c>
      <c r="F19" s="18"/>
      <c r="G19" s="18">
        <v>2500</v>
      </c>
      <c r="H19" s="18">
        <v>100</v>
      </c>
      <c r="I19" s="18">
        <f t="shared" si="0"/>
        <v>2600</v>
      </c>
      <c r="J19" s="19">
        <v>2500</v>
      </c>
      <c r="K19" s="19">
        <v>100</v>
      </c>
      <c r="L19" s="18"/>
      <c r="M19" s="18"/>
      <c r="N19" s="18">
        <f t="shared" si="1"/>
        <v>0</v>
      </c>
    </row>
    <row r="20" spans="1:14" ht="12" customHeight="1" x14ac:dyDescent="0.25">
      <c r="A20" s="16">
        <v>15</v>
      </c>
      <c r="B20" s="16" t="s">
        <v>45</v>
      </c>
      <c r="C20" s="17" t="s">
        <v>46</v>
      </c>
      <c r="D20" s="18">
        <v>2500</v>
      </c>
      <c r="E20" s="18">
        <v>2500</v>
      </c>
      <c r="F20" s="18"/>
      <c r="G20" s="18">
        <v>2500</v>
      </c>
      <c r="H20" s="18">
        <v>100</v>
      </c>
      <c r="I20" s="18">
        <f t="shared" si="0"/>
        <v>2600</v>
      </c>
      <c r="J20" s="19">
        <v>2500</v>
      </c>
      <c r="K20" s="19">
        <v>100</v>
      </c>
      <c r="L20" s="18"/>
      <c r="M20" s="18">
        <v>0</v>
      </c>
      <c r="N20" s="18">
        <f t="shared" si="1"/>
        <v>0</v>
      </c>
    </row>
    <row r="21" spans="1:14" ht="12" customHeight="1" x14ac:dyDescent="0.25">
      <c r="A21" s="16">
        <v>16</v>
      </c>
      <c r="B21" s="16" t="s">
        <v>47</v>
      </c>
      <c r="C21" s="17" t="s">
        <v>48</v>
      </c>
      <c r="D21" s="18">
        <v>2500</v>
      </c>
      <c r="E21" s="18">
        <v>2500</v>
      </c>
      <c r="F21" s="18">
        <v>0</v>
      </c>
      <c r="G21" s="18">
        <v>2500</v>
      </c>
      <c r="H21" s="18">
        <v>100</v>
      </c>
      <c r="I21" s="18">
        <f t="shared" si="0"/>
        <v>2600</v>
      </c>
      <c r="J21" s="19">
        <v>2500</v>
      </c>
      <c r="K21" s="19">
        <v>100</v>
      </c>
      <c r="L21" s="18">
        <v>0</v>
      </c>
      <c r="M21" s="18">
        <v>0</v>
      </c>
      <c r="N21" s="18">
        <f t="shared" si="1"/>
        <v>0</v>
      </c>
    </row>
    <row r="22" spans="1:14" ht="12" customHeight="1" x14ac:dyDescent="0.25">
      <c r="A22" s="21">
        <v>17</v>
      </c>
      <c r="B22" s="16" t="s">
        <v>49</v>
      </c>
      <c r="C22" s="17" t="s">
        <v>50</v>
      </c>
      <c r="D22" s="18">
        <v>3000</v>
      </c>
      <c r="E22" s="18">
        <v>3000</v>
      </c>
      <c r="F22" s="22"/>
      <c r="G22" s="23">
        <v>3000</v>
      </c>
      <c r="H22" s="24">
        <v>100</v>
      </c>
      <c r="I22" s="18">
        <f t="shared" si="0"/>
        <v>3100</v>
      </c>
      <c r="J22" s="19">
        <v>3000</v>
      </c>
      <c r="K22" s="19">
        <v>100</v>
      </c>
      <c r="L22" s="22"/>
      <c r="M22" s="25"/>
      <c r="N22" s="18">
        <f t="shared" si="1"/>
        <v>0</v>
      </c>
    </row>
    <row r="23" spans="1:14" ht="12" customHeight="1" x14ac:dyDescent="0.25">
      <c r="A23" s="21">
        <v>18</v>
      </c>
      <c r="B23" s="16" t="s">
        <v>51</v>
      </c>
      <c r="C23" s="17" t="s">
        <v>52</v>
      </c>
      <c r="D23" s="18">
        <v>3000</v>
      </c>
      <c r="E23" s="18">
        <v>3000</v>
      </c>
      <c r="F23" s="22"/>
      <c r="G23" s="23">
        <v>3000</v>
      </c>
      <c r="H23" s="24">
        <v>100</v>
      </c>
      <c r="I23" s="18">
        <f t="shared" si="0"/>
        <v>3100</v>
      </c>
      <c r="J23" s="19">
        <v>3000</v>
      </c>
      <c r="K23" s="19">
        <v>100</v>
      </c>
      <c r="L23" s="22"/>
      <c r="M23" s="25"/>
      <c r="N23" s="18">
        <f t="shared" si="1"/>
        <v>0</v>
      </c>
    </row>
    <row r="24" spans="1:14" ht="12" customHeight="1" x14ac:dyDescent="0.25">
      <c r="A24" s="21">
        <v>19</v>
      </c>
      <c r="B24" s="16" t="s">
        <v>53</v>
      </c>
      <c r="C24" s="17" t="s">
        <v>54</v>
      </c>
      <c r="D24" s="18">
        <v>3000</v>
      </c>
      <c r="E24" s="18">
        <v>3000</v>
      </c>
      <c r="F24" s="22"/>
      <c r="G24" s="23">
        <v>3000</v>
      </c>
      <c r="H24" s="24">
        <v>100</v>
      </c>
      <c r="I24" s="18">
        <f t="shared" si="0"/>
        <v>3100</v>
      </c>
      <c r="J24" s="19">
        <v>3000</v>
      </c>
      <c r="K24" s="19">
        <v>100</v>
      </c>
      <c r="L24" s="22"/>
      <c r="M24" s="25"/>
      <c r="N24" s="18">
        <f t="shared" si="1"/>
        <v>0</v>
      </c>
    </row>
    <row r="25" spans="1:14" ht="12" customHeight="1" x14ac:dyDescent="0.25">
      <c r="A25" s="21">
        <v>20</v>
      </c>
      <c r="B25" s="26" t="s">
        <v>55</v>
      </c>
      <c r="C25" s="17" t="s">
        <v>56</v>
      </c>
      <c r="D25" s="18">
        <v>3000</v>
      </c>
      <c r="E25" s="18">
        <v>3000</v>
      </c>
      <c r="F25" s="22">
        <v>300</v>
      </c>
      <c r="G25" s="23">
        <v>3000</v>
      </c>
      <c r="H25" s="24">
        <v>100</v>
      </c>
      <c r="I25" s="18">
        <f t="shared" si="0"/>
        <v>3400</v>
      </c>
      <c r="J25" s="19">
        <v>3000</v>
      </c>
      <c r="K25" s="19">
        <v>100</v>
      </c>
      <c r="L25" s="22"/>
      <c r="M25" s="25"/>
      <c r="N25" s="18">
        <f t="shared" si="1"/>
        <v>300</v>
      </c>
    </row>
    <row r="26" spans="1:14" ht="12" customHeight="1" x14ac:dyDescent="0.25">
      <c r="A26" s="21">
        <v>21</v>
      </c>
      <c r="B26" s="16" t="s">
        <v>57</v>
      </c>
      <c r="C26" s="17" t="s">
        <v>58</v>
      </c>
      <c r="D26" s="18">
        <v>3000</v>
      </c>
      <c r="E26" s="18">
        <v>3000</v>
      </c>
      <c r="F26" s="22"/>
      <c r="G26" s="23">
        <v>3000</v>
      </c>
      <c r="H26" s="24">
        <v>100</v>
      </c>
      <c r="I26" s="18">
        <f t="shared" si="0"/>
        <v>3100</v>
      </c>
      <c r="J26" s="19">
        <v>3000</v>
      </c>
      <c r="K26" s="19">
        <v>100</v>
      </c>
      <c r="L26" s="22"/>
      <c r="M26" s="25"/>
      <c r="N26" s="18">
        <f t="shared" si="1"/>
        <v>0</v>
      </c>
    </row>
    <row r="27" spans="1:14" ht="12" customHeight="1" x14ac:dyDescent="0.25">
      <c r="A27" s="21">
        <v>22</v>
      </c>
      <c r="B27" s="16" t="s">
        <v>59</v>
      </c>
      <c r="C27" s="17" t="s">
        <v>60</v>
      </c>
      <c r="D27" s="18">
        <v>3000</v>
      </c>
      <c r="E27" s="18">
        <v>3000</v>
      </c>
      <c r="F27" s="22"/>
      <c r="G27" s="23">
        <v>3000</v>
      </c>
      <c r="H27" s="24">
        <v>100</v>
      </c>
      <c r="I27" s="18">
        <f t="shared" si="0"/>
        <v>3100</v>
      </c>
      <c r="J27" s="19">
        <v>3000</v>
      </c>
      <c r="K27" s="19">
        <v>100</v>
      </c>
      <c r="L27" s="22"/>
      <c r="M27" s="25"/>
      <c r="N27" s="18">
        <f t="shared" si="1"/>
        <v>0</v>
      </c>
    </row>
    <row r="28" spans="1:14" ht="12" customHeight="1" x14ac:dyDescent="0.25">
      <c r="A28" s="21">
        <v>23</v>
      </c>
      <c r="B28" s="27" t="s">
        <v>61</v>
      </c>
      <c r="C28" s="17" t="s">
        <v>62</v>
      </c>
      <c r="D28" s="18">
        <v>3000</v>
      </c>
      <c r="E28" s="18">
        <v>3000</v>
      </c>
      <c r="F28" s="22"/>
      <c r="G28" s="23">
        <v>3000</v>
      </c>
      <c r="H28" s="24">
        <v>100</v>
      </c>
      <c r="I28" s="18">
        <f t="shared" si="0"/>
        <v>3100</v>
      </c>
      <c r="J28" s="19">
        <v>3000</v>
      </c>
      <c r="K28" s="19">
        <v>100</v>
      </c>
      <c r="L28" s="22"/>
      <c r="M28" s="25"/>
      <c r="N28" s="18">
        <f t="shared" si="1"/>
        <v>0</v>
      </c>
    </row>
    <row r="29" spans="1:14" ht="12" customHeight="1" x14ac:dyDescent="0.25">
      <c r="A29" s="28">
        <v>24</v>
      </c>
      <c r="B29" s="26" t="s">
        <v>63</v>
      </c>
      <c r="C29" s="29" t="s">
        <v>64</v>
      </c>
      <c r="D29" s="30">
        <v>3000</v>
      </c>
      <c r="E29" s="30">
        <v>3000</v>
      </c>
      <c r="F29" s="31"/>
      <c r="G29" s="32">
        <v>3000</v>
      </c>
      <c r="H29" s="33">
        <v>100</v>
      </c>
      <c r="I29" s="18">
        <f t="shared" si="0"/>
        <v>3100</v>
      </c>
      <c r="J29" s="34">
        <v>3000</v>
      </c>
      <c r="K29" s="34">
        <v>100</v>
      </c>
      <c r="L29" s="35"/>
      <c r="M29" s="36"/>
      <c r="N29" s="18">
        <f t="shared" si="1"/>
        <v>0</v>
      </c>
    </row>
    <row r="30" spans="1:14" ht="12" customHeight="1" x14ac:dyDescent="0.25">
      <c r="A30" s="37"/>
      <c r="B30" s="18"/>
      <c r="C30" s="18"/>
      <c r="D30" s="18"/>
      <c r="E30" s="18"/>
      <c r="F30" s="18"/>
      <c r="G30" s="18"/>
      <c r="H30" s="18"/>
      <c r="I30" s="18">
        <f t="shared" si="0"/>
        <v>0</v>
      </c>
      <c r="J30" s="19"/>
      <c r="K30" s="18"/>
      <c r="L30" s="18"/>
      <c r="M30" s="18"/>
      <c r="N30" s="18">
        <f t="shared" si="1"/>
        <v>0</v>
      </c>
    </row>
    <row r="31" spans="1:14" ht="12" customHeight="1" x14ac:dyDescent="0.25">
      <c r="A31" s="38"/>
      <c r="B31" s="39" t="s">
        <v>65</v>
      </c>
      <c r="C31" s="38"/>
      <c r="D31" s="40">
        <f>SUM(D6:D29)</f>
        <v>64000</v>
      </c>
      <c r="E31" s="40">
        <f>SUM(E6:E29)</f>
        <v>64000</v>
      </c>
      <c r="F31" s="41">
        <f>SUM(F6:F21)</f>
        <v>7800</v>
      </c>
      <c r="G31" s="40">
        <f>SUM(G6:G30)</f>
        <v>64000</v>
      </c>
      <c r="H31" s="42">
        <f>SUM(H6:H29)</f>
        <v>2400</v>
      </c>
      <c r="I31" s="18">
        <f t="shared" si="0"/>
        <v>74200</v>
      </c>
      <c r="J31" s="40">
        <f>SUM(J6:J30)</f>
        <v>66000</v>
      </c>
      <c r="K31" s="40">
        <f>SUM(K6:K29)</f>
        <v>2300</v>
      </c>
      <c r="L31" s="41">
        <f>SUM(L6:L21)</f>
        <v>0</v>
      </c>
      <c r="M31" s="41">
        <f>SUM(M6:M21)</f>
        <v>0</v>
      </c>
      <c r="N31" s="18">
        <f t="shared" si="1"/>
        <v>5900</v>
      </c>
    </row>
    <row r="32" spans="1:14" ht="15.75" x14ac:dyDescent="0.3">
      <c r="A32" s="43"/>
      <c r="B32" s="44" t="s">
        <v>66</v>
      </c>
      <c r="C32" s="43"/>
      <c r="D32" s="43"/>
      <c r="E32" s="45"/>
      <c r="F32" s="45"/>
      <c r="G32" s="46"/>
      <c r="H32" s="47"/>
      <c r="I32" s="47"/>
      <c r="K32" s="45"/>
      <c r="L32" s="48"/>
      <c r="M32" s="49"/>
      <c r="N32" s="49"/>
    </row>
    <row r="33" spans="1:13" ht="17.25" x14ac:dyDescent="0.4">
      <c r="A33" s="50"/>
      <c r="B33" s="46" t="s">
        <v>67</v>
      </c>
      <c r="C33" s="50"/>
      <c r="E33" s="51">
        <f>SUM(G31)</f>
        <v>64000</v>
      </c>
      <c r="G33" t="s">
        <v>68</v>
      </c>
      <c r="H33" s="46"/>
      <c r="I33" s="51"/>
      <c r="J33" s="52">
        <f>SUM(E35-E39)</f>
        <v>56180</v>
      </c>
      <c r="K33" s="47"/>
      <c r="L33" s="47"/>
      <c r="M33" s="50"/>
    </row>
    <row r="34" spans="1:13" ht="15.75" x14ac:dyDescent="0.3">
      <c r="A34" s="50"/>
      <c r="B34" s="46" t="s">
        <v>10</v>
      </c>
      <c r="E34" s="53">
        <f>SUM(K31)</f>
        <v>2300</v>
      </c>
      <c r="F34" s="47"/>
      <c r="G34" s="47"/>
      <c r="J34" s="54"/>
      <c r="K34" s="46"/>
      <c r="L34" s="55"/>
    </row>
    <row r="35" spans="1:13" ht="16.5" x14ac:dyDescent="0.35">
      <c r="B35" s="46" t="s">
        <v>69</v>
      </c>
      <c r="E35" s="56">
        <f>SUM(E33:E34)</f>
        <v>66300</v>
      </c>
    </row>
    <row r="36" spans="1:13" x14ac:dyDescent="0.25">
      <c r="A36" s="50"/>
      <c r="B36" s="57" t="s">
        <v>70</v>
      </c>
      <c r="C36" s="46"/>
      <c r="D36" s="46"/>
      <c r="G36" s="47" t="s">
        <v>71</v>
      </c>
      <c r="H36" s="47"/>
      <c r="J36" s="47" t="s">
        <v>72</v>
      </c>
      <c r="M36" s="47" t="s">
        <v>73</v>
      </c>
    </row>
    <row r="37" spans="1:13" x14ac:dyDescent="0.25">
      <c r="A37" s="50"/>
      <c r="B37" s="46" t="s">
        <v>82</v>
      </c>
      <c r="C37" s="46"/>
      <c r="D37" s="58"/>
      <c r="E37" s="51">
        <f>SUM(E33*8%)</f>
        <v>5120</v>
      </c>
      <c r="G37" s="47" t="s">
        <v>74</v>
      </c>
      <c r="H37" s="47"/>
      <c r="K37" s="47"/>
    </row>
    <row r="38" spans="1:13" x14ac:dyDescent="0.25">
      <c r="A38" s="50"/>
      <c r="B38" s="50" t="s">
        <v>81</v>
      </c>
      <c r="C38" s="46"/>
      <c r="D38" s="58"/>
      <c r="E38" s="51">
        <v>5000</v>
      </c>
      <c r="H38" s="47"/>
      <c r="J38" s="47" t="s">
        <v>75</v>
      </c>
      <c r="M38" s="47" t="s">
        <v>76</v>
      </c>
    </row>
    <row r="39" spans="1:13" ht="15.75" x14ac:dyDescent="0.3">
      <c r="A39" s="50"/>
      <c r="B39" s="57" t="s">
        <v>77</v>
      </c>
      <c r="C39" s="46"/>
      <c r="D39" s="58"/>
      <c r="E39" s="53">
        <f>SUM(E37:E38)</f>
        <v>10120</v>
      </c>
      <c r="G39" s="59" t="s">
        <v>78</v>
      </c>
      <c r="H39" s="47"/>
      <c r="J39" s="47" t="s">
        <v>79</v>
      </c>
      <c r="K39" s="47"/>
      <c r="M39" s="47" t="s">
        <v>80</v>
      </c>
    </row>
    <row r="40" spans="1:13" x14ac:dyDescent="0.25">
      <c r="A40" s="50"/>
    </row>
  </sheetData>
  <pageMargins left="0.25" right="0.25" top="0.75" bottom="0.75" header="0.3" footer="0.3"/>
  <pageSetup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0" workbookViewId="0">
      <selection activeCell="E77" sqref="E77"/>
    </sheetView>
  </sheetViews>
  <sheetFormatPr defaultRowHeight="15" x14ac:dyDescent="0.25"/>
  <cols>
    <col min="4" max="4" width="12" customWidth="1"/>
  </cols>
  <sheetData>
    <row r="1" spans="1:10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78"/>
    </row>
    <row r="2" spans="1:10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8"/>
    </row>
    <row r="3" spans="1:10" ht="21" x14ac:dyDescent="0.25">
      <c r="A3" s="8"/>
      <c r="B3" s="64" t="s">
        <v>173</v>
      </c>
      <c r="C3" s="11"/>
      <c r="D3" s="11"/>
      <c r="E3" s="11"/>
      <c r="F3" s="103"/>
      <c r="G3" s="103"/>
      <c r="H3" s="103"/>
      <c r="I3" s="78"/>
      <c r="J3" s="78"/>
    </row>
    <row r="4" spans="1:10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78"/>
    </row>
    <row r="5" spans="1:10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  <c r="J5" s="78"/>
    </row>
    <row r="6" spans="1:10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  <c r="J6" s="78"/>
    </row>
    <row r="7" spans="1:10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  <c r="J7" s="78"/>
    </row>
    <row r="8" spans="1:10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  <c r="J8" s="78"/>
    </row>
    <row r="9" spans="1:10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  <c r="J9" s="78"/>
    </row>
    <row r="10" spans="1:10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  <c r="J10" s="78"/>
    </row>
    <row r="11" spans="1:10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  <c r="J11" s="78"/>
    </row>
    <row r="12" spans="1:10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  <c r="J12" s="78"/>
    </row>
    <row r="13" spans="1:10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  <c r="J13" s="78"/>
    </row>
    <row r="14" spans="1:10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  <c r="J14" s="78"/>
    </row>
    <row r="15" spans="1:10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  <c r="J15" s="78"/>
    </row>
    <row r="16" spans="1:10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  <c r="J16" s="78"/>
    </row>
    <row r="17" spans="1:10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  <c r="J17" s="78"/>
    </row>
    <row r="18" spans="1:10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  <c r="J18" s="78"/>
    </row>
    <row r="19" spans="1:10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  <c r="J19" s="78"/>
    </row>
    <row r="20" spans="1:10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  <c r="J20" s="78"/>
    </row>
    <row r="21" spans="1:10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  <c r="J21" s="78"/>
    </row>
    <row r="22" spans="1:10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  <c r="J22" s="78"/>
    </row>
    <row r="23" spans="1:10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  <c r="J23" s="78"/>
    </row>
    <row r="24" spans="1:10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  <c r="J24" s="78"/>
    </row>
    <row r="25" spans="1:10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  <c r="J25" s="78"/>
    </row>
    <row r="26" spans="1:10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  <c r="J26" s="78"/>
    </row>
    <row r="27" spans="1:10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  <c r="J27" s="78"/>
    </row>
    <row r="28" spans="1:10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  <c r="J28" s="78"/>
    </row>
    <row r="29" spans="1:10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78"/>
    </row>
    <row r="30" spans="1:10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  <c r="J30" s="78"/>
    </row>
    <row r="31" spans="1:10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  <c r="J32" s="78"/>
    </row>
    <row r="33" spans="1:10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  <c r="J33" s="78"/>
    </row>
    <row r="34" spans="1:10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  <c r="J34" s="78"/>
    </row>
    <row r="35" spans="1:10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  <c r="J35" s="78"/>
    </row>
    <row r="36" spans="1:10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  <c r="J36" s="78"/>
    </row>
    <row r="37" spans="1:10" ht="22.5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  <c r="J37" s="78"/>
    </row>
    <row r="38" spans="1:10" x14ac:dyDescent="0.25">
      <c r="A38" s="93" t="s">
        <v>116</v>
      </c>
      <c r="B38" s="84" t="s">
        <v>149</v>
      </c>
      <c r="C38" s="94"/>
      <c r="D38" s="92">
        <v>0</v>
      </c>
      <c r="E38" s="94"/>
      <c r="F38" s="95"/>
      <c r="G38" s="115"/>
      <c r="H38" s="113"/>
      <c r="I38" s="78"/>
      <c r="J38" s="78"/>
    </row>
    <row r="39" spans="1:10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  <c r="J39" s="78"/>
    </row>
    <row r="40" spans="1:10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  <c r="J40" s="78"/>
    </row>
    <row r="41" spans="1:10" x14ac:dyDescent="0.25">
      <c r="A41" s="83" t="s">
        <v>123</v>
      </c>
      <c r="B41" s="121" t="s">
        <v>107</v>
      </c>
      <c r="C41" s="85"/>
      <c r="D41" s="92"/>
      <c r="E41" s="85"/>
      <c r="F41" s="86"/>
      <c r="G41" s="98"/>
      <c r="H41" s="113"/>
      <c r="I41" s="78"/>
      <c r="J41" s="78"/>
    </row>
    <row r="42" spans="1:10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  <c r="J42" s="78"/>
    </row>
    <row r="43" spans="1:10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  <c r="J43" s="78"/>
    </row>
    <row r="44" spans="1:10" x14ac:dyDescent="0.25">
      <c r="A44" s="96"/>
      <c r="B44" s="84"/>
      <c r="C44" s="86"/>
      <c r="D44" s="92"/>
      <c r="E44" s="86"/>
      <c r="F44" s="86"/>
      <c r="G44" s="86"/>
      <c r="H44" s="113"/>
      <c r="I44" s="78"/>
      <c r="J44" s="78"/>
    </row>
    <row r="45" spans="1:10" x14ac:dyDescent="0.25">
      <c r="A45" s="97"/>
      <c r="B45" s="97"/>
      <c r="C45" s="98"/>
      <c r="D45" s="100"/>
      <c r="E45" s="98">
        <f>SUM(E33:E44)</f>
        <v>17000</v>
      </c>
      <c r="F45" s="98">
        <f>SUM(F33:F44)</f>
        <v>17000</v>
      </c>
      <c r="G45" s="98"/>
      <c r="H45" s="113"/>
      <c r="I45" s="78"/>
      <c r="J45" s="78"/>
    </row>
    <row r="46" spans="1:10" x14ac:dyDescent="0.25">
      <c r="A46" s="109"/>
      <c r="B46" s="109"/>
      <c r="C46" s="111"/>
      <c r="D46" s="112"/>
      <c r="E46" s="111"/>
      <c r="F46" s="111"/>
      <c r="G46" s="111"/>
      <c r="H46" s="78"/>
      <c r="I46" s="78"/>
      <c r="J46" s="78"/>
    </row>
    <row r="47" spans="1:10" x14ac:dyDescent="0.25">
      <c r="A47" s="83">
        <v>1</v>
      </c>
      <c r="B47" s="116" t="s">
        <v>127</v>
      </c>
      <c r="C47" s="85" t="s">
        <v>155</v>
      </c>
      <c r="D47" s="86"/>
      <c r="E47" s="86">
        <v>4500</v>
      </c>
      <c r="F47" s="86"/>
      <c r="G47" s="86"/>
      <c r="H47" s="78"/>
      <c r="I47" s="78"/>
      <c r="J47" s="78"/>
    </row>
    <row r="48" spans="1:10" x14ac:dyDescent="0.25">
      <c r="A48" s="83">
        <v>2</v>
      </c>
      <c r="B48" s="116" t="s">
        <v>128</v>
      </c>
      <c r="C48" s="85"/>
      <c r="D48" s="86"/>
      <c r="E48" s="85">
        <v>4500</v>
      </c>
      <c r="F48" s="86"/>
      <c r="G48" s="86"/>
      <c r="H48" s="78"/>
      <c r="I48" s="78"/>
      <c r="J48" s="78"/>
    </row>
    <row r="49" spans="1:10" x14ac:dyDescent="0.25">
      <c r="A49" s="83">
        <v>3</v>
      </c>
      <c r="B49" s="116" t="s">
        <v>129</v>
      </c>
      <c r="C49" s="85"/>
      <c r="D49" s="86"/>
      <c r="E49" s="85">
        <v>4500</v>
      </c>
      <c r="F49" s="86"/>
      <c r="G49" s="86"/>
      <c r="H49" s="78"/>
      <c r="I49" s="78"/>
      <c r="J49" s="78"/>
    </row>
    <row r="50" spans="1:10" x14ac:dyDescent="0.25">
      <c r="A50" s="87">
        <v>4</v>
      </c>
      <c r="B50" s="116" t="s">
        <v>167</v>
      </c>
      <c r="C50" s="86"/>
      <c r="D50" s="78"/>
      <c r="E50" s="85">
        <v>4500</v>
      </c>
      <c r="F50" s="86"/>
      <c r="G50" s="86"/>
      <c r="H50" s="78"/>
      <c r="I50" s="78"/>
      <c r="J50" s="78"/>
    </row>
    <row r="51" spans="1:10" x14ac:dyDescent="0.25">
      <c r="A51" s="99">
        <v>5</v>
      </c>
      <c r="B51" s="116" t="s">
        <v>99</v>
      </c>
      <c r="C51" s="85"/>
      <c r="D51" s="86"/>
      <c r="E51" s="85">
        <v>4500</v>
      </c>
      <c r="F51" s="86"/>
      <c r="G51" s="86"/>
      <c r="H51" s="78"/>
      <c r="I51" s="78"/>
      <c r="J51" s="78"/>
    </row>
    <row r="52" spans="1:10" x14ac:dyDescent="0.25">
      <c r="A52" s="93">
        <v>6</v>
      </c>
      <c r="B52" s="116" t="s">
        <v>98</v>
      </c>
      <c r="C52" s="85"/>
      <c r="D52" s="86"/>
      <c r="E52" s="85">
        <v>4500</v>
      </c>
      <c r="F52" s="86"/>
      <c r="G52" s="86"/>
      <c r="H52" s="78"/>
      <c r="I52" s="78"/>
      <c r="J52" s="78"/>
    </row>
    <row r="53" spans="1:10" x14ac:dyDescent="0.25">
      <c r="A53" s="83"/>
      <c r="B53" s="91"/>
      <c r="C53" s="85">
        <v>0</v>
      </c>
      <c r="D53" s="92">
        <v>0</v>
      </c>
      <c r="E53" s="85"/>
      <c r="F53" s="86"/>
      <c r="G53" s="86"/>
      <c r="H53" s="78"/>
      <c r="I53" s="78"/>
      <c r="J53" s="78"/>
    </row>
    <row r="54" spans="1:10" x14ac:dyDescent="0.25">
      <c r="A54" s="96"/>
      <c r="B54" s="84"/>
      <c r="C54" s="86"/>
      <c r="D54" s="92"/>
      <c r="E54" s="86"/>
      <c r="F54" s="86"/>
      <c r="G54" s="86"/>
      <c r="H54" s="78"/>
      <c r="I54" s="78"/>
      <c r="J54" s="78"/>
    </row>
    <row r="55" spans="1:10" x14ac:dyDescent="0.25">
      <c r="A55" s="97"/>
      <c r="B55" s="97"/>
      <c r="C55" s="98"/>
      <c r="D55" s="98"/>
      <c r="E55" s="98">
        <v>27000</v>
      </c>
      <c r="F55" s="98"/>
      <c r="G55" s="98"/>
      <c r="H55" s="78"/>
      <c r="I55" s="78"/>
      <c r="J55" s="78"/>
    </row>
    <row r="56" spans="1:10" x14ac:dyDescent="0.25">
      <c r="A56" s="79"/>
      <c r="B56" s="79"/>
      <c r="C56" s="106"/>
      <c r="D56" s="107"/>
      <c r="E56" s="106"/>
      <c r="F56" s="108"/>
      <c r="G56" s="106"/>
      <c r="H56" s="78"/>
      <c r="I56" s="78"/>
      <c r="J56" s="78"/>
    </row>
    <row r="57" spans="1:10" ht="15.75" x14ac:dyDescent="0.3">
      <c r="A57" s="43"/>
      <c r="B57" s="44" t="s">
        <v>66</v>
      </c>
      <c r="C57" s="43"/>
      <c r="D57" s="45"/>
      <c r="E57" s="46"/>
      <c r="F57" s="79"/>
      <c r="G57" s="79"/>
      <c r="H57" s="78"/>
      <c r="I57" s="45"/>
      <c r="J57" s="78"/>
    </row>
    <row r="58" spans="1:10" x14ac:dyDescent="0.25">
      <c r="A58" s="50"/>
      <c r="B58" s="46" t="s">
        <v>67</v>
      </c>
      <c r="C58" s="50"/>
      <c r="D58" s="102">
        <f>G30+F45+E55</f>
        <v>107800</v>
      </c>
      <c r="E58" s="78"/>
      <c r="F58" s="78"/>
      <c r="G58" s="78"/>
      <c r="H58" s="78"/>
      <c r="I58" s="44"/>
      <c r="J58" s="78"/>
    </row>
    <row r="59" spans="1:10" x14ac:dyDescent="0.25">
      <c r="A59" s="50"/>
      <c r="B59" s="46" t="s">
        <v>162</v>
      </c>
      <c r="C59" s="50"/>
      <c r="D59" s="78">
        <v>0</v>
      </c>
      <c r="E59" s="78"/>
      <c r="F59" s="78"/>
      <c r="G59" s="78"/>
      <c r="H59" s="78"/>
      <c r="I59" s="46"/>
      <c r="J59" s="78"/>
    </row>
    <row r="60" spans="1:10" x14ac:dyDescent="0.25">
      <c r="A60" s="50"/>
      <c r="B60" s="78" t="s">
        <v>141</v>
      </c>
      <c r="C60" s="46"/>
      <c r="D60" s="147">
        <v>3000</v>
      </c>
      <c r="E60" s="78"/>
      <c r="F60" s="78"/>
      <c r="G60" s="78"/>
      <c r="H60" s="78"/>
      <c r="I60" s="46"/>
      <c r="J60" s="78"/>
    </row>
    <row r="61" spans="1:10" x14ac:dyDescent="0.25">
      <c r="A61" s="50"/>
      <c r="B61" s="46" t="s">
        <v>10</v>
      </c>
      <c r="C61" s="78"/>
      <c r="D61" s="79"/>
      <c r="E61" s="79"/>
      <c r="F61" s="78"/>
      <c r="G61" s="78"/>
      <c r="H61" s="54"/>
      <c r="I61" s="78"/>
      <c r="J61" s="78"/>
    </row>
    <row r="62" spans="1:10" x14ac:dyDescent="0.25">
      <c r="A62" s="78"/>
      <c r="B62" s="46" t="s">
        <v>69</v>
      </c>
      <c r="C62" s="78"/>
      <c r="D62" s="102">
        <f>SUM(D58:D61)</f>
        <v>110800</v>
      </c>
      <c r="E62" s="78"/>
      <c r="F62" s="78"/>
      <c r="G62" s="78"/>
      <c r="H62" s="102"/>
      <c r="I62" s="46"/>
      <c r="J62" s="78"/>
    </row>
    <row r="63" spans="1:10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  <c r="J63" s="78"/>
    </row>
    <row r="64" spans="1:10" x14ac:dyDescent="0.25">
      <c r="A64" s="50"/>
      <c r="B64" s="57" t="s">
        <v>166</v>
      </c>
      <c r="C64" s="46"/>
      <c r="D64" s="78">
        <v>6000</v>
      </c>
      <c r="E64" s="78"/>
      <c r="F64" s="78"/>
      <c r="G64" s="78"/>
      <c r="H64" s="79"/>
      <c r="I64" s="46"/>
      <c r="J64" s="78"/>
    </row>
    <row r="65" spans="1:10" x14ac:dyDescent="0.25">
      <c r="A65" s="50" t="s">
        <v>102</v>
      </c>
      <c r="B65" s="77">
        <v>0.08</v>
      </c>
      <c r="C65" s="46"/>
      <c r="D65" s="102">
        <f>B65*D58</f>
        <v>8624</v>
      </c>
      <c r="E65" s="79"/>
      <c r="F65" s="79"/>
      <c r="G65" s="102"/>
      <c r="H65" s="78"/>
      <c r="I65" s="57"/>
      <c r="J65" s="78"/>
    </row>
    <row r="66" spans="1:10" x14ac:dyDescent="0.25">
      <c r="A66" s="50"/>
      <c r="B66" s="78" t="s">
        <v>169</v>
      </c>
      <c r="C66" s="78"/>
      <c r="D66" s="78">
        <f>SUM(D64:D65)</f>
        <v>14624</v>
      </c>
      <c r="E66" s="79"/>
      <c r="F66" s="79"/>
      <c r="G66" s="78"/>
      <c r="H66" s="108"/>
      <c r="I66" s="77"/>
      <c r="J66" s="78"/>
    </row>
    <row r="67" spans="1:10" x14ac:dyDescent="0.25">
      <c r="A67" s="50"/>
      <c r="B67" s="50" t="s">
        <v>177</v>
      </c>
      <c r="C67" s="46"/>
      <c r="D67" s="126">
        <f>D62-D66</f>
        <v>96176</v>
      </c>
      <c r="E67" s="78"/>
      <c r="F67" s="79"/>
      <c r="G67" s="78"/>
      <c r="H67" s="79"/>
      <c r="I67" s="50"/>
      <c r="J67" s="78"/>
    </row>
    <row r="68" spans="1:10" x14ac:dyDescent="0.25">
      <c r="A68" s="50"/>
      <c r="B68" s="128"/>
      <c r="C68" s="46"/>
      <c r="D68" s="102"/>
      <c r="E68" s="59" t="s">
        <v>78</v>
      </c>
      <c r="F68" s="79"/>
      <c r="G68" s="78"/>
      <c r="H68" s="79"/>
      <c r="I68" s="50"/>
      <c r="J68" s="78"/>
    </row>
    <row r="69" spans="1:10" x14ac:dyDescent="0.25">
      <c r="A69" s="50"/>
      <c r="B69" s="78" t="s">
        <v>137</v>
      </c>
      <c r="C69" s="46"/>
      <c r="D69" s="102"/>
      <c r="E69" s="78"/>
      <c r="F69" s="78"/>
      <c r="G69" s="78"/>
      <c r="H69" s="78"/>
      <c r="I69" s="128"/>
      <c r="J69" s="78"/>
    </row>
    <row r="70" spans="1:10" x14ac:dyDescent="0.25">
      <c r="A70" s="79" t="s">
        <v>131</v>
      </c>
      <c r="B70" s="78"/>
      <c r="C70" s="78"/>
      <c r="D70" s="148" t="s">
        <v>164</v>
      </c>
      <c r="E70" s="79"/>
      <c r="F70" s="79" t="s">
        <v>135</v>
      </c>
      <c r="G70" s="79"/>
      <c r="H70" s="79" t="s">
        <v>130</v>
      </c>
      <c r="I70" s="78"/>
      <c r="J70" s="78"/>
    </row>
    <row r="71" spans="1:10" x14ac:dyDescent="0.25">
      <c r="A71" s="78"/>
      <c r="B71" s="78"/>
      <c r="C71" s="78"/>
      <c r="D71" s="78" t="s">
        <v>165</v>
      </c>
      <c r="E71" s="78"/>
      <c r="F71" s="79" t="s">
        <v>132</v>
      </c>
      <c r="G71" s="79"/>
      <c r="H71" s="79" t="s">
        <v>133</v>
      </c>
      <c r="I71" s="78"/>
      <c r="J71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47" workbookViewId="0">
      <selection activeCell="B66" sqref="B66"/>
    </sheetView>
  </sheetViews>
  <sheetFormatPr defaultRowHeight="15" x14ac:dyDescent="0.25"/>
  <cols>
    <col min="2" max="2" width="14.28515625" customWidth="1"/>
    <col min="4" max="4" width="11.28515625" customWidth="1"/>
  </cols>
  <sheetData>
    <row r="1" spans="1:10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78"/>
    </row>
    <row r="2" spans="1:10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8"/>
    </row>
    <row r="3" spans="1:10" ht="21" x14ac:dyDescent="0.25">
      <c r="A3" s="8"/>
      <c r="B3" s="64" t="s">
        <v>174</v>
      </c>
      <c r="C3" s="11"/>
      <c r="D3" s="11"/>
      <c r="E3" s="11"/>
      <c r="F3" s="103"/>
      <c r="G3" s="103"/>
      <c r="H3" s="103"/>
      <c r="I3" s="78"/>
      <c r="J3" s="78"/>
    </row>
    <row r="4" spans="1:10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78"/>
    </row>
    <row r="5" spans="1:10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  <c r="J5" s="78"/>
    </row>
    <row r="6" spans="1:10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  <c r="J6" s="78"/>
    </row>
    <row r="7" spans="1:10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  <c r="J7" s="78"/>
    </row>
    <row r="8" spans="1:10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  <c r="J8" s="78"/>
    </row>
    <row r="9" spans="1:10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  <c r="J9" s="78"/>
    </row>
    <row r="10" spans="1:10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  <c r="J10" s="78"/>
    </row>
    <row r="11" spans="1:10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  <c r="J11" s="78"/>
    </row>
    <row r="12" spans="1:10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  <c r="J12" s="78"/>
    </row>
    <row r="13" spans="1:10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  <c r="J13" s="78"/>
    </row>
    <row r="14" spans="1:10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  <c r="J14" s="78"/>
    </row>
    <row r="15" spans="1:10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  <c r="J15" s="78"/>
    </row>
    <row r="16" spans="1:10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  <c r="J16" s="78"/>
    </row>
    <row r="17" spans="1:10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  <c r="J17" s="78"/>
    </row>
    <row r="18" spans="1:10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  <c r="J18" s="78"/>
    </row>
    <row r="19" spans="1:10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  <c r="J19" s="78"/>
    </row>
    <row r="20" spans="1:10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  <c r="J20" s="78"/>
    </row>
    <row r="21" spans="1:10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  <c r="J21" s="78"/>
    </row>
    <row r="22" spans="1:10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  <c r="J22" s="78"/>
    </row>
    <row r="23" spans="1:10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  <c r="J23" s="78"/>
    </row>
    <row r="24" spans="1:10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  <c r="J24" s="78"/>
    </row>
    <row r="25" spans="1:10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  <c r="J25" s="78"/>
    </row>
    <row r="26" spans="1:10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  <c r="J26" s="78"/>
    </row>
    <row r="27" spans="1:10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  <c r="J27" s="78"/>
    </row>
    <row r="28" spans="1:10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  <c r="J28" s="78"/>
    </row>
    <row r="29" spans="1:10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78"/>
    </row>
    <row r="30" spans="1:10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  <c r="J30" s="78"/>
    </row>
    <row r="31" spans="1:10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  <c r="J32" s="78"/>
    </row>
    <row r="33" spans="1:11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  <c r="J33" s="78"/>
    </row>
    <row r="34" spans="1:11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  <c r="J34" s="78"/>
    </row>
    <row r="35" spans="1:11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  <c r="J35" s="78"/>
    </row>
    <row r="36" spans="1:11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  <c r="J36" s="78"/>
    </row>
    <row r="37" spans="1:11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  <c r="J37" s="78"/>
    </row>
    <row r="38" spans="1:11" x14ac:dyDescent="0.25">
      <c r="A38" s="93" t="s">
        <v>116</v>
      </c>
      <c r="B38" s="84" t="s">
        <v>149</v>
      </c>
      <c r="C38" s="94"/>
      <c r="D38" s="92">
        <v>0</v>
      </c>
      <c r="E38" s="94">
        <v>2500</v>
      </c>
      <c r="F38" s="95">
        <v>2500</v>
      </c>
      <c r="G38" s="115"/>
      <c r="H38" s="113"/>
      <c r="I38" s="78"/>
      <c r="J38" s="78"/>
      <c r="K38">
        <v>15000</v>
      </c>
    </row>
    <row r="39" spans="1:11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  <c r="J39" s="78"/>
      <c r="K39">
        <v>9000</v>
      </c>
    </row>
    <row r="40" spans="1:11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  <c r="J40" s="78"/>
      <c r="K40">
        <f>SUM(K38:K39)</f>
        <v>24000</v>
      </c>
    </row>
    <row r="41" spans="1:11" x14ac:dyDescent="0.25">
      <c r="A41" s="83" t="s">
        <v>123</v>
      </c>
      <c r="B41" s="121" t="s">
        <v>107</v>
      </c>
      <c r="C41" s="85"/>
      <c r="D41" s="92"/>
      <c r="E41" s="85">
        <v>2500</v>
      </c>
      <c r="F41" s="86">
        <v>2500</v>
      </c>
      <c r="G41" s="98"/>
      <c r="H41" s="113"/>
      <c r="I41" s="78"/>
      <c r="J41" s="78"/>
    </row>
    <row r="42" spans="1:11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  <c r="J42" s="78"/>
    </row>
    <row r="43" spans="1:11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  <c r="J43" s="78"/>
    </row>
    <row r="44" spans="1:11" x14ac:dyDescent="0.25">
      <c r="A44" s="96"/>
      <c r="B44" s="84"/>
      <c r="C44" s="86"/>
      <c r="D44" s="92"/>
      <c r="E44" s="98">
        <f ca="1">SUM(E33:E44)</f>
        <v>390237012000</v>
      </c>
      <c r="F44" s="98">
        <f>SUM(F33:F43)</f>
        <v>22000</v>
      </c>
      <c r="G44" s="86"/>
      <c r="H44" s="113"/>
      <c r="I44" s="78"/>
      <c r="J44" s="78"/>
    </row>
    <row r="45" spans="1:11" x14ac:dyDescent="0.25">
      <c r="A45" s="97"/>
      <c r="B45" s="97"/>
      <c r="C45" s="98"/>
      <c r="D45" s="100"/>
      <c r="G45" s="98"/>
      <c r="H45" s="113"/>
      <c r="I45" s="78"/>
      <c r="J45" s="78"/>
    </row>
    <row r="46" spans="1:11" x14ac:dyDescent="0.25">
      <c r="I46" s="78"/>
      <c r="J46" s="78"/>
    </row>
    <row r="47" spans="1:11" x14ac:dyDescent="0.25">
      <c r="I47" s="78"/>
      <c r="J47" s="78"/>
    </row>
    <row r="48" spans="1:11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</row>
    <row r="49" spans="1:10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  <c r="J49" s="78"/>
    </row>
    <row r="50" spans="1:10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  <c r="J50" s="78"/>
    </row>
    <row r="51" spans="1:10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  <c r="J51" s="78"/>
    </row>
    <row r="52" spans="1:10" x14ac:dyDescent="0.25">
      <c r="A52" s="87">
        <v>4</v>
      </c>
      <c r="B52" s="116" t="s">
        <v>167</v>
      </c>
      <c r="C52" s="86"/>
      <c r="D52" s="78"/>
      <c r="E52" s="85">
        <v>4500</v>
      </c>
      <c r="F52" s="86"/>
      <c r="G52" s="86"/>
      <c r="H52" s="78"/>
      <c r="I52" s="78"/>
      <c r="J52" s="78"/>
    </row>
    <row r="53" spans="1:10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  <c r="J53" s="78"/>
    </row>
    <row r="54" spans="1:10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  <c r="I54" s="78"/>
      <c r="J54" s="78"/>
    </row>
    <row r="55" spans="1:10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</row>
    <row r="56" spans="1:10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</row>
    <row r="57" spans="1:10" x14ac:dyDescent="0.25">
      <c r="A57" s="97"/>
      <c r="B57" s="97"/>
      <c r="C57" s="98"/>
      <c r="D57" s="98"/>
      <c r="E57" s="98">
        <v>27000</v>
      </c>
      <c r="F57" s="98"/>
      <c r="G57" s="98"/>
      <c r="H57" s="78"/>
      <c r="I57" s="78"/>
      <c r="J57" s="78"/>
    </row>
    <row r="58" spans="1:10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</row>
    <row r="59" spans="1:10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78"/>
    </row>
    <row r="60" spans="1:10" x14ac:dyDescent="0.25">
      <c r="A60" s="50"/>
      <c r="B60" s="46" t="s">
        <v>67</v>
      </c>
      <c r="C60" s="50"/>
      <c r="D60" s="102">
        <f>G30+F44+E57</f>
        <v>112800</v>
      </c>
      <c r="E60" s="78"/>
      <c r="F60" s="78"/>
      <c r="G60" s="78"/>
      <c r="H60" s="78"/>
      <c r="I60" s="44"/>
      <c r="J60" s="78"/>
    </row>
    <row r="61" spans="1:10" x14ac:dyDescent="0.25">
      <c r="A61" s="50"/>
      <c r="B61" s="78" t="s">
        <v>141</v>
      </c>
      <c r="C61" s="46"/>
      <c r="D61" s="147">
        <v>3000</v>
      </c>
      <c r="E61" s="78"/>
      <c r="F61" s="78"/>
      <c r="G61" s="78"/>
      <c r="H61" s="78"/>
      <c r="I61" s="46"/>
      <c r="J61" s="78"/>
    </row>
    <row r="62" spans="1:10" x14ac:dyDescent="0.25">
      <c r="A62" s="78"/>
      <c r="B62" s="46" t="s">
        <v>69</v>
      </c>
      <c r="C62" s="78"/>
      <c r="D62" s="102">
        <f>SUM(D60:D61)</f>
        <v>115800</v>
      </c>
      <c r="E62" s="78"/>
      <c r="F62" s="78"/>
      <c r="G62" s="78"/>
      <c r="H62" s="102"/>
      <c r="I62" s="46"/>
      <c r="J62" s="78"/>
    </row>
    <row r="63" spans="1:10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  <c r="J63" s="78"/>
    </row>
    <row r="64" spans="1:10" x14ac:dyDescent="0.25">
      <c r="A64" s="50" t="s">
        <v>102</v>
      </c>
      <c r="B64" s="77">
        <v>0.08</v>
      </c>
      <c r="C64" s="46"/>
      <c r="D64" s="102">
        <f>B64*D60</f>
        <v>9024</v>
      </c>
      <c r="E64" s="79"/>
      <c r="F64" s="79"/>
      <c r="G64" s="102"/>
      <c r="H64" s="78"/>
      <c r="I64" s="57"/>
      <c r="J64" s="78"/>
    </row>
    <row r="65" spans="1:10" x14ac:dyDescent="0.25">
      <c r="A65" s="50"/>
      <c r="B65" s="78" t="s">
        <v>169</v>
      </c>
      <c r="C65" s="78"/>
      <c r="D65" s="78">
        <f>SUM(D64:D64)</f>
        <v>9024</v>
      </c>
      <c r="E65" s="79"/>
      <c r="F65" s="79"/>
      <c r="G65" s="78"/>
      <c r="H65" s="108"/>
      <c r="I65" s="77"/>
      <c r="J65" s="78"/>
    </row>
    <row r="66" spans="1:10" x14ac:dyDescent="0.25">
      <c r="A66" s="50"/>
      <c r="B66" s="50" t="s">
        <v>175</v>
      </c>
      <c r="C66" s="46"/>
      <c r="D66" s="126">
        <v>105000</v>
      </c>
      <c r="E66" s="78"/>
      <c r="F66" s="79"/>
      <c r="G66" s="78"/>
      <c r="H66" s="79"/>
      <c r="I66" s="50"/>
      <c r="J66" s="78"/>
    </row>
    <row r="67" spans="1:10" x14ac:dyDescent="0.25">
      <c r="A67" s="50"/>
      <c r="B67" s="150" t="s">
        <v>171</v>
      </c>
      <c r="C67" s="46"/>
      <c r="D67" s="102">
        <f>D62-D65-D66</f>
        <v>1776</v>
      </c>
      <c r="E67" s="59" t="s">
        <v>78</v>
      </c>
      <c r="F67" s="79"/>
      <c r="G67" s="78"/>
      <c r="H67" s="79"/>
      <c r="I67" s="50"/>
      <c r="J67" s="78"/>
    </row>
    <row r="68" spans="1:10" x14ac:dyDescent="0.25">
      <c r="A68" s="50"/>
      <c r="B68" s="78"/>
      <c r="C68" s="46"/>
      <c r="D68" s="102"/>
      <c r="E68" s="78"/>
      <c r="F68" s="78"/>
      <c r="G68" s="78"/>
      <c r="H68" s="78"/>
      <c r="I68" s="128"/>
      <c r="J68" s="78"/>
    </row>
    <row r="69" spans="1:10" x14ac:dyDescent="0.25">
      <c r="A69" s="79" t="s">
        <v>131</v>
      </c>
      <c r="B69" s="78"/>
      <c r="C69" s="78"/>
      <c r="D69" s="148" t="s">
        <v>164</v>
      </c>
      <c r="E69" s="79"/>
      <c r="F69" s="79" t="s">
        <v>135</v>
      </c>
      <c r="G69" s="79"/>
      <c r="H69" s="79" t="s">
        <v>130</v>
      </c>
      <c r="I69" s="78"/>
      <c r="J69" s="78"/>
    </row>
    <row r="70" spans="1:10" x14ac:dyDescent="0.25">
      <c r="A70" s="78"/>
      <c r="B70" s="78"/>
      <c r="C70" s="78"/>
      <c r="D70" s="78" t="s">
        <v>165</v>
      </c>
      <c r="E70" s="78"/>
      <c r="F70" s="79" t="s">
        <v>132</v>
      </c>
      <c r="G70" s="79"/>
      <c r="H70" s="79" t="s">
        <v>133</v>
      </c>
      <c r="I70" s="78"/>
      <c r="J70" s="78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49" workbookViewId="0">
      <selection activeCell="D60" sqref="D60"/>
    </sheetView>
  </sheetViews>
  <sheetFormatPr defaultRowHeight="15" x14ac:dyDescent="0.25"/>
  <cols>
    <col min="4" max="4" width="12.14062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174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</row>
    <row r="13" spans="1:8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</row>
    <row r="36" spans="1:8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ht="22.5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149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107</v>
      </c>
      <c r="C41" s="85"/>
      <c r="D41" s="92"/>
      <c r="E41" s="85">
        <v>2500</v>
      </c>
      <c r="F41" s="86">
        <v>2500</v>
      </c>
      <c r="G41" s="98"/>
      <c r="H41" s="113"/>
    </row>
    <row r="42" spans="1:8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</row>
    <row r="44" spans="1:8" x14ac:dyDescent="0.25">
      <c r="A44" s="96"/>
      <c r="B44" s="84"/>
      <c r="C44" s="86"/>
      <c r="D44" s="92"/>
      <c r="E44" s="98">
        <f ca="1">SUM(E33:E44)</f>
        <v>390237012000</v>
      </c>
      <c r="F44" s="98">
        <f ca="1">SUM(F33:F44)</f>
        <v>390237012000</v>
      </c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</row>
    <row r="50" spans="1:8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167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v>27000</v>
      </c>
      <c r="F57" s="98"/>
      <c r="G57" s="98"/>
      <c r="H57" s="78"/>
    </row>
    <row r="58" spans="1:8" x14ac:dyDescent="0.25">
      <c r="A58" s="79"/>
      <c r="B58" s="79"/>
      <c r="C58" s="106"/>
      <c r="D58" s="107"/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f ca="1">G30+F44+E57</f>
        <v>390237102800</v>
      </c>
      <c r="E60" s="78"/>
      <c r="F60" s="78"/>
      <c r="G60" s="78"/>
      <c r="H60" s="78"/>
    </row>
    <row r="61" spans="1:8" x14ac:dyDescent="0.25">
      <c r="A61" s="50"/>
      <c r="B61" s="78" t="s">
        <v>141</v>
      </c>
      <c r="C61" s="46"/>
      <c r="D61" s="147">
        <v>3000</v>
      </c>
      <c r="E61" s="78"/>
      <c r="F61" s="78"/>
      <c r="G61" s="78"/>
      <c r="H61" s="78"/>
    </row>
    <row r="62" spans="1:8" x14ac:dyDescent="0.25">
      <c r="A62" s="78"/>
      <c r="B62" s="46" t="s">
        <v>69</v>
      </c>
      <c r="C62" s="78"/>
      <c r="D62" s="102">
        <f ca="1">SUM(D60:D61)</f>
        <v>390237105800</v>
      </c>
      <c r="E62" s="78"/>
      <c r="F62" s="78"/>
      <c r="G62" s="78"/>
      <c r="H62" s="102"/>
    </row>
    <row r="63" spans="1:8" x14ac:dyDescent="0.25">
      <c r="A63" s="50"/>
      <c r="B63" s="57" t="s">
        <v>70</v>
      </c>
      <c r="C63" s="46"/>
      <c r="D63" s="78"/>
      <c r="E63" s="78"/>
      <c r="F63" s="78"/>
      <c r="G63" s="78"/>
      <c r="H63" s="79"/>
    </row>
    <row r="64" spans="1:8" x14ac:dyDescent="0.25">
      <c r="A64" s="50" t="s">
        <v>102</v>
      </c>
      <c r="B64" s="77">
        <v>0.08</v>
      </c>
      <c r="C64" s="46"/>
      <c r="D64" s="102">
        <f ca="1">B64*D60</f>
        <v>31218968224</v>
      </c>
      <c r="E64" s="79"/>
      <c r="F64" s="79"/>
      <c r="G64" s="102"/>
      <c r="H64" s="78"/>
    </row>
    <row r="65" spans="1:8" x14ac:dyDescent="0.25">
      <c r="A65" s="50"/>
      <c r="B65" s="78" t="s">
        <v>169</v>
      </c>
      <c r="C65" s="78"/>
      <c r="D65" s="78">
        <f ca="1">SUM(D64:D64)</f>
        <v>31218968224</v>
      </c>
      <c r="E65" s="79"/>
      <c r="F65" s="79"/>
      <c r="G65" s="78"/>
      <c r="H65" s="108"/>
    </row>
    <row r="66" spans="1:8" x14ac:dyDescent="0.25">
      <c r="A66" s="50"/>
      <c r="B66" s="50" t="s">
        <v>175</v>
      </c>
      <c r="C66" s="46"/>
      <c r="D66" s="126">
        <v>105000</v>
      </c>
      <c r="E66" s="78"/>
      <c r="F66" s="79"/>
      <c r="G66" s="78"/>
      <c r="H66" s="79"/>
    </row>
    <row r="67" spans="1:8" x14ac:dyDescent="0.25">
      <c r="A67" s="50"/>
      <c r="B67" s="150" t="s">
        <v>171</v>
      </c>
      <c r="C67" s="46"/>
      <c r="D67" s="102">
        <f ca="1">D62-D65-D66</f>
        <v>359018032576</v>
      </c>
      <c r="E67" s="59" t="s">
        <v>78</v>
      </c>
      <c r="F67" s="79"/>
      <c r="G67" s="78"/>
      <c r="H67" s="79"/>
    </row>
    <row r="68" spans="1:8" x14ac:dyDescent="0.25">
      <c r="A68" s="50"/>
      <c r="B68" s="78"/>
      <c r="C68" s="46"/>
      <c r="D68" s="102"/>
      <c r="E68" s="78"/>
      <c r="F68" s="78"/>
      <c r="G68" s="78"/>
      <c r="H68" s="78"/>
    </row>
    <row r="69" spans="1:8" x14ac:dyDescent="0.25">
      <c r="A69" s="79" t="s">
        <v>131</v>
      </c>
      <c r="B69" s="78"/>
      <c r="C69" s="78"/>
      <c r="D69" s="148" t="s">
        <v>164</v>
      </c>
      <c r="E69" s="79"/>
      <c r="F69" s="79" t="s">
        <v>135</v>
      </c>
      <c r="G69" s="79"/>
      <c r="H69" s="79" t="s">
        <v>130</v>
      </c>
    </row>
    <row r="70" spans="1:8" x14ac:dyDescent="0.25">
      <c r="A70" s="78"/>
      <c r="B70" s="78"/>
      <c r="C70" s="78"/>
      <c r="D70" s="78" t="s">
        <v>165</v>
      </c>
      <c r="E70" s="78"/>
      <c r="F70" s="79" t="s">
        <v>132</v>
      </c>
      <c r="G70" s="79"/>
      <c r="H70" s="79" t="s">
        <v>133</v>
      </c>
    </row>
    <row r="71" spans="1:8" x14ac:dyDescent="0.25">
      <c r="A71" s="78"/>
      <c r="B71" s="78"/>
      <c r="C71" s="78"/>
      <c r="D71" s="78"/>
      <c r="E71" s="78"/>
      <c r="F71" s="78"/>
      <c r="G71" s="78"/>
      <c r="H71" s="78"/>
    </row>
    <row r="72" spans="1:8" x14ac:dyDescent="0.25">
      <c r="A72" s="78"/>
      <c r="B72" s="78"/>
      <c r="C72" s="78"/>
      <c r="D72" s="78"/>
      <c r="E72" s="78"/>
      <c r="F72" s="78"/>
      <c r="G72" s="78"/>
      <c r="H72" s="78"/>
    </row>
    <row r="73" spans="1:8" x14ac:dyDescent="0.25">
      <c r="A73" s="78"/>
      <c r="B73" s="78"/>
      <c r="C73" s="78"/>
      <c r="D73" s="78"/>
      <c r="E73" s="78"/>
      <c r="F73" s="78"/>
      <c r="G73" s="78"/>
      <c r="H73" s="78"/>
    </row>
    <row r="74" spans="1:8" x14ac:dyDescent="0.25">
      <c r="A74" s="78"/>
      <c r="B74" s="78"/>
      <c r="C74" s="78"/>
      <c r="D74" s="78"/>
      <c r="E74" s="78"/>
      <c r="F74" s="78"/>
      <c r="G74" s="78"/>
      <c r="H74" s="78"/>
    </row>
    <row r="75" spans="1:8" x14ac:dyDescent="0.25">
      <c r="A75" s="78"/>
      <c r="B75" s="78"/>
      <c r="C75" s="78"/>
      <c r="D75" s="78"/>
      <c r="E75" s="78"/>
      <c r="F75" s="78"/>
      <c r="G75" s="78"/>
      <c r="H75" s="78"/>
    </row>
    <row r="76" spans="1:8" x14ac:dyDescent="0.25">
      <c r="A76" s="78"/>
      <c r="B76" s="78"/>
      <c r="C76" s="78"/>
      <c r="D76" s="78"/>
      <c r="E76" s="78"/>
      <c r="F76" s="78"/>
      <c r="G76" s="78"/>
      <c r="H76" s="78"/>
    </row>
    <row r="77" spans="1:8" x14ac:dyDescent="0.25">
      <c r="A77" s="78"/>
      <c r="B77" s="78"/>
      <c r="C77" s="78"/>
      <c r="D77" s="78"/>
      <c r="E77" s="78"/>
      <c r="F77" s="78"/>
      <c r="G77" s="78"/>
      <c r="H77" s="78"/>
    </row>
    <row r="78" spans="1:8" x14ac:dyDescent="0.25">
      <c r="A78" s="78"/>
      <c r="B78" s="78"/>
      <c r="C78" s="78"/>
      <c r="D78" s="78"/>
      <c r="E78" s="78"/>
      <c r="F78" s="78"/>
      <c r="G78" s="78"/>
      <c r="H78" s="78"/>
    </row>
    <row r="79" spans="1:8" x14ac:dyDescent="0.25">
      <c r="A79" s="78"/>
      <c r="B79" s="78"/>
      <c r="C79" s="78"/>
      <c r="D79" s="78"/>
      <c r="E79" s="78"/>
      <c r="F79" s="78"/>
      <c r="G79" s="78"/>
      <c r="H79" s="78"/>
    </row>
    <row r="80" spans="1:8" x14ac:dyDescent="0.25">
      <c r="A80" s="78"/>
      <c r="B80" s="78"/>
      <c r="C80" s="78"/>
      <c r="D80" s="78"/>
      <c r="E80" s="78"/>
      <c r="F80" s="78"/>
      <c r="G80" s="78"/>
      <c r="H80" s="78"/>
    </row>
    <row r="81" spans="1:8" x14ac:dyDescent="0.25">
      <c r="A81" s="78"/>
      <c r="B81" s="78"/>
      <c r="C81" s="78"/>
      <c r="D81" s="78"/>
      <c r="E81" s="78"/>
      <c r="F81" s="78"/>
      <c r="G81" s="78"/>
      <c r="H81" s="78"/>
    </row>
    <row r="82" spans="1:8" x14ac:dyDescent="0.25">
      <c r="A82" s="78"/>
      <c r="B82" s="78"/>
      <c r="C82" s="78"/>
      <c r="D82" s="78"/>
      <c r="E82" s="78"/>
      <c r="F82" s="78"/>
      <c r="G82" s="78"/>
      <c r="H82" s="78"/>
    </row>
    <row r="83" spans="1:8" x14ac:dyDescent="0.25">
      <c r="A83" s="78"/>
      <c r="B83" s="78"/>
      <c r="C83" s="78"/>
      <c r="D83" s="78"/>
      <c r="E83" s="78"/>
      <c r="F83" s="78"/>
      <c r="G83" s="78"/>
      <c r="H83" s="78"/>
    </row>
    <row r="84" spans="1:8" x14ac:dyDescent="0.25">
      <c r="A84" s="78"/>
      <c r="B84" s="78"/>
      <c r="C84" s="78"/>
      <c r="D84" s="78"/>
      <c r="E84" s="78"/>
      <c r="F84" s="78"/>
      <c r="G84" s="78"/>
      <c r="H84" s="78"/>
    </row>
    <row r="85" spans="1:8" x14ac:dyDescent="0.25">
      <c r="A85" s="78"/>
      <c r="B85" s="78"/>
      <c r="C85" s="78"/>
      <c r="D85" s="78"/>
      <c r="E85" s="78"/>
      <c r="F85" s="78"/>
      <c r="G85" s="78"/>
      <c r="H85" s="78"/>
    </row>
    <row r="87" spans="1:8" x14ac:dyDescent="0.25">
      <c r="E87" t="s">
        <v>215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49" sqref="B49"/>
    </sheetView>
  </sheetViews>
  <sheetFormatPr defaultRowHeight="15" x14ac:dyDescent="0.25"/>
  <cols>
    <col min="2" max="2" width="20" customWidth="1"/>
    <col min="4" max="4" width="13" customWidth="1"/>
    <col min="5" max="6" width="9.5703125" bestFit="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190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13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13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13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13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13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K21">
        <v>150</v>
      </c>
      <c r="L21">
        <v>4</v>
      </c>
      <c r="M21">
        <f>K21*L21</f>
        <v>600</v>
      </c>
    </row>
    <row r="22" spans="1:13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13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13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13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13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13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13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13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13" x14ac:dyDescent="0.25">
      <c r="A30" s="38"/>
      <c r="B30" s="39" t="s">
        <v>65</v>
      </c>
      <c r="C30" s="38"/>
      <c r="D30" s="149"/>
      <c r="E30" s="40">
        <f>SUM(E5:E29)</f>
        <v>59025</v>
      </c>
      <c r="F30" s="42">
        <f>SUM(F5:F28)</f>
        <v>2300</v>
      </c>
      <c r="G30" s="18">
        <f>SUM(G5:G29)</f>
        <v>63700</v>
      </c>
      <c r="H30" s="40">
        <f>SUM(H5:H29)</f>
        <v>0</v>
      </c>
    </row>
    <row r="31" spans="1:13" x14ac:dyDescent="0.25">
      <c r="A31" s="78"/>
      <c r="B31" s="78"/>
      <c r="C31" s="78"/>
      <c r="D31" s="78"/>
      <c r="E31" s="78"/>
      <c r="F31" s="78"/>
      <c r="G31" s="78"/>
      <c r="H31" s="78"/>
    </row>
    <row r="32" spans="1:13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10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10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10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  <c r="J35" s="102">
        <f>G30+F44+E57</f>
        <v>86200</v>
      </c>
    </row>
    <row r="36" spans="1:10" ht="14.25" customHeight="1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10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10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10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10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10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10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10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10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10" x14ac:dyDescent="0.25">
      <c r="A45" s="97"/>
      <c r="B45" s="97"/>
      <c r="C45" s="98"/>
      <c r="D45" s="100"/>
      <c r="E45" s="78"/>
      <c r="F45" s="78"/>
      <c r="G45" s="98"/>
      <c r="H45" s="113"/>
    </row>
    <row r="46" spans="1:10" x14ac:dyDescent="0.25">
      <c r="A46" s="78"/>
      <c r="B46" s="78"/>
      <c r="C46" s="78"/>
      <c r="D46" s="78"/>
      <c r="E46" s="78"/>
      <c r="F46" s="78"/>
      <c r="G46" s="78"/>
      <c r="H46" s="78"/>
    </row>
    <row r="47" spans="1:10" x14ac:dyDescent="0.25">
      <c r="A47" s="78"/>
      <c r="B47" s="78"/>
      <c r="C47" s="78"/>
      <c r="D47" s="78"/>
      <c r="E47" s="78"/>
      <c r="F47" s="78"/>
      <c r="G47" s="78"/>
      <c r="H47" s="78"/>
    </row>
    <row r="48" spans="1:10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/>
      <c r="C49" s="85"/>
      <c r="D49" s="86"/>
      <c r="E49" s="86"/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f>SUM(E50:E56)</f>
        <v>22500</v>
      </c>
      <c r="F57" s="98"/>
      <c r="G57" s="98"/>
      <c r="H57" s="78"/>
    </row>
    <row r="58" spans="1:8" x14ac:dyDescent="0.25">
      <c r="A58" s="79"/>
      <c r="B58" s="79"/>
      <c r="C58" s="106"/>
      <c r="D58" s="107">
        <v>63700</v>
      </c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>
        <v>21500</v>
      </c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v>22500</v>
      </c>
      <c r="E60" s="78"/>
      <c r="F60" s="78"/>
      <c r="G60" s="78"/>
      <c r="H60" s="78"/>
    </row>
    <row r="61" spans="1:8" x14ac:dyDescent="0.25">
      <c r="A61" s="50"/>
      <c r="D61" s="102">
        <f>SUM(D58:D60)</f>
        <v>107700</v>
      </c>
      <c r="F61" s="78"/>
      <c r="G61" s="78"/>
      <c r="H61" s="78"/>
    </row>
    <row r="62" spans="1:8" x14ac:dyDescent="0.25">
      <c r="A62" s="78"/>
      <c r="B62" s="78" t="s">
        <v>141</v>
      </c>
      <c r="C62" s="46"/>
      <c r="D62" s="147">
        <v>3000</v>
      </c>
      <c r="F62" s="78"/>
      <c r="G62" s="78"/>
      <c r="H62" s="102"/>
    </row>
    <row r="63" spans="1:8" x14ac:dyDescent="0.25">
      <c r="A63" s="50"/>
      <c r="D63" s="102">
        <f>SUM(D61:D62)</f>
        <v>110700</v>
      </c>
      <c r="E63" s="78"/>
      <c r="F63" s="78"/>
      <c r="G63" s="78"/>
      <c r="H63" s="79"/>
    </row>
    <row r="64" spans="1:8" x14ac:dyDescent="0.25">
      <c r="A64" s="50"/>
      <c r="B64" s="46"/>
      <c r="C64" s="78"/>
      <c r="D64" s="102"/>
      <c r="E64" s="78"/>
      <c r="F64" s="79"/>
      <c r="G64" s="102"/>
      <c r="H64" s="78"/>
    </row>
    <row r="65" spans="1:11" x14ac:dyDescent="0.25">
      <c r="A65" s="50"/>
      <c r="B65" s="57" t="s">
        <v>70</v>
      </c>
      <c r="C65" s="46"/>
      <c r="D65" s="78"/>
      <c r="E65" s="78"/>
      <c r="F65" s="79"/>
      <c r="G65" s="78"/>
      <c r="H65" s="108"/>
    </row>
    <row r="66" spans="1:11" x14ac:dyDescent="0.25">
      <c r="A66" s="50"/>
      <c r="B66" s="77">
        <v>0.08</v>
      </c>
      <c r="C66" s="46"/>
      <c r="D66" s="102">
        <f>B66*D61</f>
        <v>8616</v>
      </c>
      <c r="E66" s="79"/>
      <c r="F66" s="79"/>
      <c r="G66" s="78"/>
      <c r="H66" s="79"/>
    </row>
    <row r="67" spans="1:11" x14ac:dyDescent="0.25">
      <c r="A67" s="50"/>
      <c r="B67" s="50" t="s">
        <v>189</v>
      </c>
      <c r="D67">
        <v>3500</v>
      </c>
      <c r="E67" s="79"/>
      <c r="F67" s="79"/>
      <c r="G67" s="78"/>
      <c r="H67" s="79"/>
    </row>
    <row r="68" spans="1:11" x14ac:dyDescent="0.25">
      <c r="A68" s="50"/>
      <c r="B68" s="78" t="s">
        <v>169</v>
      </c>
      <c r="C68" s="78"/>
      <c r="D68" s="102">
        <f>SUM(D66:D67)</f>
        <v>12116</v>
      </c>
      <c r="E68" s="78"/>
      <c r="F68" s="78"/>
      <c r="G68" s="78"/>
      <c r="H68" s="78"/>
    </row>
    <row r="69" spans="1:11" x14ac:dyDescent="0.25">
      <c r="A69" s="79" t="s">
        <v>131</v>
      </c>
      <c r="C69" s="46"/>
      <c r="D69" s="126"/>
      <c r="E69" s="59" t="s">
        <v>78</v>
      </c>
      <c r="F69" s="79" t="s">
        <v>135</v>
      </c>
      <c r="G69" s="79"/>
      <c r="H69" s="79" t="s">
        <v>130</v>
      </c>
    </row>
    <row r="70" spans="1:11" x14ac:dyDescent="0.25">
      <c r="A70" s="78"/>
      <c r="B70" s="150"/>
      <c r="C70" s="46"/>
      <c r="D70" s="102">
        <f>D63-D68</f>
        <v>98584</v>
      </c>
      <c r="E70" s="78"/>
      <c r="F70" s="79" t="s">
        <v>132</v>
      </c>
      <c r="G70" s="79"/>
      <c r="H70" s="79" t="s">
        <v>133</v>
      </c>
    </row>
    <row r="71" spans="1:11" x14ac:dyDescent="0.25">
      <c r="A71" s="78"/>
      <c r="B71" s="78"/>
      <c r="C71" s="46"/>
      <c r="D71" s="102"/>
      <c r="E71" s="79"/>
      <c r="F71" s="78"/>
      <c r="G71" s="78"/>
      <c r="H71" s="78"/>
    </row>
    <row r="72" spans="1:11" x14ac:dyDescent="0.25">
      <c r="A72" s="78"/>
      <c r="B72" s="78"/>
      <c r="C72" s="78"/>
      <c r="D72" s="148" t="s">
        <v>164</v>
      </c>
      <c r="E72" s="78"/>
      <c r="F72" s="78"/>
      <c r="G72" s="78"/>
      <c r="H72" s="78"/>
    </row>
    <row r="73" spans="1:11" x14ac:dyDescent="0.25">
      <c r="B73" s="78"/>
      <c r="C73" s="78"/>
      <c r="D73" s="78" t="s">
        <v>165</v>
      </c>
      <c r="E73" s="78"/>
      <c r="I73">
        <v>57000</v>
      </c>
      <c r="J73">
        <v>80000</v>
      </c>
      <c r="K73">
        <f>I73-J73</f>
        <v>-23000</v>
      </c>
    </row>
    <row r="74" spans="1:11" x14ac:dyDescent="0.25">
      <c r="B74" s="78"/>
      <c r="C74" s="78"/>
      <c r="D74" s="78"/>
      <c r="E74" s="78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1" workbookViewId="0">
      <selection activeCell="G81" sqref="G81"/>
    </sheetView>
  </sheetViews>
  <sheetFormatPr defaultRowHeight="15" x14ac:dyDescent="0.25"/>
  <cols>
    <col min="4" max="4" width="12.4257812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5"/>
      <c r="D2" s="5"/>
      <c r="E2" s="6" t="s">
        <v>1</v>
      </c>
      <c r="F2" s="7"/>
      <c r="G2" s="5"/>
      <c r="H2" s="5"/>
    </row>
    <row r="3" spans="1:8" ht="21" x14ac:dyDescent="0.25">
      <c r="A3" s="8"/>
      <c r="B3" s="64" t="s">
        <v>213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98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59025</v>
      </c>
      <c r="F30" s="42">
        <f>SUM(F5:F28)</f>
        <v>2300</v>
      </c>
      <c r="G30" s="18">
        <f>SUM(G5:G29)</f>
        <v>63700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ht="22.5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ht="22.5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ht="22.5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ht="22.5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ht="22.5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ht="22.5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214</v>
      </c>
      <c r="C49" s="85"/>
      <c r="D49" s="86"/>
      <c r="E49" s="86">
        <v>3500</v>
      </c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>
        <f>SUM(E49:E54)</f>
        <v>26000</v>
      </c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/>
      <c r="F57" s="98"/>
      <c r="G57" s="98"/>
      <c r="H57" s="78"/>
    </row>
    <row r="58" spans="1:8" x14ac:dyDescent="0.25">
      <c r="A58" s="79"/>
      <c r="B58" s="79"/>
      <c r="C58" s="106"/>
      <c r="D58" s="107">
        <v>63700</v>
      </c>
      <c r="E58" s="106"/>
      <c r="F58" s="108"/>
      <c r="G58" s="106"/>
      <c r="H58" s="78"/>
    </row>
    <row r="59" spans="1:8" ht="15.75" x14ac:dyDescent="0.3">
      <c r="A59" s="43"/>
      <c r="B59" s="44" t="s">
        <v>66</v>
      </c>
      <c r="C59" s="43"/>
      <c r="D59" s="45">
        <v>21500</v>
      </c>
      <c r="E59" s="46"/>
      <c r="F59" s="79"/>
      <c r="G59" s="79"/>
      <c r="H59" s="78"/>
    </row>
    <row r="60" spans="1:8" x14ac:dyDescent="0.25">
      <c r="A60" s="50"/>
      <c r="B60" s="46" t="s">
        <v>67</v>
      </c>
      <c r="C60" s="50"/>
      <c r="D60" s="102">
        <f>E55</f>
        <v>26000</v>
      </c>
      <c r="E60" s="78"/>
      <c r="F60" s="78"/>
      <c r="G60" s="78"/>
      <c r="H60" s="78"/>
    </row>
    <row r="61" spans="1:8" x14ac:dyDescent="0.25">
      <c r="A61" s="50"/>
      <c r="B61" s="78"/>
      <c r="C61" s="78"/>
      <c r="D61" s="102">
        <f>SUM(D58:D60)</f>
        <v>111200</v>
      </c>
      <c r="E61" s="78"/>
      <c r="F61" s="78"/>
      <c r="G61" s="78"/>
      <c r="H61" s="78"/>
    </row>
    <row r="62" spans="1:8" x14ac:dyDescent="0.25">
      <c r="A62" s="78"/>
      <c r="B62" s="78" t="s">
        <v>141</v>
      </c>
      <c r="C62" s="46"/>
      <c r="D62" s="147">
        <v>3000</v>
      </c>
      <c r="E62" s="78"/>
      <c r="F62" s="78"/>
      <c r="G62" s="78"/>
      <c r="H62" s="102"/>
    </row>
    <row r="63" spans="1:8" x14ac:dyDescent="0.25">
      <c r="A63" s="50"/>
      <c r="B63" s="78"/>
      <c r="C63" s="78"/>
      <c r="D63" s="102">
        <f>SUM(D61:D62)</f>
        <v>114200</v>
      </c>
      <c r="E63" s="78"/>
      <c r="F63" s="78"/>
      <c r="G63" s="78"/>
      <c r="H63" s="79"/>
    </row>
    <row r="64" spans="1:8" x14ac:dyDescent="0.25">
      <c r="A64" s="50"/>
      <c r="B64" s="46"/>
      <c r="C64" s="78"/>
      <c r="D64" s="102"/>
      <c r="E64" s="78"/>
      <c r="F64" s="79"/>
      <c r="G64" s="102"/>
      <c r="H64" s="78"/>
    </row>
    <row r="65" spans="1:8" x14ac:dyDescent="0.25">
      <c r="A65" s="50"/>
      <c r="B65" s="57" t="s">
        <v>70</v>
      </c>
      <c r="C65" s="46"/>
      <c r="D65" s="78"/>
      <c r="E65" s="78"/>
      <c r="F65" s="79"/>
      <c r="G65" s="78"/>
      <c r="H65" s="108"/>
    </row>
    <row r="66" spans="1:8" x14ac:dyDescent="0.25">
      <c r="A66" s="50"/>
      <c r="B66" s="77">
        <v>0.08</v>
      </c>
      <c r="C66" s="46"/>
      <c r="D66" s="102">
        <f>B66*D61</f>
        <v>8896</v>
      </c>
      <c r="E66" s="79"/>
      <c r="F66" s="79"/>
      <c r="G66" s="78"/>
      <c r="H66" s="79"/>
    </row>
    <row r="67" spans="1:8" x14ac:dyDescent="0.25">
      <c r="A67" s="50"/>
      <c r="B67" s="50" t="s">
        <v>189</v>
      </c>
      <c r="C67" s="78"/>
      <c r="D67" s="78">
        <v>3500</v>
      </c>
      <c r="E67" s="79"/>
      <c r="F67" s="79"/>
      <c r="G67" s="78"/>
      <c r="H67" s="79"/>
    </row>
    <row r="68" spans="1:8" x14ac:dyDescent="0.25">
      <c r="A68" s="50"/>
      <c r="B68" s="78" t="s">
        <v>169</v>
      </c>
      <c r="C68" s="78"/>
      <c r="D68" s="102">
        <f>SUM(D66:D67)</f>
        <v>12396</v>
      </c>
      <c r="E68" s="78"/>
      <c r="F68" s="78"/>
      <c r="G68" s="78"/>
      <c r="H68" s="78"/>
    </row>
    <row r="69" spans="1:8" x14ac:dyDescent="0.25">
      <c r="A69" s="79" t="s">
        <v>131</v>
      </c>
      <c r="B69" s="78"/>
      <c r="C69" s="46"/>
      <c r="D69" s="126"/>
      <c r="E69" s="59" t="s">
        <v>78</v>
      </c>
      <c r="F69" s="79" t="s">
        <v>135</v>
      </c>
      <c r="G69" s="79"/>
      <c r="H69" s="79" t="s">
        <v>130</v>
      </c>
    </row>
    <row r="70" spans="1:8" x14ac:dyDescent="0.25">
      <c r="A70" s="78"/>
      <c r="B70" s="150" t="s">
        <v>212</v>
      </c>
      <c r="C70" s="46"/>
      <c r="D70" s="102">
        <f>D63-D68</f>
        <v>101804</v>
      </c>
      <c r="E70" s="78"/>
      <c r="F70" s="79" t="s">
        <v>132</v>
      </c>
      <c r="G70" s="79"/>
      <c r="H70" s="79" t="s">
        <v>133</v>
      </c>
    </row>
    <row r="71" spans="1:8" x14ac:dyDescent="0.25">
      <c r="A71" s="78"/>
      <c r="B71" s="78"/>
      <c r="C71" s="46"/>
      <c r="D71" s="102"/>
      <c r="E71" s="79"/>
      <c r="F71" s="78"/>
      <c r="G71" s="78"/>
      <c r="H71" s="78"/>
    </row>
    <row r="72" spans="1:8" x14ac:dyDescent="0.25">
      <c r="A72" s="78"/>
      <c r="B72" s="78"/>
      <c r="C72" s="78"/>
      <c r="D72" s="148" t="s">
        <v>164</v>
      </c>
      <c r="E72" s="78"/>
      <c r="F72" s="78"/>
      <c r="G72" s="78"/>
      <c r="H72" s="78"/>
    </row>
    <row r="73" spans="1:8" x14ac:dyDescent="0.25">
      <c r="A73" s="78"/>
      <c r="B73" s="78"/>
      <c r="C73" s="78"/>
      <c r="D73" s="78" t="s">
        <v>165</v>
      </c>
      <c r="E73" s="78"/>
      <c r="F73" s="78"/>
      <c r="G73" s="78"/>
      <c r="H73" s="78"/>
    </row>
    <row r="74" spans="1:8" x14ac:dyDescent="0.25">
      <c r="A74" s="78"/>
      <c r="B74" s="78"/>
      <c r="C74" s="78"/>
      <c r="D74" s="78"/>
      <c r="E74" s="78"/>
      <c r="F74" s="78"/>
      <c r="G74" s="78"/>
      <c r="H74" s="78"/>
    </row>
  </sheetData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37" workbookViewId="0">
      <selection activeCell="E54" sqref="E54"/>
    </sheetView>
  </sheetViews>
  <sheetFormatPr defaultRowHeight="15" x14ac:dyDescent="0.25"/>
  <cols>
    <col min="1" max="1" width="9.140625" customWidth="1"/>
    <col min="2" max="2" width="17.7109375" customWidth="1"/>
    <col min="4" max="4" width="12" customWidth="1"/>
    <col min="8" max="8" width="1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200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/>
      <c r="C6" s="17"/>
      <c r="D6" s="18"/>
      <c r="E6" s="18"/>
      <c r="F6" s="18"/>
      <c r="G6" s="18"/>
      <c r="H6" s="19"/>
    </row>
    <row r="7" spans="1:8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ref="G7:G28" si="0">D7+E7+F7</f>
        <v>2600</v>
      </c>
      <c r="H7" s="19"/>
    </row>
    <row r="8" spans="1:8" x14ac:dyDescent="0.25">
      <c r="A8" s="16">
        <v>4</v>
      </c>
      <c r="B8" s="116" t="s">
        <v>107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178</v>
      </c>
      <c r="C12" s="17" t="s">
        <v>32</v>
      </c>
      <c r="D12" s="18"/>
      <c r="E12" s="18">
        <v>25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179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180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</row>
    <row r="18" spans="1:8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</row>
    <row r="19" spans="1:8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167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</row>
    <row r="27" spans="1:8" x14ac:dyDescent="0.25">
      <c r="A27" s="21">
        <v>23</v>
      </c>
      <c r="B27" s="118" t="s">
        <v>181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56525</v>
      </c>
      <c r="F30" s="42">
        <f>SUM(F5:F28)</f>
        <v>2200</v>
      </c>
      <c r="G30" s="18">
        <f>SUM(G5:G29)</f>
        <v>61100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182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/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78"/>
      <c r="C46" s="78"/>
      <c r="D46" s="78"/>
      <c r="E46" s="78"/>
      <c r="F46" s="78"/>
      <c r="G46" s="78"/>
      <c r="H46" s="78"/>
    </row>
    <row r="47" spans="1:8" x14ac:dyDescent="0.25">
      <c r="A47" s="78"/>
      <c r="B47" s="78"/>
      <c r="C47" s="78"/>
      <c r="D47" s="78"/>
      <c r="E47" s="78"/>
      <c r="F47" s="78"/>
      <c r="G47" s="78"/>
      <c r="H47" s="78"/>
    </row>
    <row r="48" spans="1:8" x14ac:dyDescent="0.25">
      <c r="A48" s="109"/>
      <c r="B48" s="109"/>
      <c r="C48" s="111"/>
      <c r="D48" s="112"/>
      <c r="E48" s="111"/>
      <c r="F48" s="111"/>
      <c r="G48" s="111"/>
      <c r="H48" s="78"/>
    </row>
    <row r="49" spans="1:8" x14ac:dyDescent="0.25">
      <c r="A49" s="83">
        <v>1</v>
      </c>
      <c r="B49" s="116" t="s">
        <v>197</v>
      </c>
      <c r="C49" s="85"/>
      <c r="D49" s="86"/>
      <c r="E49" s="86">
        <v>3500</v>
      </c>
      <c r="F49" s="86"/>
      <c r="G49" s="86"/>
      <c r="H49" s="78"/>
    </row>
    <row r="50" spans="1:8" x14ac:dyDescent="0.25">
      <c r="A50" s="83">
        <v>2</v>
      </c>
      <c r="B50" s="116" t="s">
        <v>188</v>
      </c>
      <c r="C50" s="85"/>
      <c r="D50" s="86"/>
      <c r="E50" s="85">
        <v>4500</v>
      </c>
      <c r="F50" s="86"/>
      <c r="G50" s="86"/>
      <c r="H50" s="78"/>
    </row>
    <row r="51" spans="1:8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</row>
    <row r="52" spans="1:8" x14ac:dyDescent="0.25">
      <c r="A52" s="87">
        <v>4</v>
      </c>
      <c r="B52" s="116" t="s">
        <v>188</v>
      </c>
      <c r="C52" s="86"/>
      <c r="D52" s="78"/>
      <c r="E52" s="85">
        <v>4500</v>
      </c>
      <c r="F52" s="86"/>
      <c r="G52" s="86"/>
      <c r="H52" s="78"/>
    </row>
    <row r="53" spans="1:8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</row>
    <row r="54" spans="1:8" x14ac:dyDescent="0.25">
      <c r="A54" s="93">
        <v>6</v>
      </c>
      <c r="B54" s="116" t="s">
        <v>170</v>
      </c>
      <c r="C54" s="85"/>
      <c r="D54" s="86"/>
      <c r="E54" s="85">
        <v>4500</v>
      </c>
      <c r="F54" s="86"/>
      <c r="G54" s="86"/>
      <c r="H54" s="78"/>
    </row>
    <row r="55" spans="1:8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</row>
    <row r="56" spans="1:8" x14ac:dyDescent="0.25">
      <c r="A56" s="96"/>
      <c r="B56" s="84"/>
      <c r="C56" s="86"/>
      <c r="D56" s="92"/>
      <c r="E56" s="86"/>
      <c r="F56" s="86"/>
      <c r="G56" s="86"/>
      <c r="H56" s="78"/>
    </row>
    <row r="57" spans="1:8" x14ac:dyDescent="0.25">
      <c r="A57" s="97"/>
      <c r="B57" s="97"/>
      <c r="C57" s="98"/>
      <c r="D57" s="98"/>
      <c r="E57" s="98">
        <f>SUM(E49:E56)</f>
        <v>26000</v>
      </c>
      <c r="F57" s="98"/>
      <c r="G57" s="98"/>
      <c r="H57" s="78"/>
    </row>
    <row r="58" spans="1:8" x14ac:dyDescent="0.25">
      <c r="A58" s="79"/>
      <c r="B58" s="79" t="s">
        <v>193</v>
      </c>
      <c r="C58" s="106"/>
      <c r="D58" s="107">
        <f>G30+F43+E57</f>
        <v>108600</v>
      </c>
      <c r="E58" s="106"/>
      <c r="F58" s="108"/>
      <c r="G58" s="106"/>
      <c r="H58" s="78"/>
    </row>
    <row r="59" spans="1:8" ht="15.75" x14ac:dyDescent="0.3">
      <c r="A59" s="43"/>
      <c r="B59" s="78" t="s">
        <v>141</v>
      </c>
      <c r="C59" s="46"/>
      <c r="D59" s="147">
        <v>3000</v>
      </c>
      <c r="E59" s="46"/>
      <c r="F59" s="79"/>
      <c r="G59" s="79"/>
      <c r="H59" s="78"/>
    </row>
    <row r="60" spans="1:8" x14ac:dyDescent="0.25">
      <c r="A60" s="50" t="s">
        <v>198</v>
      </c>
      <c r="B60" s="57" t="s">
        <v>193</v>
      </c>
      <c r="C60" s="46"/>
      <c r="D60" s="102">
        <f>SUM(D58:D59)</f>
        <v>111600</v>
      </c>
      <c r="E60" s="78"/>
      <c r="F60" s="78"/>
      <c r="G60" s="78"/>
      <c r="H60" s="78"/>
    </row>
    <row r="61" spans="1:8" x14ac:dyDescent="0.25">
      <c r="A61" s="50"/>
      <c r="B61" t="s">
        <v>194</v>
      </c>
      <c r="C61" s="78"/>
      <c r="D61" s="102">
        <f>B6</f>
        <v>0</v>
      </c>
      <c r="E61" s="78"/>
      <c r="F61" s="78"/>
      <c r="G61" s="78"/>
      <c r="H61" s="78"/>
    </row>
    <row r="62" spans="1:8" x14ac:dyDescent="0.25">
      <c r="A62" s="78"/>
      <c r="B62" s="77" t="s">
        <v>195</v>
      </c>
      <c r="C62" s="153">
        <v>0.08</v>
      </c>
      <c r="D62" s="102">
        <f>C62*D60</f>
        <v>8928</v>
      </c>
      <c r="E62" s="78"/>
      <c r="F62" s="78"/>
      <c r="G62" s="78"/>
      <c r="H62" s="102"/>
    </row>
    <row r="63" spans="1:8" x14ac:dyDescent="0.25">
      <c r="A63" s="50"/>
      <c r="B63" s="78" t="s">
        <v>196</v>
      </c>
      <c r="C63" s="78"/>
      <c r="D63" s="102">
        <v>5700</v>
      </c>
      <c r="E63" s="78"/>
      <c r="F63" s="78"/>
      <c r="G63" s="78"/>
      <c r="H63" s="79"/>
    </row>
    <row r="64" spans="1:8" x14ac:dyDescent="0.25">
      <c r="A64" s="50" t="s">
        <v>201</v>
      </c>
      <c r="B64" s="154" t="s">
        <v>193</v>
      </c>
      <c r="C64" s="155"/>
      <c r="D64" s="156">
        <f>SUM(D62:D63)</f>
        <v>14628</v>
      </c>
      <c r="E64" s="78"/>
      <c r="F64" s="79"/>
      <c r="G64" s="102"/>
      <c r="H64" s="78"/>
    </row>
    <row r="65" spans="1:11" x14ac:dyDescent="0.25">
      <c r="A65" s="50" t="s">
        <v>202</v>
      </c>
      <c r="B65" t="s">
        <v>199</v>
      </c>
      <c r="D65" s="102">
        <f>D60-D64</f>
        <v>96972</v>
      </c>
      <c r="E65" s="78"/>
      <c r="F65" s="79"/>
      <c r="G65" s="78"/>
      <c r="H65" s="108"/>
    </row>
    <row r="66" spans="1:11" x14ac:dyDescent="0.25">
      <c r="A66" s="50"/>
      <c r="B66" s="59" t="s">
        <v>78</v>
      </c>
      <c r="C66" s="79" t="s">
        <v>135</v>
      </c>
      <c r="D66" s="79"/>
      <c r="E66" s="79" t="s">
        <v>130</v>
      </c>
      <c r="F66" s="148" t="s">
        <v>164</v>
      </c>
      <c r="G66" s="79"/>
    </row>
    <row r="67" spans="1:11" x14ac:dyDescent="0.25">
      <c r="A67" s="50"/>
      <c r="B67" s="78"/>
      <c r="C67" s="79" t="s">
        <v>132</v>
      </c>
      <c r="D67" s="79"/>
      <c r="E67" s="79" t="s">
        <v>133</v>
      </c>
      <c r="F67" s="78" t="s">
        <v>165</v>
      </c>
      <c r="G67" s="79"/>
    </row>
    <row r="68" spans="1:11" x14ac:dyDescent="0.25">
      <c r="A68" s="50"/>
      <c r="B68" s="78"/>
      <c r="C68" s="78"/>
      <c r="D68" s="102"/>
      <c r="E68" s="78"/>
      <c r="F68" s="78"/>
      <c r="H68" s="78"/>
    </row>
    <row r="69" spans="1:11" x14ac:dyDescent="0.25">
      <c r="A69" s="79" t="s">
        <v>131</v>
      </c>
      <c r="B69" s="78"/>
      <c r="C69" s="46"/>
      <c r="D69" s="126"/>
    </row>
    <row r="70" spans="1:11" x14ac:dyDescent="0.25">
      <c r="A70" s="78"/>
      <c r="B70" s="150"/>
      <c r="C70" s="46"/>
      <c r="D70" s="102"/>
    </row>
    <row r="71" spans="1:11" x14ac:dyDescent="0.25">
      <c r="A71" s="78"/>
      <c r="B71" s="78"/>
      <c r="E71" s="79"/>
      <c r="F71" s="78"/>
      <c r="G71" s="78"/>
      <c r="H71" s="78"/>
    </row>
    <row r="72" spans="1:11" x14ac:dyDescent="0.25">
      <c r="A72" s="78"/>
      <c r="B72" s="78"/>
      <c r="E72" s="78"/>
      <c r="F72" s="78"/>
      <c r="G72" s="78"/>
      <c r="H72" s="78"/>
    </row>
    <row r="73" spans="1:11" x14ac:dyDescent="0.25">
      <c r="A73" s="78"/>
      <c r="B73" s="78"/>
      <c r="E73" s="78"/>
      <c r="F73" s="78"/>
      <c r="G73" s="78"/>
      <c r="H73" s="78"/>
      <c r="K73">
        <v>96972</v>
      </c>
    </row>
    <row r="74" spans="1:11" x14ac:dyDescent="0.25">
      <c r="A74" s="78"/>
      <c r="B74" s="78"/>
      <c r="C74" s="78"/>
      <c r="D74" s="78"/>
      <c r="E74" s="78"/>
      <c r="F74" s="78"/>
      <c r="G74" s="78"/>
      <c r="H74" s="78"/>
      <c r="K74">
        <v>87000</v>
      </c>
    </row>
    <row r="75" spans="1:11" x14ac:dyDescent="0.25">
      <c r="K75">
        <f>K73-K74</f>
        <v>9972</v>
      </c>
    </row>
    <row r="76" spans="1:11" x14ac:dyDescent="0.25">
      <c r="K76" t="s">
        <v>203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10" workbookViewId="0">
      <selection activeCell="E72" sqref="E72"/>
    </sheetView>
  </sheetViews>
  <sheetFormatPr defaultRowHeight="15" x14ac:dyDescent="0.25"/>
  <cols>
    <col min="1" max="1" width="5.5703125" customWidth="1"/>
    <col min="2" max="2" width="17.85546875" customWidth="1"/>
    <col min="3" max="4" width="11.42578125" customWidth="1"/>
    <col min="5" max="5" width="10.85546875" customWidth="1"/>
    <col min="8" max="8" width="8.7109375" customWidth="1"/>
    <col min="10" max="10" width="15.42578125" customWidth="1"/>
    <col min="11" max="11" width="13" customWidth="1"/>
    <col min="12" max="12" width="12.7109375" customWidth="1"/>
    <col min="13" max="13" width="10.85546875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233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107</v>
      </c>
      <c r="C5" s="17" t="s">
        <v>18</v>
      </c>
      <c r="D5" s="18"/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8">
        <f>D5+E6+F6</f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f>D7+E8+F8</f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8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237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f t="shared" si="0"/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SUM(E6:E29)</f>
        <v>51000</v>
      </c>
      <c r="F30" s="42">
        <f>SUM(F6:F28)</f>
        <v>1900</v>
      </c>
      <c r="G30" s="18">
        <f>SUM(G6:G29)</f>
        <v>52800</v>
      </c>
      <c r="H30" s="40">
        <f>SUM(H5:H29)</f>
        <v>0</v>
      </c>
    </row>
    <row r="31" spans="1:8" x14ac:dyDescent="0.25">
      <c r="A31" s="78"/>
      <c r="B31" s="78"/>
      <c r="C31" s="78"/>
      <c r="D31" s="78"/>
      <c r="E31" s="78"/>
      <c r="F31" s="78"/>
      <c r="G31" s="78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E45" s="78"/>
      <c r="F45" s="78"/>
      <c r="G45" s="98"/>
      <c r="H45" s="113"/>
    </row>
    <row r="46" spans="1:8" x14ac:dyDescent="0.25">
      <c r="A46" s="78"/>
      <c r="B46" s="116" t="s">
        <v>197</v>
      </c>
      <c r="C46" s="85"/>
      <c r="D46" s="86"/>
      <c r="E46" s="86">
        <v>3500</v>
      </c>
      <c r="F46" s="86"/>
      <c r="G46" s="86"/>
      <c r="H46" s="78"/>
    </row>
    <row r="47" spans="1:8" x14ac:dyDescent="0.25">
      <c r="A47" s="78"/>
      <c r="B47" s="116"/>
      <c r="C47" s="85"/>
      <c r="D47" s="86"/>
      <c r="E47" s="85"/>
      <c r="F47" s="86"/>
      <c r="G47" s="86"/>
      <c r="H47" s="78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  <c r="H48" s="78"/>
    </row>
    <row r="49" spans="1:9" x14ac:dyDescent="0.25">
      <c r="A49" s="83">
        <v>1</v>
      </c>
      <c r="B49" s="116" t="s">
        <v>243</v>
      </c>
      <c r="C49" s="86"/>
      <c r="D49" s="78"/>
      <c r="E49" s="85">
        <v>4500</v>
      </c>
      <c r="F49" s="86"/>
      <c r="G49" s="86"/>
      <c r="H49" s="78"/>
    </row>
    <row r="50" spans="1:9" x14ac:dyDescent="0.25">
      <c r="A50" s="83">
        <v>2</v>
      </c>
      <c r="B50" s="116" t="s">
        <v>244</v>
      </c>
      <c r="C50" s="85"/>
      <c r="D50" s="86"/>
      <c r="E50" s="85">
        <v>4500</v>
      </c>
      <c r="F50" s="86"/>
      <c r="G50" s="86"/>
      <c r="H50" s="78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  <c r="H51" s="78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  <c r="H52" s="78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  <c r="H53" s="78"/>
    </row>
    <row r="54" spans="1:9" x14ac:dyDescent="0.25">
      <c r="A54" s="93">
        <v>6</v>
      </c>
      <c r="B54" s="97"/>
      <c r="C54" s="98"/>
      <c r="D54" s="98"/>
      <c r="E54" s="98">
        <f>SUM(E46:E53)</f>
        <v>21500</v>
      </c>
      <c r="F54" s="98"/>
      <c r="G54" s="98"/>
      <c r="H54" s="78"/>
    </row>
    <row r="55" spans="1:9" x14ac:dyDescent="0.25">
      <c r="A55" s="83"/>
      <c r="H55" s="78"/>
    </row>
    <row r="56" spans="1:9" x14ac:dyDescent="0.25">
      <c r="A56" s="96"/>
      <c r="H56" s="78"/>
    </row>
    <row r="57" spans="1:9" x14ac:dyDescent="0.25">
      <c r="A57" s="97"/>
      <c r="H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</row>
    <row r="60" spans="1:9" x14ac:dyDescent="0.25">
      <c r="A60" s="50" t="s">
        <v>198</v>
      </c>
      <c r="B60" s="159" t="s">
        <v>206</v>
      </c>
      <c r="C60" s="160">
        <f>E30+E43+E54</f>
        <v>94000</v>
      </c>
      <c r="D60" s="113"/>
      <c r="E60" s="113"/>
      <c r="F60" s="78"/>
      <c r="G60" s="78"/>
      <c r="H60" s="78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7520</v>
      </c>
      <c r="E61" s="113"/>
      <c r="H61" s="78"/>
    </row>
    <row r="62" spans="1:9" x14ac:dyDescent="0.25">
      <c r="A62" s="78"/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1900</v>
      </c>
      <c r="D63" s="113"/>
      <c r="E63" s="113"/>
      <c r="H63" s="79"/>
    </row>
    <row r="64" spans="1:9" x14ac:dyDescent="0.25">
      <c r="A64" s="50" t="s">
        <v>201</v>
      </c>
      <c r="B64" s="168"/>
      <c r="C64" s="113"/>
      <c r="D64" s="113"/>
      <c r="E64" s="113"/>
      <c r="F64" s="78"/>
      <c r="G64" s="78"/>
      <c r="H64" s="78"/>
    </row>
    <row r="65" spans="1:8" x14ac:dyDescent="0.25">
      <c r="A65" s="50" t="s">
        <v>202</v>
      </c>
      <c r="B65" s="168" t="s">
        <v>193</v>
      </c>
      <c r="C65" s="149">
        <f>SUM(C60:C64)</f>
        <v>98900.08</v>
      </c>
      <c r="D65" s="113"/>
      <c r="E65" s="113"/>
      <c r="F65" s="78"/>
      <c r="G65" s="78"/>
      <c r="H65" s="108"/>
    </row>
    <row r="66" spans="1:8" x14ac:dyDescent="0.25">
      <c r="A66" s="50"/>
      <c r="B66" s="162" t="s">
        <v>211</v>
      </c>
      <c r="C66" s="161"/>
      <c r="D66" s="149"/>
      <c r="E66" s="113"/>
      <c r="F66" s="78"/>
      <c r="G66" s="78"/>
      <c r="H66" s="78"/>
    </row>
    <row r="67" spans="1:8" x14ac:dyDescent="0.25">
      <c r="A67" s="50"/>
      <c r="B67" s="163"/>
      <c r="C67" s="164"/>
      <c r="D67" s="164"/>
      <c r="E67" s="113"/>
      <c r="H67" s="78"/>
    </row>
    <row r="68" spans="1:8" x14ac:dyDescent="0.25">
      <c r="A68" s="50"/>
      <c r="B68" s="164"/>
      <c r="C68" s="164"/>
      <c r="D68" s="165"/>
      <c r="E68" s="113"/>
      <c r="H68" s="78"/>
    </row>
    <row r="69" spans="1:8" x14ac:dyDescent="0.25">
      <c r="B69" s="163"/>
      <c r="C69" s="164"/>
      <c r="D69" s="165"/>
      <c r="E69" s="113"/>
      <c r="F69" s="79"/>
      <c r="G69" s="102"/>
    </row>
    <row r="70" spans="1:8" x14ac:dyDescent="0.25">
      <c r="B70" s="164"/>
      <c r="C70" s="164"/>
      <c r="D70" s="113"/>
      <c r="F70" s="79"/>
      <c r="G70" s="78"/>
    </row>
    <row r="71" spans="1:8" x14ac:dyDescent="0.25">
      <c r="B71" s="166" t="s">
        <v>193</v>
      </c>
      <c r="C71" s="167">
        <f>C65</f>
        <v>98900.08</v>
      </c>
      <c r="D71" s="149">
        <f>SUM(D61:D70)</f>
        <v>7520</v>
      </c>
      <c r="E71" s="149">
        <f>C71-D71</f>
        <v>91380.08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B74" s="78"/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46" workbookViewId="0">
      <selection activeCell="G24" sqref="G24"/>
    </sheetView>
  </sheetViews>
  <sheetFormatPr defaultRowHeight="15" x14ac:dyDescent="0.25"/>
  <cols>
    <col min="1" max="1" width="5.5703125" style="78" customWidth="1"/>
    <col min="2" max="2" width="17.85546875" style="78" customWidth="1"/>
    <col min="3" max="4" width="11.42578125" style="78" customWidth="1"/>
    <col min="5" max="5" width="11.5703125" style="78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234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8">
        <f>D6+E6+F6</f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f>D7+E8+F8</f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6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237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8">
        <f>SUM(G5:G29)</f>
        <v>55400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/>
      <c r="C47" s="85"/>
      <c r="D47" s="86"/>
      <c r="E47" s="85"/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243</v>
      </c>
      <c r="C49" s="86"/>
      <c r="E49" s="85">
        <v>4500</v>
      </c>
      <c r="F49" s="86"/>
      <c r="G49" s="86"/>
    </row>
    <row r="50" spans="1:9" x14ac:dyDescent="0.25">
      <c r="A50" s="83">
        <v>2</v>
      </c>
      <c r="B50" s="116" t="s">
        <v>107</v>
      </c>
      <c r="C50" s="85"/>
      <c r="D50" s="86"/>
      <c r="E50" s="85"/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17000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92000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7360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'JAN 2017'!E71</f>
        <v>91380.08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188380.16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240</v>
      </c>
      <c r="C67" s="113"/>
      <c r="D67" s="164">
        <v>700</v>
      </c>
      <c r="E67" s="113"/>
    </row>
    <row r="68" spans="1:8" x14ac:dyDescent="0.25">
      <c r="A68" s="50"/>
      <c r="B68" s="163" t="s">
        <v>81</v>
      </c>
      <c r="C68" s="113"/>
      <c r="D68" s="164">
        <v>4500</v>
      </c>
      <c r="E68" s="113"/>
    </row>
    <row r="69" spans="1:8" x14ac:dyDescent="0.25">
      <c r="A69" s="50"/>
      <c r="B69" s="164" t="s">
        <v>136</v>
      </c>
      <c r="C69" s="113"/>
      <c r="D69" s="164">
        <v>95000</v>
      </c>
      <c r="E69" s="113"/>
    </row>
    <row r="70" spans="1:8" x14ac:dyDescent="0.25">
      <c r="B70" s="163"/>
      <c r="C70" s="164"/>
      <c r="D70" s="165"/>
      <c r="E70" s="113"/>
      <c r="F70" s="79"/>
      <c r="G70" s="102"/>
    </row>
    <row r="71" spans="1:8" x14ac:dyDescent="0.25">
      <c r="B71" s="164"/>
      <c r="C71" s="164"/>
      <c r="D71" s="113"/>
      <c r="E71" s="113"/>
      <c r="F71" s="79"/>
    </row>
    <row r="72" spans="1:8" x14ac:dyDescent="0.25">
      <c r="B72" s="166" t="s">
        <v>193</v>
      </c>
      <c r="C72" s="167">
        <f>C65</f>
        <v>188380.16</v>
      </c>
      <c r="D72" s="149">
        <f>SUM(D61:D71)</f>
        <v>107560</v>
      </c>
      <c r="E72" s="149">
        <f>C72-D72</f>
        <v>80820.160000000003</v>
      </c>
      <c r="G72" s="79"/>
    </row>
    <row r="73" spans="1:8" x14ac:dyDescent="0.25">
      <c r="G73" s="79"/>
    </row>
    <row r="74" spans="1:8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</row>
    <row r="75" spans="1:8" x14ac:dyDescent="0.25">
      <c r="C75" s="79" t="s">
        <v>132</v>
      </c>
      <c r="D75" s="79"/>
      <c r="E75" s="79" t="s">
        <v>133</v>
      </c>
      <c r="F75" s="78" t="s">
        <v>165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0" workbookViewId="0">
      <selection activeCell="D72" sqref="D72"/>
    </sheetView>
  </sheetViews>
  <sheetFormatPr defaultRowHeight="15" x14ac:dyDescent="0.25"/>
  <cols>
    <col min="1" max="1" width="5.5703125" style="78" customWidth="1"/>
    <col min="2" max="2" width="17.85546875" style="78" customWidth="1"/>
    <col min="3" max="5" width="11.42578125" style="78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235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8"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8">
        <f t="shared" ref="G7:G26" si="0">D7+E7+F7</f>
        <v>0</v>
      </c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/>
      <c r="F8" s="18"/>
      <c r="G8" s="18"/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/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/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51000</v>
      </c>
      <c r="F30" s="42">
        <f>SUM(F5:F28)</f>
        <v>1900</v>
      </c>
      <c r="G30" s="18">
        <f>SUM(G5:G29)</f>
        <v>52800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 t="s">
        <v>241</v>
      </c>
      <c r="C33" s="85"/>
      <c r="D33" s="86">
        <v>0</v>
      </c>
      <c r="E33" s="85">
        <v>3000</v>
      </c>
      <c r="F33" s="86">
        <v>3000</v>
      </c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187</v>
      </c>
      <c r="C41" s="85"/>
      <c r="D41" s="92">
        <v>0</v>
      </c>
      <c r="E41" s="85">
        <v>1500</v>
      </c>
      <c r="F41" s="86">
        <v>1500</v>
      </c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21500</v>
      </c>
      <c r="F43" s="86">
        <f>SUM(F33:F42)</f>
        <v>21500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/>
      <c r="C47" s="85"/>
      <c r="D47" s="86"/>
      <c r="E47" s="85"/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243</v>
      </c>
      <c r="C49" s="86"/>
      <c r="E49" s="85">
        <v>4500</v>
      </c>
      <c r="F49" s="86"/>
      <c r="G49" s="86"/>
    </row>
    <row r="50" spans="1:9" x14ac:dyDescent="0.25">
      <c r="A50" s="83">
        <v>2</v>
      </c>
      <c r="B50" s="116" t="s">
        <v>107</v>
      </c>
      <c r="C50" s="85"/>
      <c r="D50" s="86"/>
      <c r="E50" s="85"/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17000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89500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7160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1900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'FEB 2017'!E72</f>
        <v>80820.160000000003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175220.24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237</v>
      </c>
      <c r="C67" s="164"/>
      <c r="D67" s="164">
        <v>11500</v>
      </c>
      <c r="E67" s="113"/>
    </row>
    <row r="68" spans="1:8" x14ac:dyDescent="0.25">
      <c r="A68" s="50"/>
      <c r="B68" s="164" t="s">
        <v>238</v>
      </c>
      <c r="C68" s="164"/>
      <c r="D68" s="165">
        <v>1000</v>
      </c>
      <c r="E68" s="113"/>
    </row>
    <row r="69" spans="1:8" x14ac:dyDescent="0.25">
      <c r="B69" s="163" t="s">
        <v>136</v>
      </c>
      <c r="C69" s="164"/>
      <c r="D69" s="165">
        <v>91000</v>
      </c>
      <c r="E69" s="113"/>
      <c r="F69" s="79"/>
      <c r="G69" s="102"/>
    </row>
    <row r="70" spans="1:8" x14ac:dyDescent="0.25">
      <c r="B70" s="164"/>
      <c r="C70" s="164"/>
      <c r="D70" s="113"/>
      <c r="E70" s="113"/>
      <c r="F70" s="79"/>
    </row>
    <row r="71" spans="1:8" x14ac:dyDescent="0.25">
      <c r="B71" s="166" t="s">
        <v>193</v>
      </c>
      <c r="C71" s="167">
        <f>C65</f>
        <v>175220.24</v>
      </c>
      <c r="D71" s="149">
        <f>SUM(D61:D70)</f>
        <v>110660</v>
      </c>
      <c r="E71" s="149">
        <f>C71-D71</f>
        <v>64560.239999999991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G10" sqref="G10"/>
    </sheetView>
  </sheetViews>
  <sheetFormatPr defaultRowHeight="15" x14ac:dyDescent="0.25"/>
  <cols>
    <col min="1" max="1" width="5.5703125" style="78" customWidth="1"/>
    <col min="2" max="2" width="17.85546875" style="78" customWidth="1"/>
    <col min="3" max="4" width="11.42578125" style="78" customWidth="1"/>
    <col min="5" max="5" width="11.5703125" style="78" bestFit="1" customWidth="1"/>
    <col min="6" max="7" width="9.140625" style="78"/>
    <col min="8" max="8" width="8.7109375" style="78" customWidth="1"/>
    <col min="9" max="9" width="9.140625" style="78"/>
    <col min="10" max="10" width="15.42578125" style="78" customWidth="1"/>
    <col min="11" max="11" width="13" style="78" customWidth="1"/>
    <col min="12" max="12" width="12.7109375" style="78" customWidth="1"/>
    <col min="13" max="13" width="10.85546875" style="78" customWidth="1"/>
    <col min="14" max="16384" width="9.140625" style="78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</row>
    <row r="3" spans="1:8" ht="21" x14ac:dyDescent="0.25">
      <c r="A3" s="8"/>
      <c r="B3" s="64" t="s">
        <v>236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8">
        <v>2600</v>
      </c>
      <c r="H6" s="19"/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8"/>
      <c r="H7" s="19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8">
        <v>2600</v>
      </c>
      <c r="H8" s="19"/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ref="G9:G26" si="0">D9+E9+F9</f>
        <v>2600</v>
      </c>
      <c r="H9" s="19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8">
        <v>2500</v>
      </c>
      <c r="H12" s="19"/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</row>
    <row r="16" spans="1:8" x14ac:dyDescent="0.25">
      <c r="A16" s="16">
        <v>12</v>
      </c>
      <c r="B16" s="116" t="s">
        <v>223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8">
        <f t="shared" si="0"/>
        <v>0</v>
      </c>
      <c r="H17" s="19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8">
        <f t="shared" si="0"/>
        <v>0</v>
      </c>
      <c r="H18" s="19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8">
        <f t="shared" si="0"/>
        <v>0</v>
      </c>
      <c r="H26" s="19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8">
        <f>D28+E28+F28</f>
        <v>3100</v>
      </c>
      <c r="H28" s="34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8">
        <f>SUM(G5:G29)</f>
        <v>55400</v>
      </c>
      <c r="H30" s="40">
        <f>SUM(H5:H29)</f>
        <v>0</v>
      </c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98"/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98"/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15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98"/>
      <c r="H40" s="113"/>
    </row>
    <row r="41" spans="1:8" x14ac:dyDescent="0.25">
      <c r="A41" s="83" t="s">
        <v>123</v>
      </c>
      <c r="B41" s="121" t="s">
        <v>245</v>
      </c>
      <c r="C41" s="85"/>
      <c r="D41" s="92">
        <v>0</v>
      </c>
      <c r="E41" s="85"/>
      <c r="F41" s="86"/>
      <c r="G41" s="98"/>
      <c r="H41" s="113"/>
    </row>
    <row r="42" spans="1:8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98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85">
        <f>SUM(E33:E42)</f>
        <v>17000</v>
      </c>
      <c r="F43" s="86">
        <f>SUM(F33:F42)</f>
        <v>17000</v>
      </c>
      <c r="G43" s="86"/>
      <c r="H43" s="113"/>
    </row>
    <row r="44" spans="1:8" x14ac:dyDescent="0.25">
      <c r="A44" s="96"/>
      <c r="B44" s="84"/>
      <c r="C44" s="86"/>
      <c r="D44" s="92"/>
      <c r="E44" s="98" t="s">
        <v>192</v>
      </c>
      <c r="F44" s="98"/>
      <c r="G44" s="86"/>
      <c r="H44" s="113"/>
    </row>
    <row r="45" spans="1:8" x14ac:dyDescent="0.25">
      <c r="A45" s="97"/>
      <c r="B45" s="97"/>
      <c r="C45" s="98"/>
      <c r="D45" s="100"/>
      <c r="G45" s="98"/>
      <c r="H45" s="113"/>
    </row>
    <row r="46" spans="1:8" x14ac:dyDescent="0.25">
      <c r="B46" s="116" t="s">
        <v>197</v>
      </c>
      <c r="C46" s="85"/>
      <c r="D46" s="86"/>
      <c r="E46" s="86">
        <v>3500</v>
      </c>
      <c r="F46" s="86"/>
      <c r="G46" s="86"/>
    </row>
    <row r="47" spans="1:8" x14ac:dyDescent="0.25">
      <c r="B47" s="116" t="s">
        <v>243</v>
      </c>
      <c r="C47" s="85"/>
      <c r="D47" s="86"/>
      <c r="E47" s="85">
        <v>4500</v>
      </c>
      <c r="F47" s="86"/>
      <c r="G47" s="86"/>
    </row>
    <row r="48" spans="1:8" x14ac:dyDescent="0.25">
      <c r="A48" s="109"/>
      <c r="B48" s="116" t="s">
        <v>129</v>
      </c>
      <c r="C48" s="85"/>
      <c r="D48" s="86"/>
      <c r="E48" s="85">
        <v>4500</v>
      </c>
      <c r="F48" s="86"/>
      <c r="G48" s="86"/>
    </row>
    <row r="49" spans="1:9" x14ac:dyDescent="0.25">
      <c r="A49" s="83">
        <v>1</v>
      </c>
      <c r="B49" s="116" t="s">
        <v>188</v>
      </c>
      <c r="C49" s="86"/>
      <c r="E49" s="85">
        <v>4000</v>
      </c>
      <c r="F49" s="86"/>
      <c r="G49" s="86"/>
    </row>
    <row r="50" spans="1:9" x14ac:dyDescent="0.25">
      <c r="A50" s="83">
        <v>2</v>
      </c>
      <c r="B50" s="116" t="s">
        <v>188</v>
      </c>
      <c r="C50" s="85"/>
      <c r="D50" s="86"/>
      <c r="E50" s="85">
        <v>4000</v>
      </c>
      <c r="F50" s="86"/>
      <c r="G50" s="86"/>
    </row>
    <row r="51" spans="1:9" x14ac:dyDescent="0.25">
      <c r="A51" s="83">
        <v>3</v>
      </c>
      <c r="B51" s="116" t="s">
        <v>231</v>
      </c>
      <c r="C51" s="85"/>
      <c r="D51" s="86"/>
      <c r="E51" s="85">
        <v>4500</v>
      </c>
      <c r="F51" s="86"/>
      <c r="G51" s="86"/>
    </row>
    <row r="52" spans="1:9" x14ac:dyDescent="0.25">
      <c r="A52" s="87">
        <v>4</v>
      </c>
      <c r="B52" s="91"/>
      <c r="C52" s="85">
        <v>0</v>
      </c>
      <c r="D52" s="92">
        <v>0</v>
      </c>
      <c r="E52" s="85"/>
      <c r="F52" s="86"/>
      <c r="G52" s="86"/>
    </row>
    <row r="53" spans="1:9" x14ac:dyDescent="0.25">
      <c r="A53" s="99">
        <v>5</v>
      </c>
      <c r="B53" s="84"/>
      <c r="C53" s="86"/>
      <c r="D53" s="92"/>
      <c r="E53" s="86"/>
      <c r="F53" s="86"/>
      <c r="G53" s="86"/>
    </row>
    <row r="54" spans="1:9" x14ac:dyDescent="0.25">
      <c r="A54" s="93">
        <v>6</v>
      </c>
      <c r="B54" s="97"/>
      <c r="C54" s="98"/>
      <c r="D54" s="98"/>
      <c r="E54" s="98">
        <f>SUM(E46:E53)</f>
        <v>25000</v>
      </c>
      <c r="F54" s="98"/>
      <c r="G54" s="98"/>
    </row>
    <row r="55" spans="1:9" x14ac:dyDescent="0.25">
      <c r="A55" s="83"/>
    </row>
    <row r="56" spans="1:9" x14ac:dyDescent="0.25">
      <c r="A56" s="96"/>
    </row>
    <row r="57" spans="1:9" x14ac:dyDescent="0.25">
      <c r="A57" s="97"/>
    </row>
    <row r="58" spans="1:9" x14ac:dyDescent="0.25">
      <c r="A58" s="79"/>
      <c r="B58" s="79"/>
      <c r="C58" s="106"/>
      <c r="D58" s="107"/>
      <c r="E58" s="106"/>
      <c r="F58" s="108"/>
      <c r="G58" s="106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</row>
    <row r="60" spans="1:9" x14ac:dyDescent="0.25">
      <c r="A60" s="50" t="s">
        <v>198</v>
      </c>
      <c r="B60" s="159" t="s">
        <v>206</v>
      </c>
      <c r="C60" s="160">
        <f>E30+E43+E54</f>
        <v>95500</v>
      </c>
      <c r="D60" s="113"/>
      <c r="E60" s="113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7640</v>
      </c>
      <c r="E61" s="113"/>
    </row>
    <row r="62" spans="1:9" x14ac:dyDescent="0.25">
      <c r="B62" s="168" t="s">
        <v>210</v>
      </c>
      <c r="C62" s="113">
        <v>3000</v>
      </c>
      <c r="D62" s="113"/>
      <c r="E62" s="113"/>
      <c r="H62" s="102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H63" s="79"/>
    </row>
    <row r="64" spans="1:9" x14ac:dyDescent="0.25">
      <c r="A64" s="50" t="s">
        <v>201</v>
      </c>
      <c r="B64" s="168" t="s">
        <v>239</v>
      </c>
      <c r="C64" s="149">
        <f>'MARCH 2017'!E71</f>
        <v>64560.239999999991</v>
      </c>
      <c r="D64" s="113"/>
      <c r="E64" s="113"/>
    </row>
    <row r="65" spans="1:8" x14ac:dyDescent="0.25">
      <c r="A65" s="50" t="s">
        <v>202</v>
      </c>
      <c r="B65" s="168" t="s">
        <v>193</v>
      </c>
      <c r="C65" s="149">
        <f>SUM(C60:C64)</f>
        <v>165060.32</v>
      </c>
      <c r="D65" s="113"/>
      <c r="E65" s="113"/>
      <c r="H65" s="108"/>
    </row>
    <row r="66" spans="1:8" x14ac:dyDescent="0.25">
      <c r="A66" s="50"/>
      <c r="B66" s="162" t="s">
        <v>211</v>
      </c>
      <c r="C66" s="161"/>
      <c r="D66" s="149"/>
      <c r="E66" s="113"/>
    </row>
    <row r="67" spans="1:8" x14ac:dyDescent="0.25">
      <c r="A67" s="50"/>
      <c r="B67" s="163" t="s">
        <v>242</v>
      </c>
      <c r="C67" s="113"/>
      <c r="D67" s="164">
        <v>94000</v>
      </c>
      <c r="E67" s="113"/>
    </row>
    <row r="68" spans="1:8" x14ac:dyDescent="0.25">
      <c r="A68" s="50"/>
      <c r="B68" s="164" t="s">
        <v>166</v>
      </c>
      <c r="C68" s="113"/>
      <c r="D68" s="164">
        <v>1500</v>
      </c>
      <c r="E68" s="113"/>
    </row>
    <row r="69" spans="1:8" x14ac:dyDescent="0.25">
      <c r="B69" s="163"/>
      <c r="C69" s="164"/>
      <c r="D69" s="165"/>
      <c r="E69" s="113"/>
      <c r="F69" s="79"/>
      <c r="G69" s="102"/>
    </row>
    <row r="70" spans="1:8" x14ac:dyDescent="0.25">
      <c r="B70" s="164"/>
      <c r="C70" s="164"/>
      <c r="D70" s="113"/>
      <c r="E70" s="113"/>
      <c r="F70" s="79"/>
    </row>
    <row r="71" spans="1:8" x14ac:dyDescent="0.25">
      <c r="B71" s="166" t="s">
        <v>193</v>
      </c>
      <c r="C71" s="167">
        <f>C65</f>
        <v>165060.32</v>
      </c>
      <c r="D71" s="149">
        <f>SUM(D61:D70)</f>
        <v>103140</v>
      </c>
      <c r="E71" s="149">
        <f>C71-D71</f>
        <v>61920.320000000007</v>
      </c>
      <c r="G71" s="79"/>
    </row>
    <row r="72" spans="1:8" x14ac:dyDescent="0.25">
      <c r="G72" s="79"/>
    </row>
    <row r="73" spans="1:8" x14ac:dyDescent="0.25">
      <c r="B73" s="59" t="s">
        <v>78</v>
      </c>
      <c r="C73" s="79" t="s">
        <v>135</v>
      </c>
      <c r="D73" s="79"/>
      <c r="E73" s="79" t="s">
        <v>130</v>
      </c>
      <c r="F73" s="148" t="s">
        <v>164</v>
      </c>
    </row>
    <row r="74" spans="1:8" x14ac:dyDescent="0.25">
      <c r="C74" s="79" t="s">
        <v>132</v>
      </c>
      <c r="D74" s="79"/>
      <c r="E74" s="79" t="s">
        <v>133</v>
      </c>
      <c r="F74" s="78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22" workbookViewId="0">
      <selection activeCell="D72" sqref="D72"/>
    </sheetView>
  </sheetViews>
  <sheetFormatPr defaultRowHeight="15" x14ac:dyDescent="0.25"/>
  <cols>
    <col min="1" max="1" width="3.42578125" customWidth="1"/>
    <col min="2" max="2" width="16.28515625" customWidth="1"/>
    <col min="3" max="3" width="4.140625" customWidth="1"/>
    <col min="4" max="4" width="12.5703125" customWidth="1"/>
    <col min="8" max="8" width="11.5703125" customWidth="1"/>
    <col min="12" max="12" width="11.140625" customWidth="1"/>
    <col min="13" max="13" width="12.42578125" customWidth="1"/>
  </cols>
  <sheetData>
    <row r="1" spans="1:15" s="61" customFormat="1" ht="38.25" customHeight="1" thickBot="1" x14ac:dyDescent="0.65">
      <c r="C1" s="2"/>
      <c r="D1" s="3" t="s">
        <v>0</v>
      </c>
      <c r="E1" s="4"/>
      <c r="F1" s="4"/>
      <c r="G1" s="4"/>
      <c r="H1" s="2"/>
      <c r="K1" s="62"/>
      <c r="M1" s="73"/>
      <c r="N1" s="73"/>
      <c r="O1" s="73"/>
    </row>
    <row r="2" spans="1:15" ht="17.25" thickTop="1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  <c r="M2" s="69"/>
      <c r="N2" s="70"/>
      <c r="O2" s="70"/>
    </row>
    <row r="3" spans="1:15" ht="16.5" customHeight="1" x14ac:dyDescent="0.25">
      <c r="A3" s="8"/>
      <c r="B3" s="9"/>
      <c r="C3" s="64" t="s">
        <v>96</v>
      </c>
      <c r="D3" s="11"/>
      <c r="E3" s="11"/>
      <c r="F3" s="11"/>
      <c r="G3" s="12"/>
      <c r="H3" s="12"/>
      <c r="I3" s="12"/>
      <c r="J3" s="1"/>
      <c r="K3" s="1"/>
      <c r="L3" s="1"/>
      <c r="M3" s="71"/>
      <c r="N3" s="72"/>
      <c r="O3" s="72"/>
    </row>
    <row r="4" spans="1:15" ht="9" customHeight="1" x14ac:dyDescent="0.25">
      <c r="A4" s="8"/>
      <c r="B4" s="9"/>
      <c r="C4" s="10"/>
      <c r="D4" s="11"/>
      <c r="E4" s="11"/>
      <c r="F4" s="11"/>
      <c r="G4" s="12"/>
      <c r="H4" s="12"/>
      <c r="I4" s="12"/>
      <c r="J4" s="1"/>
      <c r="K4" s="1"/>
      <c r="L4" s="1"/>
      <c r="M4" s="71"/>
      <c r="N4" s="72"/>
      <c r="O4" s="72"/>
    </row>
    <row r="5" spans="1:15" ht="12" customHeight="1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  <c r="M5" s="71"/>
      <c r="N5" s="72"/>
      <c r="O5" s="72"/>
    </row>
    <row r="6" spans="1:15" ht="12" customHeight="1" x14ac:dyDescent="0.25">
      <c r="A6" s="16">
        <v>1</v>
      </c>
      <c r="B6" s="63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  <c r="M6" s="71"/>
      <c r="N6" s="72"/>
      <c r="O6" s="72"/>
    </row>
    <row r="7" spans="1:15" ht="12" customHeight="1" x14ac:dyDescent="0.25">
      <c r="A7" s="16">
        <v>2</v>
      </c>
      <c r="B7" s="63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  <c r="M7" s="71"/>
      <c r="N7" s="72"/>
      <c r="O7" s="72"/>
    </row>
    <row r="8" spans="1:15" ht="12" customHeight="1" x14ac:dyDescent="0.25">
      <c r="A8" s="16">
        <v>3</v>
      </c>
      <c r="B8" s="63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  <c r="M8" s="71"/>
      <c r="N8" s="72"/>
      <c r="O8" s="72"/>
    </row>
    <row r="9" spans="1:15" ht="12" customHeight="1" x14ac:dyDescent="0.25">
      <c r="A9" s="16">
        <v>4</v>
      </c>
      <c r="B9" s="63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  <c r="M9" s="71"/>
      <c r="N9" s="72"/>
      <c r="O9" s="72"/>
    </row>
    <row r="10" spans="1:15" ht="12" customHeight="1" x14ac:dyDescent="0.25">
      <c r="A10" s="16">
        <v>5</v>
      </c>
      <c r="B10" s="63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  <c r="M10" s="71"/>
      <c r="N10" s="72"/>
      <c r="O10" s="72"/>
    </row>
    <row r="11" spans="1:15" ht="12" customHeight="1" x14ac:dyDescent="0.25">
      <c r="A11" s="16">
        <v>6</v>
      </c>
      <c r="B11" s="63" t="s">
        <v>27</v>
      </c>
      <c r="C11" s="17" t="s">
        <v>28</v>
      </c>
      <c r="D11" s="18">
        <v>1500</v>
      </c>
      <c r="E11" s="18">
        <v>2500</v>
      </c>
      <c r="F11" s="18">
        <v>100</v>
      </c>
      <c r="G11" s="18">
        <f t="shared" si="0"/>
        <v>4100</v>
      </c>
      <c r="H11" s="19">
        <v>4100</v>
      </c>
      <c r="I11" s="19">
        <v>0</v>
      </c>
      <c r="J11" s="74"/>
      <c r="K11" s="75"/>
      <c r="L11" s="18">
        <f t="shared" si="1"/>
        <v>0</v>
      </c>
      <c r="M11" s="71"/>
      <c r="N11" s="72"/>
      <c r="O11" s="72"/>
    </row>
    <row r="12" spans="1:15" ht="12" customHeight="1" x14ac:dyDescent="0.25">
      <c r="A12" s="16">
        <v>7</v>
      </c>
      <c r="B12" s="63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  <c r="M12" s="71"/>
      <c r="N12" s="72"/>
      <c r="O12" s="72"/>
    </row>
    <row r="13" spans="1:15" ht="12" customHeight="1" x14ac:dyDescent="0.25">
      <c r="A13" s="16">
        <v>8</v>
      </c>
      <c r="B13" s="63" t="s">
        <v>31</v>
      </c>
      <c r="C13" s="17" t="s">
        <v>32</v>
      </c>
      <c r="D13" s="18">
        <v>2600</v>
      </c>
      <c r="E13" s="18">
        <v>2500</v>
      </c>
      <c r="F13" s="18">
        <v>100</v>
      </c>
      <c r="G13" s="18">
        <f t="shared" si="0"/>
        <v>5200</v>
      </c>
      <c r="H13" s="19">
        <v>5200</v>
      </c>
      <c r="I13" s="19">
        <v>0</v>
      </c>
      <c r="J13" s="25"/>
      <c r="K13" s="25"/>
      <c r="L13" s="18">
        <f t="shared" si="1"/>
        <v>0</v>
      </c>
      <c r="M13" s="71"/>
      <c r="N13" s="72"/>
      <c r="O13" s="72"/>
    </row>
    <row r="14" spans="1:15" ht="12" customHeight="1" x14ac:dyDescent="0.25">
      <c r="A14" s="16">
        <v>9</v>
      </c>
      <c r="B14" s="63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  <c r="M14" s="71"/>
      <c r="N14" s="72"/>
      <c r="O14" s="72"/>
    </row>
    <row r="15" spans="1:15" ht="12" customHeight="1" x14ac:dyDescent="0.25">
      <c r="A15" s="16">
        <v>10</v>
      </c>
      <c r="B15" s="63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  <c r="M15" s="71"/>
      <c r="N15" s="72"/>
      <c r="O15" s="72"/>
    </row>
    <row r="16" spans="1:15" ht="12" customHeight="1" x14ac:dyDescent="0.25">
      <c r="A16" s="16">
        <v>11</v>
      </c>
      <c r="B16" s="63" t="s">
        <v>88</v>
      </c>
      <c r="C16" s="17" t="s">
        <v>38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>
        <v>0</v>
      </c>
      <c r="K16" s="18">
        <v>0</v>
      </c>
      <c r="L16" s="18">
        <f t="shared" si="1"/>
        <v>0</v>
      </c>
      <c r="M16" s="71"/>
      <c r="N16" s="72"/>
      <c r="O16" s="72"/>
    </row>
    <row r="17" spans="1:15" ht="12" customHeight="1" x14ac:dyDescent="0.25">
      <c r="A17" s="16">
        <v>12</v>
      </c>
      <c r="B17" s="63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  <c r="M17" s="71"/>
      <c r="N17" s="72"/>
      <c r="O17" s="72"/>
    </row>
    <row r="18" spans="1:15" ht="12" customHeight="1" x14ac:dyDescent="0.25">
      <c r="A18" s="16">
        <v>13</v>
      </c>
      <c r="B18" s="63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  <c r="M18" s="71"/>
      <c r="N18" s="72"/>
      <c r="O18" s="72"/>
    </row>
    <row r="19" spans="1:15" ht="12" customHeight="1" x14ac:dyDescent="0.25">
      <c r="A19" s="16">
        <v>14</v>
      </c>
      <c r="B19" s="63" t="s">
        <v>43</v>
      </c>
      <c r="C19" s="17" t="s">
        <v>44</v>
      </c>
      <c r="D19" s="18"/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  <c r="M19" s="71"/>
      <c r="N19" s="72"/>
      <c r="O19" s="72"/>
    </row>
    <row r="20" spans="1:15" ht="12" customHeight="1" x14ac:dyDescent="0.25">
      <c r="A20" s="16">
        <v>15</v>
      </c>
      <c r="B20" s="63" t="s">
        <v>45</v>
      </c>
      <c r="C20" s="17" t="s">
        <v>46</v>
      </c>
      <c r="D20" s="18"/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  <c r="M20" s="71"/>
      <c r="N20" s="72"/>
      <c r="O20" s="72"/>
    </row>
    <row r="21" spans="1:15" ht="12" customHeight="1" x14ac:dyDescent="0.25">
      <c r="A21" s="16">
        <v>16</v>
      </c>
      <c r="B21" s="63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  <c r="M21" s="71"/>
      <c r="N21" s="72"/>
      <c r="O21" s="72"/>
    </row>
    <row r="22" spans="1:15" ht="12" customHeight="1" x14ac:dyDescent="0.25">
      <c r="A22" s="21">
        <v>17</v>
      </c>
      <c r="B22" s="65" t="s">
        <v>90</v>
      </c>
      <c r="C22" s="17" t="s">
        <v>50</v>
      </c>
      <c r="D22" s="22"/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25"/>
      <c r="L22" s="18">
        <f t="shared" si="1"/>
        <v>0</v>
      </c>
      <c r="M22" s="71"/>
      <c r="N22" s="72"/>
      <c r="O22" s="72"/>
    </row>
    <row r="23" spans="1:15" ht="12" customHeight="1" x14ac:dyDescent="0.25">
      <c r="A23" s="21">
        <v>18</v>
      </c>
      <c r="B23" s="65" t="s">
        <v>91</v>
      </c>
      <c r="C23" s="17" t="s">
        <v>52</v>
      </c>
      <c r="D23" s="22"/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25"/>
      <c r="L23" s="18">
        <f t="shared" si="1"/>
        <v>0</v>
      </c>
      <c r="M23" s="71"/>
      <c r="N23" s="72"/>
      <c r="O23" s="72"/>
    </row>
    <row r="24" spans="1:15" ht="12" customHeight="1" x14ac:dyDescent="0.25">
      <c r="A24" s="21">
        <v>19</v>
      </c>
      <c r="B24" s="66" t="s">
        <v>55</v>
      </c>
      <c r="C24" s="17" t="s">
        <v>54</v>
      </c>
      <c r="D24" s="22"/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25"/>
      <c r="L24" s="18">
        <f t="shared" si="1"/>
        <v>0</v>
      </c>
      <c r="M24" s="71"/>
      <c r="N24" s="72"/>
      <c r="O24" s="72"/>
    </row>
    <row r="25" spans="1:15" ht="12" customHeight="1" x14ac:dyDescent="0.25">
      <c r="A25" s="21">
        <v>20</v>
      </c>
      <c r="B25" s="65" t="s">
        <v>92</v>
      </c>
      <c r="C25" s="17" t="s">
        <v>56</v>
      </c>
      <c r="D25" s="22"/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25"/>
      <c r="L25" s="18">
        <f t="shared" si="1"/>
        <v>0</v>
      </c>
      <c r="M25" s="71"/>
      <c r="N25" s="72"/>
      <c r="O25" s="72"/>
    </row>
    <row r="26" spans="1:15" ht="12" customHeight="1" x14ac:dyDescent="0.25">
      <c r="A26" s="21">
        <v>21</v>
      </c>
      <c r="B26" s="66" t="s">
        <v>101</v>
      </c>
      <c r="C26" s="17" t="s">
        <v>58</v>
      </c>
      <c r="D26" s="22">
        <v>3000</v>
      </c>
      <c r="E26" s="23">
        <v>3000</v>
      </c>
      <c r="F26" s="24">
        <v>0</v>
      </c>
      <c r="G26" s="18">
        <f t="shared" si="0"/>
        <v>6000</v>
      </c>
      <c r="H26" s="19">
        <v>6000</v>
      </c>
      <c r="I26" s="19">
        <v>0</v>
      </c>
      <c r="J26" s="22"/>
      <c r="K26" s="25"/>
      <c r="L26" s="18">
        <f t="shared" si="1"/>
        <v>0</v>
      </c>
      <c r="M26" s="71"/>
      <c r="N26" s="72"/>
      <c r="O26" s="72"/>
    </row>
    <row r="27" spans="1:15" ht="12" customHeight="1" x14ac:dyDescent="0.25">
      <c r="A27" s="21">
        <v>22</v>
      </c>
      <c r="B27" s="66" t="s">
        <v>93</v>
      </c>
      <c r="C27" s="17" t="s">
        <v>60</v>
      </c>
      <c r="D27" s="22"/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25"/>
      <c r="L27" s="18">
        <f t="shared" si="1"/>
        <v>0</v>
      </c>
      <c r="M27" s="71"/>
      <c r="N27" s="72"/>
      <c r="O27" s="72"/>
    </row>
    <row r="28" spans="1:15" ht="12" customHeight="1" x14ac:dyDescent="0.25">
      <c r="A28" s="21">
        <v>23</v>
      </c>
      <c r="B28" s="66" t="s">
        <v>61</v>
      </c>
      <c r="C28" s="17" t="s">
        <v>62</v>
      </c>
      <c r="D28" s="22"/>
      <c r="E28" s="23">
        <v>3000</v>
      </c>
      <c r="F28" s="24">
        <v>100</v>
      </c>
      <c r="G28" s="18">
        <f t="shared" si="0"/>
        <v>3100</v>
      </c>
      <c r="H28" s="19">
        <v>3000</v>
      </c>
      <c r="I28" s="19">
        <v>100</v>
      </c>
      <c r="J28" s="22"/>
      <c r="K28" s="25"/>
      <c r="L28" s="18">
        <f t="shared" si="1"/>
        <v>0</v>
      </c>
      <c r="M28" s="71"/>
      <c r="N28" s="72"/>
      <c r="O28" s="72"/>
    </row>
    <row r="29" spans="1:15" ht="12" customHeight="1" x14ac:dyDescent="0.25">
      <c r="A29" s="28">
        <v>24</v>
      </c>
      <c r="B29" s="67" t="s">
        <v>94</v>
      </c>
      <c r="C29" s="29" t="s">
        <v>64</v>
      </c>
      <c r="D29" s="31"/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  <c r="M29" s="71"/>
      <c r="N29" s="72"/>
      <c r="O29" s="72"/>
    </row>
    <row r="30" spans="1:15" ht="12" customHeight="1" x14ac:dyDescent="0.25">
      <c r="A30" s="37"/>
      <c r="B30" s="18"/>
      <c r="C30" s="18"/>
      <c r="D30" s="18"/>
      <c r="E30" s="18"/>
      <c r="F30" s="18"/>
      <c r="G30" s="18">
        <f>D30+E30+F30</f>
        <v>0</v>
      </c>
      <c r="H30" s="19"/>
      <c r="I30" s="18"/>
      <c r="J30" s="18"/>
      <c r="K30" s="18"/>
      <c r="L30" s="18"/>
      <c r="M30" s="71"/>
      <c r="N30" s="72"/>
      <c r="O30" s="72"/>
    </row>
    <row r="31" spans="1:15" ht="12" customHeight="1" x14ac:dyDescent="0.25">
      <c r="A31" s="38"/>
      <c r="B31" s="39" t="s">
        <v>65</v>
      </c>
      <c r="C31" s="38"/>
      <c r="D31" s="41">
        <f t="shared" ref="D31:L31" si="2">SUM(D6:D21)</f>
        <v>4100</v>
      </c>
      <c r="E31" s="40">
        <f>SUM(E6:E30)</f>
        <v>64000</v>
      </c>
      <c r="F31" s="42">
        <f>SUM(F6:F29)</f>
        <v>2300</v>
      </c>
      <c r="G31" s="18">
        <f>SUM(G6:G30)</f>
        <v>73400</v>
      </c>
      <c r="H31" s="40">
        <f>SUM(H6:H30)</f>
        <v>71300</v>
      </c>
      <c r="I31" s="40">
        <f>SUM(I6:I29)</f>
        <v>2100</v>
      </c>
      <c r="J31" s="41">
        <f t="shared" si="2"/>
        <v>0</v>
      </c>
      <c r="K31" s="41">
        <f t="shared" si="2"/>
        <v>0</v>
      </c>
      <c r="L31" s="42">
        <f t="shared" si="2"/>
        <v>0</v>
      </c>
      <c r="M31" s="71"/>
      <c r="N31" s="72"/>
      <c r="O31" s="72"/>
    </row>
    <row r="32" spans="1:15" x14ac:dyDescent="0.25">
      <c r="M32" s="71"/>
      <c r="N32" s="72"/>
      <c r="O32" s="72"/>
    </row>
    <row r="33" spans="1:8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</row>
    <row r="34" spans="1:8" ht="21" x14ac:dyDescent="0.25">
      <c r="A34" s="80"/>
      <c r="B34" s="80"/>
      <c r="C34" s="103"/>
      <c r="D34" s="104"/>
      <c r="E34" s="103"/>
      <c r="F34" s="103"/>
      <c r="G34" s="103"/>
      <c r="H34" s="78"/>
    </row>
    <row r="35" spans="1:8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</row>
    <row r="36" spans="1:8" x14ac:dyDescent="0.25">
      <c r="A36" s="83" t="s">
        <v>106</v>
      </c>
      <c r="B36" s="84" t="s">
        <v>107</v>
      </c>
      <c r="C36" s="85"/>
      <c r="D36" s="86">
        <v>0</v>
      </c>
      <c r="E36" s="85"/>
      <c r="F36" s="86"/>
      <c r="G36" s="86"/>
      <c r="H36" s="113"/>
    </row>
    <row r="37" spans="1:8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</row>
    <row r="38" spans="1:8" x14ac:dyDescent="0.25">
      <c r="A38" s="83" t="s">
        <v>110</v>
      </c>
      <c r="B38" s="84" t="s">
        <v>111</v>
      </c>
      <c r="C38" s="85">
        <v>0</v>
      </c>
      <c r="D38" s="86"/>
      <c r="E38" s="85">
        <v>2500</v>
      </c>
      <c r="F38" s="86">
        <v>2500</v>
      </c>
      <c r="G38" s="98">
        <v>2500</v>
      </c>
      <c r="H38" s="113"/>
    </row>
    <row r="39" spans="1:8" x14ac:dyDescent="0.25">
      <c r="A39" s="87" t="s">
        <v>112</v>
      </c>
      <c r="B39" s="105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</row>
    <row r="40" spans="1:8" x14ac:dyDescent="0.25">
      <c r="A40" s="99" t="s">
        <v>114</v>
      </c>
      <c r="B40" s="88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</row>
    <row r="41" spans="1:8" x14ac:dyDescent="0.25">
      <c r="A41" s="93" t="s">
        <v>116</v>
      </c>
      <c r="B41" s="84" t="s">
        <v>117</v>
      </c>
      <c r="C41" s="94" t="s">
        <v>118</v>
      </c>
      <c r="D41" s="92">
        <v>0</v>
      </c>
      <c r="E41" s="94">
        <v>2500</v>
      </c>
      <c r="F41" s="95">
        <v>2500</v>
      </c>
      <c r="G41" s="115">
        <v>2500</v>
      </c>
      <c r="H41" s="113"/>
    </row>
    <row r="42" spans="1:8" x14ac:dyDescent="0.25">
      <c r="A42" s="83" t="s">
        <v>119</v>
      </c>
      <c r="B42" s="101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</row>
    <row r="43" spans="1:8" x14ac:dyDescent="0.25">
      <c r="A43" s="83" t="s">
        <v>121</v>
      </c>
      <c r="B43" s="84" t="s">
        <v>122</v>
      </c>
      <c r="C43" s="85">
        <v>0</v>
      </c>
      <c r="D43" s="92">
        <v>0</v>
      </c>
      <c r="E43" s="85">
        <v>2500</v>
      </c>
      <c r="F43" s="86">
        <v>2500</v>
      </c>
      <c r="G43" s="98">
        <v>2500</v>
      </c>
      <c r="H43" s="113"/>
    </row>
    <row r="44" spans="1:8" x14ac:dyDescent="0.25">
      <c r="A44" s="83" t="s">
        <v>123</v>
      </c>
      <c r="B44" s="84" t="s">
        <v>124</v>
      </c>
      <c r="C44" s="85"/>
      <c r="D44" s="92">
        <v>0</v>
      </c>
      <c r="E44" s="85">
        <v>2500</v>
      </c>
      <c r="F44" s="86">
        <v>2500</v>
      </c>
      <c r="G44" s="98">
        <v>2500</v>
      </c>
      <c r="H44" s="113"/>
    </row>
    <row r="45" spans="1:8" ht="22.5" x14ac:dyDescent="0.25">
      <c r="A45" s="83" t="s">
        <v>125</v>
      </c>
      <c r="B45" s="84" t="s">
        <v>126</v>
      </c>
      <c r="C45" s="85"/>
      <c r="D45" s="92">
        <v>0</v>
      </c>
      <c r="E45" s="85">
        <v>1500</v>
      </c>
      <c r="F45" s="86">
        <v>1500</v>
      </c>
      <c r="G45" s="98">
        <v>1500</v>
      </c>
      <c r="H45" s="113"/>
    </row>
    <row r="46" spans="1:8" x14ac:dyDescent="0.25">
      <c r="A46" s="83"/>
      <c r="B46" s="91"/>
      <c r="C46" s="85"/>
      <c r="D46" s="92"/>
      <c r="E46" s="85"/>
      <c r="F46" s="86"/>
      <c r="G46" s="86"/>
      <c r="H46" s="113"/>
    </row>
    <row r="47" spans="1:8" x14ac:dyDescent="0.25">
      <c r="A47" s="96"/>
      <c r="B47" s="84"/>
      <c r="C47" s="86"/>
      <c r="D47" s="92"/>
      <c r="E47" s="86"/>
      <c r="F47" s="86"/>
      <c r="G47" s="86"/>
      <c r="H47" s="113"/>
    </row>
    <row r="48" spans="1:8" x14ac:dyDescent="0.25">
      <c r="A48" s="97"/>
      <c r="B48" s="97"/>
      <c r="C48" s="98"/>
      <c r="D48" s="100"/>
      <c r="E48" s="98">
        <v>19000</v>
      </c>
      <c r="F48" s="98">
        <v>19000</v>
      </c>
      <c r="G48" s="98">
        <v>19000</v>
      </c>
      <c r="H48" s="113"/>
    </row>
    <row r="49" spans="1:12" x14ac:dyDescent="0.25">
      <c r="A49" s="109"/>
      <c r="B49" s="109"/>
      <c r="C49" s="111"/>
      <c r="D49" s="112"/>
      <c r="E49" s="111"/>
      <c r="F49" s="111"/>
      <c r="G49" s="111"/>
      <c r="H49" s="78"/>
    </row>
    <row r="50" spans="1:12" x14ac:dyDescent="0.25">
      <c r="A50" s="83">
        <v>1</v>
      </c>
      <c r="B50" s="110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</row>
    <row r="51" spans="1:12" x14ac:dyDescent="0.25">
      <c r="A51" s="83">
        <v>2</v>
      </c>
      <c r="B51" s="110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</row>
    <row r="52" spans="1:12" x14ac:dyDescent="0.25">
      <c r="A52" s="83">
        <v>3</v>
      </c>
      <c r="B52" s="110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</row>
    <row r="53" spans="1:12" x14ac:dyDescent="0.25">
      <c r="A53" s="87">
        <v>4</v>
      </c>
      <c r="B53" s="110" t="s">
        <v>100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</row>
    <row r="54" spans="1:12" x14ac:dyDescent="0.25">
      <c r="A54" s="99">
        <v>5</v>
      </c>
      <c r="B54" s="110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</row>
    <row r="55" spans="1:12" x14ac:dyDescent="0.25">
      <c r="A55" s="93">
        <v>6</v>
      </c>
      <c r="B55" s="110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</row>
    <row r="56" spans="1:12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</row>
    <row r="57" spans="1:12" x14ac:dyDescent="0.25">
      <c r="A57" s="96"/>
      <c r="B57" s="84"/>
      <c r="C57" s="86"/>
      <c r="D57" s="92"/>
      <c r="E57" s="86"/>
      <c r="F57" s="86"/>
      <c r="G57" s="86"/>
      <c r="H57" s="78"/>
    </row>
    <row r="58" spans="1:12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</row>
    <row r="60" spans="1:12" ht="15.75" x14ac:dyDescent="0.3">
      <c r="A60" s="43"/>
      <c r="B60" s="44" t="s">
        <v>66</v>
      </c>
      <c r="C60" s="43"/>
      <c r="D60" s="45"/>
      <c r="E60" s="46"/>
      <c r="F60" s="47"/>
      <c r="G60" s="47"/>
      <c r="I60" s="45"/>
      <c r="J60" s="48"/>
      <c r="K60" s="49"/>
      <c r="L60" s="49"/>
    </row>
    <row r="61" spans="1:12" ht="17.25" x14ac:dyDescent="0.4">
      <c r="A61" s="50"/>
      <c r="B61" s="46" t="s">
        <v>67</v>
      </c>
      <c r="C61" s="50"/>
      <c r="D61" s="102">
        <f>E31+E48+E58</f>
        <v>110000</v>
      </c>
      <c r="G61" s="51"/>
      <c r="H61" s="52"/>
      <c r="I61" s="47"/>
      <c r="J61" s="47"/>
      <c r="K61" s="50"/>
    </row>
    <row r="62" spans="1:12" x14ac:dyDescent="0.25">
      <c r="A62" s="50"/>
      <c r="B62" s="46" t="s">
        <v>10</v>
      </c>
      <c r="D62" s="47">
        <v>2300</v>
      </c>
      <c r="E62" s="47"/>
      <c r="H62" s="54"/>
      <c r="I62" s="46"/>
      <c r="J62" s="55"/>
    </row>
    <row r="63" spans="1:12" x14ac:dyDescent="0.25">
      <c r="B63" s="46" t="s">
        <v>69</v>
      </c>
      <c r="D63" s="102">
        <f>D61</f>
        <v>110000</v>
      </c>
    </row>
    <row r="64" spans="1:12" x14ac:dyDescent="0.25">
      <c r="A64" s="50"/>
      <c r="B64" s="57" t="s">
        <v>70</v>
      </c>
      <c r="C64" s="46"/>
      <c r="E64" s="47" t="s">
        <v>71</v>
      </c>
      <c r="F64" s="47"/>
      <c r="H64" s="47" t="s">
        <v>72</v>
      </c>
      <c r="K64" s="47" t="s">
        <v>73</v>
      </c>
    </row>
    <row r="65" spans="1:11" x14ac:dyDescent="0.25">
      <c r="A65" s="50" t="s">
        <v>102</v>
      </c>
      <c r="B65" s="77">
        <v>0.08</v>
      </c>
      <c r="C65" s="46"/>
      <c r="D65" s="102">
        <f>D63*B65</f>
        <v>8800</v>
      </c>
      <c r="E65" s="79" t="s">
        <v>134</v>
      </c>
      <c r="F65" s="47"/>
      <c r="I65" s="47"/>
    </row>
    <row r="66" spans="1:11" s="78" customFormat="1" x14ac:dyDescent="0.25">
      <c r="A66" s="50"/>
      <c r="B66" s="77"/>
      <c r="C66" s="46"/>
      <c r="D66" s="102">
        <v>20000</v>
      </c>
      <c r="E66" s="79"/>
      <c r="F66" s="79"/>
      <c r="I66" s="79"/>
    </row>
    <row r="67" spans="1:11" x14ac:dyDescent="0.25">
      <c r="A67" s="50"/>
      <c r="B67" s="50" t="s">
        <v>136</v>
      </c>
      <c r="C67" s="46"/>
      <c r="D67" s="125">
        <v>20000</v>
      </c>
      <c r="F67" s="47"/>
      <c r="H67" s="47" t="s">
        <v>75</v>
      </c>
      <c r="K67" s="47" t="s">
        <v>76</v>
      </c>
    </row>
    <row r="68" spans="1:11" s="78" customFormat="1" x14ac:dyDescent="0.25">
      <c r="A68" s="50"/>
      <c r="B68" s="50" t="s">
        <v>136</v>
      </c>
      <c r="C68" s="46"/>
      <c r="D68" s="125">
        <v>70000</v>
      </c>
      <c r="F68" s="79"/>
      <c r="H68" s="79"/>
      <c r="K68" s="79"/>
    </row>
    <row r="69" spans="1:11" s="78" customFormat="1" x14ac:dyDescent="0.25">
      <c r="A69" s="50"/>
      <c r="B69" s="50" t="s">
        <v>136</v>
      </c>
      <c r="C69" s="46"/>
      <c r="D69" s="125">
        <v>28000</v>
      </c>
      <c r="F69" s="79"/>
      <c r="H69" s="79"/>
      <c r="K69" s="79"/>
    </row>
    <row r="70" spans="1:11" x14ac:dyDescent="0.25">
      <c r="A70" s="50"/>
      <c r="B70" s="57" t="s">
        <v>77</v>
      </c>
      <c r="C70" s="46"/>
      <c r="D70" s="102">
        <f>SUM(D65:D69)</f>
        <v>146800</v>
      </c>
      <c r="E70" s="59" t="s">
        <v>78</v>
      </c>
      <c r="F70" s="47"/>
      <c r="H70" s="47" t="s">
        <v>79</v>
      </c>
      <c r="I70" s="47"/>
      <c r="K70" s="47" t="s">
        <v>80</v>
      </c>
    </row>
    <row r="71" spans="1:11" x14ac:dyDescent="0.25">
      <c r="A71" s="50"/>
      <c r="B71" s="78" t="s">
        <v>137</v>
      </c>
      <c r="C71" s="46"/>
      <c r="D71" s="102">
        <f>D63-D70</f>
        <v>-36800</v>
      </c>
    </row>
    <row r="72" spans="1:11" s="78" customFormat="1" x14ac:dyDescent="0.25">
      <c r="A72" s="50"/>
      <c r="C72" s="46"/>
      <c r="D72" s="102"/>
    </row>
    <row r="73" spans="1:11" x14ac:dyDescent="0.25">
      <c r="A73" s="78"/>
      <c r="B73" s="79" t="s">
        <v>135</v>
      </c>
      <c r="C73" s="79"/>
      <c r="D73" s="79" t="s">
        <v>130</v>
      </c>
      <c r="E73" s="79"/>
      <c r="F73" s="78"/>
      <c r="G73" s="78"/>
    </row>
    <row r="74" spans="1:11" x14ac:dyDescent="0.25">
      <c r="A74" s="79" t="s">
        <v>131</v>
      </c>
      <c r="B74" s="79" t="s">
        <v>132</v>
      </c>
      <c r="C74" s="79"/>
      <c r="D74" s="79" t="s">
        <v>133</v>
      </c>
      <c r="E74" s="79"/>
      <c r="F74" s="78"/>
      <c r="G74" s="10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10" workbookViewId="0">
      <selection activeCell="E13" sqref="E13"/>
    </sheetView>
  </sheetViews>
  <sheetFormatPr defaultRowHeight="15" x14ac:dyDescent="0.25"/>
  <cols>
    <col min="2" max="2" width="17.5703125" customWidth="1"/>
    <col min="3" max="3" width="11.85546875" customWidth="1"/>
    <col min="4" max="4" width="11.28515625" customWidth="1"/>
    <col min="5" max="5" width="13" customWidth="1"/>
    <col min="6" max="6" width="11.5703125" bestFit="1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78"/>
    </row>
    <row r="2" spans="1:9" ht="16.5" x14ac:dyDescent="0.3">
      <c r="A2" s="5"/>
      <c r="B2" s="5"/>
      <c r="C2" s="6" t="s">
        <v>1</v>
      </c>
      <c r="D2" s="7"/>
      <c r="E2" s="5"/>
      <c r="F2" s="5"/>
      <c r="G2" s="78"/>
      <c r="H2" s="78"/>
      <c r="I2" s="78"/>
    </row>
    <row r="3" spans="1:9" ht="21" x14ac:dyDescent="0.25">
      <c r="A3" s="8"/>
      <c r="B3" s="64" t="s">
        <v>251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78"/>
    </row>
    <row r="5" spans="1:9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9"/>
      <c r="I5" s="78"/>
    </row>
    <row r="6" spans="1:9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76">
        <v>2600</v>
      </c>
      <c r="H6" s="176">
        <v>2600</v>
      </c>
      <c r="I6" s="78"/>
    </row>
    <row r="7" spans="1:9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76">
        <f t="shared" ref="G7:G26" si="0">D7+E7+F7</f>
        <v>0</v>
      </c>
      <c r="H7" s="176"/>
      <c r="I7" s="78"/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2600</v>
      </c>
      <c r="I8" s="78"/>
    </row>
    <row r="9" spans="1:9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  <c r="I9" s="78"/>
    </row>
    <row r="10" spans="1:9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  <c r="I10" s="78"/>
    </row>
    <row r="11" spans="1:9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/>
      <c r="I11" s="78"/>
    </row>
    <row r="12" spans="1:9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v>2500</v>
      </c>
      <c r="H12" s="176">
        <v>2500</v>
      </c>
      <c r="I12" s="78"/>
    </row>
    <row r="13" spans="1:9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  <c r="I13" s="78"/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  <c r="I14" s="78"/>
    </row>
    <row r="15" spans="1:9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/>
      <c r="I15" s="78"/>
    </row>
    <row r="16" spans="1:9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  <c r="I16" s="78"/>
    </row>
    <row r="17" spans="1:9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  <c r="I17" s="78"/>
    </row>
    <row r="18" spans="1:9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  <c r="I18" s="78"/>
    </row>
    <row r="19" spans="1:9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4600</v>
      </c>
      <c r="I19" s="78"/>
    </row>
    <row r="20" spans="1:9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76">
        <f t="shared" si="0"/>
        <v>2600</v>
      </c>
      <c r="H20" s="176">
        <v>4000</v>
      </c>
      <c r="I20" s="78"/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76">
        <f t="shared" si="0"/>
        <v>3100</v>
      </c>
      <c r="H21" s="176">
        <v>3100</v>
      </c>
      <c r="I21" s="78"/>
    </row>
    <row r="22" spans="1:9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0"/>
        <v>3100</v>
      </c>
      <c r="H22" s="176">
        <v>3100</v>
      </c>
      <c r="I22" s="78"/>
    </row>
    <row r="23" spans="1:9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0"/>
        <v>3100</v>
      </c>
      <c r="H23" s="176"/>
      <c r="I23" s="78"/>
    </row>
    <row r="24" spans="1:9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0"/>
        <v>3100</v>
      </c>
      <c r="H24" s="176">
        <v>3100</v>
      </c>
      <c r="I24" s="78"/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0"/>
        <v>3100</v>
      </c>
      <c r="H25" s="176">
        <v>3100</v>
      </c>
      <c r="I25" s="78"/>
    </row>
    <row r="26" spans="1:9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0"/>
        <v>0</v>
      </c>
      <c r="H26" s="176"/>
      <c r="I26" s="78"/>
    </row>
    <row r="27" spans="1:9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76">
        <v>3100</v>
      </c>
      <c r="I27" s="78"/>
    </row>
    <row r="28" spans="1:9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76">
        <f>D28+E28+F28</f>
        <v>3100</v>
      </c>
      <c r="H28" s="177"/>
      <c r="I28" s="78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76"/>
      <c r="I29" s="78"/>
    </row>
    <row r="30" spans="1:9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9">
        <f>SUM(G5:G29)</f>
        <v>55400</v>
      </c>
      <c r="H30" s="40">
        <f>SUM(H5:H29)</f>
        <v>39600</v>
      </c>
      <c r="I30" s="78"/>
    </row>
    <row r="31" spans="1:9" x14ac:dyDescent="0.25">
      <c r="A31" s="78"/>
      <c r="B31" s="557" t="s">
        <v>246</v>
      </c>
      <c r="C31" s="557"/>
      <c r="D31" s="557"/>
      <c r="E31" s="557"/>
      <c r="F31" s="557"/>
      <c r="G31" s="557"/>
      <c r="H31" s="78"/>
      <c r="I31" s="78"/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>
        <v>2750</v>
      </c>
      <c r="H33" s="113"/>
      <c r="I33" s="78"/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</row>
    <row r="35" spans="1:9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>
        <v>2750</v>
      </c>
      <c r="H35" s="113"/>
      <c r="I35" s="78"/>
    </row>
    <row r="36" spans="1:9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70">
        <v>2500</v>
      </c>
      <c r="H36" s="113"/>
      <c r="I36" s="78"/>
    </row>
    <row r="37" spans="1:9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  <c r="I37" s="78"/>
    </row>
    <row r="38" spans="1:9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71"/>
      <c r="H38" s="113"/>
      <c r="I38" s="78"/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13"/>
      <c r="I39" s="78"/>
    </row>
    <row r="40" spans="1:9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3000</v>
      </c>
      <c r="H40" s="113"/>
      <c r="I40" s="78"/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>
        <v>3000</v>
      </c>
      <c r="H41" s="113"/>
      <c r="I41" s="78"/>
    </row>
    <row r="42" spans="1:9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>
        <v>2700</v>
      </c>
      <c r="H42" s="113"/>
      <c r="I42" s="78"/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21900</v>
      </c>
      <c r="H43" s="113"/>
      <c r="I43" s="78"/>
    </row>
    <row r="44" spans="1:9" x14ac:dyDescent="0.25">
      <c r="A44" s="96"/>
      <c r="B44" s="84"/>
      <c r="C44" s="86"/>
      <c r="D44" s="92"/>
      <c r="E44" s="98"/>
      <c r="F44" s="98"/>
      <c r="G44" s="86"/>
      <c r="H44" s="113"/>
      <c r="I44" s="78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60"/>
      <c r="H45" s="113"/>
      <c r="I45" s="78"/>
    </row>
    <row r="46" spans="1:9" x14ac:dyDescent="0.25">
      <c r="A46" s="83">
        <v>1</v>
      </c>
      <c r="B46" s="116" t="s">
        <v>197</v>
      </c>
      <c r="C46" s="85"/>
      <c r="D46" s="86"/>
      <c r="E46" s="86">
        <v>3500</v>
      </c>
      <c r="F46" s="86"/>
      <c r="G46" s="86">
        <v>3500</v>
      </c>
      <c r="H46" s="78"/>
      <c r="I46" s="78"/>
    </row>
    <row r="47" spans="1:9" x14ac:dyDescent="0.25">
      <c r="A47" s="83">
        <v>2</v>
      </c>
      <c r="B47" s="116" t="s">
        <v>248</v>
      </c>
      <c r="C47" s="85"/>
      <c r="D47" s="86"/>
      <c r="E47" s="85">
        <v>4500</v>
      </c>
      <c r="F47" s="86"/>
      <c r="G47" s="86">
        <v>4500</v>
      </c>
      <c r="H47" s="78"/>
      <c r="I47" s="78"/>
    </row>
    <row r="48" spans="1:9" x14ac:dyDescent="0.25">
      <c r="A48" s="83">
        <v>3</v>
      </c>
      <c r="B48" s="116" t="s">
        <v>129</v>
      </c>
      <c r="C48" s="85"/>
      <c r="D48" s="86"/>
      <c r="E48" s="85">
        <v>4500</v>
      </c>
      <c r="F48" s="86"/>
      <c r="G48" s="86">
        <v>4500</v>
      </c>
      <c r="H48" s="78"/>
      <c r="I48" s="78"/>
    </row>
    <row r="49" spans="1:9" x14ac:dyDescent="0.25">
      <c r="A49" s="83">
        <v>4</v>
      </c>
      <c r="B49" s="116" t="s">
        <v>249</v>
      </c>
      <c r="C49" s="86"/>
      <c r="D49" s="78"/>
      <c r="E49" s="85">
        <v>4500</v>
      </c>
      <c r="F49" s="86"/>
      <c r="G49" s="86"/>
      <c r="H49" s="78"/>
      <c r="I49" s="78"/>
    </row>
    <row r="50" spans="1:9" x14ac:dyDescent="0.25">
      <c r="A50" s="99">
        <v>5</v>
      </c>
      <c r="B50" s="116" t="s">
        <v>250</v>
      </c>
      <c r="C50" s="85"/>
      <c r="D50" s="86"/>
      <c r="E50" s="85">
        <v>4000</v>
      </c>
      <c r="F50" s="86"/>
      <c r="G50" s="86">
        <v>4000</v>
      </c>
      <c r="H50" s="78"/>
      <c r="I50" s="78"/>
    </row>
    <row r="51" spans="1:9" x14ac:dyDescent="0.25">
      <c r="A51" s="93">
        <v>6</v>
      </c>
      <c r="B51" s="116" t="s">
        <v>231</v>
      </c>
      <c r="C51" s="85"/>
      <c r="D51" s="86"/>
      <c r="E51" s="85">
        <v>4500</v>
      </c>
      <c r="F51" s="86"/>
      <c r="G51" s="86">
        <v>4500</v>
      </c>
      <c r="H51" s="78"/>
      <c r="I51" s="78"/>
    </row>
    <row r="52" spans="1:9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78"/>
      <c r="I52" s="78"/>
    </row>
    <row r="53" spans="1:9" x14ac:dyDescent="0.25">
      <c r="A53" s="113"/>
      <c r="B53" s="173"/>
      <c r="C53" s="86"/>
      <c r="D53" s="92"/>
      <c r="E53" s="86"/>
      <c r="F53" s="86"/>
      <c r="G53" s="86"/>
      <c r="H53" s="78"/>
      <c r="I53" s="78"/>
    </row>
    <row r="54" spans="1:9" x14ac:dyDescent="0.25">
      <c r="A54" s="113"/>
      <c r="B54" s="174"/>
      <c r="C54" s="98"/>
      <c r="D54" s="98"/>
      <c r="E54" s="98">
        <f>SUM(E46:E53)</f>
        <v>25500</v>
      </c>
      <c r="F54" s="98"/>
      <c r="G54" s="98">
        <f>SUM(G46:G53)</f>
        <v>21000</v>
      </c>
      <c r="H54" s="78"/>
      <c r="I54" s="78"/>
    </row>
    <row r="55" spans="1:9" x14ac:dyDescent="0.25">
      <c r="A55" s="142"/>
      <c r="B55" s="78"/>
      <c r="C55" s="78"/>
      <c r="D55" s="78"/>
      <c r="E55" s="78"/>
      <c r="F55" s="78"/>
      <c r="G55" s="78"/>
      <c r="H55" s="78"/>
      <c r="I55" s="78"/>
    </row>
    <row r="56" spans="1:9" x14ac:dyDescent="0.25">
      <c r="A56" s="175"/>
      <c r="B56" s="78"/>
      <c r="C56" s="78"/>
      <c r="D56" s="78"/>
      <c r="E56" s="78"/>
      <c r="F56" s="78"/>
      <c r="G56" s="78"/>
      <c r="H56" s="78"/>
      <c r="I56" s="78"/>
    </row>
    <row r="57" spans="1:9" x14ac:dyDescent="0.25">
      <c r="A57" s="109"/>
      <c r="B57" s="78"/>
      <c r="C57" s="78"/>
      <c r="D57" s="78"/>
      <c r="E57" s="78"/>
      <c r="F57" s="78"/>
      <c r="G57" s="78"/>
      <c r="H57" s="78"/>
      <c r="I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  <c r="I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  <c r="I59" s="78"/>
    </row>
    <row r="60" spans="1:9" x14ac:dyDescent="0.25">
      <c r="A60" s="50" t="s">
        <v>198</v>
      </c>
      <c r="B60" s="159" t="s">
        <v>206</v>
      </c>
      <c r="C60" s="160">
        <f>E30+E43+E54</f>
        <v>96000</v>
      </c>
      <c r="D60" s="113"/>
      <c r="E60" s="113"/>
      <c r="F60" s="78"/>
      <c r="G60" s="78"/>
      <c r="H60" s="78"/>
      <c r="I60" s="157"/>
    </row>
    <row r="61" spans="1:9" x14ac:dyDescent="0.25">
      <c r="A61" s="50"/>
      <c r="B61" s="113" t="s">
        <v>209</v>
      </c>
      <c r="C61" s="161">
        <v>0.08</v>
      </c>
      <c r="D61" s="149">
        <f>C61*C60</f>
        <v>7680</v>
      </c>
      <c r="E61" s="113"/>
      <c r="F61" s="78"/>
      <c r="G61" s="78"/>
      <c r="H61" s="78"/>
      <c r="I61" s="78"/>
    </row>
    <row r="62" spans="1:9" x14ac:dyDescent="0.25">
      <c r="A62" s="78"/>
      <c r="B62" s="168" t="s">
        <v>210</v>
      </c>
      <c r="C62" s="113">
        <v>3000</v>
      </c>
      <c r="D62" s="113"/>
      <c r="E62" s="113"/>
      <c r="F62" s="78"/>
      <c r="G62" s="78"/>
      <c r="H62" s="102"/>
      <c r="I62" s="78"/>
    </row>
    <row r="63" spans="1:9" x14ac:dyDescent="0.25">
      <c r="A63" s="50"/>
      <c r="B63" s="168" t="s">
        <v>232</v>
      </c>
      <c r="C63" s="149">
        <f>F30</f>
        <v>2000</v>
      </c>
      <c r="D63" s="113"/>
      <c r="E63" s="113"/>
      <c r="F63" s="102"/>
      <c r="G63" s="78"/>
      <c r="H63" s="79"/>
      <c r="I63" s="78"/>
    </row>
    <row r="64" spans="1:9" x14ac:dyDescent="0.25">
      <c r="A64" s="50" t="s">
        <v>201</v>
      </c>
      <c r="B64" s="168" t="s">
        <v>239</v>
      </c>
      <c r="C64" s="149">
        <f>'APRIL 2017'!E71</f>
        <v>61920.320000000007</v>
      </c>
      <c r="D64" s="113"/>
      <c r="E64" s="113"/>
      <c r="F64" s="78"/>
      <c r="G64" s="78"/>
      <c r="H64" s="78"/>
      <c r="I64" s="78"/>
    </row>
    <row r="65" spans="1:9" x14ac:dyDescent="0.25">
      <c r="A65" s="50" t="s">
        <v>202</v>
      </c>
      <c r="B65" s="168" t="s">
        <v>193</v>
      </c>
      <c r="C65" s="149">
        <f>SUM(C60:C64)</f>
        <v>162920.40000000002</v>
      </c>
      <c r="D65" s="113"/>
      <c r="E65" s="113"/>
      <c r="F65" s="78"/>
      <c r="G65" s="78"/>
      <c r="H65" s="108"/>
      <c r="I65" s="78"/>
    </row>
    <row r="66" spans="1:9" x14ac:dyDescent="0.25">
      <c r="A66" s="50"/>
      <c r="B66" s="162" t="s">
        <v>211</v>
      </c>
      <c r="C66" s="161"/>
      <c r="D66" s="149"/>
      <c r="E66" s="113"/>
      <c r="F66" s="78"/>
      <c r="G66" s="78"/>
      <c r="H66" s="78"/>
      <c r="I66" s="78"/>
    </row>
    <row r="67" spans="1:9" x14ac:dyDescent="0.25">
      <c r="A67" s="50"/>
      <c r="B67" s="163" t="s">
        <v>166</v>
      </c>
      <c r="C67" s="113"/>
      <c r="D67" s="164">
        <v>1500</v>
      </c>
      <c r="E67" s="113"/>
      <c r="F67" s="78"/>
      <c r="G67" s="78"/>
      <c r="H67" s="78"/>
      <c r="I67" s="78"/>
    </row>
    <row r="68" spans="1:9" x14ac:dyDescent="0.25">
      <c r="A68" s="50"/>
      <c r="B68" s="164"/>
      <c r="C68" s="113"/>
      <c r="D68" s="164"/>
      <c r="E68" s="113"/>
      <c r="F68" s="78"/>
      <c r="G68" s="78"/>
      <c r="H68" s="78"/>
      <c r="I68" s="78"/>
    </row>
    <row r="69" spans="1:9" x14ac:dyDescent="0.25">
      <c r="A69" s="78"/>
      <c r="B69" s="163"/>
      <c r="C69" s="164"/>
      <c r="D69" s="165"/>
      <c r="E69" s="113"/>
      <c r="F69" s="79"/>
      <c r="G69" s="102"/>
      <c r="H69" s="78"/>
      <c r="I69" s="78"/>
    </row>
    <row r="70" spans="1:9" x14ac:dyDescent="0.25">
      <c r="A70" s="78"/>
      <c r="B70" s="164"/>
      <c r="C70" s="164"/>
      <c r="D70" s="113"/>
      <c r="E70" s="113"/>
      <c r="F70" s="79"/>
      <c r="G70" s="78"/>
      <c r="H70" s="78"/>
      <c r="I70" s="78"/>
    </row>
    <row r="71" spans="1:9" x14ac:dyDescent="0.25">
      <c r="A71" s="78"/>
      <c r="B71" s="166" t="s">
        <v>193</v>
      </c>
      <c r="C71" s="167">
        <f>C65</f>
        <v>162920.40000000002</v>
      </c>
      <c r="D71" s="149">
        <f>SUM(D61:D70)</f>
        <v>9180</v>
      </c>
      <c r="E71" s="149">
        <f>C71-D71</f>
        <v>153740.40000000002</v>
      </c>
      <c r="F71" s="78"/>
      <c r="G71" s="79"/>
      <c r="H71" s="78"/>
      <c r="I71" s="78"/>
    </row>
    <row r="72" spans="1:9" x14ac:dyDescent="0.25">
      <c r="A72" s="78"/>
      <c r="B72" s="78"/>
      <c r="C72" s="78"/>
      <c r="D72" s="78"/>
      <c r="E72" s="78"/>
      <c r="F72" s="78"/>
      <c r="G72" s="79"/>
      <c r="H72" s="78"/>
      <c r="I72" s="78"/>
    </row>
    <row r="73" spans="1:9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  <c r="I73" s="78"/>
    </row>
    <row r="74" spans="1:9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  <c r="I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  <c r="I75" s="78"/>
    </row>
    <row r="76" spans="1:9" x14ac:dyDescent="0.25">
      <c r="A76" s="78"/>
      <c r="B76" s="78"/>
      <c r="C76" s="78"/>
      <c r="D76" s="78"/>
      <c r="E76" s="78"/>
      <c r="F76" s="78"/>
      <c r="G76" s="78"/>
      <c r="H76" s="78"/>
      <c r="I76" s="78"/>
    </row>
    <row r="77" spans="1:9" x14ac:dyDescent="0.25">
      <c r="A77" s="78"/>
      <c r="B77" s="78"/>
      <c r="C77" s="78"/>
      <c r="D77" s="78"/>
      <c r="E77" s="78"/>
      <c r="F77" s="78"/>
      <c r="G77" s="78"/>
      <c r="H77" s="78"/>
      <c r="I77" s="78"/>
    </row>
    <row r="78" spans="1:9" x14ac:dyDescent="0.25">
      <c r="A78" s="78"/>
      <c r="B78" s="78"/>
      <c r="C78" s="78"/>
      <c r="D78" s="78"/>
      <c r="E78" s="78"/>
      <c r="F78" s="78"/>
      <c r="G78" s="78"/>
      <c r="H78" s="78"/>
      <c r="I78" s="78"/>
    </row>
    <row r="79" spans="1:9" x14ac:dyDescent="0.25">
      <c r="A79" s="78"/>
      <c r="B79" s="78"/>
      <c r="C79" s="78"/>
      <c r="D79" s="78"/>
      <c r="E79" s="78"/>
      <c r="F79" s="78"/>
      <c r="G79" s="78"/>
      <c r="H79" s="78"/>
      <c r="I79" s="78"/>
    </row>
    <row r="80" spans="1:9" x14ac:dyDescent="0.25">
      <c r="A80" s="78"/>
      <c r="B80" s="78"/>
      <c r="C80" s="78"/>
      <c r="D80" s="78"/>
      <c r="E80" s="78"/>
      <c r="F80" s="78"/>
      <c r="G80" s="78"/>
      <c r="H80" s="78"/>
      <c r="I80" s="78"/>
    </row>
    <row r="81" spans="1:9" x14ac:dyDescent="0.25">
      <c r="A81" s="78"/>
      <c r="B81" s="78"/>
      <c r="C81" s="78"/>
      <c r="D81" s="78"/>
      <c r="E81" s="78"/>
      <c r="F81" s="78"/>
      <c r="G81" s="78"/>
      <c r="H81" s="78"/>
      <c r="I81" s="78"/>
    </row>
    <row r="82" spans="1:9" x14ac:dyDescent="0.25">
      <c r="A82" s="78"/>
      <c r="B82" s="78"/>
      <c r="C82" s="78"/>
      <c r="D82" s="78"/>
      <c r="E82" s="78"/>
      <c r="F82" s="78"/>
      <c r="G82" s="78"/>
      <c r="H82" s="78"/>
      <c r="I82" s="78"/>
    </row>
    <row r="83" spans="1:9" x14ac:dyDescent="0.25">
      <c r="A83" s="78"/>
      <c r="B83" s="78"/>
      <c r="C83" s="78"/>
      <c r="D83" s="78"/>
      <c r="E83" s="78"/>
      <c r="F83" s="78"/>
      <c r="G83" s="78"/>
      <c r="H83" s="78"/>
      <c r="I83" s="78"/>
    </row>
  </sheetData>
  <mergeCells count="2">
    <mergeCell ref="B31:G31"/>
    <mergeCell ref="A45:G4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0" workbookViewId="0">
      <selection activeCell="F26" sqref="F26"/>
    </sheetView>
  </sheetViews>
  <sheetFormatPr defaultRowHeight="15" x14ac:dyDescent="0.25"/>
  <cols>
    <col min="2" max="2" width="13" customWidth="1"/>
    <col min="3" max="3" width="11.28515625" customWidth="1"/>
    <col min="4" max="4" width="12" customWidth="1"/>
    <col min="5" max="5" width="11.5703125" customWidth="1"/>
    <col min="6" max="6" width="11.5703125" bestFit="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261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/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9"/>
    </row>
    <row r="6" spans="1:8" x14ac:dyDescent="0.25">
      <c r="A6" s="16">
        <v>2</v>
      </c>
      <c r="B6" s="116" t="s">
        <v>216</v>
      </c>
      <c r="C6" s="17" t="s">
        <v>20</v>
      </c>
      <c r="D6" s="18"/>
      <c r="E6" s="18">
        <v>2500</v>
      </c>
      <c r="F6" s="18">
        <v>100</v>
      </c>
      <c r="G6" s="176">
        <v>2600</v>
      </c>
      <c r="H6" s="176">
        <v>2600</v>
      </c>
    </row>
    <row r="7" spans="1:8" x14ac:dyDescent="0.25">
      <c r="A7" s="16">
        <v>3</v>
      </c>
      <c r="B7" s="116" t="s">
        <v>107</v>
      </c>
      <c r="C7" s="17" t="s">
        <v>22</v>
      </c>
      <c r="D7" s="18">
        <v>0</v>
      </c>
      <c r="E7" s="18"/>
      <c r="F7" s="18"/>
      <c r="G7" s="176">
        <f t="shared" ref="G7:G26" si="0">D7+E7+F7</f>
        <v>0</v>
      </c>
      <c r="H7" s="176"/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2600</v>
      </c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/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v>2500</v>
      </c>
      <c r="H12" s="176">
        <v>2500</v>
      </c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/>
    </row>
    <row r="16" spans="1:8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4600</v>
      </c>
    </row>
    <row r="20" spans="1:8" x14ac:dyDescent="0.25">
      <c r="A20" s="16">
        <v>16</v>
      </c>
      <c r="B20" s="116" t="s">
        <v>225</v>
      </c>
      <c r="C20" s="17" t="s">
        <v>48</v>
      </c>
      <c r="D20" s="18">
        <v>0</v>
      </c>
      <c r="E20" s="18">
        <v>2500</v>
      </c>
      <c r="F20" s="18">
        <v>100</v>
      </c>
      <c r="G20" s="176">
        <f t="shared" si="0"/>
        <v>2600</v>
      </c>
      <c r="H20" s="176">
        <v>4000</v>
      </c>
    </row>
    <row r="21" spans="1:8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76">
        <f t="shared" si="0"/>
        <v>3100</v>
      </c>
      <c r="H21" s="176">
        <v>3100</v>
      </c>
    </row>
    <row r="22" spans="1:8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0"/>
        <v>3100</v>
      </c>
      <c r="H22" s="176">
        <v>3100</v>
      </c>
    </row>
    <row r="23" spans="1:8" x14ac:dyDescent="0.25">
      <c r="A23" s="21">
        <v>19</v>
      </c>
      <c r="B23" s="118" t="s">
        <v>227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0"/>
        <v>3100</v>
      </c>
      <c r="H23" s="176"/>
    </row>
    <row r="24" spans="1:8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0"/>
        <v>3100</v>
      </c>
      <c r="H24" s="176">
        <v>3100</v>
      </c>
    </row>
    <row r="25" spans="1:8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0"/>
        <v>3100</v>
      </c>
      <c r="H25" s="176">
        <v>3100</v>
      </c>
    </row>
    <row r="26" spans="1:8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0"/>
        <v>0</v>
      </c>
      <c r="H26" s="176"/>
    </row>
    <row r="27" spans="1:8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76">
        <v>3100</v>
      </c>
    </row>
    <row r="28" spans="1:8" x14ac:dyDescent="0.25">
      <c r="A28" s="28">
        <v>24</v>
      </c>
      <c r="B28" s="119" t="s">
        <v>230</v>
      </c>
      <c r="C28" s="29" t="s">
        <v>64</v>
      </c>
      <c r="D28" s="18">
        <v>0</v>
      </c>
      <c r="E28" s="32">
        <v>3000</v>
      </c>
      <c r="F28" s="33">
        <v>100</v>
      </c>
      <c r="G28" s="176">
        <f>D28+E28+F28</f>
        <v>3100</v>
      </c>
      <c r="H28" s="177"/>
    </row>
    <row r="29" spans="1:8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76"/>
    </row>
    <row r="30" spans="1:8" x14ac:dyDescent="0.25">
      <c r="A30" s="38"/>
      <c r="B30" s="39" t="s">
        <v>65</v>
      </c>
      <c r="C30" s="38"/>
      <c r="D30" s="149"/>
      <c r="E30" s="40">
        <f>SUM(E5:E29)</f>
        <v>53500</v>
      </c>
      <c r="F30" s="42">
        <f>SUM(F5:F28)</f>
        <v>2000</v>
      </c>
      <c r="G30" s="19">
        <f>SUM(G5:G29)</f>
        <v>55400</v>
      </c>
      <c r="H30" s="40">
        <f>SUM(H5:H29)</f>
        <v>39600</v>
      </c>
    </row>
    <row r="31" spans="1:8" x14ac:dyDescent="0.25">
      <c r="A31" s="78"/>
      <c r="B31" s="557" t="s">
        <v>246</v>
      </c>
      <c r="C31" s="557"/>
      <c r="D31" s="557"/>
      <c r="E31" s="557"/>
      <c r="F31" s="557"/>
      <c r="G31" s="557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>
        <v>2750</v>
      </c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>
        <v>2750</v>
      </c>
      <c r="H35" s="113"/>
    </row>
    <row r="36" spans="1:8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70">
        <v>2500</v>
      </c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</row>
    <row r="38" spans="1:8" x14ac:dyDescent="0.25">
      <c r="A38" s="93" t="s">
        <v>116</v>
      </c>
      <c r="B38" s="84" t="s">
        <v>185</v>
      </c>
      <c r="C38" s="94"/>
      <c r="D38" s="92">
        <v>0</v>
      </c>
      <c r="E38" s="94">
        <v>2500</v>
      </c>
      <c r="F38" s="95">
        <v>2500</v>
      </c>
      <c r="G38" s="171"/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3000</v>
      </c>
      <c r="H40" s="113"/>
    </row>
    <row r="41" spans="1:8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>
        <v>3000</v>
      </c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>
        <v>2700</v>
      </c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21900</v>
      </c>
      <c r="H43" s="113"/>
    </row>
    <row r="44" spans="1:8" x14ac:dyDescent="0.25">
      <c r="A44" s="96"/>
      <c r="B44" s="84"/>
      <c r="C44" s="86"/>
      <c r="D44" s="92"/>
      <c r="E44" s="98"/>
      <c r="F44" s="98"/>
      <c r="G44" s="86"/>
      <c r="H44" s="113"/>
    </row>
    <row r="45" spans="1:8" ht="18.75" x14ac:dyDescent="0.25">
      <c r="A45" s="558" t="s">
        <v>247</v>
      </c>
      <c r="B45" s="559"/>
      <c r="C45" s="559"/>
      <c r="D45" s="559"/>
      <c r="E45" s="559"/>
      <c r="F45" s="559"/>
      <c r="G45" s="560"/>
      <c r="H45" s="113"/>
    </row>
    <row r="46" spans="1:8" x14ac:dyDescent="0.25">
      <c r="A46" s="83">
        <v>1</v>
      </c>
      <c r="B46" s="116" t="s">
        <v>197</v>
      </c>
      <c r="C46" s="85"/>
      <c r="D46" s="86"/>
      <c r="E46" s="86">
        <v>3500</v>
      </c>
      <c r="F46" s="86"/>
      <c r="G46" s="86">
        <v>3500</v>
      </c>
      <c r="H46" s="78"/>
    </row>
    <row r="47" spans="1:8" x14ac:dyDescent="0.25">
      <c r="A47" s="83">
        <v>2</v>
      </c>
      <c r="B47" s="116" t="s">
        <v>248</v>
      </c>
      <c r="C47" s="85"/>
      <c r="D47" s="86"/>
      <c r="E47" s="85">
        <v>4500</v>
      </c>
      <c r="F47" s="86"/>
      <c r="G47" s="86">
        <v>4500</v>
      </c>
      <c r="H47" s="78"/>
    </row>
    <row r="48" spans="1:8" x14ac:dyDescent="0.25">
      <c r="A48" s="83">
        <v>3</v>
      </c>
      <c r="B48" s="116" t="s">
        <v>129</v>
      </c>
      <c r="C48" s="85"/>
      <c r="D48" s="86"/>
      <c r="E48" s="85">
        <v>4500</v>
      </c>
      <c r="F48" s="86"/>
      <c r="G48" s="86">
        <v>4500</v>
      </c>
      <c r="H48" s="78"/>
    </row>
    <row r="49" spans="1:8" x14ac:dyDescent="0.25">
      <c r="A49" s="83">
        <v>4</v>
      </c>
      <c r="B49" s="116" t="s">
        <v>249</v>
      </c>
      <c r="C49" s="86"/>
      <c r="D49" s="78"/>
      <c r="E49" s="85">
        <v>4000</v>
      </c>
      <c r="F49" s="86"/>
      <c r="G49" s="86"/>
      <c r="H49" s="78"/>
    </row>
    <row r="50" spans="1:8" x14ac:dyDescent="0.25">
      <c r="A50" s="99">
        <v>5</v>
      </c>
      <c r="B50" s="116" t="s">
        <v>250</v>
      </c>
      <c r="C50" s="85"/>
      <c r="D50" s="86"/>
      <c r="E50" s="85">
        <v>4000</v>
      </c>
      <c r="F50" s="86"/>
      <c r="G50" s="86">
        <v>4000</v>
      </c>
      <c r="H50" s="78"/>
    </row>
    <row r="51" spans="1:8" x14ac:dyDescent="0.25">
      <c r="A51" s="93">
        <v>6</v>
      </c>
      <c r="B51" s="116" t="s">
        <v>231</v>
      </c>
      <c r="C51" s="85"/>
      <c r="D51" s="86"/>
      <c r="E51" s="85">
        <v>4500</v>
      </c>
      <c r="F51" s="86"/>
      <c r="G51" s="86">
        <v>4500</v>
      </c>
      <c r="H51" s="78"/>
    </row>
    <row r="52" spans="1:8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78"/>
    </row>
    <row r="53" spans="1:8" x14ac:dyDescent="0.25">
      <c r="A53" s="113"/>
      <c r="B53" s="173"/>
      <c r="C53" s="86"/>
      <c r="D53" s="92"/>
      <c r="E53" s="86"/>
      <c r="F53" s="86"/>
      <c r="G53" s="86"/>
      <c r="H53" s="78"/>
    </row>
    <row r="54" spans="1:8" x14ac:dyDescent="0.25">
      <c r="A54" s="113"/>
      <c r="B54" s="174"/>
      <c r="C54" s="98"/>
      <c r="D54" s="98"/>
      <c r="E54" s="98">
        <f>SUM(E46:E53)</f>
        <v>25000</v>
      </c>
      <c r="F54" s="98"/>
      <c r="G54" s="98">
        <f>SUM(G46:G53)</f>
        <v>21000</v>
      </c>
      <c r="H54" s="78"/>
    </row>
    <row r="55" spans="1:8" x14ac:dyDescent="0.25">
      <c r="A55" s="142"/>
      <c r="B55" s="78"/>
      <c r="C55" s="78"/>
      <c r="D55" s="78"/>
      <c r="E55" s="78"/>
      <c r="F55" s="78"/>
      <c r="G55" s="78"/>
      <c r="H55" s="78"/>
    </row>
    <row r="56" spans="1:8" x14ac:dyDescent="0.25">
      <c r="A56" s="175"/>
      <c r="B56" s="78"/>
      <c r="C56" s="78"/>
      <c r="D56" s="78"/>
      <c r="E56" s="78"/>
      <c r="F56" s="78"/>
      <c r="G56" s="78"/>
      <c r="H56" s="78"/>
    </row>
    <row r="57" spans="1:8" x14ac:dyDescent="0.25">
      <c r="A57" s="109"/>
      <c r="B57" s="78"/>
      <c r="C57" s="78"/>
      <c r="D57" s="78"/>
      <c r="E57" s="78"/>
      <c r="F57" s="78"/>
      <c r="G57" s="78"/>
      <c r="H57" s="78"/>
    </row>
    <row r="58" spans="1:8" x14ac:dyDescent="0.25">
      <c r="A58" s="79"/>
      <c r="B58" s="79"/>
      <c r="C58" s="106"/>
      <c r="D58" s="107"/>
      <c r="E58" s="106"/>
      <c r="F58" s="108"/>
      <c r="G58" s="106"/>
      <c r="H58" s="78"/>
    </row>
    <row r="59" spans="1:8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79"/>
      <c r="G59" s="79"/>
      <c r="H59" s="78"/>
    </row>
    <row r="60" spans="1:8" x14ac:dyDescent="0.25">
      <c r="A60" s="50" t="s">
        <v>198</v>
      </c>
      <c r="B60" s="159" t="s">
        <v>206</v>
      </c>
      <c r="C60" s="160">
        <f>E30+E43+E54</f>
        <v>95500</v>
      </c>
      <c r="D60" s="113"/>
      <c r="E60" s="113"/>
      <c r="F60" s="78"/>
      <c r="G60" s="78"/>
      <c r="H60" s="78"/>
    </row>
    <row r="61" spans="1:8" x14ac:dyDescent="0.25">
      <c r="A61" s="50"/>
      <c r="B61" s="113" t="s">
        <v>209</v>
      </c>
      <c r="C61" s="161">
        <v>0.08</v>
      </c>
      <c r="D61" s="149">
        <f>C61*C60</f>
        <v>7640</v>
      </c>
      <c r="E61" s="113"/>
      <c r="F61" s="78"/>
      <c r="G61" s="78"/>
      <c r="H61" s="78"/>
    </row>
    <row r="62" spans="1:8" x14ac:dyDescent="0.25">
      <c r="A62" s="78"/>
      <c r="B62" s="168" t="s">
        <v>210</v>
      </c>
      <c r="C62" s="113">
        <v>3000</v>
      </c>
      <c r="D62" s="113"/>
      <c r="E62" s="113"/>
      <c r="F62" s="78"/>
      <c r="G62" s="78"/>
      <c r="H62" s="102"/>
    </row>
    <row r="63" spans="1:8" x14ac:dyDescent="0.25">
      <c r="A63" s="50"/>
      <c r="B63" s="168" t="s">
        <v>232</v>
      </c>
      <c r="C63" s="149">
        <f>F30</f>
        <v>2000</v>
      </c>
      <c r="D63" s="113"/>
      <c r="E63" s="113"/>
      <c r="F63" s="102"/>
      <c r="G63" s="78"/>
      <c r="H63" s="79"/>
    </row>
    <row r="64" spans="1:8" x14ac:dyDescent="0.25">
      <c r="A64" s="50" t="s">
        <v>201</v>
      </c>
      <c r="B64" s="168" t="s">
        <v>239</v>
      </c>
      <c r="C64" s="149">
        <f>'MAY 2017'!E71</f>
        <v>153740.40000000002</v>
      </c>
      <c r="D64" s="113"/>
      <c r="E64" s="113"/>
      <c r="F64" s="78"/>
      <c r="G64" s="78"/>
      <c r="H64" s="78"/>
    </row>
    <row r="65" spans="1:8" x14ac:dyDescent="0.25">
      <c r="A65" s="50" t="s">
        <v>202</v>
      </c>
      <c r="B65" s="168" t="s">
        <v>193</v>
      </c>
      <c r="C65" s="149">
        <f>SUM(C60:C64)</f>
        <v>254240.48000000004</v>
      </c>
      <c r="D65" s="113"/>
      <c r="E65" s="113"/>
      <c r="F65" s="78"/>
      <c r="G65" s="78"/>
      <c r="H65" s="108"/>
    </row>
    <row r="66" spans="1:8" x14ac:dyDescent="0.25">
      <c r="A66" s="50"/>
      <c r="B66" s="162" t="s">
        <v>211</v>
      </c>
      <c r="C66" s="161"/>
      <c r="D66" s="149"/>
      <c r="E66" s="113"/>
      <c r="F66" s="78"/>
      <c r="G66" s="78"/>
      <c r="H66" s="78"/>
    </row>
    <row r="67" spans="1:8" x14ac:dyDescent="0.25">
      <c r="A67" s="50"/>
      <c r="B67" s="163" t="s">
        <v>136</v>
      </c>
      <c r="C67" s="113"/>
      <c r="D67" s="164">
        <v>94000</v>
      </c>
      <c r="E67" s="113"/>
      <c r="F67" s="78"/>
      <c r="G67" s="78"/>
      <c r="H67" s="78"/>
    </row>
    <row r="68" spans="1:8" x14ac:dyDescent="0.25">
      <c r="A68" s="50"/>
      <c r="B68" s="164" t="s">
        <v>166</v>
      </c>
      <c r="C68" s="113"/>
      <c r="D68" s="164">
        <v>2500</v>
      </c>
      <c r="E68" s="113"/>
      <c r="F68" s="78"/>
      <c r="G68" s="78"/>
      <c r="H68" s="78"/>
    </row>
    <row r="69" spans="1:8" x14ac:dyDescent="0.25">
      <c r="A69" s="78"/>
      <c r="B69" s="163" t="s">
        <v>253</v>
      </c>
      <c r="C69" s="164"/>
      <c r="D69" s="165">
        <v>90000</v>
      </c>
      <c r="E69" s="113"/>
      <c r="F69" s="179"/>
      <c r="G69" s="102"/>
      <c r="H69" s="78"/>
    </row>
    <row r="70" spans="1:8" x14ac:dyDescent="0.25">
      <c r="A70" s="78"/>
      <c r="B70" s="164"/>
      <c r="C70" s="164"/>
      <c r="D70" s="113"/>
      <c r="E70" s="113"/>
      <c r="F70" s="108"/>
      <c r="G70" s="78"/>
      <c r="H70" s="78"/>
    </row>
    <row r="71" spans="1:8" x14ac:dyDescent="0.25">
      <c r="A71" s="78"/>
      <c r="B71" s="166" t="s">
        <v>193</v>
      </c>
      <c r="C71" s="167">
        <f>C65</f>
        <v>254240.48000000004</v>
      </c>
      <c r="D71" s="149">
        <f>SUM(D61:D70)</f>
        <v>194140</v>
      </c>
      <c r="E71" s="149">
        <f>C71-D71</f>
        <v>60100.48000000004</v>
      </c>
      <c r="F71" s="78"/>
      <c r="G71" s="79"/>
      <c r="H71" s="78"/>
    </row>
    <row r="72" spans="1:8" x14ac:dyDescent="0.25">
      <c r="A72" s="78"/>
      <c r="B72" s="113"/>
      <c r="C72" s="113"/>
      <c r="D72" s="113"/>
      <c r="E72" s="113"/>
      <c r="F72" s="78"/>
      <c r="G72" s="79"/>
      <c r="H72" s="78"/>
    </row>
    <row r="73" spans="1:8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</row>
    <row r="74" spans="1:8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</row>
  </sheetData>
  <mergeCells count="2">
    <mergeCell ref="B31:G31"/>
    <mergeCell ref="A45:G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7" workbookViewId="0">
      <selection activeCell="B20" sqref="B20:H29"/>
    </sheetView>
  </sheetViews>
  <sheetFormatPr defaultRowHeight="15" x14ac:dyDescent="0.25"/>
  <cols>
    <col min="1" max="1" width="6.140625" customWidth="1"/>
    <col min="2" max="2" width="18.5703125" customWidth="1"/>
    <col min="3" max="4" width="11.5703125" customWidth="1"/>
    <col min="5" max="5" width="11.7109375" customWidth="1"/>
    <col min="6" max="6" width="15.7109375" customWidth="1"/>
    <col min="7" max="7" width="13" customWidth="1"/>
    <col min="8" max="8" width="11.28515625" customWidth="1"/>
    <col min="9" max="9" width="11" customWidth="1"/>
  </cols>
  <sheetData>
    <row r="1" spans="1:8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8" ht="16.5" x14ac:dyDescent="0.3">
      <c r="A2" s="5"/>
      <c r="B2" s="5"/>
      <c r="C2" s="6" t="s">
        <v>1</v>
      </c>
      <c r="D2" s="7"/>
      <c r="E2" s="5"/>
      <c r="F2" s="5"/>
      <c r="G2" s="78"/>
      <c r="H2" s="78"/>
    </row>
    <row r="3" spans="1:8" ht="21" x14ac:dyDescent="0.25">
      <c r="A3" s="8"/>
      <c r="B3" s="64" t="s">
        <v>260</v>
      </c>
      <c r="C3" s="11"/>
      <c r="D3" s="11"/>
      <c r="E3" s="11"/>
      <c r="F3" s="103"/>
      <c r="G3" s="103"/>
      <c r="H3" s="103"/>
    </row>
    <row r="4" spans="1:8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</row>
    <row r="5" spans="1:8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76">
        <v>2600</v>
      </c>
    </row>
    <row r="6" spans="1:8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76">
        <v>2600</v>
      </c>
      <c r="H6" s="176">
        <v>2500</v>
      </c>
    </row>
    <row r="7" spans="1:8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19" si="0">D7+E7+F7</f>
        <v>2600</v>
      </c>
      <c r="H7" s="176">
        <v>2600</v>
      </c>
    </row>
    <row r="8" spans="1:8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76">
        <v>2500</v>
      </c>
    </row>
    <row r="9" spans="1:8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0"/>
        <v>2600</v>
      </c>
      <c r="H9" s="176"/>
    </row>
    <row r="10" spans="1:8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0"/>
        <v>2600</v>
      </c>
      <c r="H10" s="176">
        <v>2600</v>
      </c>
    </row>
    <row r="11" spans="1:8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0"/>
        <v>2600</v>
      </c>
      <c r="H11" s="176">
        <v>2600</v>
      </c>
    </row>
    <row r="12" spans="1:8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f>E12+F12</f>
        <v>2600</v>
      </c>
      <c r="H12" s="176">
        <v>2600</v>
      </c>
    </row>
    <row r="13" spans="1:8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0"/>
        <v>2600</v>
      </c>
      <c r="H13" s="176"/>
    </row>
    <row r="14" spans="1:8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0"/>
        <v>2600</v>
      </c>
      <c r="H14" s="176">
        <v>2600</v>
      </c>
    </row>
    <row r="15" spans="1:8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0"/>
        <v>2600</v>
      </c>
      <c r="H15" s="176">
        <v>5200</v>
      </c>
    </row>
    <row r="16" spans="1:8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0"/>
        <v>2600</v>
      </c>
      <c r="H16" s="176">
        <v>2600</v>
      </c>
    </row>
    <row r="17" spans="1:8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>
        <f t="shared" si="0"/>
        <v>0</v>
      </c>
      <c r="H17" s="176"/>
    </row>
    <row r="18" spans="1:8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>
        <f t="shared" si="0"/>
        <v>0</v>
      </c>
      <c r="H18" s="176"/>
    </row>
    <row r="19" spans="1:8" x14ac:dyDescent="0.25">
      <c r="A19" s="16">
        <v>15</v>
      </c>
      <c r="B19" s="116" t="s">
        <v>224</v>
      </c>
      <c r="C19" s="17" t="s">
        <v>46</v>
      </c>
      <c r="D19" s="18">
        <v>0</v>
      </c>
      <c r="E19" s="18">
        <v>2500</v>
      </c>
      <c r="F19" s="18">
        <v>100</v>
      </c>
      <c r="G19" s="176">
        <f t="shared" si="0"/>
        <v>2600</v>
      </c>
      <c r="H19" s="176">
        <v>2600</v>
      </c>
    </row>
    <row r="20" spans="1:8" x14ac:dyDescent="0.25">
      <c r="A20" s="16">
        <v>16</v>
      </c>
      <c r="B20" s="116"/>
      <c r="C20" s="17"/>
      <c r="D20" s="18"/>
      <c r="E20" s="18"/>
      <c r="F20" s="18"/>
      <c r="G20" s="176"/>
      <c r="H20" s="176"/>
    </row>
    <row r="21" spans="1:8" x14ac:dyDescent="0.25">
      <c r="A21" s="21">
        <v>17</v>
      </c>
      <c r="B21" s="117"/>
      <c r="C21" s="17"/>
      <c r="D21" s="18"/>
      <c r="E21" s="23"/>
      <c r="F21" s="24"/>
      <c r="G21" s="176"/>
      <c r="H21" s="176"/>
    </row>
    <row r="22" spans="1:8" x14ac:dyDescent="0.25">
      <c r="A22" s="21">
        <v>18</v>
      </c>
      <c r="B22" s="117"/>
      <c r="C22" s="17"/>
      <c r="D22" s="18"/>
      <c r="E22" s="23"/>
      <c r="F22" s="24"/>
      <c r="G22" s="176"/>
      <c r="H22" s="176"/>
    </row>
    <row r="23" spans="1:8" x14ac:dyDescent="0.25">
      <c r="A23" s="21">
        <v>19</v>
      </c>
      <c r="B23" s="118"/>
      <c r="C23" s="17"/>
      <c r="D23" s="18"/>
      <c r="E23" s="23"/>
      <c r="F23" s="24"/>
      <c r="G23" s="176"/>
      <c r="H23" s="176"/>
    </row>
    <row r="24" spans="1:8" x14ac:dyDescent="0.25">
      <c r="A24" s="21">
        <v>20</v>
      </c>
      <c r="B24" s="117"/>
      <c r="C24" s="17"/>
      <c r="D24" s="18"/>
      <c r="E24" s="23"/>
      <c r="F24" s="24"/>
      <c r="G24" s="176"/>
      <c r="H24" s="176"/>
    </row>
    <row r="25" spans="1:8" x14ac:dyDescent="0.25">
      <c r="A25" s="21">
        <v>21</v>
      </c>
      <c r="B25" s="118"/>
      <c r="C25" s="17"/>
      <c r="D25" s="18"/>
      <c r="E25" s="23"/>
      <c r="F25" s="24"/>
      <c r="G25" s="176"/>
      <c r="H25" s="176"/>
    </row>
    <row r="26" spans="1:8" x14ac:dyDescent="0.25">
      <c r="A26" s="21">
        <v>22</v>
      </c>
      <c r="B26" s="118"/>
      <c r="C26" s="17"/>
      <c r="D26" s="18"/>
      <c r="E26" s="23"/>
      <c r="F26" s="24"/>
      <c r="G26" s="176"/>
      <c r="H26" s="176"/>
    </row>
    <row r="27" spans="1:8" x14ac:dyDescent="0.25">
      <c r="A27" s="21">
        <v>23</v>
      </c>
      <c r="B27" s="118"/>
      <c r="C27" s="17"/>
      <c r="D27" s="18"/>
      <c r="E27" s="23"/>
      <c r="F27" s="24"/>
      <c r="G27" s="176"/>
      <c r="H27" s="176"/>
    </row>
    <row r="28" spans="1:8" x14ac:dyDescent="0.25">
      <c r="A28" s="28">
        <v>24</v>
      </c>
      <c r="B28" s="119"/>
      <c r="C28" s="29"/>
      <c r="D28" s="18"/>
      <c r="E28" s="32"/>
      <c r="F28" s="33"/>
      <c r="G28" s="176"/>
      <c r="H28" s="177"/>
    </row>
    <row r="29" spans="1:8" x14ac:dyDescent="0.25">
      <c r="A29" s="37"/>
      <c r="B29" s="18"/>
      <c r="C29" s="18"/>
      <c r="D29" s="18"/>
      <c r="E29" s="18"/>
      <c r="F29" s="18"/>
      <c r="G29" s="18"/>
      <c r="H29" s="176"/>
    </row>
    <row r="30" spans="1:8" x14ac:dyDescent="0.25">
      <c r="A30" s="38"/>
      <c r="B30" s="39" t="s">
        <v>65</v>
      </c>
      <c r="C30" s="38"/>
      <c r="D30" s="149"/>
      <c r="E30" s="40">
        <f>SUM(E5:E29)</f>
        <v>32500</v>
      </c>
      <c r="F30" s="42">
        <f>SUM(F5:F28)</f>
        <v>1300</v>
      </c>
      <c r="G30" s="19">
        <f>SUM(G5:G29)</f>
        <v>33800</v>
      </c>
      <c r="H30" s="40">
        <f>SUM(H5:H29)</f>
        <v>31000</v>
      </c>
    </row>
    <row r="31" spans="1:8" x14ac:dyDescent="0.25">
      <c r="A31" s="78"/>
      <c r="B31" s="557" t="s">
        <v>246</v>
      </c>
      <c r="C31" s="557"/>
      <c r="D31" s="557"/>
      <c r="E31" s="557"/>
      <c r="F31" s="557"/>
      <c r="G31" s="557"/>
      <c r="H31" s="78"/>
    </row>
    <row r="32" spans="1:8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</row>
    <row r="33" spans="1:8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13"/>
    </row>
    <row r="34" spans="1:8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</row>
    <row r="35" spans="1:8" x14ac:dyDescent="0.25">
      <c r="A35" s="83" t="s">
        <v>110</v>
      </c>
      <c r="B35" s="121" t="s">
        <v>183</v>
      </c>
      <c r="C35" s="85"/>
      <c r="D35" s="86"/>
      <c r="E35" s="85">
        <v>2500</v>
      </c>
      <c r="F35" s="86">
        <v>2500</v>
      </c>
      <c r="G35" s="169"/>
      <c r="H35" s="113"/>
    </row>
    <row r="36" spans="1:8" x14ac:dyDescent="0.25">
      <c r="A36" s="87" t="s">
        <v>112</v>
      </c>
      <c r="B36" s="123" t="s">
        <v>254</v>
      </c>
      <c r="C36" s="89"/>
      <c r="D36" s="90"/>
      <c r="E36" s="89">
        <v>2500</v>
      </c>
      <c r="F36" s="90">
        <v>2500</v>
      </c>
      <c r="G36" s="170">
        <v>2700</v>
      </c>
      <c r="H36" s="113"/>
    </row>
    <row r="37" spans="1:8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2700</v>
      </c>
      <c r="H37" s="113"/>
    </row>
    <row r="38" spans="1:8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95">
        <v>2500</v>
      </c>
      <c r="G38" s="171">
        <v>2500</v>
      </c>
      <c r="H38" s="113"/>
    </row>
    <row r="39" spans="1:8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/>
      <c r="H39" s="113"/>
    </row>
    <row r="40" spans="1:8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/>
      <c r="H40" s="113"/>
    </row>
    <row r="41" spans="1:8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/>
      <c r="H41" s="113"/>
    </row>
    <row r="42" spans="1:8" x14ac:dyDescent="0.25">
      <c r="A42" s="83" t="s">
        <v>125</v>
      </c>
      <c r="B42" s="120" t="s">
        <v>191</v>
      </c>
      <c r="C42" s="78"/>
      <c r="D42" s="78"/>
      <c r="E42" s="152">
        <v>2000</v>
      </c>
      <c r="F42" s="151">
        <v>2000</v>
      </c>
      <c r="G42" s="169"/>
      <c r="H42" s="113"/>
    </row>
    <row r="43" spans="1:8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17000</v>
      </c>
      <c r="G43" s="98">
        <f>SUM(G33:G42)</f>
        <v>7900</v>
      </c>
      <c r="H43" s="113"/>
    </row>
    <row r="44" spans="1:8" x14ac:dyDescent="0.25">
      <c r="A44" s="96"/>
      <c r="B44" s="84"/>
      <c r="C44" s="86"/>
      <c r="D44" s="92"/>
      <c r="E44" s="98"/>
      <c r="F44" s="98"/>
      <c r="G44" s="86"/>
      <c r="H44" s="113"/>
    </row>
    <row r="45" spans="1:8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60"/>
    </row>
    <row r="46" spans="1:8" x14ac:dyDescent="0.25">
      <c r="A46" s="83">
        <v>1</v>
      </c>
      <c r="B46" s="116" t="s">
        <v>197</v>
      </c>
      <c r="C46" s="85"/>
      <c r="D46" s="86"/>
      <c r="E46" s="86">
        <v>3500</v>
      </c>
      <c r="F46" s="86">
        <f t="shared" ref="F46:F51" si="1">D46+E46</f>
        <v>3500</v>
      </c>
      <c r="G46" s="86">
        <v>3500</v>
      </c>
      <c r="H46" s="149">
        <f>F46-G46</f>
        <v>0</v>
      </c>
    </row>
    <row r="47" spans="1:8" x14ac:dyDescent="0.25">
      <c r="A47" s="83">
        <v>2</v>
      </c>
      <c r="B47" s="116" t="s">
        <v>248</v>
      </c>
      <c r="C47" s="85"/>
      <c r="D47" s="86"/>
      <c r="E47" s="85">
        <v>4500</v>
      </c>
      <c r="F47" s="86">
        <f t="shared" si="1"/>
        <v>4500</v>
      </c>
      <c r="G47" s="86">
        <v>4000</v>
      </c>
      <c r="H47" s="149">
        <f t="shared" ref="H47:H52" si="2">F47-G47</f>
        <v>500</v>
      </c>
    </row>
    <row r="48" spans="1:8" x14ac:dyDescent="0.25">
      <c r="A48" s="83">
        <v>3</v>
      </c>
      <c r="B48" s="116" t="s">
        <v>129</v>
      </c>
      <c r="C48" s="85"/>
      <c r="D48" s="86"/>
      <c r="E48" s="85">
        <v>4500</v>
      </c>
      <c r="F48" s="86">
        <f t="shared" si="1"/>
        <v>4500</v>
      </c>
      <c r="G48" s="86">
        <v>4500</v>
      </c>
      <c r="H48" s="149">
        <f t="shared" si="2"/>
        <v>0</v>
      </c>
    </row>
    <row r="49" spans="1:9" x14ac:dyDescent="0.25">
      <c r="A49" s="83">
        <v>4</v>
      </c>
      <c r="B49" s="116" t="s">
        <v>249</v>
      </c>
      <c r="C49" s="86"/>
      <c r="D49" s="78"/>
      <c r="E49" s="85">
        <v>4000</v>
      </c>
      <c r="F49" s="86">
        <f t="shared" si="1"/>
        <v>4000</v>
      </c>
      <c r="G49" s="86">
        <v>4000</v>
      </c>
      <c r="H49" s="149">
        <f t="shared" si="2"/>
        <v>0</v>
      </c>
    </row>
    <row r="50" spans="1:9" x14ac:dyDescent="0.25">
      <c r="A50" s="99">
        <v>5</v>
      </c>
      <c r="B50" s="116" t="s">
        <v>250</v>
      </c>
      <c r="C50" s="85"/>
      <c r="D50" s="86"/>
      <c r="E50" s="85">
        <v>4000</v>
      </c>
      <c r="F50" s="86">
        <f t="shared" si="1"/>
        <v>4000</v>
      </c>
      <c r="G50" s="86">
        <v>4500</v>
      </c>
      <c r="H50" s="149">
        <f t="shared" si="2"/>
        <v>-500</v>
      </c>
    </row>
    <row r="51" spans="1:9" x14ac:dyDescent="0.25">
      <c r="A51" s="93">
        <v>6</v>
      </c>
      <c r="B51" s="116" t="s">
        <v>256</v>
      </c>
      <c r="C51" s="85"/>
      <c r="D51" s="86">
        <v>4000</v>
      </c>
      <c r="E51" s="85">
        <v>4000</v>
      </c>
      <c r="F51" s="86">
        <f t="shared" si="1"/>
        <v>8000</v>
      </c>
      <c r="G51" s="86">
        <v>4000</v>
      </c>
      <c r="H51" s="149">
        <f t="shared" si="2"/>
        <v>4000</v>
      </c>
    </row>
    <row r="52" spans="1:9" x14ac:dyDescent="0.25">
      <c r="A52" s="83"/>
      <c r="B52" s="172"/>
      <c r="C52" s="85">
        <v>0</v>
      </c>
      <c r="D52" s="92">
        <v>0</v>
      </c>
      <c r="E52" s="85"/>
      <c r="F52" s="86"/>
      <c r="G52" s="86"/>
      <c r="H52" s="149">
        <f t="shared" si="2"/>
        <v>0</v>
      </c>
    </row>
    <row r="53" spans="1:9" x14ac:dyDescent="0.25">
      <c r="A53" s="113"/>
      <c r="B53" s="173"/>
      <c r="C53" s="86"/>
      <c r="D53" s="92"/>
      <c r="E53" s="86"/>
      <c r="F53" s="86"/>
      <c r="G53" s="86"/>
      <c r="H53" s="113"/>
    </row>
    <row r="54" spans="1:9" x14ac:dyDescent="0.25">
      <c r="A54" s="113"/>
      <c r="B54" s="174"/>
      <c r="C54" s="98"/>
      <c r="D54" s="98"/>
      <c r="E54" s="98">
        <f>SUM(E46:E53)</f>
        <v>24500</v>
      </c>
      <c r="F54" s="98"/>
      <c r="G54" s="98">
        <f>SUM(G46:G53)</f>
        <v>24500</v>
      </c>
      <c r="H54" s="113"/>
    </row>
    <row r="55" spans="1:9" x14ac:dyDescent="0.25">
      <c r="A55" s="142"/>
      <c r="B55" s="78"/>
      <c r="C55" s="78"/>
      <c r="D55" s="78"/>
      <c r="E55" s="78"/>
      <c r="F55" s="78"/>
      <c r="G55" s="78"/>
      <c r="H55" s="78"/>
    </row>
    <row r="56" spans="1:9" x14ac:dyDescent="0.25">
      <c r="A56" s="175"/>
      <c r="B56" s="78"/>
      <c r="C56" s="78"/>
      <c r="D56" s="78"/>
      <c r="E56" s="78"/>
      <c r="F56" s="78"/>
      <c r="G56" s="78"/>
      <c r="H56" s="78"/>
    </row>
    <row r="57" spans="1:9" x14ac:dyDescent="0.25">
      <c r="A57" s="109"/>
      <c r="B57" s="78"/>
      <c r="C57" s="78"/>
      <c r="D57" s="78"/>
      <c r="E57" s="78"/>
      <c r="F57" s="78"/>
      <c r="G57" s="78"/>
      <c r="H57" s="78"/>
    </row>
    <row r="58" spans="1:9" x14ac:dyDescent="0.25">
      <c r="A58" s="79"/>
      <c r="B58" s="79"/>
      <c r="C58" s="106"/>
      <c r="D58" s="107"/>
      <c r="E58" s="106"/>
      <c r="F58" s="108"/>
      <c r="G58" s="106"/>
      <c r="H58" s="78"/>
    </row>
    <row r="59" spans="1:9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158" t="s">
        <v>208</v>
      </c>
    </row>
    <row r="60" spans="1:9" x14ac:dyDescent="0.25">
      <c r="A60" s="50" t="s">
        <v>198</v>
      </c>
      <c r="B60" s="159" t="s">
        <v>206</v>
      </c>
      <c r="C60" s="160">
        <f>E30+E43+E54</f>
        <v>74000</v>
      </c>
      <c r="D60" s="113"/>
      <c r="E60" s="113"/>
      <c r="F60" s="159" t="s">
        <v>206</v>
      </c>
      <c r="G60" s="160">
        <f>H30+G43+G54</f>
        <v>63400</v>
      </c>
      <c r="H60" s="113"/>
      <c r="I60" s="113"/>
    </row>
    <row r="61" spans="1:9" x14ac:dyDescent="0.25">
      <c r="A61" s="50"/>
      <c r="B61" s="113" t="s">
        <v>209</v>
      </c>
      <c r="C61" s="161">
        <v>0.08</v>
      </c>
      <c r="D61" s="149">
        <f>C61*C60</f>
        <v>5920</v>
      </c>
      <c r="E61" s="113"/>
      <c r="F61" s="113" t="s">
        <v>209</v>
      </c>
      <c r="G61" s="161">
        <v>0.08</v>
      </c>
      <c r="H61" s="149">
        <f>G61*G60</f>
        <v>5072</v>
      </c>
      <c r="I61" s="113"/>
    </row>
    <row r="62" spans="1:9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113"/>
    </row>
    <row r="63" spans="1:9" x14ac:dyDescent="0.25">
      <c r="A63" s="50"/>
      <c r="B63" s="168" t="s">
        <v>232</v>
      </c>
      <c r="C63" s="149">
        <f>F30</f>
        <v>1300</v>
      </c>
      <c r="D63" s="113"/>
      <c r="E63" s="113"/>
      <c r="F63" s="168" t="s">
        <v>232</v>
      </c>
      <c r="G63" s="149">
        <f>J30</f>
        <v>0</v>
      </c>
      <c r="H63" s="113"/>
      <c r="I63" s="113"/>
    </row>
    <row r="64" spans="1:9" x14ac:dyDescent="0.25">
      <c r="A64" s="50" t="s">
        <v>201</v>
      </c>
      <c r="B64" s="168" t="s">
        <v>239</v>
      </c>
      <c r="C64" s="149">
        <f>'JUNE 2017'!E71</f>
        <v>60100.48000000004</v>
      </c>
      <c r="D64" s="113"/>
      <c r="E64" s="113"/>
      <c r="F64" s="168" t="s">
        <v>239</v>
      </c>
      <c r="G64" s="149">
        <f>C64</f>
        <v>60100.48000000004</v>
      </c>
      <c r="H64" s="113"/>
      <c r="I64" s="113"/>
    </row>
    <row r="65" spans="1:9" x14ac:dyDescent="0.25">
      <c r="A65" s="50" t="s">
        <v>202</v>
      </c>
      <c r="B65" s="168" t="s">
        <v>193</v>
      </c>
      <c r="C65" s="149">
        <f>SUM(C60:C64)</f>
        <v>138400.56000000006</v>
      </c>
      <c r="D65" s="113"/>
      <c r="E65" s="113"/>
      <c r="F65" s="168" t="s">
        <v>193</v>
      </c>
      <c r="G65" s="149">
        <f>SUM(G60:G64)</f>
        <v>126500.56000000004</v>
      </c>
      <c r="H65" s="113"/>
      <c r="I65" s="113"/>
    </row>
    <row r="66" spans="1:9" x14ac:dyDescent="0.25">
      <c r="A66" s="50"/>
      <c r="B66" s="162" t="s">
        <v>211</v>
      </c>
      <c r="C66" s="161"/>
      <c r="D66" s="149"/>
      <c r="E66" s="113"/>
      <c r="F66" s="162" t="s">
        <v>211</v>
      </c>
      <c r="G66" s="161"/>
      <c r="H66" s="149"/>
      <c r="I66" s="113"/>
    </row>
    <row r="67" spans="1:9" x14ac:dyDescent="0.25">
      <c r="A67" s="50"/>
      <c r="B67" s="163" t="s">
        <v>259</v>
      </c>
      <c r="C67" s="113"/>
      <c r="D67" s="164">
        <v>90000</v>
      </c>
      <c r="E67" s="113"/>
      <c r="F67" s="163" t="s">
        <v>259</v>
      </c>
      <c r="G67" s="113"/>
      <c r="H67" s="164">
        <v>90000</v>
      </c>
      <c r="I67" s="113"/>
    </row>
    <row r="68" spans="1:9" x14ac:dyDescent="0.25">
      <c r="A68" s="50"/>
      <c r="B68" s="164"/>
      <c r="C68" s="113"/>
      <c r="D68" s="164"/>
      <c r="E68" s="113"/>
      <c r="F68" s="164"/>
      <c r="G68" s="113"/>
      <c r="H68" s="164"/>
      <c r="I68" s="113"/>
    </row>
    <row r="69" spans="1:9" x14ac:dyDescent="0.25">
      <c r="A69" s="78"/>
      <c r="B69" s="163"/>
      <c r="C69" s="164"/>
      <c r="D69" s="165"/>
      <c r="E69" s="113"/>
      <c r="F69" s="163"/>
      <c r="G69" s="164"/>
      <c r="H69" s="165"/>
      <c r="I69" s="113"/>
    </row>
    <row r="70" spans="1:9" x14ac:dyDescent="0.25">
      <c r="A70" s="78"/>
      <c r="B70" s="164"/>
      <c r="C70" s="164"/>
      <c r="D70" s="113"/>
      <c r="E70" s="113"/>
      <c r="F70" s="164"/>
      <c r="G70" s="164"/>
      <c r="H70" s="113"/>
      <c r="I70" s="113"/>
    </row>
    <row r="71" spans="1:9" x14ac:dyDescent="0.25">
      <c r="A71" s="78"/>
      <c r="B71" s="166" t="s">
        <v>193</v>
      </c>
      <c r="C71" s="167">
        <f>C65</f>
        <v>138400.56000000006</v>
      </c>
      <c r="D71" s="149">
        <f>SUM(D61:D70)</f>
        <v>95920</v>
      </c>
      <c r="E71" s="149">
        <f>C71-D71</f>
        <v>42480.560000000056</v>
      </c>
      <c r="F71" s="166" t="s">
        <v>193</v>
      </c>
      <c r="G71" s="167">
        <f>G65</f>
        <v>126500.56000000004</v>
      </c>
      <c r="H71" s="149">
        <f>SUM(H61:H70)</f>
        <v>95072</v>
      </c>
      <c r="I71" s="149">
        <f>G71-H71</f>
        <v>31428.560000000041</v>
      </c>
    </row>
    <row r="72" spans="1:9" x14ac:dyDescent="0.25">
      <c r="A72" s="78"/>
      <c r="B72" s="78"/>
      <c r="C72" s="78"/>
      <c r="D72" s="78"/>
      <c r="E72" s="78"/>
      <c r="F72" s="78"/>
      <c r="G72" s="79"/>
      <c r="H72" s="78"/>
    </row>
    <row r="73" spans="1:9" x14ac:dyDescent="0.25">
      <c r="A73" s="78"/>
      <c r="B73" s="59" t="s">
        <v>78</v>
      </c>
      <c r="C73" s="79" t="s">
        <v>135</v>
      </c>
      <c r="D73" s="79"/>
      <c r="E73" s="79" t="s">
        <v>130</v>
      </c>
      <c r="F73" s="148" t="s">
        <v>164</v>
      </c>
      <c r="G73" s="78"/>
      <c r="H73" s="78"/>
    </row>
    <row r="74" spans="1:9" x14ac:dyDescent="0.25">
      <c r="A74" s="78"/>
      <c r="B74" s="78"/>
      <c r="C74" s="79" t="s">
        <v>132</v>
      </c>
      <c r="D74" s="79"/>
      <c r="E74" s="79" t="s">
        <v>133</v>
      </c>
      <c r="F74" s="78" t="s">
        <v>165</v>
      </c>
      <c r="G74" s="78"/>
      <c r="H74" s="78"/>
    </row>
    <row r="75" spans="1:9" x14ac:dyDescent="0.25">
      <c r="A75" s="78"/>
      <c r="B75" s="78"/>
      <c r="C75" s="78"/>
      <c r="D75" s="78"/>
      <c r="E75" s="78"/>
      <c r="F75" s="78"/>
      <c r="G75" s="78"/>
      <c r="H75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37" workbookViewId="0">
      <selection activeCell="L21" sqref="L21"/>
    </sheetView>
  </sheetViews>
  <sheetFormatPr defaultRowHeight="15" x14ac:dyDescent="0.25"/>
  <cols>
    <col min="1" max="1" width="3.85546875" style="78" customWidth="1"/>
    <col min="2" max="2" width="13.85546875" style="78" customWidth="1"/>
    <col min="3" max="3" width="12.5703125" style="78" customWidth="1"/>
    <col min="4" max="4" width="11" style="78" customWidth="1"/>
    <col min="5" max="5" width="11.42578125" style="78" customWidth="1"/>
    <col min="6" max="6" width="10" style="78" customWidth="1"/>
    <col min="7" max="7" width="12" style="78" customWidth="1"/>
    <col min="8" max="8" width="11.28515625" style="78" customWidth="1"/>
    <col min="9" max="9" width="11" style="78" customWidth="1"/>
    <col min="10" max="10" width="10.5703125" style="78" bestFit="1" customWidth="1"/>
    <col min="11" max="16384" width="9.140625" style="78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/>
    </row>
    <row r="2" spans="1:9" ht="16.5" x14ac:dyDescent="0.3">
      <c r="A2" s="5"/>
      <c r="B2" s="5"/>
      <c r="C2" s="6" t="s">
        <v>1</v>
      </c>
      <c r="D2" s="7"/>
      <c r="E2" s="5"/>
      <c r="F2" s="5"/>
    </row>
    <row r="3" spans="1:9" ht="21" x14ac:dyDescent="0.25">
      <c r="A3" s="8"/>
      <c r="B3" s="64" t="s">
        <v>301</v>
      </c>
      <c r="C3" s="11"/>
      <c r="D3" s="11"/>
      <c r="E3" s="11"/>
      <c r="F3" s="103"/>
      <c r="G3" s="103"/>
      <c r="H3" s="103"/>
    </row>
    <row r="4" spans="1:9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9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2600</v>
      </c>
      <c r="I5" s="149">
        <f>G5-H5</f>
        <v>0</v>
      </c>
    </row>
    <row r="6" spans="1:9" x14ac:dyDescent="0.25">
      <c r="A6" s="16">
        <v>2</v>
      </c>
      <c r="B6" s="116" t="s">
        <v>216</v>
      </c>
      <c r="C6" s="17"/>
      <c r="D6" s="18"/>
      <c r="E6" s="18">
        <v>2500</v>
      </c>
      <c r="F6" s="18">
        <v>100</v>
      </c>
      <c r="G6" s="176">
        <v>2600</v>
      </c>
      <c r="H6" s="180">
        <v>2500</v>
      </c>
      <c r="I6" s="149">
        <f t="shared" ref="I6:I42" si="0">G6-H6</f>
        <v>100</v>
      </c>
    </row>
    <row r="7" spans="1:9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19" si="1">D7+E7+F7</f>
        <v>2600</v>
      </c>
      <c r="H7" s="180">
        <v>2600</v>
      </c>
      <c r="I7" s="149">
        <f t="shared" si="0"/>
        <v>0</v>
      </c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v>2600</v>
      </c>
      <c r="H8" s="180">
        <v>2500</v>
      </c>
      <c r="I8" s="149">
        <f t="shared" si="0"/>
        <v>100</v>
      </c>
    </row>
    <row r="9" spans="1:9" x14ac:dyDescent="0.25">
      <c r="A9" s="16">
        <v>5</v>
      </c>
      <c r="B9" s="116" t="s">
        <v>218</v>
      </c>
      <c r="C9" s="17" t="s">
        <v>26</v>
      </c>
      <c r="D9" s="18">
        <v>0</v>
      </c>
      <c r="E9" s="18">
        <v>2500</v>
      </c>
      <c r="F9" s="18">
        <v>100</v>
      </c>
      <c r="G9" s="176">
        <f t="shared" si="1"/>
        <v>2600</v>
      </c>
      <c r="H9" s="180"/>
      <c r="I9" s="149">
        <f t="shared" si="0"/>
        <v>2600</v>
      </c>
    </row>
    <row r="10" spans="1:9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1"/>
        <v>2600</v>
      </c>
      <c r="H10" s="180">
        <v>2600</v>
      </c>
      <c r="I10" s="149">
        <f t="shared" si="0"/>
        <v>0</v>
      </c>
    </row>
    <row r="11" spans="1:9" x14ac:dyDescent="0.25">
      <c r="A11" s="16">
        <v>7</v>
      </c>
      <c r="B11" s="116" t="s">
        <v>218</v>
      </c>
      <c r="C11" s="17" t="s">
        <v>30</v>
      </c>
      <c r="D11" s="18">
        <v>0</v>
      </c>
      <c r="E11" s="18">
        <v>2500</v>
      </c>
      <c r="F11" s="18">
        <v>100</v>
      </c>
      <c r="G11" s="176">
        <f t="shared" si="1"/>
        <v>2600</v>
      </c>
      <c r="H11" s="180">
        <v>2600</v>
      </c>
      <c r="I11" s="149">
        <f t="shared" si="0"/>
        <v>0</v>
      </c>
    </row>
    <row r="12" spans="1:9" x14ac:dyDescent="0.25">
      <c r="A12" s="16">
        <v>8</v>
      </c>
      <c r="B12" s="124" t="s">
        <v>220</v>
      </c>
      <c r="C12" s="17" t="s">
        <v>32</v>
      </c>
      <c r="D12" s="18"/>
      <c r="E12" s="18">
        <v>2500</v>
      </c>
      <c r="F12" s="18">
        <v>100</v>
      </c>
      <c r="G12" s="176">
        <f>E12+F12</f>
        <v>2600</v>
      </c>
      <c r="H12" s="180">
        <v>2600</v>
      </c>
      <c r="I12" s="149">
        <f t="shared" si="0"/>
        <v>0</v>
      </c>
    </row>
    <row r="13" spans="1:9" x14ac:dyDescent="0.25">
      <c r="A13" s="16">
        <v>9</v>
      </c>
      <c r="B13" s="116" t="s">
        <v>221</v>
      </c>
      <c r="C13" s="17" t="s">
        <v>34</v>
      </c>
      <c r="D13" s="18">
        <v>0</v>
      </c>
      <c r="E13" s="18">
        <v>2500</v>
      </c>
      <c r="F13" s="18">
        <v>100</v>
      </c>
      <c r="G13" s="176">
        <f t="shared" si="1"/>
        <v>2600</v>
      </c>
      <c r="H13" s="180"/>
      <c r="I13" s="149">
        <f t="shared" si="0"/>
        <v>2600</v>
      </c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2600</v>
      </c>
      <c r="I14" s="149">
        <f t="shared" si="0"/>
        <v>0</v>
      </c>
    </row>
    <row r="15" spans="1:9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/>
      <c r="I15" s="149">
        <f t="shared" si="0"/>
        <v>2600</v>
      </c>
    </row>
    <row r="16" spans="1:9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1"/>
        <v>2600</v>
      </c>
      <c r="H16" s="180">
        <v>2600</v>
      </c>
      <c r="I16" s="149">
        <f t="shared" si="0"/>
        <v>0</v>
      </c>
    </row>
    <row r="17" spans="1:9" x14ac:dyDescent="0.25">
      <c r="A17" s="16">
        <v>13</v>
      </c>
      <c r="B17" s="116" t="s">
        <v>107</v>
      </c>
      <c r="C17" s="17" t="s">
        <v>42</v>
      </c>
      <c r="D17" s="18">
        <v>0</v>
      </c>
      <c r="E17" s="18"/>
      <c r="F17" s="18"/>
      <c r="G17" s="176"/>
      <c r="H17" s="180"/>
      <c r="I17" s="149">
        <f t="shared" si="0"/>
        <v>0</v>
      </c>
    </row>
    <row r="18" spans="1:9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/>
      <c r="H18" s="180"/>
      <c r="I18" s="149">
        <f t="shared" si="0"/>
        <v>0</v>
      </c>
    </row>
    <row r="19" spans="1:9" x14ac:dyDescent="0.25">
      <c r="A19" s="16">
        <v>15</v>
      </c>
      <c r="B19" s="116" t="s">
        <v>224</v>
      </c>
      <c r="C19" s="17" t="s">
        <v>46</v>
      </c>
      <c r="D19" s="18">
        <v>1350</v>
      </c>
      <c r="E19" s="18">
        <v>2500</v>
      </c>
      <c r="F19" s="18">
        <v>100</v>
      </c>
      <c r="G19" s="176">
        <f t="shared" si="1"/>
        <v>3950</v>
      </c>
      <c r="H19" s="180">
        <v>2600</v>
      </c>
      <c r="I19" s="149">
        <f t="shared" si="0"/>
        <v>1350</v>
      </c>
    </row>
    <row r="20" spans="1:9" x14ac:dyDescent="0.25">
      <c r="A20" s="16">
        <v>16</v>
      </c>
      <c r="B20" s="116"/>
      <c r="C20" s="17"/>
      <c r="D20" s="18"/>
      <c r="E20" s="18"/>
      <c r="F20" s="18"/>
      <c r="G20" s="176"/>
      <c r="H20" s="180"/>
      <c r="I20" s="149"/>
    </row>
    <row r="21" spans="1:9" x14ac:dyDescent="0.25">
      <c r="A21" s="21">
        <v>17</v>
      </c>
      <c r="B21" s="117"/>
      <c r="C21" s="17"/>
      <c r="D21" s="18"/>
      <c r="E21" s="23"/>
      <c r="F21" s="24"/>
      <c r="G21" s="176"/>
      <c r="H21" s="180"/>
      <c r="I21" s="149"/>
    </row>
    <row r="22" spans="1:9" x14ac:dyDescent="0.25">
      <c r="A22" s="21">
        <v>18</v>
      </c>
      <c r="B22" s="117"/>
      <c r="C22" s="17"/>
      <c r="D22" s="18"/>
      <c r="E22" s="23"/>
      <c r="F22" s="24"/>
      <c r="G22" s="176"/>
      <c r="H22" s="180"/>
      <c r="I22" s="149"/>
    </row>
    <row r="23" spans="1:9" x14ac:dyDescent="0.25">
      <c r="A23" s="21">
        <v>19</v>
      </c>
      <c r="B23" s="118"/>
      <c r="C23" s="17"/>
      <c r="D23" s="18"/>
      <c r="E23" s="23"/>
      <c r="F23" s="24"/>
      <c r="G23" s="176"/>
      <c r="H23" s="180"/>
      <c r="I23" s="149"/>
    </row>
    <row r="24" spans="1:9" x14ac:dyDescent="0.25">
      <c r="A24" s="21">
        <v>20</v>
      </c>
      <c r="B24" s="117"/>
      <c r="C24" s="17"/>
      <c r="D24" s="18"/>
      <c r="E24" s="23"/>
      <c r="F24" s="24"/>
      <c r="G24" s="176"/>
      <c r="H24" s="180"/>
      <c r="I24" s="149"/>
    </row>
    <row r="25" spans="1:9" x14ac:dyDescent="0.25">
      <c r="A25" s="21">
        <v>21</v>
      </c>
      <c r="B25" s="118"/>
      <c r="C25" s="17"/>
      <c r="D25" s="18"/>
      <c r="E25" s="23"/>
      <c r="F25" s="24"/>
      <c r="G25" s="176"/>
      <c r="H25" s="180"/>
      <c r="I25" s="149"/>
    </row>
    <row r="26" spans="1:9" x14ac:dyDescent="0.25">
      <c r="A26" s="21">
        <v>22</v>
      </c>
      <c r="B26" s="118"/>
      <c r="C26" s="17"/>
      <c r="D26" s="18"/>
      <c r="E26" s="23"/>
      <c r="F26" s="24"/>
      <c r="G26" s="176"/>
      <c r="H26" s="180"/>
      <c r="I26" s="149"/>
    </row>
    <row r="27" spans="1:9" x14ac:dyDescent="0.25">
      <c r="A27" s="21">
        <v>23</v>
      </c>
      <c r="B27" s="118"/>
      <c r="C27" s="17"/>
      <c r="D27" s="18"/>
      <c r="E27" s="23"/>
      <c r="F27" s="24"/>
      <c r="G27" s="176"/>
      <c r="H27" s="180"/>
      <c r="I27" s="149"/>
    </row>
    <row r="28" spans="1:9" x14ac:dyDescent="0.25">
      <c r="A28" s="28">
        <v>24</v>
      </c>
      <c r="B28" s="119"/>
      <c r="C28" s="29"/>
      <c r="D28" s="18"/>
      <c r="E28" s="32"/>
      <c r="F28" s="33"/>
      <c r="G28" s="176"/>
      <c r="H28" s="181"/>
      <c r="I28" s="149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80"/>
      <c r="I29" s="149">
        <f t="shared" si="0"/>
        <v>0</v>
      </c>
    </row>
    <row r="30" spans="1:9" x14ac:dyDescent="0.25">
      <c r="A30" s="38"/>
      <c r="B30" s="39" t="s">
        <v>65</v>
      </c>
      <c r="C30" s="38"/>
      <c r="D30" s="149"/>
      <c r="E30" s="40">
        <f>SUM(E5:E29)</f>
        <v>32500</v>
      </c>
      <c r="F30" s="42">
        <f>SUM(F5:F28)</f>
        <v>1300</v>
      </c>
      <c r="G30" s="19">
        <f>SUM(G5:G29)</f>
        <v>35150</v>
      </c>
      <c r="H30" s="135">
        <f>SUM(H5:H29)</f>
        <v>25800</v>
      </c>
      <c r="I30" s="149">
        <f t="shared" si="0"/>
        <v>9350</v>
      </c>
    </row>
    <row r="31" spans="1:9" x14ac:dyDescent="0.25">
      <c r="B31" s="557" t="s">
        <v>246</v>
      </c>
      <c r="C31" s="557"/>
      <c r="D31" s="557"/>
      <c r="E31" s="557"/>
      <c r="F31" s="557"/>
      <c r="G31" s="557"/>
      <c r="I31" s="149">
        <f t="shared" si="0"/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0"/>
        <v>#VALUE!</v>
      </c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0"/>
        <v>0</v>
      </c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</row>
    <row r="35" spans="1:9" x14ac:dyDescent="0.25">
      <c r="A35" s="83" t="s">
        <v>110</v>
      </c>
      <c r="B35" s="121" t="s">
        <v>183</v>
      </c>
      <c r="C35" s="85"/>
      <c r="D35" s="86">
        <v>2000</v>
      </c>
      <c r="E35" s="85">
        <v>2500</v>
      </c>
      <c r="F35" s="86">
        <f>SUM(D35:E35)</f>
        <v>4500</v>
      </c>
      <c r="G35" s="169">
        <v>4500</v>
      </c>
      <c r="H35" s="184">
        <f>F35-G35</f>
        <v>0</v>
      </c>
      <c r="I35" s="149">
        <f t="shared" si="0"/>
        <v>4500</v>
      </c>
    </row>
    <row r="36" spans="1:9" x14ac:dyDescent="0.25">
      <c r="A36" s="87" t="s">
        <v>112</v>
      </c>
      <c r="B36" s="123" t="s">
        <v>254</v>
      </c>
      <c r="C36" s="89"/>
      <c r="D36" s="90"/>
      <c r="E36" s="89">
        <v>2500</v>
      </c>
      <c r="F36" s="90">
        <v>2500</v>
      </c>
      <c r="G36" s="170">
        <v>2500</v>
      </c>
      <c r="H36" s="184">
        <f t="shared" ref="H36:H43" si="2">F36-G36</f>
        <v>0</v>
      </c>
      <c r="I36" s="149">
        <f t="shared" si="0"/>
        <v>2500</v>
      </c>
    </row>
    <row r="37" spans="1:9" x14ac:dyDescent="0.25">
      <c r="A37" s="99" t="s">
        <v>114</v>
      </c>
      <c r="B37" s="122" t="s">
        <v>184</v>
      </c>
      <c r="C37" s="86"/>
      <c r="D37" s="86">
        <v>0</v>
      </c>
      <c r="E37" s="86">
        <v>2500</v>
      </c>
      <c r="F37" s="86">
        <v>2500</v>
      </c>
      <c r="G37" s="169">
        <v>2500</v>
      </c>
      <c r="H37" s="184">
        <f t="shared" si="2"/>
        <v>0</v>
      </c>
      <c r="I37" s="149">
        <f t="shared" si="0"/>
        <v>2500</v>
      </c>
    </row>
    <row r="38" spans="1:9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95">
        <v>2500</v>
      </c>
      <c r="G38" s="171">
        <v>2500</v>
      </c>
      <c r="H38" s="184">
        <f t="shared" si="2"/>
        <v>0</v>
      </c>
      <c r="I38" s="149">
        <f t="shared" si="0"/>
        <v>2500</v>
      </c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169">
        <v>2500</v>
      </c>
      <c r="H39" s="184">
        <f t="shared" si="2"/>
        <v>0</v>
      </c>
      <c r="I39" s="149">
        <f t="shared" si="0"/>
        <v>2500</v>
      </c>
    </row>
    <row r="40" spans="1:9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v>2500</v>
      </c>
      <c r="G40" s="169">
        <v>2500</v>
      </c>
      <c r="H40" s="184">
        <f t="shared" si="2"/>
        <v>0</v>
      </c>
      <c r="I40" s="149">
        <f t="shared" si="0"/>
        <v>2500</v>
      </c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/>
      <c r="G41" s="169"/>
      <c r="H41" s="184">
        <f t="shared" si="2"/>
        <v>0</v>
      </c>
      <c r="I41" s="149">
        <f t="shared" si="0"/>
        <v>0</v>
      </c>
    </row>
    <row r="42" spans="1:9" x14ac:dyDescent="0.25">
      <c r="A42" s="83" t="s">
        <v>125</v>
      </c>
      <c r="B42" s="120" t="s">
        <v>191</v>
      </c>
      <c r="E42" s="152">
        <v>2000</v>
      </c>
      <c r="F42" s="151">
        <v>2000</v>
      </c>
      <c r="G42" s="169">
        <v>2500</v>
      </c>
      <c r="H42" s="184">
        <f t="shared" si="2"/>
        <v>-500</v>
      </c>
      <c r="I42" s="149">
        <f t="shared" si="0"/>
        <v>3000</v>
      </c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17000</v>
      </c>
      <c r="F43" s="98">
        <f>SUM(F33:F42)</f>
        <v>19000</v>
      </c>
      <c r="G43" s="98">
        <f>SUM(G33:G42)</f>
        <v>19500</v>
      </c>
      <c r="H43" s="184">
        <f t="shared" si="2"/>
        <v>-500</v>
      </c>
      <c r="I43" s="113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13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</row>
    <row r="46" spans="1:9" x14ac:dyDescent="0.25">
      <c r="E46" s="78" t="s">
        <v>263</v>
      </c>
      <c r="F46" s="78" t="s">
        <v>264</v>
      </c>
      <c r="G46" s="78" t="s">
        <v>193</v>
      </c>
      <c r="H46" s="78" t="s">
        <v>208</v>
      </c>
      <c r="I46" s="113"/>
    </row>
    <row r="47" spans="1:9" x14ac:dyDescent="0.25">
      <c r="A47" s="83">
        <v>1</v>
      </c>
      <c r="B47" s="116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 t="shared" ref="H47:H53" si="3">F47-G47</f>
        <v>0</v>
      </c>
      <c r="I47" s="113"/>
    </row>
    <row r="48" spans="1:9" x14ac:dyDescent="0.25">
      <c r="A48" s="83">
        <v>2</v>
      </c>
      <c r="B48" s="116" t="s">
        <v>248</v>
      </c>
      <c r="C48" s="85"/>
      <c r="D48" s="86"/>
      <c r="E48" s="85">
        <v>4500</v>
      </c>
      <c r="F48" s="86">
        <f>D48+E48</f>
        <v>4500</v>
      </c>
      <c r="G48" s="86">
        <v>4500</v>
      </c>
      <c r="H48" s="184">
        <f t="shared" si="3"/>
        <v>0</v>
      </c>
      <c r="I48" s="113"/>
    </row>
    <row r="49" spans="1:11" x14ac:dyDescent="0.25">
      <c r="A49" s="83">
        <v>3</v>
      </c>
      <c r="B49" s="116" t="s">
        <v>129</v>
      </c>
      <c r="C49" s="85"/>
      <c r="D49" s="86"/>
      <c r="E49" s="85">
        <v>4500</v>
      </c>
      <c r="F49" s="86">
        <f>D49+E49</f>
        <v>4500</v>
      </c>
      <c r="G49" s="86">
        <v>4500</v>
      </c>
      <c r="H49" s="184">
        <f t="shared" si="3"/>
        <v>0</v>
      </c>
      <c r="I49" s="113"/>
    </row>
    <row r="50" spans="1:11" x14ac:dyDescent="0.25">
      <c r="A50" s="83">
        <v>4</v>
      </c>
      <c r="B50" s="116" t="s">
        <v>249</v>
      </c>
      <c r="C50" s="86"/>
      <c r="E50" s="85">
        <v>4000</v>
      </c>
      <c r="F50" s="86">
        <f>D50+E50</f>
        <v>4000</v>
      </c>
      <c r="G50" s="86">
        <v>4000</v>
      </c>
      <c r="H50" s="184">
        <f t="shared" si="3"/>
        <v>0</v>
      </c>
      <c r="I50" s="113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86">
        <f>D51+E51</f>
        <v>4000</v>
      </c>
      <c r="G51" s="86">
        <v>4000</v>
      </c>
      <c r="H51" s="184">
        <f t="shared" si="3"/>
        <v>0</v>
      </c>
      <c r="I51" s="113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86">
        <f>D52+E52</f>
        <v>4000</v>
      </c>
      <c r="G52" s="86">
        <v>4000</v>
      </c>
      <c r="H52" s="184">
        <f t="shared" si="3"/>
        <v>0</v>
      </c>
      <c r="I52" s="113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3"/>
        <v>0</v>
      </c>
      <c r="I53" s="113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</row>
    <row r="55" spans="1:11" x14ac:dyDescent="0.25">
      <c r="A55" s="113"/>
      <c r="B55" s="174"/>
      <c r="C55" s="98"/>
      <c r="D55" s="98"/>
      <c r="E55" s="98">
        <f>SUM(E47:E54)</f>
        <v>24500</v>
      </c>
      <c r="F55" s="98"/>
      <c r="G55" s="98">
        <f>SUM(G47:G54)</f>
        <v>24500</v>
      </c>
      <c r="H55" s="183"/>
      <c r="I55" s="113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300</v>
      </c>
      <c r="C61" s="102">
        <f>E30+E43+E55</f>
        <v>74000</v>
      </c>
      <c r="D61" s="161">
        <v>0.08</v>
      </c>
      <c r="E61" s="113"/>
      <c r="F61" s="159" t="s">
        <v>300</v>
      </c>
      <c r="G61" s="102">
        <f>H30+G43+G55</f>
        <v>69800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D62" s="149">
        <f>D61*C65</f>
        <v>3398.4448000000048</v>
      </c>
      <c r="E62" s="113"/>
      <c r="F62" s="113" t="s">
        <v>209</v>
      </c>
      <c r="G62" s="161">
        <v>0.08</v>
      </c>
      <c r="H62" s="149">
        <f>G62*G65</f>
        <v>2514.2848000000035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1300</v>
      </c>
      <c r="D64" s="113"/>
      <c r="E64" s="113"/>
      <c r="F64" s="168" t="s">
        <v>232</v>
      </c>
      <c r="G64" s="149">
        <f>F30</f>
        <v>1300</v>
      </c>
      <c r="H64" s="113"/>
      <c r="I64" s="113"/>
      <c r="J64" s="113"/>
      <c r="K64" s="113"/>
    </row>
    <row r="65" spans="1:15" x14ac:dyDescent="0.25">
      <c r="A65" s="50"/>
      <c r="B65" s="168" t="s">
        <v>239</v>
      </c>
      <c r="C65" s="160">
        <f>'JULY 2017'!E71</f>
        <v>42480.560000000056</v>
      </c>
      <c r="D65" s="113"/>
      <c r="E65" s="113"/>
      <c r="F65" s="168" t="s">
        <v>239</v>
      </c>
      <c r="G65" s="160">
        <f>'JULY 2017'!I71</f>
        <v>31428.560000000041</v>
      </c>
      <c r="H65" s="113"/>
      <c r="I65" s="113"/>
      <c r="J65" s="113"/>
      <c r="K65" s="113"/>
    </row>
    <row r="66" spans="1:15" x14ac:dyDescent="0.25">
      <c r="A66" s="50"/>
      <c r="B66" s="168" t="s">
        <v>193</v>
      </c>
      <c r="C66" s="149">
        <f>SUM(C61:C65)</f>
        <v>120780.56000000006</v>
      </c>
      <c r="D66" s="113"/>
      <c r="E66" s="113"/>
      <c r="F66" s="168" t="s">
        <v>193</v>
      </c>
      <c r="G66" s="149">
        <f>G61+G63+G64+G65</f>
        <v>105528.56000000004</v>
      </c>
      <c r="H66" s="113"/>
      <c r="I66" s="113"/>
      <c r="J66" s="113"/>
      <c r="K66" s="113"/>
    </row>
    <row r="67" spans="1:15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5" x14ac:dyDescent="0.25">
      <c r="A68" s="50"/>
      <c r="B68" s="163" t="s">
        <v>302</v>
      </c>
      <c r="D68" s="164">
        <v>70000</v>
      </c>
      <c r="E68" s="113"/>
      <c r="F68" s="163" t="s">
        <v>302</v>
      </c>
      <c r="H68" s="164">
        <v>70000</v>
      </c>
      <c r="I68" s="113"/>
      <c r="J68" s="113"/>
      <c r="K68" s="113"/>
    </row>
    <row r="69" spans="1:15" x14ac:dyDescent="0.25">
      <c r="A69" s="50"/>
      <c r="B69" s="164" t="s">
        <v>81</v>
      </c>
      <c r="D69" s="164">
        <v>4500</v>
      </c>
      <c r="E69" s="113"/>
      <c r="F69" s="164" t="s">
        <v>81</v>
      </c>
      <c r="H69" s="164">
        <v>4500</v>
      </c>
      <c r="I69" s="113"/>
      <c r="J69" s="113"/>
      <c r="K69" s="113"/>
      <c r="L69" s="102">
        <f>C72-D72</f>
        <v>40982.115200000058</v>
      </c>
    </row>
    <row r="70" spans="1:15" x14ac:dyDescent="0.25">
      <c r="B70" s="163" t="s">
        <v>265</v>
      </c>
      <c r="C70" s="164"/>
      <c r="D70" s="165">
        <v>1900</v>
      </c>
      <c r="E70" s="113"/>
      <c r="F70" s="163" t="s">
        <v>265</v>
      </c>
      <c r="G70" s="164"/>
      <c r="H70" s="165">
        <v>1900</v>
      </c>
      <c r="I70" s="113"/>
      <c r="J70" s="113"/>
      <c r="K70" s="113"/>
    </row>
    <row r="71" spans="1:15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5" x14ac:dyDescent="0.25">
      <c r="B72" s="166" t="s">
        <v>193</v>
      </c>
      <c r="C72" s="102">
        <f>C66</f>
        <v>120780.56000000006</v>
      </c>
      <c r="D72" s="149">
        <f>SUM(D62:D71)</f>
        <v>79798.444799999997</v>
      </c>
      <c r="E72" s="102">
        <f>C72-D72</f>
        <v>40982.115200000058</v>
      </c>
      <c r="F72" s="166" t="s">
        <v>193</v>
      </c>
      <c r="G72" s="167">
        <f>G66</f>
        <v>105528.56000000004</v>
      </c>
      <c r="H72" s="149">
        <f>SUM(H62:H71)</f>
        <v>78914.284800000009</v>
      </c>
      <c r="I72" s="149">
        <f>G72-H72</f>
        <v>26614.275200000033</v>
      </c>
      <c r="J72" s="149">
        <f>I30</f>
        <v>9350</v>
      </c>
      <c r="K72" s="113"/>
    </row>
    <row r="73" spans="1:15" x14ac:dyDescent="0.25">
      <c r="G73" s="79"/>
    </row>
    <row r="74" spans="1:15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O74" s="149">
        <f>C72-D72</f>
        <v>40982.115200000058</v>
      </c>
    </row>
    <row r="75" spans="1:15" x14ac:dyDescent="0.25">
      <c r="C75" s="79" t="s">
        <v>132</v>
      </c>
      <c r="D75" s="79"/>
      <c r="E75" s="79" t="s">
        <v>133</v>
      </c>
      <c r="F75" s="78" t="s">
        <v>165</v>
      </c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6" workbookViewId="0">
      <selection activeCell="H63" sqref="H63"/>
    </sheetView>
  </sheetViews>
  <sheetFormatPr defaultRowHeight="15" x14ac:dyDescent="0.25"/>
  <cols>
    <col min="1" max="1" width="4.140625" customWidth="1"/>
    <col min="2" max="2" width="12.7109375" customWidth="1"/>
    <col min="3" max="3" width="11.28515625" customWidth="1"/>
    <col min="4" max="4" width="10.5703125" customWidth="1"/>
    <col min="5" max="5" width="12.140625" customWidth="1"/>
    <col min="6" max="7" width="11.28515625" customWidth="1"/>
    <col min="8" max="8" width="10.5703125" customWidth="1"/>
    <col min="9" max="9" width="11.5703125" customWidth="1"/>
    <col min="10" max="10" width="9.5703125" customWidth="1"/>
  </cols>
  <sheetData>
    <row r="1" spans="1:11" ht="45" x14ac:dyDescent="0.6">
      <c r="A1" s="61"/>
      <c r="B1" s="61"/>
      <c r="C1" s="2"/>
      <c r="D1" s="3" t="s">
        <v>0</v>
      </c>
      <c r="E1" s="4"/>
      <c r="F1" s="4"/>
      <c r="G1" s="4"/>
      <c r="H1" s="2"/>
      <c r="I1" s="78"/>
      <c r="J1" s="78"/>
      <c r="K1" s="78"/>
    </row>
    <row r="2" spans="1:11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</row>
    <row r="3" spans="1:11" ht="21" x14ac:dyDescent="0.25">
      <c r="A3" s="8"/>
      <c r="B3" s="64" t="s">
        <v>267</v>
      </c>
      <c r="C3" s="11"/>
      <c r="D3" s="11"/>
      <c r="E3" s="11"/>
      <c r="F3" s="103"/>
      <c r="G3" s="103"/>
      <c r="H3" s="103"/>
      <c r="I3" s="78"/>
      <c r="J3" s="78"/>
      <c r="K3" s="78"/>
    </row>
    <row r="4" spans="1:11" x14ac:dyDescent="0.25">
      <c r="A4" s="13" t="s">
        <v>3</v>
      </c>
      <c r="B4" s="14"/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</row>
    <row r="5" spans="1:11" x14ac:dyDescent="0.25">
      <c r="A5" s="16">
        <v>1</v>
      </c>
      <c r="B5" s="116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2600</v>
      </c>
      <c r="I5" s="149">
        <f>G5-H5</f>
        <v>0</v>
      </c>
      <c r="J5" s="78"/>
      <c r="K5" s="78"/>
    </row>
    <row r="6" spans="1:11" x14ac:dyDescent="0.25">
      <c r="A6" s="16">
        <v>2</v>
      </c>
      <c r="B6" s="116" t="s">
        <v>107</v>
      </c>
      <c r="C6" s="17" t="s">
        <v>20</v>
      </c>
      <c r="D6" s="18"/>
      <c r="E6" s="18"/>
      <c r="F6" s="18"/>
      <c r="G6" s="176"/>
      <c r="H6" s="180"/>
      <c r="I6" s="149">
        <f t="shared" ref="I6:I42" si="0">G6-H6</f>
        <v>0</v>
      </c>
      <c r="J6" s="78"/>
      <c r="K6" s="78"/>
    </row>
    <row r="7" spans="1:11" x14ac:dyDescent="0.25">
      <c r="A7" s="16">
        <v>3</v>
      </c>
      <c r="B7" s="116" t="s">
        <v>258</v>
      </c>
      <c r="C7" s="17" t="s">
        <v>22</v>
      </c>
      <c r="D7" s="18">
        <v>0</v>
      </c>
      <c r="E7" s="18">
        <v>2500</v>
      </c>
      <c r="F7" s="18">
        <v>100</v>
      </c>
      <c r="G7" s="176">
        <f t="shared" ref="G7:G25" si="1">D7+E7+F7</f>
        <v>2600</v>
      </c>
      <c r="H7" s="180">
        <v>2600</v>
      </c>
      <c r="I7" s="149">
        <f t="shared" si="0"/>
        <v>0</v>
      </c>
      <c r="J7" s="78"/>
      <c r="K7" s="78"/>
    </row>
    <row r="8" spans="1:11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 t="shared" si="1"/>
        <v>2600</v>
      </c>
      <c r="H8" s="180">
        <v>2600</v>
      </c>
      <c r="I8" s="149">
        <f t="shared" si="0"/>
        <v>0</v>
      </c>
      <c r="J8" s="78"/>
      <c r="K8" s="78"/>
    </row>
    <row r="9" spans="1:11" x14ac:dyDescent="0.25">
      <c r="A9" s="16">
        <v>5</v>
      </c>
      <c r="B9" s="116" t="s">
        <v>107</v>
      </c>
      <c r="C9" s="17" t="s">
        <v>26</v>
      </c>
      <c r="D9" s="18">
        <v>0</v>
      </c>
      <c r="E9" s="18"/>
      <c r="F9" s="18"/>
      <c r="G9" s="176">
        <f>D9+E9+F9</f>
        <v>0</v>
      </c>
      <c r="H9" s="180"/>
      <c r="I9" s="149">
        <f t="shared" si="0"/>
        <v>0</v>
      </c>
      <c r="J9" s="78"/>
      <c r="K9" s="78"/>
    </row>
    <row r="10" spans="1:11" x14ac:dyDescent="0.25">
      <c r="A10" s="16">
        <v>6</v>
      </c>
      <c r="B10" s="116" t="s">
        <v>219</v>
      </c>
      <c r="C10" s="17" t="s">
        <v>28</v>
      </c>
      <c r="D10" s="18"/>
      <c r="E10" s="18">
        <v>2500</v>
      </c>
      <c r="F10" s="18">
        <v>100</v>
      </c>
      <c r="G10" s="176">
        <f t="shared" si="1"/>
        <v>2600</v>
      </c>
      <c r="H10" s="180">
        <v>2600</v>
      </c>
      <c r="I10" s="149">
        <f t="shared" si="0"/>
        <v>0</v>
      </c>
      <c r="J10" s="78"/>
      <c r="K10" s="78"/>
    </row>
    <row r="11" spans="1:11" x14ac:dyDescent="0.25">
      <c r="A11" s="16">
        <v>7</v>
      </c>
      <c r="B11" s="116" t="s">
        <v>268</v>
      </c>
      <c r="C11" s="17" t="s">
        <v>30</v>
      </c>
      <c r="D11" s="18">
        <v>2900</v>
      </c>
      <c r="E11" s="18">
        <v>2500</v>
      </c>
      <c r="F11" s="18">
        <v>100</v>
      </c>
      <c r="G11" s="176">
        <f t="shared" si="1"/>
        <v>5500</v>
      </c>
      <c r="H11" s="180">
        <v>3000</v>
      </c>
      <c r="I11" s="149">
        <f t="shared" si="0"/>
        <v>2500</v>
      </c>
      <c r="J11" s="78"/>
      <c r="K11" s="78"/>
    </row>
    <row r="12" spans="1:11" x14ac:dyDescent="0.25">
      <c r="A12" s="16">
        <v>8</v>
      </c>
      <c r="B12" s="124" t="s">
        <v>220</v>
      </c>
      <c r="C12" s="17" t="s">
        <v>32</v>
      </c>
      <c r="D12" s="18">
        <v>400</v>
      </c>
      <c r="E12" s="18">
        <v>2500</v>
      </c>
      <c r="F12" s="18">
        <v>100</v>
      </c>
      <c r="G12" s="176">
        <f t="shared" si="1"/>
        <v>3000</v>
      </c>
      <c r="H12" s="180">
        <v>3000</v>
      </c>
      <c r="I12" s="149">
        <f t="shared" si="0"/>
        <v>0</v>
      </c>
      <c r="J12" s="78"/>
      <c r="K12" s="78"/>
    </row>
    <row r="13" spans="1:11" x14ac:dyDescent="0.25">
      <c r="A13" s="16">
        <v>9</v>
      </c>
      <c r="B13" s="116" t="s">
        <v>221</v>
      </c>
      <c r="C13" s="17" t="s">
        <v>34</v>
      </c>
      <c r="D13" s="18">
        <v>2500</v>
      </c>
      <c r="E13" s="18">
        <v>2500</v>
      </c>
      <c r="F13" s="18">
        <v>100</v>
      </c>
      <c r="G13" s="176">
        <f t="shared" si="1"/>
        <v>5100</v>
      </c>
      <c r="H13" s="180">
        <v>2600</v>
      </c>
      <c r="I13" s="149">
        <f t="shared" si="0"/>
        <v>2500</v>
      </c>
      <c r="J13" s="78"/>
      <c r="K13" s="78"/>
    </row>
    <row r="14" spans="1:11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2600</v>
      </c>
      <c r="I14" s="149">
        <f t="shared" si="0"/>
        <v>0</v>
      </c>
      <c r="J14" s="78"/>
      <c r="K14" s="78"/>
    </row>
    <row r="15" spans="1:11" x14ac:dyDescent="0.25">
      <c r="A15" s="16">
        <v>11</v>
      </c>
      <c r="B15" s="116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>
        <v>2600</v>
      </c>
      <c r="I15" s="149">
        <f t="shared" si="0"/>
        <v>0</v>
      </c>
      <c r="J15" s="78"/>
      <c r="K15" s="78"/>
    </row>
    <row r="16" spans="1:11" x14ac:dyDescent="0.25">
      <c r="A16" s="16">
        <v>12</v>
      </c>
      <c r="B16" s="116" t="s">
        <v>252</v>
      </c>
      <c r="C16" s="17" t="s">
        <v>40</v>
      </c>
      <c r="D16" s="18">
        <v>0</v>
      </c>
      <c r="E16" s="18">
        <v>2500</v>
      </c>
      <c r="F16" s="18">
        <v>100</v>
      </c>
      <c r="G16" s="176">
        <f t="shared" si="1"/>
        <v>2600</v>
      </c>
      <c r="H16" s="180">
        <v>2600</v>
      </c>
      <c r="I16" s="149">
        <f t="shared" si="0"/>
        <v>0</v>
      </c>
      <c r="J16" s="78"/>
      <c r="K16" s="78"/>
    </row>
    <row r="17" spans="1:11" x14ac:dyDescent="0.25">
      <c r="A17" s="16">
        <v>13</v>
      </c>
      <c r="B17" s="116" t="s">
        <v>269</v>
      </c>
      <c r="C17" s="17" t="s">
        <v>42</v>
      </c>
      <c r="D17" s="18">
        <v>0</v>
      </c>
      <c r="E17" s="18">
        <v>2500</v>
      </c>
      <c r="F17" s="18">
        <v>100</v>
      </c>
      <c r="G17" s="176">
        <f t="shared" si="1"/>
        <v>2600</v>
      </c>
      <c r="H17" s="180">
        <v>2600</v>
      </c>
      <c r="I17" s="149">
        <f t="shared" si="0"/>
        <v>0</v>
      </c>
      <c r="J17" s="78"/>
      <c r="K17" s="78"/>
    </row>
    <row r="18" spans="1:11" x14ac:dyDescent="0.25">
      <c r="A18" s="16">
        <v>14</v>
      </c>
      <c r="B18" s="116" t="s">
        <v>107</v>
      </c>
      <c r="C18" s="17" t="s">
        <v>44</v>
      </c>
      <c r="D18" s="18">
        <v>0</v>
      </c>
      <c r="E18" s="18"/>
      <c r="F18" s="18"/>
      <c r="G18" s="176"/>
      <c r="H18" s="180"/>
      <c r="I18" s="149">
        <f t="shared" si="0"/>
        <v>0</v>
      </c>
      <c r="J18" s="78"/>
      <c r="K18" s="78"/>
    </row>
    <row r="19" spans="1:11" x14ac:dyDescent="0.25">
      <c r="A19" s="16">
        <v>15</v>
      </c>
      <c r="B19" s="116" t="s">
        <v>224</v>
      </c>
      <c r="C19" s="17" t="s">
        <v>46</v>
      </c>
      <c r="D19" s="18">
        <v>1350</v>
      </c>
      <c r="E19" s="18">
        <v>2500</v>
      </c>
      <c r="F19" s="18">
        <v>100</v>
      </c>
      <c r="G19" s="176">
        <f t="shared" si="1"/>
        <v>3950</v>
      </c>
      <c r="H19" s="180">
        <v>2000</v>
      </c>
      <c r="I19" s="149">
        <f t="shared" si="0"/>
        <v>1950</v>
      </c>
      <c r="J19" s="78"/>
      <c r="K19" s="78"/>
    </row>
    <row r="20" spans="1:11" x14ac:dyDescent="0.25">
      <c r="A20" s="16">
        <v>16</v>
      </c>
      <c r="B20" s="116" t="s">
        <v>225</v>
      </c>
      <c r="C20" s="17" t="s">
        <v>48</v>
      </c>
      <c r="D20" s="18">
        <v>500</v>
      </c>
      <c r="E20" s="18">
        <v>2500</v>
      </c>
      <c r="F20" s="18">
        <v>100</v>
      </c>
      <c r="G20" s="176">
        <f t="shared" si="1"/>
        <v>3100</v>
      </c>
      <c r="H20" s="180">
        <v>3100</v>
      </c>
      <c r="I20" s="149">
        <f t="shared" si="0"/>
        <v>0</v>
      </c>
      <c r="J20" s="78"/>
      <c r="K20" s="78"/>
    </row>
    <row r="21" spans="1:11" x14ac:dyDescent="0.25">
      <c r="A21" s="21">
        <v>17</v>
      </c>
      <c r="B21" s="117" t="s">
        <v>107</v>
      </c>
      <c r="C21" s="17" t="s">
        <v>50</v>
      </c>
      <c r="D21" s="18"/>
      <c r="E21" s="23"/>
      <c r="F21" s="24"/>
      <c r="G21" s="176"/>
      <c r="H21" s="180"/>
      <c r="I21" s="149">
        <f t="shared" si="0"/>
        <v>0</v>
      </c>
      <c r="J21" s="78"/>
      <c r="K21" s="78"/>
    </row>
    <row r="22" spans="1:11" x14ac:dyDescent="0.25">
      <c r="A22" s="21">
        <v>18</v>
      </c>
      <c r="B22" s="117" t="s">
        <v>226</v>
      </c>
      <c r="C22" s="17" t="s">
        <v>52</v>
      </c>
      <c r="D22" s="18">
        <v>0</v>
      </c>
      <c r="E22" s="23">
        <v>3000</v>
      </c>
      <c r="F22" s="24">
        <v>100</v>
      </c>
      <c r="G22" s="176">
        <f t="shared" si="1"/>
        <v>3100</v>
      </c>
      <c r="H22" s="180">
        <v>3100</v>
      </c>
      <c r="I22" s="149">
        <f t="shared" si="0"/>
        <v>0</v>
      </c>
      <c r="J22" s="78"/>
      <c r="K22" s="78"/>
    </row>
    <row r="23" spans="1:11" x14ac:dyDescent="0.25">
      <c r="A23" s="21">
        <v>19</v>
      </c>
      <c r="B23" s="118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1"/>
        <v>3100</v>
      </c>
      <c r="H23" s="180">
        <v>3100</v>
      </c>
      <c r="I23" s="149">
        <f t="shared" si="0"/>
        <v>0</v>
      </c>
      <c r="J23" s="78"/>
      <c r="K23" s="78"/>
    </row>
    <row r="24" spans="1:11" x14ac:dyDescent="0.25">
      <c r="A24" s="21">
        <v>20</v>
      </c>
      <c r="B24" s="117" t="s">
        <v>228</v>
      </c>
      <c r="C24" s="17" t="s">
        <v>56</v>
      </c>
      <c r="D24" s="18">
        <v>0</v>
      </c>
      <c r="E24" s="23">
        <v>3000</v>
      </c>
      <c r="F24" s="24">
        <v>100</v>
      </c>
      <c r="G24" s="176">
        <f t="shared" si="1"/>
        <v>3100</v>
      </c>
      <c r="H24" s="180">
        <v>3100</v>
      </c>
      <c r="I24" s="149">
        <f t="shared" si="0"/>
        <v>0</v>
      </c>
      <c r="J24" s="78"/>
      <c r="K24" s="78"/>
    </row>
    <row r="25" spans="1:11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1"/>
        <v>3100</v>
      </c>
      <c r="H25" s="180">
        <v>3100</v>
      </c>
      <c r="I25" s="149">
        <f t="shared" si="0"/>
        <v>0</v>
      </c>
      <c r="J25" s="78"/>
      <c r="K25" s="78"/>
    </row>
    <row r="26" spans="1:11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/>
      <c r="H26" s="180"/>
      <c r="I26" s="149">
        <f t="shared" si="0"/>
        <v>0</v>
      </c>
      <c r="J26" s="78"/>
      <c r="K26" s="78"/>
    </row>
    <row r="27" spans="1:11" x14ac:dyDescent="0.25">
      <c r="A27" s="21">
        <v>23</v>
      </c>
      <c r="B27" s="118" t="s">
        <v>229</v>
      </c>
      <c r="C27" s="17" t="s">
        <v>62</v>
      </c>
      <c r="D27" s="18"/>
      <c r="E27" s="23">
        <v>3000</v>
      </c>
      <c r="F27" s="24">
        <v>100</v>
      </c>
      <c r="G27" s="176">
        <v>3100</v>
      </c>
      <c r="H27" s="180">
        <v>3100</v>
      </c>
      <c r="I27" s="149">
        <f t="shared" si="0"/>
        <v>0</v>
      </c>
      <c r="J27" s="78"/>
      <c r="K27" s="78"/>
    </row>
    <row r="28" spans="1:11" x14ac:dyDescent="0.25">
      <c r="A28" s="28">
        <v>24</v>
      </c>
      <c r="B28" s="119" t="s">
        <v>277</v>
      </c>
      <c r="C28" s="29" t="s">
        <v>64</v>
      </c>
      <c r="D28" s="18">
        <v>0</v>
      </c>
      <c r="E28" s="32">
        <v>3000</v>
      </c>
      <c r="F28" s="33">
        <v>100</v>
      </c>
      <c r="G28" s="176">
        <v>3100</v>
      </c>
      <c r="H28" s="180">
        <v>3100</v>
      </c>
      <c r="I28" s="149">
        <f t="shared" si="0"/>
        <v>0</v>
      </c>
      <c r="J28" s="78"/>
      <c r="K28" s="78"/>
    </row>
    <row r="29" spans="1:11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80"/>
      <c r="I29" s="149">
        <f t="shared" si="0"/>
        <v>0</v>
      </c>
      <c r="J29" s="78"/>
      <c r="K29" s="78"/>
    </row>
    <row r="30" spans="1:11" x14ac:dyDescent="0.25">
      <c r="A30" s="38"/>
      <c r="B30" s="39" t="s">
        <v>65</v>
      </c>
      <c r="C30" s="38"/>
      <c r="D30" s="149"/>
      <c r="E30" s="40">
        <f>SUM(E5:E29)</f>
        <v>50500</v>
      </c>
      <c r="F30" s="42">
        <f>SUM(F5:F28)</f>
        <v>1900</v>
      </c>
      <c r="G30" s="19">
        <f>SUM(G5:G29)</f>
        <v>60050</v>
      </c>
      <c r="H30" s="135">
        <f>SUM(H5:H29)</f>
        <v>53100</v>
      </c>
      <c r="I30" s="149">
        <f t="shared" si="0"/>
        <v>6950</v>
      </c>
      <c r="J30" s="78"/>
      <c r="K30" s="78"/>
    </row>
    <row r="31" spans="1:11" x14ac:dyDescent="0.25">
      <c r="A31" s="78"/>
      <c r="B31" s="557" t="s">
        <v>246</v>
      </c>
      <c r="C31" s="557"/>
      <c r="D31" s="557"/>
      <c r="E31" s="557"/>
      <c r="F31" s="557"/>
      <c r="G31" s="557"/>
      <c r="H31" s="78"/>
      <c r="I31" s="149">
        <f t="shared" si="0"/>
        <v>0</v>
      </c>
      <c r="J31" s="78"/>
      <c r="K31" s="78"/>
    </row>
    <row r="32" spans="1:11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0"/>
        <v>#VALUE!</v>
      </c>
      <c r="J32" s="78"/>
      <c r="K32" s="78"/>
    </row>
    <row r="33" spans="1:11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</row>
    <row r="34" spans="1:11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</row>
    <row r="35" spans="1:11" x14ac:dyDescent="0.25">
      <c r="A35" s="83" t="s">
        <v>110</v>
      </c>
      <c r="B35" s="121" t="s">
        <v>183</v>
      </c>
      <c r="C35" s="85"/>
      <c r="D35" s="86">
        <v>250</v>
      </c>
      <c r="E35" s="85">
        <v>2500</v>
      </c>
      <c r="F35" s="86">
        <f>D35+E35</f>
        <v>2750</v>
      </c>
      <c r="G35" s="169">
        <v>2750</v>
      </c>
      <c r="H35" s="184">
        <f>F35-G35</f>
        <v>0</v>
      </c>
      <c r="I35" s="149">
        <f t="shared" si="0"/>
        <v>2750</v>
      </c>
      <c r="J35" s="78"/>
      <c r="K35" s="78"/>
    </row>
    <row r="36" spans="1:11" x14ac:dyDescent="0.25">
      <c r="A36" s="87" t="s">
        <v>112</v>
      </c>
      <c r="B36" s="123" t="s">
        <v>254</v>
      </c>
      <c r="C36" s="89"/>
      <c r="D36" s="90"/>
      <c r="E36" s="89">
        <v>2500</v>
      </c>
      <c r="F36" s="86">
        <f t="shared" ref="F36:F42" si="2">D36+E36</f>
        <v>2500</v>
      </c>
      <c r="G36" s="170">
        <v>2500</v>
      </c>
      <c r="H36" s="184">
        <f t="shared" ref="H36:H43" si="3">F36-G36</f>
        <v>0</v>
      </c>
      <c r="I36" s="149">
        <f t="shared" si="0"/>
        <v>2500</v>
      </c>
      <c r="J36" s="78"/>
      <c r="K36" s="78"/>
    </row>
    <row r="37" spans="1:11" x14ac:dyDescent="0.25">
      <c r="A37" s="99" t="s">
        <v>114</v>
      </c>
      <c r="B37" s="122" t="s">
        <v>184</v>
      </c>
      <c r="C37" s="86"/>
      <c r="D37" s="86">
        <v>3000</v>
      </c>
      <c r="E37" s="86">
        <v>2500</v>
      </c>
      <c r="F37" s="86">
        <f t="shared" si="2"/>
        <v>5500</v>
      </c>
      <c r="G37" s="169">
        <v>5500</v>
      </c>
      <c r="H37" s="184">
        <f t="shared" si="3"/>
        <v>0</v>
      </c>
      <c r="I37" s="149">
        <f t="shared" si="0"/>
        <v>5500</v>
      </c>
      <c r="J37" s="78"/>
      <c r="K37" s="78"/>
    </row>
    <row r="38" spans="1:11" ht="22.5" x14ac:dyDescent="0.25">
      <c r="A38" s="93" t="s">
        <v>116</v>
      </c>
      <c r="B38" s="84" t="s">
        <v>255</v>
      </c>
      <c r="C38" s="94"/>
      <c r="D38" s="92">
        <v>0</v>
      </c>
      <c r="E38" s="94">
        <v>2500</v>
      </c>
      <c r="F38" s="86">
        <f t="shared" si="2"/>
        <v>2500</v>
      </c>
      <c r="G38" s="171">
        <v>2500</v>
      </c>
      <c r="H38" s="184">
        <f t="shared" si="3"/>
        <v>0</v>
      </c>
      <c r="I38" s="149">
        <f t="shared" si="0"/>
        <v>2500</v>
      </c>
      <c r="J38" s="78"/>
      <c r="K38" s="78"/>
    </row>
    <row r="39" spans="1:11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f t="shared" si="2"/>
        <v>2500</v>
      </c>
      <c r="G39" s="169">
        <v>2500</v>
      </c>
      <c r="H39" s="184">
        <f t="shared" si="3"/>
        <v>0</v>
      </c>
      <c r="I39" s="149">
        <f t="shared" si="0"/>
        <v>2500</v>
      </c>
      <c r="J39" s="78"/>
      <c r="K39" s="78"/>
    </row>
    <row r="40" spans="1:11" x14ac:dyDescent="0.25">
      <c r="A40" s="83" t="s">
        <v>121</v>
      </c>
      <c r="B40" s="121" t="s">
        <v>186</v>
      </c>
      <c r="C40" s="85"/>
      <c r="D40" s="92">
        <v>0</v>
      </c>
      <c r="E40" s="85">
        <v>2500</v>
      </c>
      <c r="F40" s="86">
        <f t="shared" si="2"/>
        <v>2500</v>
      </c>
      <c r="G40" s="169">
        <v>2500</v>
      </c>
      <c r="H40" s="184">
        <f t="shared" si="3"/>
        <v>0</v>
      </c>
      <c r="I40" s="149">
        <f t="shared" si="0"/>
        <v>2500</v>
      </c>
      <c r="J40" s="78"/>
      <c r="K40" s="78"/>
    </row>
    <row r="41" spans="1:11" x14ac:dyDescent="0.25">
      <c r="A41" s="83" t="s">
        <v>123</v>
      </c>
      <c r="B41" s="121" t="s">
        <v>278</v>
      </c>
      <c r="C41" s="85"/>
      <c r="D41" s="92">
        <v>0</v>
      </c>
      <c r="E41" s="85">
        <v>2500</v>
      </c>
      <c r="F41" s="86">
        <f t="shared" si="2"/>
        <v>2500</v>
      </c>
      <c r="G41" s="169"/>
      <c r="H41" s="184">
        <f t="shared" si="3"/>
        <v>2500</v>
      </c>
      <c r="I41" s="149">
        <f t="shared" si="0"/>
        <v>-2500</v>
      </c>
      <c r="J41" s="78"/>
      <c r="K41" s="78"/>
    </row>
    <row r="42" spans="1:11" ht="22.5" x14ac:dyDescent="0.25">
      <c r="A42" s="83" t="s">
        <v>125</v>
      </c>
      <c r="B42" s="120" t="s">
        <v>191</v>
      </c>
      <c r="C42" s="78"/>
      <c r="D42" s="186">
        <v>5900</v>
      </c>
      <c r="E42" s="152">
        <v>2000</v>
      </c>
      <c r="F42" s="86">
        <f t="shared" si="2"/>
        <v>7900</v>
      </c>
      <c r="G42" s="169">
        <v>2500</v>
      </c>
      <c r="H42" s="184">
        <f t="shared" si="3"/>
        <v>5400</v>
      </c>
      <c r="I42" s="149">
        <f t="shared" si="0"/>
        <v>-2900</v>
      </c>
      <c r="J42" s="78"/>
      <c r="K42" s="78"/>
    </row>
    <row r="43" spans="1:11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19500</v>
      </c>
      <c r="F43" s="98">
        <f>SUM(F33:F42)</f>
        <v>28650</v>
      </c>
      <c r="G43" s="98">
        <f>SUM(G33:G42)</f>
        <v>20750</v>
      </c>
      <c r="H43" s="184">
        <f t="shared" si="3"/>
        <v>7900</v>
      </c>
      <c r="I43" s="113"/>
      <c r="J43" s="78"/>
      <c r="K43" s="78"/>
    </row>
    <row r="44" spans="1:11" x14ac:dyDescent="0.25">
      <c r="A44" s="96"/>
      <c r="B44" s="84"/>
      <c r="C44" s="86"/>
      <c r="D44" s="92"/>
      <c r="E44" s="98"/>
      <c r="F44" s="98"/>
      <c r="G44" s="86"/>
      <c r="H44" s="183"/>
      <c r="I44" s="113"/>
      <c r="J44" s="78"/>
      <c r="K44" s="78"/>
    </row>
    <row r="45" spans="1:11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  <c r="J45" s="78"/>
      <c r="K45" s="78"/>
    </row>
    <row r="46" spans="1:11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13"/>
      <c r="J46" s="78"/>
      <c r="K46" s="78"/>
    </row>
    <row r="47" spans="1:11" x14ac:dyDescent="0.25">
      <c r="A47" s="83">
        <v>1</v>
      </c>
      <c r="B47" s="116" t="s">
        <v>197</v>
      </c>
      <c r="C47" s="85"/>
      <c r="D47" s="86"/>
      <c r="E47" s="86">
        <v>3500</v>
      </c>
      <c r="F47" s="42">
        <f>SUM(D47:E47)</f>
        <v>3500</v>
      </c>
      <c r="G47" s="86">
        <v>3500</v>
      </c>
      <c r="H47" s="184">
        <f>F47-G47</f>
        <v>0</v>
      </c>
      <c r="I47" s="113"/>
      <c r="J47" s="78"/>
      <c r="K47" s="78"/>
    </row>
    <row r="48" spans="1:11" x14ac:dyDescent="0.25">
      <c r="A48" s="83">
        <v>2</v>
      </c>
      <c r="B48" s="116" t="s">
        <v>248</v>
      </c>
      <c r="C48" s="85"/>
      <c r="D48" s="86"/>
      <c r="E48" s="85">
        <v>4000</v>
      </c>
      <c r="F48" s="42">
        <f>D48+E48</f>
        <v>4000</v>
      </c>
      <c r="G48" s="86"/>
      <c r="H48" s="184">
        <f t="shared" ref="H48:H53" si="4">F48-G48</f>
        <v>4000</v>
      </c>
      <c r="I48" s="113"/>
      <c r="J48" s="78"/>
      <c r="K48" s="78"/>
    </row>
    <row r="49" spans="1:11" x14ac:dyDescent="0.25">
      <c r="A49" s="83">
        <v>3</v>
      </c>
      <c r="B49" s="116" t="s">
        <v>129</v>
      </c>
      <c r="C49" s="85"/>
      <c r="D49" s="86"/>
      <c r="E49" s="85">
        <v>4000</v>
      </c>
      <c r="F49" s="98">
        <f>D49+E49</f>
        <v>4000</v>
      </c>
      <c r="G49" s="86">
        <v>4000</v>
      </c>
      <c r="H49" s="184">
        <f t="shared" si="4"/>
        <v>0</v>
      </c>
      <c r="I49" s="113"/>
      <c r="J49" s="78"/>
      <c r="K49" s="78"/>
    </row>
    <row r="50" spans="1:11" x14ac:dyDescent="0.25">
      <c r="A50" s="83">
        <v>4</v>
      </c>
      <c r="B50" s="116" t="s">
        <v>249</v>
      </c>
      <c r="C50" s="86"/>
      <c r="D50" s="78"/>
      <c r="E50" s="85">
        <v>4000</v>
      </c>
      <c r="F50" s="98">
        <f>D50+E50</f>
        <v>4000</v>
      </c>
      <c r="G50" s="86">
        <v>4000</v>
      </c>
      <c r="H50" s="184">
        <f t="shared" si="4"/>
        <v>0</v>
      </c>
      <c r="I50" s="113"/>
      <c r="J50" s="78"/>
      <c r="K50" s="78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42">
        <f>D51+E51</f>
        <v>4000</v>
      </c>
      <c r="G51" s="86">
        <v>4000</v>
      </c>
      <c r="H51" s="184">
        <f t="shared" si="4"/>
        <v>0</v>
      </c>
      <c r="I51" s="113"/>
      <c r="J51" s="78"/>
      <c r="K51" s="78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98">
        <f>D52+E52</f>
        <v>4000</v>
      </c>
      <c r="G52" s="86">
        <v>4000</v>
      </c>
      <c r="H52" s="184">
        <f t="shared" si="4"/>
        <v>0</v>
      </c>
      <c r="I52" s="113"/>
      <c r="J52" s="78"/>
      <c r="K52" s="78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4"/>
        <v>0</v>
      </c>
      <c r="I53" s="113"/>
      <c r="J53" s="78"/>
      <c r="K53" s="78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  <c r="J54" s="78"/>
      <c r="K54" s="78"/>
    </row>
    <row r="55" spans="1:11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19500</v>
      </c>
      <c r="H55" s="183"/>
      <c r="I55" s="113"/>
      <c r="J55" s="78"/>
      <c r="K55" s="78"/>
    </row>
    <row r="56" spans="1:11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1:11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1:11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303</v>
      </c>
      <c r="C61" s="102">
        <f>E30+E43+E55</f>
        <v>93500</v>
      </c>
      <c r="D61" s="113"/>
      <c r="E61" s="113"/>
      <c r="F61" s="159" t="s">
        <v>303</v>
      </c>
      <c r="G61" s="102">
        <f>H30+G43+G55</f>
        <v>93350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C62*C65</f>
        <v>3278.5692160000049</v>
      </c>
      <c r="E62" s="113"/>
      <c r="F62" s="113" t="s">
        <v>209</v>
      </c>
      <c r="G62" s="161">
        <v>0.08</v>
      </c>
      <c r="H62" s="149">
        <f>G61*G62</f>
        <v>7468</v>
      </c>
      <c r="I62" s="113"/>
      <c r="J62" s="113"/>
      <c r="K62" s="113"/>
    </row>
    <row r="63" spans="1:11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1900</v>
      </c>
      <c r="D64" s="113"/>
      <c r="E64" s="113"/>
      <c r="F64" s="168"/>
      <c r="G64" s="149"/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'AUGUST  2017'!E72</f>
        <v>40982.115200000058</v>
      </c>
      <c r="D65" s="113"/>
      <c r="E65" s="113"/>
      <c r="F65" s="168" t="s">
        <v>239</v>
      </c>
      <c r="G65" s="160">
        <f>'AUGUST  2017'!I72</f>
        <v>26614.275200000033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C61+C63+C64+C65</f>
        <v>139382.11520000006</v>
      </c>
      <c r="D66" s="113"/>
      <c r="E66" s="113"/>
      <c r="F66" s="168" t="s">
        <v>193</v>
      </c>
      <c r="G66" s="149">
        <f>G61+G63+G64+G65</f>
        <v>122964.27520000003</v>
      </c>
      <c r="H66" s="113"/>
      <c r="I66" s="113"/>
      <c r="J66" s="113"/>
      <c r="K66" s="113"/>
    </row>
    <row r="67" spans="1:11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163" t="s">
        <v>271</v>
      </c>
      <c r="C68" s="78"/>
      <c r="D68" s="164">
        <v>70000</v>
      </c>
      <c r="E68" s="113"/>
      <c r="F68" s="163" t="s">
        <v>272</v>
      </c>
      <c r="G68" s="78"/>
      <c r="H68" s="164">
        <v>70000</v>
      </c>
      <c r="I68" s="113"/>
      <c r="J68" s="113"/>
      <c r="K68" s="113"/>
    </row>
    <row r="69" spans="1:11" x14ac:dyDescent="0.25">
      <c r="A69" s="50"/>
      <c r="B69" s="164"/>
      <c r="C69" s="78"/>
      <c r="D69" s="164"/>
      <c r="E69" s="113"/>
      <c r="F69" s="164"/>
      <c r="G69" s="78"/>
      <c r="H69" s="164"/>
      <c r="I69" s="113"/>
      <c r="J69" s="113"/>
      <c r="K69" s="113"/>
    </row>
    <row r="70" spans="1:11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A72" s="78"/>
      <c r="B72" s="166" t="s">
        <v>193</v>
      </c>
      <c r="C72" s="167">
        <f>C66</f>
        <v>139382.11520000006</v>
      </c>
      <c r="D72" s="149">
        <f>SUM(D62:D71)</f>
        <v>73278.569216000004</v>
      </c>
      <c r="E72" s="149">
        <f>C72-D72</f>
        <v>66103.545984000055</v>
      </c>
      <c r="F72" s="166" t="s">
        <v>193</v>
      </c>
      <c r="G72" s="167">
        <f>G66</f>
        <v>122964.27520000003</v>
      </c>
      <c r="H72" s="149">
        <f>SUM(H62:H71)</f>
        <v>77468</v>
      </c>
      <c r="I72" s="149">
        <f>G72-H72</f>
        <v>45496.275200000033</v>
      </c>
      <c r="J72" s="149">
        <f>I30</f>
        <v>6950</v>
      </c>
      <c r="K72" s="113"/>
    </row>
    <row r="73" spans="1:11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</row>
    <row r="74" spans="1:11" x14ac:dyDescent="0.25">
      <c r="A74" s="78"/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G74" s="78"/>
      <c r="H74" s="78"/>
      <c r="I74" s="78"/>
      <c r="J74" s="78"/>
      <c r="K74" s="78"/>
    </row>
    <row r="75" spans="1:11" x14ac:dyDescent="0.25">
      <c r="A75" s="78"/>
      <c r="B75" s="78"/>
      <c r="C75" s="79" t="s">
        <v>132</v>
      </c>
      <c r="D75" s="79"/>
      <c r="E75" s="79" t="s">
        <v>133</v>
      </c>
      <c r="F75" s="78" t="s">
        <v>165</v>
      </c>
      <c r="G75" s="78"/>
      <c r="H75" s="78"/>
      <c r="I75" s="78"/>
      <c r="J75" s="78"/>
      <c r="K75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3" workbookViewId="0">
      <selection activeCell="D62" sqref="D62"/>
    </sheetView>
  </sheetViews>
  <sheetFormatPr defaultRowHeight="15" x14ac:dyDescent="0.25"/>
  <cols>
    <col min="1" max="1" width="3.5703125" style="78" customWidth="1"/>
    <col min="2" max="2" width="14.5703125" style="78" customWidth="1"/>
    <col min="3" max="3" width="11.7109375" style="78" customWidth="1"/>
    <col min="4" max="4" width="10.28515625" style="78" customWidth="1"/>
    <col min="5" max="5" width="12.140625" style="78" customWidth="1"/>
    <col min="6" max="6" width="12.7109375" style="78" customWidth="1"/>
    <col min="7" max="7" width="12" style="78" customWidth="1"/>
    <col min="8" max="8" width="10.5703125" style="78" customWidth="1"/>
    <col min="9" max="9" width="11.5703125" style="78" customWidth="1"/>
    <col min="10" max="10" width="12.5703125" style="78" customWidth="1"/>
    <col min="11" max="16384" width="9.140625" style="78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9" ht="16.5" x14ac:dyDescent="0.3">
      <c r="A2" s="5"/>
      <c r="B2" s="5"/>
      <c r="D2" s="6" t="s">
        <v>1</v>
      </c>
      <c r="F2" s="5"/>
    </row>
    <row r="3" spans="1:9" ht="21" x14ac:dyDescent="0.25">
      <c r="A3" s="8"/>
      <c r="B3" s="64" t="s">
        <v>275</v>
      </c>
      <c r="C3" s="11"/>
      <c r="D3" s="11"/>
      <c r="E3" s="11"/>
      <c r="F3" s="103"/>
      <c r="G3" s="103"/>
      <c r="H3" s="103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9" x14ac:dyDescent="0.25">
      <c r="A5" s="16">
        <v>1</v>
      </c>
      <c r="B5" s="116" t="s">
        <v>257</v>
      </c>
      <c r="C5" s="17" t="s">
        <v>18</v>
      </c>
      <c r="D5" s="18">
        <v>2</v>
      </c>
      <c r="E5" s="18">
        <v>2500</v>
      </c>
      <c r="F5" s="18">
        <v>100</v>
      </c>
      <c r="G5" s="176">
        <f>D5+E5+F5</f>
        <v>2602</v>
      </c>
      <c r="H5" s="180">
        <v>2600</v>
      </c>
      <c r="I5" s="149">
        <f>G5-H5</f>
        <v>2</v>
      </c>
    </row>
    <row r="6" spans="1:9" x14ac:dyDescent="0.25">
      <c r="A6" s="16">
        <v>2</v>
      </c>
      <c r="B6" s="116" t="s">
        <v>273</v>
      </c>
      <c r="C6" s="17"/>
      <c r="D6" s="18"/>
      <c r="E6" s="18"/>
      <c r="F6" s="18"/>
      <c r="G6" s="176"/>
      <c r="H6" s="180"/>
      <c r="I6" s="149">
        <f t="shared" ref="I6:I28" si="0">G6-H6</f>
        <v>0</v>
      </c>
    </row>
    <row r="7" spans="1:9" x14ac:dyDescent="0.25">
      <c r="A7" s="16">
        <v>3</v>
      </c>
      <c r="B7" s="116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28" si="1">D7+E7+F7</f>
        <v>2700</v>
      </c>
      <c r="H7" s="180">
        <v>1500</v>
      </c>
      <c r="I7" s="149">
        <f t="shared" si="0"/>
        <v>1200</v>
      </c>
    </row>
    <row r="8" spans="1:9" x14ac:dyDescent="0.25">
      <c r="A8" s="16">
        <v>4</v>
      </c>
      <c r="B8" s="116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 t="shared" si="1"/>
        <v>2600</v>
      </c>
      <c r="H8" s="180">
        <v>2600</v>
      </c>
      <c r="I8" s="149">
        <f t="shared" si="0"/>
        <v>0</v>
      </c>
    </row>
    <row r="9" spans="1:9" x14ac:dyDescent="0.25">
      <c r="A9" s="16">
        <v>5</v>
      </c>
      <c r="B9" s="116" t="s">
        <v>107</v>
      </c>
      <c r="C9" s="17" t="s">
        <v>26</v>
      </c>
      <c r="D9" s="18"/>
      <c r="E9" s="18"/>
      <c r="F9" s="18"/>
      <c r="G9" s="176"/>
      <c r="H9" s="180"/>
      <c r="I9" s="149">
        <f t="shared" si="0"/>
        <v>0</v>
      </c>
    </row>
    <row r="10" spans="1:9" s="155" customFormat="1" x14ac:dyDescent="0.25">
      <c r="A10" s="187">
        <v>6</v>
      </c>
      <c r="B10" s="116" t="s">
        <v>219</v>
      </c>
      <c r="C10" s="188" t="s">
        <v>28</v>
      </c>
      <c r="D10" s="19"/>
      <c r="E10" s="19">
        <v>2500</v>
      </c>
      <c r="F10" s="19">
        <v>100</v>
      </c>
      <c r="G10" s="19">
        <f t="shared" si="1"/>
        <v>2600</v>
      </c>
      <c r="H10" s="132">
        <v>2600</v>
      </c>
      <c r="I10" s="160">
        <f t="shared" si="0"/>
        <v>0</v>
      </c>
    </row>
    <row r="11" spans="1:9" x14ac:dyDescent="0.25">
      <c r="A11" s="16">
        <v>7</v>
      </c>
      <c r="B11" s="116" t="s">
        <v>268</v>
      </c>
      <c r="C11" s="17" t="s">
        <v>30</v>
      </c>
      <c r="D11" s="18">
        <v>2500</v>
      </c>
      <c r="E11" s="18">
        <v>2500</v>
      </c>
      <c r="F11" s="18">
        <v>100</v>
      </c>
      <c r="G11" s="176">
        <f t="shared" si="1"/>
        <v>5100</v>
      </c>
      <c r="H11" s="180">
        <v>5200</v>
      </c>
      <c r="I11" s="149">
        <f t="shared" si="0"/>
        <v>-100</v>
      </c>
    </row>
    <row r="12" spans="1:9" x14ac:dyDescent="0.25">
      <c r="A12" s="16">
        <v>8</v>
      </c>
      <c r="B12" s="124" t="s">
        <v>220</v>
      </c>
      <c r="C12" s="17" t="s">
        <v>32</v>
      </c>
      <c r="D12" s="18">
        <v>200</v>
      </c>
      <c r="E12" s="18">
        <v>2500</v>
      </c>
      <c r="F12" s="18">
        <v>100</v>
      </c>
      <c r="G12" s="176">
        <f t="shared" si="1"/>
        <v>2800</v>
      </c>
      <c r="H12" s="180">
        <v>2600</v>
      </c>
      <c r="I12" s="149">
        <f t="shared" si="0"/>
        <v>200</v>
      </c>
    </row>
    <row r="13" spans="1:9" x14ac:dyDescent="0.25">
      <c r="A13" s="16">
        <v>9</v>
      </c>
      <c r="B13" s="116" t="s">
        <v>221</v>
      </c>
      <c r="C13" s="17" t="s">
        <v>34</v>
      </c>
      <c r="D13" s="18">
        <v>2500</v>
      </c>
      <c r="E13" s="18">
        <v>2500</v>
      </c>
      <c r="F13" s="18">
        <v>100</v>
      </c>
      <c r="G13" s="176">
        <f t="shared" si="1"/>
        <v>5100</v>
      </c>
      <c r="H13" s="180">
        <v>2600</v>
      </c>
      <c r="I13" s="149">
        <f t="shared" si="0"/>
        <v>2500</v>
      </c>
    </row>
    <row r="14" spans="1:9" x14ac:dyDescent="0.25">
      <c r="A14" s="16">
        <v>10</v>
      </c>
      <c r="B14" s="116" t="s">
        <v>95</v>
      </c>
      <c r="C14" s="17" t="s">
        <v>36</v>
      </c>
      <c r="D14" s="18">
        <v>-393</v>
      </c>
      <c r="E14" s="18">
        <v>2500</v>
      </c>
      <c r="F14" s="18">
        <v>100</v>
      </c>
      <c r="G14" s="176">
        <f t="shared" si="1"/>
        <v>2207</v>
      </c>
      <c r="H14" s="180">
        <v>2600</v>
      </c>
      <c r="I14" s="149">
        <f t="shared" si="0"/>
        <v>-393</v>
      </c>
    </row>
    <row r="15" spans="1:9" x14ac:dyDescent="0.25">
      <c r="A15" s="16">
        <v>11</v>
      </c>
      <c r="B15" s="116" t="s">
        <v>222</v>
      </c>
      <c r="C15" s="17" t="s">
        <v>38</v>
      </c>
      <c r="D15" s="18">
        <v>400</v>
      </c>
      <c r="E15" s="18">
        <v>3000</v>
      </c>
      <c r="F15" s="18">
        <v>100</v>
      </c>
      <c r="G15" s="176">
        <f t="shared" si="1"/>
        <v>3500</v>
      </c>
      <c r="H15" s="180">
        <v>2600</v>
      </c>
      <c r="I15" s="149">
        <f t="shared" si="0"/>
        <v>900</v>
      </c>
    </row>
    <row r="16" spans="1:9" x14ac:dyDescent="0.25">
      <c r="A16" s="16">
        <v>12</v>
      </c>
      <c r="B16" s="116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2600</v>
      </c>
      <c r="I16" s="149">
        <f t="shared" si="0"/>
        <v>150</v>
      </c>
    </row>
    <row r="17" spans="1:9" x14ac:dyDescent="0.25">
      <c r="A17" s="16">
        <v>13</v>
      </c>
      <c r="B17" s="116" t="s">
        <v>269</v>
      </c>
      <c r="C17" s="17" t="s">
        <v>42</v>
      </c>
      <c r="D17" s="18">
        <v>350</v>
      </c>
      <c r="E17" s="18">
        <v>3000</v>
      </c>
      <c r="F17" s="18">
        <v>100</v>
      </c>
      <c r="G17" s="176">
        <f t="shared" si="1"/>
        <v>3450</v>
      </c>
      <c r="H17" s="180">
        <v>2600</v>
      </c>
      <c r="I17" s="149">
        <f t="shared" si="0"/>
        <v>850</v>
      </c>
    </row>
    <row r="18" spans="1:9" x14ac:dyDescent="0.25">
      <c r="A18" s="16">
        <v>14</v>
      </c>
      <c r="B18" s="116" t="s">
        <v>274</v>
      </c>
      <c r="C18" s="17" t="s">
        <v>44</v>
      </c>
      <c r="D18" s="18">
        <v>100</v>
      </c>
      <c r="E18" s="18">
        <v>2500</v>
      </c>
      <c r="F18" s="18">
        <v>100</v>
      </c>
      <c r="G18" s="176">
        <f t="shared" si="1"/>
        <v>2700</v>
      </c>
      <c r="H18" s="180">
        <v>5100</v>
      </c>
      <c r="I18" s="149">
        <f t="shared" si="0"/>
        <v>-2400</v>
      </c>
    </row>
    <row r="19" spans="1:9" x14ac:dyDescent="0.25">
      <c r="A19" s="16">
        <v>15</v>
      </c>
      <c r="B19" s="116" t="s">
        <v>224</v>
      </c>
      <c r="C19" s="17" t="s">
        <v>46</v>
      </c>
      <c r="D19" s="18">
        <v>1950</v>
      </c>
      <c r="E19" s="18">
        <v>2500</v>
      </c>
      <c r="F19" s="18">
        <v>100</v>
      </c>
      <c r="G19" s="176">
        <f t="shared" si="1"/>
        <v>4550</v>
      </c>
      <c r="H19" s="180">
        <v>2000</v>
      </c>
      <c r="I19" s="149">
        <f t="shared" si="0"/>
        <v>2550</v>
      </c>
    </row>
    <row r="20" spans="1:9" x14ac:dyDescent="0.25">
      <c r="A20" s="16">
        <v>16</v>
      </c>
      <c r="B20" s="116" t="s">
        <v>225</v>
      </c>
      <c r="C20" s="17" t="s">
        <v>48</v>
      </c>
      <c r="D20" s="18">
        <v>-550</v>
      </c>
      <c r="E20" s="18">
        <v>2500</v>
      </c>
      <c r="F20" s="18">
        <v>100</v>
      </c>
      <c r="G20" s="176">
        <f t="shared" si="1"/>
        <v>2050</v>
      </c>
      <c r="H20" s="180">
        <v>2400</v>
      </c>
      <c r="I20" s="149">
        <f t="shared" si="0"/>
        <v>-350</v>
      </c>
    </row>
    <row r="21" spans="1:9" x14ac:dyDescent="0.25">
      <c r="A21" s="21">
        <v>17</v>
      </c>
      <c r="B21" s="117" t="s">
        <v>107</v>
      </c>
      <c r="C21" s="17" t="s">
        <v>50</v>
      </c>
      <c r="D21" s="18"/>
      <c r="E21" s="23"/>
      <c r="F21" s="24"/>
      <c r="G21" s="176">
        <f t="shared" si="1"/>
        <v>0</v>
      </c>
      <c r="H21" s="180"/>
      <c r="I21" s="149">
        <f t="shared" si="0"/>
        <v>0</v>
      </c>
    </row>
    <row r="22" spans="1:9" x14ac:dyDescent="0.25">
      <c r="A22" s="21">
        <v>18</v>
      </c>
      <c r="B22" s="117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1"/>
        <v>3900</v>
      </c>
      <c r="H22" s="180">
        <v>3100</v>
      </c>
      <c r="I22" s="149">
        <f t="shared" si="0"/>
        <v>800</v>
      </c>
    </row>
    <row r="23" spans="1:9" x14ac:dyDescent="0.25">
      <c r="A23" s="21">
        <v>19</v>
      </c>
      <c r="B23" s="118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1"/>
        <v>3100</v>
      </c>
      <c r="H23" s="180">
        <v>0</v>
      </c>
      <c r="I23" s="149">
        <f t="shared" si="0"/>
        <v>3100</v>
      </c>
    </row>
    <row r="24" spans="1:9" x14ac:dyDescent="0.25">
      <c r="A24" s="21">
        <v>20</v>
      </c>
      <c r="B24" s="117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1"/>
        <v>3300</v>
      </c>
      <c r="H24" s="180">
        <v>3100</v>
      </c>
      <c r="I24" s="149">
        <f t="shared" si="0"/>
        <v>200</v>
      </c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1"/>
        <v>3100</v>
      </c>
      <c r="H25" s="180">
        <v>3100</v>
      </c>
      <c r="I25" s="149">
        <f t="shared" si="0"/>
        <v>0</v>
      </c>
    </row>
    <row r="26" spans="1:9" x14ac:dyDescent="0.25">
      <c r="A26" s="21">
        <v>22</v>
      </c>
      <c r="B26" s="118" t="s">
        <v>107</v>
      </c>
      <c r="C26" s="17" t="s">
        <v>60</v>
      </c>
      <c r="D26" s="18">
        <v>0</v>
      </c>
      <c r="E26" s="23"/>
      <c r="F26" s="24"/>
      <c r="G26" s="176">
        <f t="shared" si="1"/>
        <v>0</v>
      </c>
      <c r="H26" s="180"/>
      <c r="I26" s="149">
        <f t="shared" si="0"/>
        <v>0</v>
      </c>
    </row>
    <row r="27" spans="1:9" x14ac:dyDescent="0.25">
      <c r="A27" s="21">
        <v>23</v>
      </c>
      <c r="B27" s="118" t="s">
        <v>229</v>
      </c>
      <c r="C27" s="17" t="s">
        <v>62</v>
      </c>
      <c r="D27" s="18">
        <v>-2900</v>
      </c>
      <c r="E27" s="23">
        <v>3000</v>
      </c>
      <c r="F27" s="24">
        <v>100</v>
      </c>
      <c r="G27" s="176">
        <f t="shared" si="1"/>
        <v>200</v>
      </c>
      <c r="H27" s="180">
        <v>3100</v>
      </c>
      <c r="I27" s="149">
        <f t="shared" si="0"/>
        <v>-2900</v>
      </c>
    </row>
    <row r="28" spans="1:9" x14ac:dyDescent="0.25">
      <c r="A28" s="28">
        <v>24</v>
      </c>
      <c r="B28" s="119" t="s">
        <v>277</v>
      </c>
      <c r="C28" s="29" t="s">
        <v>64</v>
      </c>
      <c r="D28" s="18">
        <v>0</v>
      </c>
      <c r="E28" s="189">
        <v>3000</v>
      </c>
      <c r="F28" s="190">
        <v>100</v>
      </c>
      <c r="G28" s="19">
        <f t="shared" si="1"/>
        <v>3100</v>
      </c>
      <c r="H28" s="133"/>
      <c r="I28" s="160">
        <f t="shared" si="0"/>
        <v>3100</v>
      </c>
    </row>
    <row r="29" spans="1:9" x14ac:dyDescent="0.25">
      <c r="A29" s="37"/>
      <c r="B29" s="18"/>
      <c r="C29" s="18"/>
      <c r="D29" s="18">
        <v>0</v>
      </c>
      <c r="E29" s="19"/>
      <c r="F29" s="19"/>
      <c r="G29" s="19">
        <f>D29+E29+F29</f>
        <v>0</v>
      </c>
      <c r="H29" s="132"/>
      <c r="I29" s="160">
        <f t="shared" ref="I29:I42" si="2">G29-H29</f>
        <v>0</v>
      </c>
    </row>
    <row r="30" spans="1:9" x14ac:dyDescent="0.25">
      <c r="A30" s="38"/>
      <c r="B30" s="39" t="s">
        <v>65</v>
      </c>
      <c r="C30" s="38"/>
      <c r="D30" s="149"/>
      <c r="E30" s="40">
        <f>SUM(E5:E29)</f>
        <v>54000</v>
      </c>
      <c r="F30" s="42">
        <f>SUM(F5:F28)</f>
        <v>2000</v>
      </c>
      <c r="G30" s="19">
        <f>SUM(G5:G29)</f>
        <v>61409</v>
      </c>
      <c r="H30" s="135">
        <f>SUM(H5:H29)</f>
        <v>52000</v>
      </c>
      <c r="I30" s="149">
        <f>G30-H30</f>
        <v>9409</v>
      </c>
    </row>
    <row r="31" spans="1:9" x14ac:dyDescent="0.25">
      <c r="B31" s="557" t="s">
        <v>246</v>
      </c>
      <c r="C31" s="557"/>
      <c r="D31" s="557"/>
      <c r="E31" s="557"/>
      <c r="F31" s="557"/>
      <c r="G31" s="557"/>
      <c r="I31" s="149">
        <f t="shared" si="2"/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 t="e">
        <f t="shared" si="2"/>
        <v>#VALUE!</v>
      </c>
    </row>
    <row r="33" spans="1:9" x14ac:dyDescent="0.25">
      <c r="A33" s="83" t="s">
        <v>106</v>
      </c>
      <c r="B33" s="84"/>
      <c r="C33" s="85"/>
      <c r="D33" s="86">
        <v>0</v>
      </c>
      <c r="E33" s="85"/>
      <c r="F33" s="86"/>
      <c r="G33" s="86"/>
      <c r="H33" s="183"/>
      <c r="I33" s="149">
        <f t="shared" si="2"/>
        <v>0</v>
      </c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83"/>
      <c r="I34" s="149">
        <f t="shared" si="2"/>
        <v>0</v>
      </c>
    </row>
    <row r="35" spans="1:9" x14ac:dyDescent="0.25">
      <c r="A35" s="83" t="s">
        <v>110</v>
      </c>
      <c r="B35" s="121" t="s">
        <v>183</v>
      </c>
      <c r="C35" s="85"/>
      <c r="D35" s="86">
        <v>200</v>
      </c>
      <c r="E35" s="85">
        <v>2500</v>
      </c>
      <c r="F35" s="86">
        <f>D35+E35</f>
        <v>2700</v>
      </c>
      <c r="G35" s="169">
        <v>0</v>
      </c>
      <c r="H35" s="184">
        <f>F35-G35</f>
        <v>2700</v>
      </c>
      <c r="I35" s="149">
        <f t="shared" si="2"/>
        <v>-2700</v>
      </c>
    </row>
    <row r="36" spans="1:9" x14ac:dyDescent="0.25">
      <c r="A36" s="87" t="s">
        <v>112</v>
      </c>
      <c r="B36" s="123" t="s">
        <v>254</v>
      </c>
      <c r="C36" s="89"/>
      <c r="D36" s="90">
        <v>-249</v>
      </c>
      <c r="E36" s="89">
        <v>2500</v>
      </c>
      <c r="F36" s="86">
        <f t="shared" ref="F36:F42" si="3">D36+E36</f>
        <v>2251</v>
      </c>
      <c r="G36" s="170">
        <v>2750</v>
      </c>
      <c r="H36" s="184">
        <f t="shared" ref="H36:H43" si="4">F36-G36</f>
        <v>-499</v>
      </c>
      <c r="I36" s="149">
        <f t="shared" si="2"/>
        <v>3249</v>
      </c>
    </row>
    <row r="37" spans="1:9" x14ac:dyDescent="0.25">
      <c r="A37" s="99" t="s">
        <v>114</v>
      </c>
      <c r="B37" s="122" t="s">
        <v>184</v>
      </c>
      <c r="C37" s="86"/>
      <c r="D37" s="86">
        <v>-1149</v>
      </c>
      <c r="E37" s="86">
        <v>2500</v>
      </c>
      <c r="F37" s="86">
        <f t="shared" si="3"/>
        <v>1351</v>
      </c>
      <c r="G37" s="169">
        <v>2750</v>
      </c>
      <c r="H37" s="184">
        <f t="shared" si="4"/>
        <v>-1399</v>
      </c>
      <c r="I37" s="149">
        <f t="shared" si="2"/>
        <v>4149</v>
      </c>
    </row>
    <row r="38" spans="1:9" x14ac:dyDescent="0.25">
      <c r="A38" s="93" t="s">
        <v>116</v>
      </c>
      <c r="B38" s="84" t="s">
        <v>255</v>
      </c>
      <c r="C38" s="94"/>
      <c r="D38" s="92">
        <v>-1050</v>
      </c>
      <c r="E38" s="94">
        <v>2500</v>
      </c>
      <c r="F38" s="86">
        <f t="shared" si="3"/>
        <v>1450</v>
      </c>
      <c r="G38" s="171">
        <v>0</v>
      </c>
      <c r="H38" s="184">
        <f t="shared" si="4"/>
        <v>1450</v>
      </c>
      <c r="I38" s="149">
        <f t="shared" si="2"/>
        <v>-1450</v>
      </c>
    </row>
    <row r="39" spans="1:9" x14ac:dyDescent="0.25">
      <c r="A39" s="83" t="s">
        <v>119</v>
      </c>
      <c r="B39" s="120" t="s">
        <v>120</v>
      </c>
      <c r="C39" s="85"/>
      <c r="D39" s="92">
        <v>2501</v>
      </c>
      <c r="E39" s="85">
        <v>2500</v>
      </c>
      <c r="F39" s="86">
        <f t="shared" si="3"/>
        <v>5001</v>
      </c>
      <c r="G39" s="169">
        <v>2500</v>
      </c>
      <c r="H39" s="184">
        <f t="shared" si="4"/>
        <v>2501</v>
      </c>
      <c r="I39" s="149">
        <f t="shared" si="2"/>
        <v>-1</v>
      </c>
    </row>
    <row r="40" spans="1:9" x14ac:dyDescent="0.25">
      <c r="A40" s="83" t="s">
        <v>121</v>
      </c>
      <c r="B40" s="121" t="s">
        <v>186</v>
      </c>
      <c r="C40" s="85"/>
      <c r="D40" s="92">
        <v>-3349</v>
      </c>
      <c r="E40" s="85">
        <v>2500</v>
      </c>
      <c r="F40" s="86">
        <f t="shared" si="3"/>
        <v>-849</v>
      </c>
      <c r="G40" s="169">
        <v>2700</v>
      </c>
      <c r="H40" s="184">
        <f t="shared" si="4"/>
        <v>-3549</v>
      </c>
      <c r="I40" s="149">
        <f t="shared" si="2"/>
        <v>6249</v>
      </c>
    </row>
    <row r="41" spans="1:9" x14ac:dyDescent="0.25">
      <c r="A41" s="83" t="s">
        <v>123</v>
      </c>
      <c r="B41" s="121" t="s">
        <v>188</v>
      </c>
      <c r="C41" s="85"/>
      <c r="D41" s="92">
        <v>0</v>
      </c>
      <c r="E41" s="85"/>
      <c r="F41" s="86">
        <f t="shared" si="3"/>
        <v>0</v>
      </c>
      <c r="G41" s="169"/>
      <c r="H41" s="184">
        <f t="shared" si="4"/>
        <v>0</v>
      </c>
      <c r="I41" s="149">
        <f t="shared" si="2"/>
        <v>0</v>
      </c>
    </row>
    <row r="42" spans="1:9" x14ac:dyDescent="0.25">
      <c r="A42" s="83" t="s">
        <v>125</v>
      </c>
      <c r="B42" s="120" t="s">
        <v>191</v>
      </c>
      <c r="D42" s="186">
        <v>5901</v>
      </c>
      <c r="E42" s="152">
        <v>2500</v>
      </c>
      <c r="F42" s="86">
        <f t="shared" si="3"/>
        <v>8401</v>
      </c>
      <c r="G42" s="169">
        <v>0</v>
      </c>
      <c r="H42" s="184">
        <f t="shared" si="4"/>
        <v>8401</v>
      </c>
      <c r="I42" s="149">
        <f t="shared" si="2"/>
        <v>-8401</v>
      </c>
    </row>
    <row r="43" spans="1:9" x14ac:dyDescent="0.25">
      <c r="A43" s="83"/>
      <c r="B43" s="91" t="s">
        <v>193</v>
      </c>
      <c r="C43" s="85">
        <v>0</v>
      </c>
      <c r="D43" s="92">
        <v>0</v>
      </c>
      <c r="E43" s="178">
        <f>SUM(E33:E42)</f>
        <v>17500</v>
      </c>
      <c r="F43" s="98">
        <f>SUM(F33:F42)</f>
        <v>20305</v>
      </c>
      <c r="G43" s="98">
        <f>SUM(G33:G42)</f>
        <v>10700</v>
      </c>
      <c r="H43" s="184">
        <f t="shared" si="4"/>
        <v>9605</v>
      </c>
      <c r="I43" s="113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13"/>
    </row>
    <row r="45" spans="1:9" ht="18.75" x14ac:dyDescent="0.25">
      <c r="A45" s="558" t="s">
        <v>247</v>
      </c>
      <c r="B45" s="559"/>
      <c r="C45" s="559"/>
      <c r="D45" s="559"/>
      <c r="E45" s="559"/>
      <c r="F45" s="559"/>
      <c r="G45" s="559"/>
      <c r="H45" s="559"/>
      <c r="I45" s="113"/>
    </row>
    <row r="46" spans="1:9" x14ac:dyDescent="0.25">
      <c r="E46" s="78" t="s">
        <v>263</v>
      </c>
      <c r="F46" s="78" t="s">
        <v>264</v>
      </c>
      <c r="G46" s="78" t="s">
        <v>12</v>
      </c>
      <c r="H46" s="78" t="s">
        <v>208</v>
      </c>
      <c r="I46" s="113"/>
    </row>
    <row r="47" spans="1:9" x14ac:dyDescent="0.25">
      <c r="A47" s="83">
        <v>1</v>
      </c>
      <c r="B47" s="116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13"/>
    </row>
    <row r="48" spans="1:9" x14ac:dyDescent="0.25">
      <c r="A48" s="83">
        <v>2</v>
      </c>
      <c r="B48" s="116" t="s">
        <v>248</v>
      </c>
      <c r="C48" s="85"/>
      <c r="D48" s="86"/>
      <c r="E48" s="85">
        <v>4000</v>
      </c>
      <c r="F48" s="86">
        <f>D48+E48</f>
        <v>4000</v>
      </c>
      <c r="G48" s="86"/>
      <c r="H48" s="184">
        <f t="shared" ref="H48:H53" si="5">F48-G48</f>
        <v>4000</v>
      </c>
      <c r="I48" s="113"/>
    </row>
    <row r="49" spans="1:11" x14ac:dyDescent="0.25">
      <c r="A49" s="83">
        <v>3</v>
      </c>
      <c r="B49" s="116" t="s">
        <v>129</v>
      </c>
      <c r="C49" s="85"/>
      <c r="D49" s="86"/>
      <c r="E49" s="85">
        <v>4500</v>
      </c>
      <c r="F49" s="86">
        <f>D49+E49</f>
        <v>4500</v>
      </c>
      <c r="G49" s="86">
        <v>4000</v>
      </c>
      <c r="H49" s="184">
        <f t="shared" si="5"/>
        <v>500</v>
      </c>
      <c r="I49" s="113"/>
    </row>
    <row r="50" spans="1:11" x14ac:dyDescent="0.25">
      <c r="A50" s="83">
        <v>4</v>
      </c>
      <c r="B50" s="116" t="s">
        <v>249</v>
      </c>
      <c r="C50" s="86"/>
      <c r="E50" s="85">
        <v>4000</v>
      </c>
      <c r="F50" s="86">
        <f>D50+E50</f>
        <v>4000</v>
      </c>
      <c r="G50" s="86">
        <v>4000</v>
      </c>
      <c r="H50" s="184">
        <f t="shared" si="5"/>
        <v>0</v>
      </c>
      <c r="I50" s="113"/>
    </row>
    <row r="51" spans="1:11" x14ac:dyDescent="0.25">
      <c r="A51" s="99">
        <v>5</v>
      </c>
      <c r="B51" s="116" t="s">
        <v>250</v>
      </c>
      <c r="C51" s="85"/>
      <c r="D51" s="86"/>
      <c r="E51" s="85">
        <v>4000</v>
      </c>
      <c r="F51" s="86">
        <f>D51+E51</f>
        <v>4000</v>
      </c>
      <c r="G51" s="86">
        <v>4000</v>
      </c>
      <c r="H51" s="184">
        <f t="shared" si="5"/>
        <v>0</v>
      </c>
      <c r="I51" s="113"/>
    </row>
    <row r="52" spans="1:11" x14ac:dyDescent="0.25">
      <c r="A52" s="93">
        <v>6</v>
      </c>
      <c r="B52" s="116" t="s">
        <v>256</v>
      </c>
      <c r="C52" s="85"/>
      <c r="D52" s="86"/>
      <c r="E52" s="85">
        <v>4000</v>
      </c>
      <c r="F52" s="86">
        <f>D52+E52</f>
        <v>4000</v>
      </c>
      <c r="G52" s="86">
        <v>4000</v>
      </c>
      <c r="H52" s="184">
        <f t="shared" si="5"/>
        <v>0</v>
      </c>
      <c r="I52" s="113"/>
    </row>
    <row r="53" spans="1:11" x14ac:dyDescent="0.25">
      <c r="A53" s="83"/>
      <c r="B53" s="172"/>
      <c r="C53" s="85">
        <v>0</v>
      </c>
      <c r="D53" s="92">
        <v>0</v>
      </c>
      <c r="E53" s="85"/>
      <c r="F53" s="86"/>
      <c r="G53" s="86"/>
      <c r="H53" s="184">
        <f t="shared" si="5"/>
        <v>0</v>
      </c>
      <c r="I53" s="113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13"/>
    </row>
    <row r="55" spans="1:11" x14ac:dyDescent="0.25">
      <c r="A55" s="113"/>
      <c r="B55" s="174"/>
      <c r="C55" s="98"/>
      <c r="D55" s="98"/>
      <c r="E55" s="98">
        <f>SUM(E47:E54)</f>
        <v>24000</v>
      </c>
      <c r="F55" s="98"/>
      <c r="G55" s="98">
        <f>SUM(G47:G54)</f>
        <v>19500</v>
      </c>
      <c r="H55" s="183"/>
      <c r="I55" s="113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/>
      <c r="B61" s="159" t="s">
        <v>279</v>
      </c>
      <c r="C61" s="102">
        <f>E30+E43+E55</f>
        <v>95500</v>
      </c>
      <c r="D61" s="113"/>
      <c r="E61" s="113"/>
      <c r="F61" s="159" t="s">
        <v>279</v>
      </c>
      <c r="G61" s="102">
        <f>H30+G43+G55</f>
        <v>82200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C62*C65</f>
        <v>5288.2836787200049</v>
      </c>
      <c r="E62" s="113"/>
      <c r="F62" s="113" t="s">
        <v>209</v>
      </c>
      <c r="G62" s="161">
        <v>0.08</v>
      </c>
      <c r="H62" s="149">
        <f>G62*C61</f>
        <v>7640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2000</v>
      </c>
      <c r="D64" s="113"/>
      <c r="E64" s="113"/>
      <c r="F64" s="168" t="s">
        <v>232</v>
      </c>
      <c r="G64" s="149">
        <f>C64</f>
        <v>2000</v>
      </c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'SEP 2017'!E72</f>
        <v>66103.545984000055</v>
      </c>
      <c r="D65" s="113"/>
      <c r="E65" s="113"/>
      <c r="F65" s="168" t="s">
        <v>239</v>
      </c>
      <c r="G65" s="160">
        <f>'SEP 2017'!I72</f>
        <v>45496.275200000033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C61+C63+C64+C65</f>
        <v>166603.54598400005</v>
      </c>
      <c r="D66" s="113"/>
      <c r="E66" s="113"/>
      <c r="F66" s="168" t="s">
        <v>193</v>
      </c>
      <c r="G66" s="149">
        <f>G61+G63+G64+G65</f>
        <v>132696.27520000003</v>
      </c>
      <c r="H66" s="113"/>
      <c r="I66" s="113"/>
      <c r="J66" s="113"/>
      <c r="K66" s="113"/>
    </row>
    <row r="67" spans="1:11" x14ac:dyDescent="0.25">
      <c r="A67" s="50"/>
      <c r="B67" s="162" t="s">
        <v>276</v>
      </c>
      <c r="C67" s="161"/>
      <c r="D67" s="149"/>
      <c r="E67" s="113"/>
      <c r="F67" s="16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163" t="s">
        <v>304</v>
      </c>
      <c r="D68" s="78">
        <v>80000</v>
      </c>
      <c r="E68" s="113"/>
      <c r="F68" s="163" t="s">
        <v>304</v>
      </c>
      <c r="H68" s="78">
        <v>80000</v>
      </c>
      <c r="I68" s="113"/>
      <c r="J68" s="113"/>
      <c r="K68" s="113"/>
    </row>
    <row r="69" spans="1:11" x14ac:dyDescent="0.25">
      <c r="A69" s="50"/>
      <c r="B69" s="164"/>
      <c r="D69" s="164"/>
      <c r="E69" s="113"/>
      <c r="F69" s="164"/>
      <c r="H69" s="164"/>
      <c r="I69" s="113"/>
      <c r="J69" s="113"/>
      <c r="K69" s="113"/>
    </row>
    <row r="70" spans="1:11" x14ac:dyDescent="0.25"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B72" s="166" t="s">
        <v>193</v>
      </c>
      <c r="C72" s="167">
        <f>C66</f>
        <v>166603.54598400005</v>
      </c>
      <c r="D72" s="149">
        <f>SUM(D62:D71)</f>
        <v>85288.283678720007</v>
      </c>
      <c r="E72" s="149">
        <f>C72-D72</f>
        <v>81315.262305280048</v>
      </c>
      <c r="F72" s="166" t="s">
        <v>193</v>
      </c>
      <c r="G72" s="167">
        <f>G66</f>
        <v>132696.27520000003</v>
      </c>
      <c r="H72" s="149">
        <f>SUM(H62:H71)</f>
        <v>87640</v>
      </c>
      <c r="I72" s="149">
        <f>G72-H72</f>
        <v>45056.275200000033</v>
      </c>
      <c r="J72" s="149"/>
      <c r="K72" s="113"/>
    </row>
    <row r="73" spans="1:11" x14ac:dyDescent="0.25">
      <c r="G73" s="79"/>
    </row>
    <row r="74" spans="1:11" x14ac:dyDescent="0.25">
      <c r="B74" s="59" t="s">
        <v>78</v>
      </c>
      <c r="C74" s="79" t="s">
        <v>135</v>
      </c>
      <c r="D74" s="79"/>
      <c r="E74" s="79" t="s">
        <v>130</v>
      </c>
      <c r="F74" s="148" t="s">
        <v>164</v>
      </c>
    </row>
    <row r="75" spans="1:11" x14ac:dyDescent="0.25">
      <c r="C75" s="79" t="s">
        <v>132</v>
      </c>
      <c r="D75" s="79"/>
      <c r="E75" s="79" t="s">
        <v>133</v>
      </c>
      <c r="F75" s="78" t="s">
        <v>165</v>
      </c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" workbookViewId="0">
      <selection activeCell="D63" sqref="D63"/>
    </sheetView>
  </sheetViews>
  <sheetFormatPr defaultRowHeight="15" x14ac:dyDescent="0.25"/>
  <cols>
    <col min="1" max="1" width="4.42578125" customWidth="1"/>
    <col min="2" max="2" width="11.7109375" customWidth="1"/>
    <col min="3" max="3" width="11.5703125" customWidth="1"/>
    <col min="4" max="4" width="11" customWidth="1"/>
    <col min="5" max="5" width="11.7109375" customWidth="1"/>
    <col min="6" max="7" width="11.5703125" customWidth="1"/>
    <col min="8" max="8" width="11.28515625" customWidth="1"/>
    <col min="9" max="9" width="15.28515625" customWidth="1"/>
  </cols>
  <sheetData>
    <row r="1" spans="1:12" ht="31.5" customHeight="1" x14ac:dyDescent="0.45">
      <c r="A1" s="61"/>
      <c r="B1" s="61"/>
      <c r="C1" s="62"/>
      <c r="D1" s="215" t="s">
        <v>305</v>
      </c>
      <c r="E1" s="62"/>
      <c r="F1" s="62"/>
      <c r="G1" s="62"/>
      <c r="H1" s="2"/>
      <c r="I1" s="78"/>
      <c r="J1" s="78"/>
      <c r="K1" s="78"/>
      <c r="L1" s="78"/>
    </row>
    <row r="2" spans="1:12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  <c r="L2" s="78"/>
    </row>
    <row r="3" spans="1:12" ht="21" x14ac:dyDescent="0.25">
      <c r="A3" s="8"/>
      <c r="B3" s="64" t="s">
        <v>280</v>
      </c>
      <c r="C3" s="11"/>
      <c r="D3" s="11"/>
      <c r="E3" s="11"/>
      <c r="F3" s="103"/>
      <c r="G3" s="103"/>
      <c r="H3" s="103"/>
      <c r="I3" s="78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281</v>
      </c>
      <c r="C6" s="17"/>
      <c r="D6" s="18"/>
      <c r="E6" s="18"/>
      <c r="F6" s="18"/>
      <c r="G6" s="176"/>
      <c r="H6" s="180"/>
      <c r="I6" s="149">
        <f t="shared" ref="I6:I45" si="0">G6-H6</f>
        <v>0</v>
      </c>
      <c r="J6" s="78"/>
      <c r="K6" s="78"/>
      <c r="L6" s="78"/>
    </row>
    <row r="7" spans="1:12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1350</v>
      </c>
      <c r="I7" s="149">
        <f t="shared" si="0"/>
        <v>1350</v>
      </c>
      <c r="J7" s="78"/>
      <c r="K7" s="78"/>
      <c r="L7" s="78"/>
    </row>
    <row r="8" spans="1:12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  <c r="J8" s="78"/>
      <c r="K8" s="78"/>
      <c r="L8" s="78"/>
    </row>
    <row r="9" spans="1:12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  <c r="J9" s="78"/>
      <c r="K9" s="78"/>
      <c r="L9" s="78"/>
    </row>
    <row r="10" spans="1:12" x14ac:dyDescent="0.25">
      <c r="A10" s="187">
        <v>6</v>
      </c>
      <c r="B10" s="191" t="s">
        <v>219</v>
      </c>
      <c r="C10" s="192" t="s">
        <v>28</v>
      </c>
      <c r="D10" s="176"/>
      <c r="E10" s="176">
        <v>2500</v>
      </c>
      <c r="F10" s="176">
        <v>100</v>
      </c>
      <c r="G10" s="176">
        <f t="shared" si="1"/>
        <v>2600</v>
      </c>
      <c r="H10" s="180"/>
      <c r="I10" s="149">
        <f t="shared" si="0"/>
        <v>2600</v>
      </c>
      <c r="J10" s="155"/>
      <c r="K10" s="155"/>
      <c r="L10" s="78"/>
    </row>
    <row r="11" spans="1:12" x14ac:dyDescent="0.25">
      <c r="A11" s="16">
        <v>7</v>
      </c>
      <c r="B11" s="191" t="s">
        <v>268</v>
      </c>
      <c r="C11" s="17" t="s">
        <v>30</v>
      </c>
      <c r="D11" s="18"/>
      <c r="E11" s="18">
        <v>2500</v>
      </c>
      <c r="F11" s="18">
        <v>100</v>
      </c>
      <c r="G11" s="176">
        <f t="shared" si="1"/>
        <v>2600</v>
      </c>
      <c r="H11" s="180"/>
      <c r="I11" s="149">
        <f t="shared" si="0"/>
        <v>2600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  <c r="J12" s="78"/>
      <c r="K12" s="78"/>
      <c r="L12" s="78"/>
    </row>
    <row r="13" spans="1:12" x14ac:dyDescent="0.25">
      <c r="A13" s="16">
        <v>9</v>
      </c>
      <c r="B13" s="191" t="s">
        <v>221</v>
      </c>
      <c r="C13" s="17" t="s">
        <v>34</v>
      </c>
      <c r="D13" s="18"/>
      <c r="E13" s="18">
        <v>2500</v>
      </c>
      <c r="F13" s="18">
        <v>100</v>
      </c>
      <c r="G13" s="176">
        <f t="shared" si="1"/>
        <v>2600</v>
      </c>
      <c r="H13" s="180">
        <v>2500</v>
      </c>
      <c r="I13" s="149">
        <f t="shared" si="0"/>
        <v>100</v>
      </c>
      <c r="J13" s="78"/>
      <c r="K13" s="78"/>
      <c r="L13" s="78"/>
    </row>
    <row r="14" spans="1:12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18"/>
      <c r="E15" s="18">
        <v>2500</v>
      </c>
      <c r="F15" s="18">
        <v>100</v>
      </c>
      <c r="G15" s="176">
        <f t="shared" si="1"/>
        <v>2600</v>
      </c>
      <c r="H15" s="180">
        <v>2500</v>
      </c>
      <c r="I15" s="149">
        <f t="shared" si="0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  <c r="J16" s="78"/>
      <c r="K16" s="78"/>
      <c r="L16" s="78"/>
    </row>
    <row r="17" spans="1:12" x14ac:dyDescent="0.25">
      <c r="A17" s="16">
        <v>13</v>
      </c>
      <c r="B17" s="191" t="s">
        <v>269</v>
      </c>
      <c r="C17" s="17" t="s">
        <v>42</v>
      </c>
      <c r="D17" s="18">
        <v>350</v>
      </c>
      <c r="E17" s="18">
        <v>3000</v>
      </c>
      <c r="F17" s="18">
        <v>100</v>
      </c>
      <c r="G17" s="176">
        <f t="shared" si="1"/>
        <v>3450</v>
      </c>
      <c r="H17" s="180">
        <v>2500</v>
      </c>
      <c r="I17" s="149">
        <f t="shared" si="0"/>
        <v>950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  <c r="J18" s="78"/>
      <c r="K18" s="78"/>
      <c r="L18" s="78"/>
    </row>
    <row r="19" spans="1:12" x14ac:dyDescent="0.25">
      <c r="A19" s="16">
        <v>15</v>
      </c>
      <c r="B19" s="191" t="s">
        <v>224</v>
      </c>
      <c r="C19" s="17" t="s">
        <v>46</v>
      </c>
      <c r="D19" s="18">
        <v>1950</v>
      </c>
      <c r="E19" s="18">
        <v>2500</v>
      </c>
      <c r="F19" s="18">
        <v>100</v>
      </c>
      <c r="G19" s="176">
        <f t="shared" ref="G19:G29" si="2">D19+E19+F19</f>
        <v>4550</v>
      </c>
      <c r="H19" s="180">
        <v>2400</v>
      </c>
      <c r="I19" s="149">
        <f t="shared" si="0"/>
        <v>2150</v>
      </c>
      <c r="J19" s="78"/>
      <c r="K19" s="78"/>
      <c r="L19" s="78"/>
    </row>
    <row r="20" spans="1:12" x14ac:dyDescent="0.25">
      <c r="A20" s="16">
        <v>16</v>
      </c>
      <c r="B20" s="191" t="s">
        <v>225</v>
      </c>
      <c r="C20" s="17" t="s">
        <v>48</v>
      </c>
      <c r="D20" s="18">
        <v>-550</v>
      </c>
      <c r="E20" s="18">
        <v>2500</v>
      </c>
      <c r="F20" s="18">
        <v>100</v>
      </c>
      <c r="G20" s="176">
        <f t="shared" si="2"/>
        <v>2050</v>
      </c>
      <c r="H20" s="180">
        <v>2800</v>
      </c>
      <c r="I20" s="149">
        <f t="shared" si="0"/>
        <v>-750</v>
      </c>
      <c r="J20" s="78"/>
      <c r="K20" s="78"/>
      <c r="L20" s="78"/>
    </row>
    <row r="21" spans="1:12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3000</v>
      </c>
      <c r="I22" s="149">
        <f t="shared" si="0"/>
        <v>900</v>
      </c>
      <c r="J22" s="78"/>
      <c r="K22" s="78"/>
      <c r="L22" s="78"/>
    </row>
    <row r="23" spans="1:12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2"/>
        <v>3100</v>
      </c>
      <c r="H23" s="180">
        <v>0</v>
      </c>
      <c r="I23" s="149">
        <f t="shared" si="0"/>
        <v>3100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  <c r="J24" s="78"/>
      <c r="K24" s="78"/>
      <c r="L24" s="78"/>
    </row>
    <row r="25" spans="1:12" x14ac:dyDescent="0.25">
      <c r="A25" s="21">
        <v>21</v>
      </c>
      <c r="B25" s="195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  <c r="J26" s="78"/>
      <c r="K26" s="78"/>
      <c r="L26" s="78"/>
    </row>
    <row r="27" spans="1:12" x14ac:dyDescent="0.25">
      <c r="A27" s="21">
        <v>23</v>
      </c>
      <c r="B27" s="195" t="s">
        <v>229</v>
      </c>
      <c r="C27" s="17" t="s">
        <v>62</v>
      </c>
      <c r="D27" s="18"/>
      <c r="E27" s="23">
        <v>3000</v>
      </c>
      <c r="F27" s="24">
        <v>100</v>
      </c>
      <c r="G27" s="176">
        <f t="shared" si="2"/>
        <v>3100</v>
      </c>
      <c r="H27" s="180">
        <v>3000</v>
      </c>
      <c r="I27" s="149">
        <f t="shared" si="0"/>
        <v>100</v>
      </c>
      <c r="J27" s="78"/>
      <c r="K27" s="78"/>
      <c r="L27" s="78"/>
    </row>
    <row r="28" spans="1:12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>
        <v>100</v>
      </c>
      <c r="G28" s="176">
        <f t="shared" si="2"/>
        <v>3100</v>
      </c>
      <c r="H28" s="180">
        <v>3000</v>
      </c>
      <c r="I28" s="149">
        <f t="shared" si="0"/>
        <v>100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59000</v>
      </c>
      <c r="F30" s="42">
        <f>SUM(F5:F29)</f>
        <v>2200</v>
      </c>
      <c r="G30" s="19"/>
      <c r="H30" s="135">
        <f>SUM(H5:H29)</f>
        <v>49550</v>
      </c>
      <c r="I30" s="149"/>
      <c r="J30" s="78"/>
      <c r="K30" s="78"/>
      <c r="L30" s="78"/>
    </row>
    <row r="31" spans="1:12" x14ac:dyDescent="0.25">
      <c r="A31" s="78"/>
      <c r="B31" s="561" t="s">
        <v>246</v>
      </c>
      <c r="C31" s="561"/>
      <c r="D31" s="561"/>
      <c r="E31" s="561"/>
      <c r="F31" s="561"/>
      <c r="G31" s="561"/>
      <c r="H31" s="78"/>
      <c r="I31" s="149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  <c r="J32" s="78"/>
      <c r="K32" s="78"/>
      <c r="L32" s="78"/>
    </row>
    <row r="33" spans="1:12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  <c r="L34" s="78"/>
    </row>
    <row r="35" spans="1:12" x14ac:dyDescent="0.25">
      <c r="A35" s="83" t="s">
        <v>110</v>
      </c>
      <c r="B35" s="200" t="s">
        <v>281</v>
      </c>
      <c r="C35" s="85"/>
      <c r="D35" s="86"/>
      <c r="E35" s="85"/>
      <c r="F35" s="86">
        <f>D35+E35</f>
        <v>0</v>
      </c>
      <c r="G35" s="169">
        <v>0</v>
      </c>
      <c r="H35" s="184">
        <f t="shared" ref="H35:H40" si="3">F35-G35</f>
        <v>0</v>
      </c>
      <c r="I35" s="149"/>
      <c r="J35" s="78"/>
      <c r="K35" s="78"/>
      <c r="L35" s="78"/>
    </row>
    <row r="36" spans="1:12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  <c r="J36" s="78"/>
      <c r="K36" s="78"/>
      <c r="L36" s="78"/>
    </row>
    <row r="37" spans="1:12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  <c r="J37" s="78"/>
      <c r="K37" s="78"/>
      <c r="L37" s="78"/>
    </row>
    <row r="38" spans="1:12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  <c r="J38" s="78"/>
      <c r="K38" s="78"/>
      <c r="L38" s="78"/>
    </row>
    <row r="39" spans="1:12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  <c r="J39" s="78"/>
      <c r="K39" s="78"/>
      <c r="L39" s="78"/>
    </row>
    <row r="40" spans="1:12" x14ac:dyDescent="0.25">
      <c r="A40" s="83" t="s">
        <v>121</v>
      </c>
      <c r="B40" s="200" t="s">
        <v>186</v>
      </c>
      <c r="C40" s="85"/>
      <c r="D40" s="92"/>
      <c r="E40" s="85">
        <v>2500</v>
      </c>
      <c r="F40" s="86">
        <f t="shared" si="4"/>
        <v>2500</v>
      </c>
      <c r="G40" s="169"/>
      <c r="H40" s="184">
        <f t="shared" si="3"/>
        <v>2500</v>
      </c>
      <c r="I40" s="149"/>
      <c r="J40" s="78"/>
      <c r="K40" s="78"/>
      <c r="L40" s="78"/>
    </row>
    <row r="41" spans="1:12" ht="22.5" x14ac:dyDescent="0.25">
      <c r="A41" s="83" t="s">
        <v>123</v>
      </c>
      <c r="B41" s="200" t="s">
        <v>191</v>
      </c>
      <c r="C41" s="85"/>
      <c r="D41" s="92">
        <v>0</v>
      </c>
      <c r="E41" s="85">
        <v>2500</v>
      </c>
      <c r="F41" s="86">
        <f t="shared" si="4"/>
        <v>2500</v>
      </c>
      <c r="G41" s="169">
        <v>2100</v>
      </c>
      <c r="H41" s="184"/>
      <c r="I41" s="149"/>
      <c r="J41" s="78"/>
      <c r="K41" s="78"/>
      <c r="L41" s="78"/>
    </row>
    <row r="42" spans="1:12" x14ac:dyDescent="0.25">
      <c r="A42" s="83" t="s">
        <v>125</v>
      </c>
      <c r="B42" s="203" t="s">
        <v>285</v>
      </c>
      <c r="C42" s="78"/>
      <c r="D42" s="186"/>
      <c r="E42" s="152">
        <v>1500</v>
      </c>
      <c r="F42" s="86">
        <f t="shared" si="4"/>
        <v>1500</v>
      </c>
      <c r="G42" s="169">
        <v>1500</v>
      </c>
      <c r="H42" s="184">
        <f>F42-G42</f>
        <v>0</v>
      </c>
      <c r="I42" s="149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14000</v>
      </c>
      <c r="F43" s="208"/>
      <c r="G43" s="208">
        <f>SUM(G33:G42)</f>
        <v>11100</v>
      </c>
      <c r="H43" s="209">
        <f>SUM(H33:H42)</f>
        <v>2500</v>
      </c>
      <c r="I43" s="149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49"/>
      <c r="J46" s="78"/>
      <c r="K46" s="78"/>
      <c r="L46" s="78"/>
    </row>
    <row r="47" spans="1:12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  <c r="J48" s="78"/>
      <c r="K48" s="78"/>
      <c r="L48" s="78"/>
    </row>
    <row r="49" spans="1:12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85"/>
      <c r="F50" s="86">
        <f t="shared" si="5"/>
        <v>0</v>
      </c>
      <c r="G50" s="86"/>
      <c r="H50" s="184">
        <f t="shared" si="6"/>
        <v>0</v>
      </c>
      <c r="I50" s="149"/>
      <c r="J50" s="78"/>
      <c r="K50" s="78"/>
      <c r="L50" s="78"/>
    </row>
    <row r="51" spans="1:12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  <c r="J52" s="78"/>
      <c r="K52" s="78"/>
      <c r="L52" s="78"/>
    </row>
    <row r="53" spans="1:12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  <c r="J53" s="78"/>
      <c r="K53" s="78"/>
      <c r="L53" s="78"/>
    </row>
    <row r="54" spans="1:12" x14ac:dyDescent="0.25">
      <c r="A54" s="113"/>
      <c r="B54" s="173"/>
      <c r="C54" s="86"/>
      <c r="D54" s="92"/>
      <c r="E54" s="86"/>
      <c r="F54" s="86"/>
      <c r="G54" s="86"/>
      <c r="H54" s="183"/>
      <c r="I54" s="149"/>
      <c r="J54" s="78"/>
      <c r="K54" s="78"/>
      <c r="L54" s="78"/>
    </row>
    <row r="55" spans="1:12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  <c r="L60" s="78"/>
    </row>
    <row r="61" spans="1:12" x14ac:dyDescent="0.25">
      <c r="A61" s="50"/>
      <c r="B61" s="211" t="s">
        <v>289</v>
      </c>
      <c r="C61" s="102">
        <f>E30+E43+E55</f>
        <v>96500</v>
      </c>
      <c r="D61" s="113"/>
      <c r="E61" s="113"/>
      <c r="F61" s="211" t="s">
        <v>289</v>
      </c>
      <c r="G61" s="102">
        <f>H30+G43+G55</f>
        <v>84150</v>
      </c>
      <c r="H61" s="113"/>
      <c r="I61" s="113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149">
        <f>C61*C62</f>
        <v>7720</v>
      </c>
      <c r="E62" s="113"/>
      <c r="F62" s="113" t="s">
        <v>209</v>
      </c>
      <c r="G62" s="161">
        <v>0.08</v>
      </c>
      <c r="H62" s="149">
        <f>D62</f>
        <v>7720</v>
      </c>
      <c r="I62" s="113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  <c r="L63" s="78"/>
    </row>
    <row r="64" spans="1:12" x14ac:dyDescent="0.25">
      <c r="A64" s="50"/>
      <c r="B64" s="168" t="s">
        <v>232</v>
      </c>
      <c r="C64" s="149">
        <f>F30</f>
        <v>2200</v>
      </c>
      <c r="D64" s="113"/>
      <c r="E64" s="113"/>
      <c r="F64" s="168" t="s">
        <v>232</v>
      </c>
      <c r="G64" s="149">
        <f>F30</f>
        <v>2200</v>
      </c>
      <c r="H64" s="113"/>
      <c r="I64" s="113"/>
      <c r="J64" s="113"/>
      <c r="K64" s="113"/>
      <c r="L64" s="78"/>
    </row>
    <row r="65" spans="1:12" x14ac:dyDescent="0.25">
      <c r="A65" s="50"/>
      <c r="B65" s="168" t="s">
        <v>239</v>
      </c>
      <c r="C65" s="160">
        <f>OCTOMBER!E72</f>
        <v>81315.262305280048</v>
      </c>
      <c r="D65" s="113"/>
      <c r="E65" s="113"/>
      <c r="F65" s="168" t="s">
        <v>239</v>
      </c>
      <c r="G65" s="160">
        <f>OCTOMBER!I72</f>
        <v>45056.275200000033</v>
      </c>
      <c r="H65" s="113"/>
      <c r="I65" s="113"/>
      <c r="J65" s="113"/>
      <c r="K65" s="113"/>
      <c r="L65" s="78"/>
    </row>
    <row r="66" spans="1:12" x14ac:dyDescent="0.25">
      <c r="A66" s="50"/>
      <c r="B66" s="168" t="s">
        <v>193</v>
      </c>
      <c r="C66" s="149">
        <f>C61+C63+C64+C65</f>
        <v>183015.26230528005</v>
      </c>
      <c r="D66" s="113"/>
      <c r="E66" s="113"/>
      <c r="F66" s="168" t="s">
        <v>193</v>
      </c>
      <c r="G66" s="149">
        <f>G61+G63+G64+G65</f>
        <v>134406.27520000003</v>
      </c>
      <c r="H66" s="113"/>
      <c r="I66" s="113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  <c r="L67" s="78"/>
    </row>
    <row r="68" spans="1:12" x14ac:dyDescent="0.25">
      <c r="A68" s="50"/>
      <c r="B68" s="163" t="s">
        <v>290</v>
      </c>
      <c r="C68" s="78"/>
      <c r="D68" s="164">
        <v>73900</v>
      </c>
      <c r="E68" s="113"/>
      <c r="F68" s="163" t="s">
        <v>290</v>
      </c>
      <c r="G68" s="78"/>
      <c r="H68" s="164">
        <v>73900</v>
      </c>
      <c r="I68" s="113"/>
      <c r="J68" s="113"/>
      <c r="K68" s="113"/>
      <c r="L68" s="78"/>
    </row>
    <row r="69" spans="1:12" x14ac:dyDescent="0.25">
      <c r="A69" s="50"/>
      <c r="B69" s="164"/>
      <c r="C69" s="78"/>
      <c r="D69" s="164"/>
      <c r="E69" s="113"/>
      <c r="F69" s="164"/>
      <c r="G69" s="78"/>
      <c r="H69" s="164"/>
      <c r="I69" s="113"/>
      <c r="J69" s="113"/>
      <c r="K69" s="113"/>
      <c r="L69" s="78"/>
    </row>
    <row r="70" spans="1:12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  <c r="L70" s="78"/>
    </row>
    <row r="71" spans="1:12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  <c r="L71" s="78"/>
    </row>
    <row r="72" spans="1:12" x14ac:dyDescent="0.25">
      <c r="A72" s="78"/>
      <c r="B72" s="166" t="s">
        <v>193</v>
      </c>
      <c r="C72" s="167">
        <f>C66</f>
        <v>183015.26230528005</v>
      </c>
      <c r="D72" s="149">
        <f>SUM(D62:D71)</f>
        <v>81620</v>
      </c>
      <c r="E72" s="149">
        <f>C72-D72</f>
        <v>101395.26230528005</v>
      </c>
      <c r="F72" s="166" t="s">
        <v>193</v>
      </c>
      <c r="G72" s="167">
        <f>G66</f>
        <v>134406.27520000003</v>
      </c>
      <c r="H72" s="149">
        <f>SUM(H62:H71)</f>
        <v>81620</v>
      </c>
      <c r="I72" s="149">
        <f>G72-H72</f>
        <v>52786.275200000033</v>
      </c>
      <c r="J72" s="149">
        <f>I30</f>
        <v>0</v>
      </c>
      <c r="K72" s="113"/>
      <c r="L72" s="78"/>
    </row>
    <row r="73" spans="1:12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  <c r="L73" s="78"/>
    </row>
    <row r="74" spans="1:12" x14ac:dyDescent="0.25">
      <c r="A74" s="78"/>
      <c r="B74" s="59" t="s">
        <v>78</v>
      </c>
      <c r="C74" s="79" t="s">
        <v>135</v>
      </c>
      <c r="D74" s="79"/>
      <c r="E74" s="79" t="s">
        <v>130</v>
      </c>
      <c r="F74" s="148" t="s">
        <v>164</v>
      </c>
      <c r="G74" s="78"/>
      <c r="H74" s="78"/>
      <c r="I74" s="78"/>
      <c r="J74" s="78"/>
      <c r="K74" s="78"/>
      <c r="L74" s="78"/>
    </row>
    <row r="75" spans="1:12" x14ac:dyDescent="0.25">
      <c r="A75" s="78"/>
      <c r="B75" s="78"/>
      <c r="C75" s="79" t="s">
        <v>132</v>
      </c>
      <c r="D75" s="79"/>
      <c r="E75" s="79" t="s">
        <v>133</v>
      </c>
      <c r="F75" s="78" t="s">
        <v>165</v>
      </c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10" workbookViewId="0">
      <selection activeCell="I74" sqref="I74"/>
    </sheetView>
  </sheetViews>
  <sheetFormatPr defaultRowHeight="15" x14ac:dyDescent="0.25"/>
  <cols>
    <col min="1" max="1" width="4" customWidth="1"/>
    <col min="2" max="2" width="16" customWidth="1"/>
    <col min="3" max="3" width="11.28515625" customWidth="1"/>
    <col min="4" max="4" width="10.85546875" customWidth="1"/>
    <col min="5" max="5" width="12.5703125" customWidth="1"/>
    <col min="6" max="6" width="11.42578125" customWidth="1"/>
    <col min="7" max="7" width="11.85546875" customWidth="1"/>
    <col min="8" max="8" width="10.7109375" customWidth="1"/>
    <col min="9" max="9" width="12.42578125" customWidth="1"/>
  </cols>
  <sheetData>
    <row r="1" spans="1:12" ht="35.25" customHeight="1" x14ac:dyDescent="0.5">
      <c r="A1" s="61"/>
      <c r="B1" s="61"/>
      <c r="C1" s="2"/>
      <c r="D1" s="216" t="s">
        <v>0</v>
      </c>
      <c r="E1" s="4"/>
      <c r="F1" s="4"/>
      <c r="G1" s="4"/>
      <c r="H1" s="2"/>
      <c r="I1" s="78"/>
      <c r="J1" s="78"/>
      <c r="K1" s="78"/>
      <c r="L1" s="78"/>
    </row>
    <row r="2" spans="1:12" ht="16.5" x14ac:dyDescent="0.3">
      <c r="A2" s="5"/>
      <c r="B2" s="5"/>
      <c r="D2" s="6" t="s">
        <v>1</v>
      </c>
      <c r="E2" s="5"/>
      <c r="F2" s="5"/>
      <c r="G2" s="78"/>
      <c r="H2" s="78"/>
      <c r="I2" s="78"/>
      <c r="J2" s="78"/>
      <c r="K2" s="78"/>
      <c r="L2" s="78"/>
    </row>
    <row r="3" spans="1:12" ht="21" x14ac:dyDescent="0.25">
      <c r="A3" s="8"/>
      <c r="B3" s="64" t="s">
        <v>293</v>
      </c>
      <c r="C3" s="11"/>
      <c r="D3" s="11"/>
      <c r="E3" s="11"/>
      <c r="F3" s="103"/>
      <c r="G3" s="103"/>
      <c r="H3" s="103"/>
      <c r="I3" s="78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281</v>
      </c>
      <c r="C6" s="17" t="s">
        <v>20</v>
      </c>
      <c r="D6" s="18"/>
      <c r="E6" s="18"/>
      <c r="F6" s="18"/>
      <c r="G6" s="176"/>
      <c r="H6" s="180"/>
      <c r="I6" s="149">
        <f t="shared" ref="I6:I45" si="0">G6-H6</f>
        <v>0</v>
      </c>
      <c r="J6" s="78"/>
      <c r="K6" s="78"/>
      <c r="L6" s="78"/>
    </row>
    <row r="7" spans="1:12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2500</v>
      </c>
      <c r="I7" s="149">
        <f t="shared" si="0"/>
        <v>200</v>
      </c>
      <c r="J7" s="78"/>
      <c r="K7" s="78"/>
      <c r="L7" s="78"/>
    </row>
    <row r="8" spans="1:12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  <c r="J8" s="78"/>
      <c r="K8" s="78"/>
      <c r="L8" s="78"/>
    </row>
    <row r="9" spans="1:12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  <c r="J9" s="78"/>
      <c r="K9" s="78"/>
      <c r="L9" s="78"/>
    </row>
    <row r="10" spans="1:12" x14ac:dyDescent="0.25">
      <c r="A10" s="187">
        <v>6</v>
      </c>
      <c r="B10" s="191" t="s">
        <v>297</v>
      </c>
      <c r="C10" s="192" t="s">
        <v>28</v>
      </c>
      <c r="D10" s="176"/>
      <c r="E10" s="176">
        <v>1300</v>
      </c>
      <c r="F10" s="176">
        <v>100</v>
      </c>
      <c r="G10" s="176">
        <f t="shared" si="1"/>
        <v>1400</v>
      </c>
      <c r="H10" s="180">
        <v>1300</v>
      </c>
      <c r="I10" s="149">
        <f t="shared" si="0"/>
        <v>100</v>
      </c>
      <c r="J10" s="155"/>
      <c r="K10" s="155"/>
      <c r="L10" s="78"/>
    </row>
    <row r="11" spans="1:12" x14ac:dyDescent="0.25">
      <c r="A11" s="16">
        <v>7</v>
      </c>
      <c r="B11" s="191" t="s">
        <v>268</v>
      </c>
      <c r="C11" s="17" t="s">
        <v>30</v>
      </c>
      <c r="D11" s="18"/>
      <c r="E11" s="18"/>
      <c r="F11" s="18"/>
      <c r="G11" s="176">
        <f t="shared" si="1"/>
        <v>0</v>
      </c>
      <c r="H11" s="180"/>
      <c r="I11" s="149">
        <f t="shared" si="0"/>
        <v>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  <c r="J12" s="78"/>
      <c r="K12" s="78"/>
      <c r="L12" s="78"/>
    </row>
    <row r="13" spans="1:12" x14ac:dyDescent="0.25">
      <c r="A13" s="16">
        <v>9</v>
      </c>
      <c r="B13" s="191" t="s">
        <v>221</v>
      </c>
      <c r="C13" s="17" t="s">
        <v>34</v>
      </c>
      <c r="D13" s="18"/>
      <c r="E13" s="18">
        <v>2500</v>
      </c>
      <c r="F13" s="18">
        <v>100</v>
      </c>
      <c r="G13" s="176">
        <f t="shared" si="1"/>
        <v>2600</v>
      </c>
      <c r="H13" s="180"/>
      <c r="I13" s="149">
        <f t="shared" si="0"/>
        <v>2600</v>
      </c>
      <c r="J13" s="78"/>
      <c r="K13" s="78"/>
      <c r="L13" s="78"/>
    </row>
    <row r="14" spans="1:12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18"/>
      <c r="E15" s="18">
        <v>2500</v>
      </c>
      <c r="F15" s="18"/>
      <c r="G15" s="176">
        <f t="shared" si="1"/>
        <v>2500</v>
      </c>
      <c r="H15" s="180"/>
      <c r="I15" s="149">
        <f t="shared" si="0"/>
        <v>2500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  <c r="J16" s="78"/>
      <c r="K16" s="78"/>
      <c r="L16" s="78"/>
    </row>
    <row r="17" spans="1:12" x14ac:dyDescent="0.25">
      <c r="A17" s="16">
        <v>13</v>
      </c>
      <c r="B17" s="191" t="s">
        <v>292</v>
      </c>
      <c r="C17" s="17" t="s">
        <v>42</v>
      </c>
      <c r="D17" s="18"/>
      <c r="E17" s="18">
        <v>2500</v>
      </c>
      <c r="F17" s="18">
        <v>100</v>
      </c>
      <c r="G17" s="176">
        <f t="shared" si="1"/>
        <v>2600</v>
      </c>
      <c r="H17" s="180">
        <v>2500</v>
      </c>
      <c r="I17" s="149">
        <f t="shared" si="0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  <c r="J18" s="78"/>
      <c r="K18" s="78"/>
      <c r="L18" s="78"/>
    </row>
    <row r="19" spans="1:12" x14ac:dyDescent="0.25">
      <c r="A19" s="16">
        <v>15</v>
      </c>
      <c r="B19" s="191" t="s">
        <v>224</v>
      </c>
      <c r="C19" s="17" t="s">
        <v>46</v>
      </c>
      <c r="D19" s="18">
        <v>2150</v>
      </c>
      <c r="E19" s="18"/>
      <c r="F19" s="18"/>
      <c r="G19" s="176">
        <f t="shared" ref="G19:G29" si="2">D19+E19+F19</f>
        <v>2150</v>
      </c>
      <c r="H19" s="180"/>
      <c r="I19" s="149">
        <f t="shared" si="0"/>
        <v>2150</v>
      </c>
      <c r="J19" s="78"/>
      <c r="K19" s="78"/>
      <c r="L19" s="78"/>
    </row>
    <row r="20" spans="1:12" x14ac:dyDescent="0.25">
      <c r="A20" s="16">
        <v>16</v>
      </c>
      <c r="B20" s="191" t="s">
        <v>225</v>
      </c>
      <c r="C20" s="17" t="s">
        <v>48</v>
      </c>
      <c r="D20" s="18"/>
      <c r="E20" s="18">
        <v>2500</v>
      </c>
      <c r="F20" s="18">
        <v>100</v>
      </c>
      <c r="G20" s="176">
        <f t="shared" si="2"/>
        <v>2600</v>
      </c>
      <c r="H20" s="180">
        <v>2500</v>
      </c>
      <c r="I20" s="149">
        <f t="shared" si="0"/>
        <v>100</v>
      </c>
      <c r="J20" s="78"/>
      <c r="K20" s="78"/>
      <c r="L20" s="78"/>
    </row>
    <row r="21" spans="1:12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3000</v>
      </c>
      <c r="I22" s="149">
        <f t="shared" si="0"/>
        <v>900</v>
      </c>
      <c r="J22" s="78"/>
      <c r="K22" s="78"/>
      <c r="L22" s="78"/>
    </row>
    <row r="23" spans="1:12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/>
      <c r="G23" s="176">
        <f t="shared" si="2"/>
        <v>3000</v>
      </c>
      <c r="H23" s="180">
        <v>0</v>
      </c>
      <c r="I23" s="149">
        <f t="shared" si="0"/>
        <v>3000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  <c r="J26" s="78"/>
      <c r="K26" s="78"/>
      <c r="L26" s="78"/>
    </row>
    <row r="27" spans="1:12" x14ac:dyDescent="0.25">
      <c r="A27" s="21">
        <v>23</v>
      </c>
      <c r="B27" s="195" t="s">
        <v>281</v>
      </c>
      <c r="C27" s="17" t="s">
        <v>62</v>
      </c>
      <c r="D27" s="18"/>
      <c r="E27" s="23"/>
      <c r="F27" s="24"/>
      <c r="G27" s="176"/>
      <c r="H27" s="180"/>
      <c r="I27" s="149">
        <f t="shared" si="0"/>
        <v>0</v>
      </c>
      <c r="J27" s="78"/>
      <c r="K27" s="78"/>
      <c r="L27" s="78"/>
    </row>
    <row r="28" spans="1:12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/>
      <c r="G28" s="176">
        <f t="shared" si="2"/>
        <v>3000</v>
      </c>
      <c r="H28" s="181"/>
      <c r="I28" s="149">
        <f t="shared" si="0"/>
        <v>3000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49300</v>
      </c>
      <c r="F30" s="42">
        <f>SUM(F5:F29)</f>
        <v>1600</v>
      </c>
      <c r="G30" s="19"/>
      <c r="H30" s="135">
        <f>SUM(H5:H29)</f>
        <v>38300</v>
      </c>
      <c r="I30" s="149"/>
      <c r="J30" s="78"/>
      <c r="K30" s="78"/>
      <c r="L30" s="78"/>
    </row>
    <row r="31" spans="1:12" x14ac:dyDescent="0.25">
      <c r="A31" s="78"/>
      <c r="B31" s="561" t="s">
        <v>246</v>
      </c>
      <c r="C31" s="561"/>
      <c r="D31" s="561"/>
      <c r="E31" s="561"/>
      <c r="F31" s="561"/>
      <c r="G31" s="561"/>
      <c r="H31" s="78"/>
      <c r="I31" s="149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  <c r="J32" s="78"/>
      <c r="K32" s="78"/>
      <c r="L32" s="78"/>
    </row>
    <row r="33" spans="1:12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 t="shared" si="0"/>
        <v>0</v>
      </c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f t="shared" si="0"/>
        <v>0</v>
      </c>
      <c r="J34" s="78"/>
      <c r="K34" s="78"/>
      <c r="L34" s="78"/>
    </row>
    <row r="35" spans="1:12" x14ac:dyDescent="0.25">
      <c r="A35" s="83" t="s">
        <v>110</v>
      </c>
      <c r="B35" s="200" t="s">
        <v>298</v>
      </c>
      <c r="C35" s="85"/>
      <c r="D35" s="86"/>
      <c r="E35" s="85">
        <v>2500</v>
      </c>
      <c r="F35" s="86">
        <f>D35+E35</f>
        <v>2500</v>
      </c>
      <c r="G35" s="169">
        <v>1500</v>
      </c>
      <c r="H35" s="184">
        <f t="shared" ref="H35:H42" si="3">F35-G35</f>
        <v>1000</v>
      </c>
      <c r="I35" s="149"/>
      <c r="J35" s="78"/>
      <c r="K35" s="78"/>
      <c r="L35" s="78"/>
    </row>
    <row r="36" spans="1:12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  <c r="J36" s="78"/>
      <c r="K36" s="78"/>
      <c r="L36" s="78"/>
    </row>
    <row r="37" spans="1:12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  <c r="J37" s="78"/>
      <c r="K37" s="78"/>
      <c r="L37" s="78"/>
    </row>
    <row r="38" spans="1:12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  <c r="J38" s="78"/>
      <c r="K38" s="78"/>
      <c r="L38" s="78"/>
    </row>
    <row r="39" spans="1:12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  <c r="J39" s="78"/>
      <c r="K39" s="78"/>
      <c r="L39" s="78"/>
    </row>
    <row r="40" spans="1:12" x14ac:dyDescent="0.25">
      <c r="A40" s="83" t="s">
        <v>121</v>
      </c>
      <c r="B40" s="200" t="s">
        <v>186</v>
      </c>
      <c r="C40" s="85"/>
      <c r="D40" s="92">
        <v>2500</v>
      </c>
      <c r="E40" s="85">
        <v>2500</v>
      </c>
      <c r="F40" s="86">
        <f t="shared" si="4"/>
        <v>5000</v>
      </c>
      <c r="G40" s="169">
        <v>3000</v>
      </c>
      <c r="H40" s="184">
        <f t="shared" si="3"/>
        <v>2000</v>
      </c>
      <c r="I40" s="149"/>
      <c r="J40" s="78"/>
      <c r="K40" s="78"/>
      <c r="L40" s="78"/>
    </row>
    <row r="41" spans="1:12" x14ac:dyDescent="0.25">
      <c r="A41" s="83" t="s">
        <v>123</v>
      </c>
      <c r="B41" s="200" t="s">
        <v>191</v>
      </c>
      <c r="C41" s="85"/>
      <c r="D41" s="92">
        <v>400</v>
      </c>
      <c r="E41" s="85">
        <v>2500</v>
      </c>
      <c r="F41" s="86">
        <f t="shared" si="4"/>
        <v>2900</v>
      </c>
      <c r="G41" s="169">
        <v>2500</v>
      </c>
      <c r="H41" s="184">
        <f t="shared" si="3"/>
        <v>400</v>
      </c>
      <c r="I41" s="149"/>
      <c r="J41" s="78"/>
      <c r="K41" s="78"/>
      <c r="L41" s="78"/>
    </row>
    <row r="42" spans="1:12" x14ac:dyDescent="0.25">
      <c r="A42" s="83" t="s">
        <v>125</v>
      </c>
      <c r="B42" s="203" t="s">
        <v>285</v>
      </c>
      <c r="C42" s="78"/>
      <c r="D42" s="186"/>
      <c r="E42" s="152">
        <v>1500</v>
      </c>
      <c r="F42" s="86">
        <f t="shared" si="4"/>
        <v>1500</v>
      </c>
      <c r="G42" s="169"/>
      <c r="H42" s="184">
        <f t="shared" si="3"/>
        <v>1500</v>
      </c>
      <c r="I42" s="149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16500</v>
      </c>
      <c r="F43" s="208"/>
      <c r="G43" s="208">
        <f>SUM(G33:G42)</f>
        <v>14500</v>
      </c>
      <c r="H43" s="209">
        <f>SUM(H33:H42)</f>
        <v>4900</v>
      </c>
      <c r="I43" s="149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263</v>
      </c>
      <c r="F46" s="78" t="s">
        <v>264</v>
      </c>
      <c r="G46" s="78" t="s">
        <v>12</v>
      </c>
      <c r="H46" s="78" t="s">
        <v>208</v>
      </c>
      <c r="I46" s="149"/>
      <c r="J46" s="78"/>
      <c r="K46" s="78"/>
      <c r="L46" s="78"/>
    </row>
    <row r="47" spans="1:12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  <c r="J48" s="78"/>
      <c r="K48" s="78"/>
      <c r="L48" s="78"/>
    </row>
    <row r="49" spans="1:12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85"/>
      <c r="F50" s="86">
        <f t="shared" si="5"/>
        <v>0</v>
      </c>
      <c r="G50" s="86"/>
      <c r="H50" s="184">
        <f t="shared" si="6"/>
        <v>0</v>
      </c>
      <c r="I50" s="149"/>
      <c r="J50" s="78"/>
      <c r="K50" s="78"/>
      <c r="L50" s="78"/>
    </row>
    <row r="51" spans="1:12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  <c r="J52" s="78"/>
      <c r="K52" s="78"/>
      <c r="L52" s="78"/>
    </row>
    <row r="53" spans="1:12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  <c r="J53" s="78"/>
      <c r="K53" s="78"/>
      <c r="L53" s="78"/>
    </row>
    <row r="54" spans="1:12" x14ac:dyDescent="0.25">
      <c r="A54" s="113"/>
      <c r="B54" s="173"/>
      <c r="C54" s="86"/>
      <c r="D54" s="92"/>
      <c r="E54" s="86"/>
      <c r="F54" s="86"/>
      <c r="G54" s="86"/>
      <c r="H54" s="183"/>
      <c r="I54" s="149"/>
      <c r="J54" s="78"/>
      <c r="K54" s="78"/>
      <c r="L54" s="78"/>
    </row>
    <row r="55" spans="1:12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  <c r="L60" s="78"/>
    </row>
    <row r="61" spans="1:12" x14ac:dyDescent="0.25">
      <c r="A61" s="50"/>
      <c r="B61" s="211" t="s">
        <v>296</v>
      </c>
      <c r="C61" s="149">
        <f>E30+E43+E55</f>
        <v>89300</v>
      </c>
      <c r="D61" s="161">
        <v>0.08</v>
      </c>
      <c r="E61" s="113"/>
      <c r="F61" s="211" t="s">
        <v>296</v>
      </c>
      <c r="G61" s="102">
        <f>H30+G43+G55</f>
        <v>76300</v>
      </c>
      <c r="H61" s="113"/>
      <c r="I61" s="113"/>
      <c r="J61" s="113"/>
      <c r="K61" s="113"/>
      <c r="L61" s="78"/>
    </row>
    <row r="62" spans="1:12" x14ac:dyDescent="0.25">
      <c r="A62" s="50"/>
      <c r="B62" s="113" t="s">
        <v>209</v>
      </c>
      <c r="C62" s="113"/>
      <c r="D62" s="149">
        <f>C61*D61</f>
        <v>7144</v>
      </c>
      <c r="E62" s="113"/>
      <c r="F62" s="113" t="s">
        <v>209</v>
      </c>
      <c r="G62" s="161">
        <v>0.08</v>
      </c>
      <c r="H62" s="149">
        <f>D62</f>
        <v>7144</v>
      </c>
      <c r="I62" s="113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  <c r="L63" s="78"/>
    </row>
    <row r="64" spans="1:12" x14ac:dyDescent="0.25">
      <c r="A64" s="50"/>
      <c r="B64" s="168" t="s">
        <v>232</v>
      </c>
      <c r="C64" s="149">
        <f>F30</f>
        <v>1600</v>
      </c>
      <c r="D64" s="113"/>
      <c r="E64" s="113"/>
      <c r="F64" s="168" t="s">
        <v>232</v>
      </c>
      <c r="G64" s="149">
        <f>C64</f>
        <v>1600</v>
      </c>
      <c r="H64" s="113"/>
      <c r="I64" s="113"/>
      <c r="J64" s="113"/>
      <c r="K64" s="113"/>
      <c r="L64" s="78"/>
    </row>
    <row r="65" spans="1:12" x14ac:dyDescent="0.25">
      <c r="A65" s="50"/>
      <c r="B65" s="168" t="s">
        <v>239</v>
      </c>
      <c r="C65" s="149">
        <f>NOVEMBER!E72</f>
        <v>101395.26230528005</v>
      </c>
      <c r="D65" s="113"/>
      <c r="E65" s="113"/>
      <c r="F65" s="168" t="s">
        <v>239</v>
      </c>
      <c r="G65" s="160">
        <f>NOVEMBER!I72</f>
        <v>52786.275200000033</v>
      </c>
      <c r="H65" s="113"/>
      <c r="I65" s="113"/>
      <c r="J65" s="113"/>
      <c r="K65" s="113"/>
      <c r="L65" s="78"/>
    </row>
    <row r="66" spans="1:12" s="78" customFormat="1" x14ac:dyDescent="0.25">
      <c r="A66" s="50"/>
      <c r="B66" s="168"/>
      <c r="C66" s="214"/>
      <c r="D66" s="113"/>
      <c r="E66" s="113"/>
      <c r="F66" s="168"/>
      <c r="G66" s="160"/>
      <c r="H66" s="113"/>
      <c r="I66" s="113"/>
      <c r="J66" s="113"/>
      <c r="K66" s="113"/>
    </row>
    <row r="67" spans="1:12" x14ac:dyDescent="0.25">
      <c r="A67" s="50"/>
      <c r="B67" s="168" t="s">
        <v>193</v>
      </c>
      <c r="C67" s="149">
        <f>SUM(C61:C66)</f>
        <v>195295.26230528005</v>
      </c>
      <c r="D67" s="113"/>
      <c r="E67" s="113"/>
      <c r="F67" s="168" t="s">
        <v>193</v>
      </c>
      <c r="G67" s="149">
        <f>G61+G63+G64+G65</f>
        <v>133686.27520000003</v>
      </c>
      <c r="H67" s="113"/>
      <c r="I67" s="113"/>
      <c r="J67" s="113"/>
      <c r="K67" s="113"/>
      <c r="L67" s="78"/>
    </row>
    <row r="68" spans="1:12" x14ac:dyDescent="0.25">
      <c r="A68" s="50"/>
      <c r="B68" s="212" t="s">
        <v>276</v>
      </c>
      <c r="C68" s="161"/>
      <c r="D68" s="149"/>
      <c r="E68" s="113"/>
      <c r="F68" s="212" t="s">
        <v>276</v>
      </c>
      <c r="G68" s="161"/>
      <c r="H68" s="149"/>
      <c r="I68" s="113"/>
      <c r="J68" s="113"/>
      <c r="K68" s="113"/>
      <c r="L68" s="78"/>
    </row>
    <row r="69" spans="1:12" x14ac:dyDescent="0.25">
      <c r="A69" s="50"/>
      <c r="B69" s="163" t="s">
        <v>295</v>
      </c>
      <c r="C69" s="113"/>
      <c r="D69" s="164">
        <v>2600</v>
      </c>
      <c r="E69" s="113"/>
      <c r="F69" s="163" t="s">
        <v>295</v>
      </c>
      <c r="G69" s="113"/>
      <c r="H69" s="164">
        <v>2600</v>
      </c>
      <c r="I69" s="113"/>
      <c r="J69" s="113"/>
      <c r="K69" s="113"/>
      <c r="L69" s="78"/>
    </row>
    <row r="70" spans="1:12" x14ac:dyDescent="0.25">
      <c r="A70" s="50"/>
      <c r="B70" s="213">
        <v>43083</v>
      </c>
      <c r="C70" s="113"/>
      <c r="D70" s="164">
        <v>80000</v>
      </c>
      <c r="E70" s="113"/>
      <c r="F70" s="213">
        <v>43083</v>
      </c>
      <c r="G70" s="113"/>
      <c r="H70" s="164">
        <v>80000</v>
      </c>
      <c r="I70" s="113"/>
      <c r="J70" s="113"/>
      <c r="K70" s="113"/>
      <c r="L70" s="78"/>
    </row>
    <row r="71" spans="1:12" x14ac:dyDescent="0.25">
      <c r="A71" s="78"/>
      <c r="B71" s="163" t="s">
        <v>299</v>
      </c>
      <c r="C71" s="164"/>
      <c r="D71" s="165">
        <v>4000</v>
      </c>
      <c r="E71" s="113"/>
      <c r="F71" s="163" t="s">
        <v>299</v>
      </c>
      <c r="G71" s="164"/>
      <c r="H71" s="165">
        <v>4000</v>
      </c>
      <c r="I71" s="113"/>
      <c r="J71" s="113"/>
      <c r="K71" s="113"/>
      <c r="L71" s="78"/>
    </row>
    <row r="72" spans="1:12" x14ac:dyDescent="0.25">
      <c r="A72" s="78"/>
      <c r="B72" s="164" t="s">
        <v>371</v>
      </c>
      <c r="C72" s="164"/>
      <c r="D72" s="113">
        <v>4750</v>
      </c>
      <c r="E72" s="113"/>
      <c r="F72" s="164"/>
      <c r="G72" s="164"/>
      <c r="H72" s="113"/>
      <c r="I72" s="113"/>
      <c r="J72" s="113"/>
      <c r="K72" s="113"/>
      <c r="L72" s="78"/>
    </row>
    <row r="73" spans="1:12" x14ac:dyDescent="0.25">
      <c r="A73" s="78"/>
      <c r="B73" s="166" t="s">
        <v>193</v>
      </c>
      <c r="C73" s="167">
        <f>C67</f>
        <v>195295.26230528005</v>
      </c>
      <c r="D73" s="149">
        <f>SUM(D62:D72)</f>
        <v>98494</v>
      </c>
      <c r="E73" s="149">
        <f>C73-D73</f>
        <v>96801.262305280048</v>
      </c>
      <c r="F73" s="166" t="s">
        <v>193</v>
      </c>
      <c r="G73" s="167">
        <f>G67</f>
        <v>133686.27520000003</v>
      </c>
      <c r="H73" s="149">
        <f>SUM(H62:H72)</f>
        <v>93744</v>
      </c>
      <c r="I73" s="149">
        <f>G73-H73</f>
        <v>39942.275200000033</v>
      </c>
      <c r="J73" s="149">
        <f>I30</f>
        <v>0</v>
      </c>
      <c r="K73" s="113"/>
      <c r="L73" s="78"/>
    </row>
    <row r="74" spans="1:12" x14ac:dyDescent="0.25">
      <c r="A74" s="78"/>
      <c r="B74" s="78"/>
      <c r="C74" s="78"/>
      <c r="D74" s="78"/>
      <c r="E74" s="78"/>
      <c r="F74" s="78"/>
      <c r="G74" s="79"/>
      <c r="H74" s="78"/>
      <c r="I74" s="78"/>
      <c r="J74" s="78"/>
      <c r="K74" s="78"/>
      <c r="L74" s="78"/>
    </row>
    <row r="75" spans="1:12" x14ac:dyDescent="0.25">
      <c r="A75" s="78"/>
      <c r="B75" s="59" t="s">
        <v>78</v>
      </c>
      <c r="C75" s="79" t="s">
        <v>135</v>
      </c>
      <c r="D75" s="79"/>
      <c r="E75" s="79" t="s">
        <v>130</v>
      </c>
      <c r="F75" s="148" t="s">
        <v>164</v>
      </c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9" t="s">
        <v>132</v>
      </c>
      <c r="D76" s="79"/>
      <c r="E76" s="79" t="s">
        <v>133</v>
      </c>
      <c r="F76" s="78" t="s">
        <v>165</v>
      </c>
      <c r="G76" s="78"/>
      <c r="H76" s="78"/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40" workbookViewId="0">
      <selection activeCell="I34" sqref="I34"/>
    </sheetView>
  </sheetViews>
  <sheetFormatPr defaultRowHeight="15" x14ac:dyDescent="0.25"/>
  <cols>
    <col min="1" max="1" width="4" style="78" customWidth="1"/>
    <col min="2" max="2" width="16" style="78" customWidth="1"/>
    <col min="3" max="3" width="11.28515625" style="78" customWidth="1"/>
    <col min="4" max="4" width="12" style="78" customWidth="1"/>
    <col min="5" max="5" width="12.140625" style="78" customWidth="1"/>
    <col min="6" max="6" width="10.42578125" style="78" customWidth="1"/>
    <col min="7" max="7" width="11.85546875" style="78" customWidth="1"/>
    <col min="8" max="9" width="12.42578125" style="78" customWidth="1"/>
    <col min="10" max="16384" width="9.140625" style="78"/>
  </cols>
  <sheetData>
    <row r="1" spans="1:11" ht="45" x14ac:dyDescent="0.6">
      <c r="A1" s="61"/>
      <c r="B1" s="61"/>
      <c r="C1" s="2"/>
      <c r="D1" s="3" t="s">
        <v>0</v>
      </c>
      <c r="E1" s="4"/>
      <c r="F1" s="4"/>
      <c r="G1" s="4"/>
      <c r="H1" s="2"/>
    </row>
    <row r="2" spans="1:11" ht="16.5" x14ac:dyDescent="0.3">
      <c r="A2" s="5"/>
      <c r="B2" s="5"/>
      <c r="C2" s="6" t="s">
        <v>1</v>
      </c>
      <c r="D2" s="7"/>
      <c r="E2" s="5"/>
      <c r="F2" s="5"/>
    </row>
    <row r="3" spans="1:11" ht="21" x14ac:dyDescent="0.25">
      <c r="A3" s="8"/>
      <c r="B3" s="64" t="s">
        <v>294</v>
      </c>
      <c r="C3" s="11"/>
      <c r="D3" s="11"/>
      <c r="E3" s="11"/>
      <c r="F3" s="103"/>
      <c r="G3" s="103"/>
      <c r="H3" s="103"/>
    </row>
    <row r="4" spans="1:11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113" t="s">
        <v>262</v>
      </c>
    </row>
    <row r="5" spans="1:11" x14ac:dyDescent="0.25">
      <c r="A5" s="16">
        <v>1</v>
      </c>
      <c r="B5" s="191" t="s">
        <v>257</v>
      </c>
      <c r="C5" s="17" t="s">
        <v>18</v>
      </c>
      <c r="D5" s="18"/>
      <c r="E5" s="18">
        <v>2500</v>
      </c>
      <c r="F5" s="18">
        <v>100</v>
      </c>
      <c r="G5" s="176">
        <f>D5+E5+F5</f>
        <v>2600</v>
      </c>
      <c r="H5" s="180">
        <v>2500</v>
      </c>
      <c r="I5" s="149">
        <f>G5-H5</f>
        <v>100</v>
      </c>
    </row>
    <row r="6" spans="1:11" x14ac:dyDescent="0.25">
      <c r="A6" s="16">
        <v>2</v>
      </c>
      <c r="B6" s="191" t="s">
        <v>281</v>
      </c>
      <c r="C6" s="17" t="s">
        <v>20</v>
      </c>
      <c r="D6" s="18"/>
      <c r="E6" s="18"/>
      <c r="F6" s="18"/>
      <c r="G6" s="176"/>
      <c r="H6" s="180"/>
      <c r="I6" s="149">
        <f t="shared" ref="I6:I45" si="0">G6-H6</f>
        <v>0</v>
      </c>
    </row>
    <row r="7" spans="1:11" x14ac:dyDescent="0.25">
      <c r="A7" s="16">
        <v>3</v>
      </c>
      <c r="B7" s="191" t="s">
        <v>258</v>
      </c>
      <c r="C7" s="17" t="s">
        <v>22</v>
      </c>
      <c r="D7" s="18">
        <v>100</v>
      </c>
      <c r="E7" s="18">
        <v>2500</v>
      </c>
      <c r="F7" s="18">
        <v>100</v>
      </c>
      <c r="G7" s="176">
        <f t="shared" ref="G7:G17" si="1">D7+E7+F7</f>
        <v>2700</v>
      </c>
      <c r="H7" s="180">
        <v>1350</v>
      </c>
      <c r="I7" s="149">
        <f t="shared" si="0"/>
        <v>1350</v>
      </c>
    </row>
    <row r="8" spans="1:11" x14ac:dyDescent="0.25">
      <c r="A8" s="16">
        <v>4</v>
      </c>
      <c r="B8" s="191" t="s">
        <v>217</v>
      </c>
      <c r="C8" s="17" t="s">
        <v>24</v>
      </c>
      <c r="D8" s="18">
        <v>0</v>
      </c>
      <c r="E8" s="18">
        <v>2500</v>
      </c>
      <c r="F8" s="18">
        <v>100</v>
      </c>
      <c r="G8" s="176">
        <f>D8+E8+F8</f>
        <v>2600</v>
      </c>
      <c r="H8" s="180">
        <v>2500</v>
      </c>
      <c r="I8" s="149">
        <f t="shared" si="0"/>
        <v>100</v>
      </c>
    </row>
    <row r="9" spans="1:11" x14ac:dyDescent="0.25">
      <c r="A9" s="16">
        <v>5</v>
      </c>
      <c r="B9" s="191" t="s">
        <v>274</v>
      </c>
      <c r="C9" s="17" t="s">
        <v>26</v>
      </c>
      <c r="D9" s="18"/>
      <c r="E9" s="18">
        <v>2500</v>
      </c>
      <c r="F9" s="18">
        <v>100</v>
      </c>
      <c r="G9" s="176">
        <f>D9+E9+F9</f>
        <v>2600</v>
      </c>
      <c r="H9" s="180">
        <v>2500</v>
      </c>
      <c r="I9" s="149">
        <f t="shared" si="0"/>
        <v>100</v>
      </c>
    </row>
    <row r="10" spans="1:11" x14ac:dyDescent="0.25">
      <c r="A10" s="187">
        <v>6</v>
      </c>
      <c r="B10" s="191" t="s">
        <v>219</v>
      </c>
      <c r="C10" s="192" t="s">
        <v>28</v>
      </c>
      <c r="D10" s="176"/>
      <c r="E10" s="176"/>
      <c r="F10" s="176"/>
      <c r="G10" s="176"/>
      <c r="H10" s="180"/>
      <c r="I10" s="149">
        <f t="shared" si="0"/>
        <v>0</v>
      </c>
      <c r="J10" s="155"/>
      <c r="K10" s="155"/>
    </row>
    <row r="11" spans="1:11" x14ac:dyDescent="0.25">
      <c r="A11" s="16">
        <v>7</v>
      </c>
      <c r="B11" s="191" t="s">
        <v>268</v>
      </c>
      <c r="C11" s="17" t="s">
        <v>30</v>
      </c>
      <c r="D11" s="18"/>
      <c r="E11" s="18"/>
      <c r="F11" s="18"/>
      <c r="G11" s="176"/>
      <c r="H11" s="180"/>
      <c r="I11" s="149">
        <f t="shared" si="0"/>
        <v>0</v>
      </c>
    </row>
    <row r="12" spans="1:11" x14ac:dyDescent="0.25">
      <c r="A12" s="16">
        <v>8</v>
      </c>
      <c r="B12" s="193" t="s">
        <v>220</v>
      </c>
      <c r="C12" s="17" t="s">
        <v>32</v>
      </c>
      <c r="D12" s="18"/>
      <c r="E12" s="18">
        <v>2500</v>
      </c>
      <c r="F12" s="18">
        <v>100</v>
      </c>
      <c r="G12" s="176">
        <f t="shared" si="1"/>
        <v>2600</v>
      </c>
      <c r="H12" s="180">
        <v>2500</v>
      </c>
      <c r="I12" s="149">
        <f t="shared" si="0"/>
        <v>100</v>
      </c>
    </row>
    <row r="13" spans="1:11" x14ac:dyDescent="0.25">
      <c r="A13" s="16">
        <v>9</v>
      </c>
      <c r="B13" s="191" t="s">
        <v>221</v>
      </c>
      <c r="C13" s="17" t="s">
        <v>34</v>
      </c>
      <c r="D13" s="18">
        <v>2600</v>
      </c>
      <c r="E13" s="18">
        <v>2500</v>
      </c>
      <c r="F13" s="18">
        <v>100</v>
      </c>
      <c r="G13" s="176">
        <f t="shared" si="1"/>
        <v>5200</v>
      </c>
      <c r="H13" s="180">
        <v>2800</v>
      </c>
      <c r="I13" s="149">
        <f t="shared" si="0"/>
        <v>2400</v>
      </c>
    </row>
    <row r="14" spans="1:11" x14ac:dyDescent="0.25">
      <c r="A14" s="16">
        <v>10</v>
      </c>
      <c r="B14" s="191" t="s">
        <v>95</v>
      </c>
      <c r="C14" s="17" t="s">
        <v>36</v>
      </c>
      <c r="D14" s="18"/>
      <c r="E14" s="18">
        <v>2500</v>
      </c>
      <c r="F14" s="18">
        <v>100</v>
      </c>
      <c r="G14" s="176">
        <f t="shared" si="1"/>
        <v>2600</v>
      </c>
      <c r="H14" s="180">
        <v>2500</v>
      </c>
      <c r="I14" s="149">
        <f t="shared" si="0"/>
        <v>100</v>
      </c>
    </row>
    <row r="15" spans="1:11" x14ac:dyDescent="0.25">
      <c r="A15" s="16">
        <v>11</v>
      </c>
      <c r="B15" s="191" t="s">
        <v>222</v>
      </c>
      <c r="C15" s="17" t="s">
        <v>38</v>
      </c>
      <c r="D15" s="18"/>
      <c r="E15" s="18">
        <v>2600</v>
      </c>
      <c r="F15" s="18">
        <v>100</v>
      </c>
      <c r="G15" s="176">
        <f t="shared" si="1"/>
        <v>2700</v>
      </c>
      <c r="H15" s="180">
        <v>2500</v>
      </c>
      <c r="I15" s="149">
        <f t="shared" si="0"/>
        <v>200</v>
      </c>
    </row>
    <row r="16" spans="1:11" x14ac:dyDescent="0.25">
      <c r="A16" s="16">
        <v>12</v>
      </c>
      <c r="B16" s="191" t="s">
        <v>252</v>
      </c>
      <c r="C16" s="17" t="s">
        <v>40</v>
      </c>
      <c r="D16" s="18">
        <v>150</v>
      </c>
      <c r="E16" s="18">
        <v>2500</v>
      </c>
      <c r="F16" s="18">
        <v>100</v>
      </c>
      <c r="G16" s="176">
        <f t="shared" si="1"/>
        <v>2750</v>
      </c>
      <c r="H16" s="180">
        <v>2500</v>
      </c>
      <c r="I16" s="149">
        <f t="shared" si="0"/>
        <v>250</v>
      </c>
    </row>
    <row r="17" spans="1:9" x14ac:dyDescent="0.25">
      <c r="A17" s="16">
        <v>13</v>
      </c>
      <c r="B17" s="191" t="s">
        <v>292</v>
      </c>
      <c r="C17" s="17" t="s">
        <v>42</v>
      </c>
      <c r="D17" s="18"/>
      <c r="E17" s="18">
        <v>2500</v>
      </c>
      <c r="F17" s="18">
        <v>100</v>
      </c>
      <c r="G17" s="176">
        <f t="shared" si="1"/>
        <v>2600</v>
      </c>
      <c r="H17" s="180">
        <v>2500</v>
      </c>
      <c r="I17" s="149">
        <f t="shared" si="0"/>
        <v>100</v>
      </c>
    </row>
    <row r="18" spans="1:9" x14ac:dyDescent="0.25">
      <c r="A18" s="16">
        <v>14</v>
      </c>
      <c r="B18" s="191" t="s">
        <v>282</v>
      </c>
      <c r="C18" s="17" t="s">
        <v>44</v>
      </c>
      <c r="D18" s="18">
        <v>100</v>
      </c>
      <c r="E18" s="18">
        <v>2500</v>
      </c>
      <c r="F18" s="18">
        <v>100</v>
      </c>
      <c r="G18" s="176">
        <f>D18+E18+F18</f>
        <v>2700</v>
      </c>
      <c r="H18" s="180">
        <v>2500</v>
      </c>
      <c r="I18" s="149">
        <f t="shared" si="0"/>
        <v>200</v>
      </c>
    </row>
    <row r="19" spans="1:9" x14ac:dyDescent="0.25">
      <c r="A19" s="16">
        <v>15</v>
      </c>
      <c r="B19" s="191" t="s">
        <v>224</v>
      </c>
      <c r="C19" s="17" t="s">
        <v>46</v>
      </c>
      <c r="D19" s="18">
        <v>1950</v>
      </c>
      <c r="E19" s="18"/>
      <c r="F19" s="18"/>
      <c r="G19" s="176"/>
      <c r="H19" s="180"/>
      <c r="I19" s="149">
        <f t="shared" si="0"/>
        <v>0</v>
      </c>
    </row>
    <row r="20" spans="1:9" x14ac:dyDescent="0.25">
      <c r="A20" s="16">
        <v>16</v>
      </c>
      <c r="B20" s="191" t="s">
        <v>225</v>
      </c>
      <c r="C20" s="17" t="s">
        <v>48</v>
      </c>
      <c r="D20" s="18"/>
      <c r="E20" s="18">
        <v>2500</v>
      </c>
      <c r="F20" s="18">
        <v>100</v>
      </c>
      <c r="G20" s="176">
        <f t="shared" ref="G20:G29" si="2">D20+E20+F20</f>
        <v>2600</v>
      </c>
      <c r="H20" s="180">
        <v>2500</v>
      </c>
      <c r="I20" s="149">
        <f t="shared" si="0"/>
        <v>100</v>
      </c>
    </row>
    <row r="21" spans="1:9" x14ac:dyDescent="0.25">
      <c r="A21" s="21">
        <v>17</v>
      </c>
      <c r="B21" s="194" t="s">
        <v>188</v>
      </c>
      <c r="C21" s="17" t="s">
        <v>50</v>
      </c>
      <c r="D21" s="18"/>
      <c r="E21" s="23"/>
      <c r="F21" s="24"/>
      <c r="G21" s="176">
        <f t="shared" si="2"/>
        <v>0</v>
      </c>
      <c r="H21" s="180"/>
      <c r="I21" s="149">
        <f t="shared" si="0"/>
        <v>0</v>
      </c>
    </row>
    <row r="22" spans="1:9" x14ac:dyDescent="0.25">
      <c r="A22" s="21">
        <v>18</v>
      </c>
      <c r="B22" s="194" t="s">
        <v>226</v>
      </c>
      <c r="C22" s="17" t="s">
        <v>52</v>
      </c>
      <c r="D22" s="18">
        <v>800</v>
      </c>
      <c r="E22" s="23">
        <v>3000</v>
      </c>
      <c r="F22" s="24">
        <v>100</v>
      </c>
      <c r="G22" s="176">
        <f t="shared" si="2"/>
        <v>3900</v>
      </c>
      <c r="H22" s="180">
        <v>3100</v>
      </c>
      <c r="I22" s="149">
        <f t="shared" si="0"/>
        <v>800</v>
      </c>
    </row>
    <row r="23" spans="1:9" x14ac:dyDescent="0.25">
      <c r="A23" s="21">
        <v>19</v>
      </c>
      <c r="B23" s="195" t="s">
        <v>270</v>
      </c>
      <c r="C23" s="17" t="s">
        <v>54</v>
      </c>
      <c r="D23" s="18">
        <v>0</v>
      </c>
      <c r="E23" s="23">
        <v>3000</v>
      </c>
      <c r="F23" s="24">
        <v>100</v>
      </c>
      <c r="G23" s="176">
        <f t="shared" si="2"/>
        <v>3100</v>
      </c>
      <c r="H23" s="180">
        <v>0</v>
      </c>
      <c r="I23" s="149">
        <f t="shared" si="0"/>
        <v>3100</v>
      </c>
    </row>
    <row r="24" spans="1:9" x14ac:dyDescent="0.25">
      <c r="A24" s="21">
        <v>20</v>
      </c>
      <c r="B24" s="194" t="s">
        <v>228</v>
      </c>
      <c r="C24" s="17" t="s">
        <v>56</v>
      </c>
      <c r="D24" s="18">
        <v>200</v>
      </c>
      <c r="E24" s="23">
        <v>3000</v>
      </c>
      <c r="F24" s="24">
        <v>100</v>
      </c>
      <c r="G24" s="176">
        <f t="shared" si="2"/>
        <v>3300</v>
      </c>
      <c r="H24" s="180">
        <v>3000</v>
      </c>
      <c r="I24" s="149">
        <f t="shared" si="0"/>
        <v>300</v>
      </c>
    </row>
    <row r="25" spans="1:9" x14ac:dyDescent="0.25">
      <c r="A25" s="21">
        <v>21</v>
      </c>
      <c r="B25" s="195" t="s">
        <v>291</v>
      </c>
      <c r="C25" s="17" t="s">
        <v>58</v>
      </c>
      <c r="D25" s="18">
        <v>0</v>
      </c>
      <c r="E25" s="23">
        <v>3000</v>
      </c>
      <c r="F25" s="24">
        <v>100</v>
      </c>
      <c r="G25" s="176">
        <f t="shared" si="2"/>
        <v>3100</v>
      </c>
      <c r="H25" s="180">
        <v>3000</v>
      </c>
      <c r="I25" s="149">
        <f t="shared" si="0"/>
        <v>100</v>
      </c>
    </row>
    <row r="26" spans="1:9" x14ac:dyDescent="0.25">
      <c r="A26" s="21">
        <v>22</v>
      </c>
      <c r="B26" s="195" t="s">
        <v>283</v>
      </c>
      <c r="C26" s="17" t="s">
        <v>60</v>
      </c>
      <c r="D26" s="18">
        <v>0</v>
      </c>
      <c r="E26" s="23">
        <v>3000</v>
      </c>
      <c r="F26" s="24">
        <v>100</v>
      </c>
      <c r="G26" s="176">
        <f t="shared" si="2"/>
        <v>3100</v>
      </c>
      <c r="H26" s="180">
        <v>3000</v>
      </c>
      <c r="I26" s="149">
        <f t="shared" si="0"/>
        <v>100</v>
      </c>
    </row>
    <row r="27" spans="1:9" x14ac:dyDescent="0.25">
      <c r="A27" s="21">
        <v>23</v>
      </c>
      <c r="B27" s="195" t="s">
        <v>281</v>
      </c>
      <c r="C27" s="17" t="s">
        <v>62</v>
      </c>
      <c r="D27" s="18"/>
      <c r="E27" s="23"/>
      <c r="F27" s="24"/>
      <c r="G27" s="176"/>
      <c r="H27" s="180"/>
      <c r="I27" s="149">
        <f t="shared" si="0"/>
        <v>0</v>
      </c>
    </row>
    <row r="28" spans="1:9" x14ac:dyDescent="0.25">
      <c r="A28" s="28">
        <v>24</v>
      </c>
      <c r="B28" s="196" t="s">
        <v>277</v>
      </c>
      <c r="C28" s="29" t="s">
        <v>64</v>
      </c>
      <c r="D28" s="18">
        <v>0</v>
      </c>
      <c r="E28" s="197">
        <v>3000</v>
      </c>
      <c r="F28" s="198">
        <v>100</v>
      </c>
      <c r="G28" s="176">
        <f t="shared" si="2"/>
        <v>3100</v>
      </c>
      <c r="H28" s="181">
        <v>3000</v>
      </c>
      <c r="I28" s="149">
        <f t="shared" si="0"/>
        <v>100</v>
      </c>
    </row>
    <row r="29" spans="1:9" x14ac:dyDescent="0.25">
      <c r="A29" s="37"/>
      <c r="B29" s="176"/>
      <c r="C29" s="18"/>
      <c r="D29" s="18">
        <v>0</v>
      </c>
      <c r="E29" s="19"/>
      <c r="F29" s="19"/>
      <c r="G29" s="176">
        <f t="shared" si="2"/>
        <v>0</v>
      </c>
      <c r="H29" s="132"/>
      <c r="I29" s="149">
        <f t="shared" si="0"/>
        <v>0</v>
      </c>
    </row>
    <row r="30" spans="1:9" x14ac:dyDescent="0.25">
      <c r="A30" s="38"/>
      <c r="B30" s="199" t="s">
        <v>65</v>
      </c>
      <c r="C30" s="38"/>
      <c r="D30" s="149"/>
      <c r="E30" s="40">
        <f>SUM(E5:E29)</f>
        <v>48100</v>
      </c>
      <c r="F30" s="42"/>
      <c r="G30" s="19"/>
      <c r="H30" s="135">
        <f>SUM(H5:H29)</f>
        <v>44250</v>
      </c>
      <c r="I30" s="149"/>
    </row>
    <row r="31" spans="1:9" x14ac:dyDescent="0.25">
      <c r="B31" s="561" t="s">
        <v>246</v>
      </c>
      <c r="C31" s="561"/>
      <c r="D31" s="561"/>
      <c r="E31" s="561"/>
      <c r="F31" s="561"/>
      <c r="G31" s="561"/>
      <c r="I31" s="149">
        <f>G31-H31</f>
        <v>0</v>
      </c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149"/>
    </row>
    <row r="33" spans="1:9" x14ac:dyDescent="0.25">
      <c r="A33" s="83" t="s">
        <v>106</v>
      </c>
      <c r="B33" s="84" t="s">
        <v>281</v>
      </c>
      <c r="C33" s="85"/>
      <c r="D33" s="86">
        <v>0</v>
      </c>
      <c r="E33" s="85"/>
      <c r="F33" s="86"/>
      <c r="G33" s="86"/>
      <c r="H33" s="183"/>
      <c r="I33" s="149">
        <f>G33-H33</f>
        <v>0</v>
      </c>
    </row>
    <row r="34" spans="1:9" x14ac:dyDescent="0.25">
      <c r="A34" s="83" t="s">
        <v>108</v>
      </c>
      <c r="B34" s="200" t="s">
        <v>284</v>
      </c>
      <c r="C34" s="85"/>
      <c r="D34" s="86">
        <v>0</v>
      </c>
      <c r="E34" s="85"/>
      <c r="F34" s="86"/>
      <c r="G34" s="86"/>
      <c r="H34" s="183"/>
      <c r="I34" s="149">
        <v>8844</v>
      </c>
    </row>
    <row r="35" spans="1:9" x14ac:dyDescent="0.25">
      <c r="A35" s="83" t="s">
        <v>110</v>
      </c>
      <c r="B35" s="200" t="s">
        <v>281</v>
      </c>
      <c r="C35" s="85"/>
      <c r="D35" s="86"/>
      <c r="E35" s="85"/>
      <c r="F35" s="86">
        <f>D35+E35</f>
        <v>0</v>
      </c>
      <c r="G35" s="169">
        <v>0</v>
      </c>
      <c r="H35" s="184">
        <f t="shared" ref="H35:H42" si="3">F35-G35</f>
        <v>0</v>
      </c>
      <c r="I35" s="149"/>
    </row>
    <row r="36" spans="1:9" x14ac:dyDescent="0.25">
      <c r="A36" s="87" t="s">
        <v>112</v>
      </c>
      <c r="B36" s="201" t="s">
        <v>254</v>
      </c>
      <c r="C36" s="89"/>
      <c r="D36" s="90"/>
      <c r="E36" s="89">
        <v>2500</v>
      </c>
      <c r="F36" s="86">
        <f t="shared" ref="F36:F42" si="4">D36+E36</f>
        <v>2500</v>
      </c>
      <c r="G36" s="170">
        <v>2500</v>
      </c>
      <c r="H36" s="184">
        <f t="shared" si="3"/>
        <v>0</v>
      </c>
      <c r="I36" s="149"/>
    </row>
    <row r="37" spans="1:9" x14ac:dyDescent="0.25">
      <c r="A37" s="99" t="s">
        <v>114</v>
      </c>
      <c r="B37" s="202" t="s">
        <v>184</v>
      </c>
      <c r="C37" s="86"/>
      <c r="D37" s="86"/>
      <c r="E37" s="86">
        <v>2500</v>
      </c>
      <c r="F37" s="86">
        <f t="shared" si="4"/>
        <v>2500</v>
      </c>
      <c r="G37" s="169">
        <v>2500</v>
      </c>
      <c r="H37" s="184">
        <f t="shared" si="3"/>
        <v>0</v>
      </c>
      <c r="I37" s="149"/>
    </row>
    <row r="38" spans="1:9" x14ac:dyDescent="0.25">
      <c r="A38" s="93" t="s">
        <v>116</v>
      </c>
      <c r="B38" s="200" t="s">
        <v>281</v>
      </c>
      <c r="C38" s="94"/>
      <c r="D38" s="92"/>
      <c r="E38" s="94"/>
      <c r="F38" s="86">
        <f t="shared" si="4"/>
        <v>0</v>
      </c>
      <c r="G38" s="171">
        <v>0</v>
      </c>
      <c r="H38" s="184">
        <f t="shared" si="3"/>
        <v>0</v>
      </c>
      <c r="I38" s="149"/>
    </row>
    <row r="39" spans="1:9" x14ac:dyDescent="0.25">
      <c r="A39" s="83" t="s">
        <v>119</v>
      </c>
      <c r="B39" s="203" t="s">
        <v>120</v>
      </c>
      <c r="C39" s="85"/>
      <c r="D39" s="92"/>
      <c r="E39" s="85">
        <v>2500</v>
      </c>
      <c r="F39" s="86">
        <f t="shared" si="4"/>
        <v>2500</v>
      </c>
      <c r="G39" s="169">
        <v>2500</v>
      </c>
      <c r="H39" s="184">
        <f t="shared" si="3"/>
        <v>0</v>
      </c>
      <c r="I39" s="149"/>
    </row>
    <row r="40" spans="1:9" x14ac:dyDescent="0.25">
      <c r="A40" s="83" t="s">
        <v>121</v>
      </c>
      <c r="B40" s="200" t="s">
        <v>186</v>
      </c>
      <c r="C40" s="85"/>
      <c r="D40" s="92">
        <v>2500</v>
      </c>
      <c r="E40" s="85">
        <v>2500</v>
      </c>
      <c r="F40" s="86">
        <f t="shared" si="4"/>
        <v>5000</v>
      </c>
      <c r="G40" s="169"/>
      <c r="H40" s="184">
        <f t="shared" si="3"/>
        <v>5000</v>
      </c>
      <c r="I40" s="149"/>
    </row>
    <row r="41" spans="1:9" x14ac:dyDescent="0.25">
      <c r="A41" s="83" t="s">
        <v>123</v>
      </c>
      <c r="B41" s="200" t="s">
        <v>191</v>
      </c>
      <c r="C41" s="85"/>
      <c r="D41" s="92">
        <v>400</v>
      </c>
      <c r="E41" s="85">
        <v>2500</v>
      </c>
      <c r="F41" s="86">
        <f t="shared" si="4"/>
        <v>2900</v>
      </c>
      <c r="G41" s="169">
        <v>2700</v>
      </c>
      <c r="H41" s="184">
        <f t="shared" si="3"/>
        <v>200</v>
      </c>
      <c r="I41" s="149"/>
    </row>
    <row r="42" spans="1:9" x14ac:dyDescent="0.25">
      <c r="A42" s="83" t="s">
        <v>125</v>
      </c>
      <c r="B42" s="203" t="s">
        <v>285</v>
      </c>
      <c r="D42" s="186"/>
      <c r="E42" s="152">
        <v>1500</v>
      </c>
      <c r="F42" s="86">
        <f t="shared" si="4"/>
        <v>1500</v>
      </c>
      <c r="G42" s="169">
        <v>1500</v>
      </c>
      <c r="H42" s="184">
        <f t="shared" si="3"/>
        <v>0</v>
      </c>
      <c r="I42" s="149"/>
    </row>
    <row r="43" spans="1:9" x14ac:dyDescent="0.25">
      <c r="A43" s="83"/>
      <c r="B43" s="204" t="s">
        <v>193</v>
      </c>
      <c r="C43" s="205">
        <v>0</v>
      </c>
      <c r="D43" s="206">
        <v>0</v>
      </c>
      <c r="E43" s="207">
        <f>SUM(E33:E42)</f>
        <v>14000</v>
      </c>
      <c r="F43" s="208"/>
      <c r="G43" s="208">
        <f>SUM(G33:G42)</f>
        <v>11700</v>
      </c>
      <c r="H43" s="209">
        <f>SUM(H33:H42)</f>
        <v>5200</v>
      </c>
      <c r="I43" s="149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149">
        <f t="shared" si="0"/>
        <v>0</v>
      </c>
    </row>
    <row r="45" spans="1:9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149">
        <f t="shared" si="0"/>
        <v>0</v>
      </c>
    </row>
    <row r="46" spans="1:9" x14ac:dyDescent="0.25">
      <c r="E46" s="78" t="s">
        <v>263</v>
      </c>
      <c r="F46" s="78" t="s">
        <v>264</v>
      </c>
      <c r="G46" s="78" t="s">
        <v>12</v>
      </c>
      <c r="H46" s="78" t="s">
        <v>208</v>
      </c>
      <c r="I46" s="149"/>
    </row>
    <row r="47" spans="1:9" x14ac:dyDescent="0.25">
      <c r="A47" s="83">
        <v>1</v>
      </c>
      <c r="B47" s="191" t="s">
        <v>197</v>
      </c>
      <c r="C47" s="85"/>
      <c r="D47" s="86"/>
      <c r="E47" s="86">
        <v>3500</v>
      </c>
      <c r="F47" s="86">
        <f>SUM(D47:E47)</f>
        <v>3500</v>
      </c>
      <c r="G47" s="86">
        <v>3500</v>
      </c>
      <c r="H47" s="184">
        <f>F47-G47</f>
        <v>0</v>
      </c>
      <c r="I47" s="149"/>
    </row>
    <row r="48" spans="1:9" x14ac:dyDescent="0.25">
      <c r="A48" s="83">
        <v>2</v>
      </c>
      <c r="B48" s="191" t="s">
        <v>250</v>
      </c>
      <c r="C48" s="85"/>
      <c r="D48" s="86"/>
      <c r="E48" s="85">
        <v>4000</v>
      </c>
      <c r="F48" s="86">
        <f t="shared" ref="F48:F53" si="5">D48+E48</f>
        <v>4000</v>
      </c>
      <c r="G48" s="86">
        <v>4000</v>
      </c>
      <c r="H48" s="184">
        <f t="shared" ref="H48:H53" si="6">F48-G48</f>
        <v>0</v>
      </c>
      <c r="I48" s="149"/>
    </row>
    <row r="49" spans="1:11" x14ac:dyDescent="0.25">
      <c r="A49" s="83">
        <v>3</v>
      </c>
      <c r="B49" s="191" t="s">
        <v>248</v>
      </c>
      <c r="C49" s="85"/>
      <c r="D49" s="86"/>
      <c r="E49" s="85">
        <v>4000</v>
      </c>
      <c r="F49" s="86">
        <f t="shared" si="5"/>
        <v>4000</v>
      </c>
      <c r="G49" s="86">
        <v>4000</v>
      </c>
      <c r="H49" s="184">
        <f t="shared" si="6"/>
        <v>0</v>
      </c>
      <c r="I49" s="149"/>
    </row>
    <row r="50" spans="1:11" x14ac:dyDescent="0.25">
      <c r="A50" s="83">
        <v>4</v>
      </c>
      <c r="B50" s="191" t="s">
        <v>284</v>
      </c>
      <c r="C50" s="86"/>
      <c r="E50" s="85"/>
      <c r="F50" s="86">
        <f t="shared" si="5"/>
        <v>0</v>
      </c>
      <c r="G50" s="86"/>
      <c r="H50" s="184">
        <f t="shared" si="6"/>
        <v>0</v>
      </c>
      <c r="I50" s="149"/>
    </row>
    <row r="51" spans="1:11" x14ac:dyDescent="0.25">
      <c r="A51" s="99">
        <v>5</v>
      </c>
      <c r="B51" s="191" t="s">
        <v>286</v>
      </c>
      <c r="C51" s="85"/>
      <c r="D51" s="86"/>
      <c r="E51" s="85">
        <v>4000</v>
      </c>
      <c r="F51" s="86">
        <f t="shared" si="5"/>
        <v>4000</v>
      </c>
      <c r="G51" s="86">
        <v>4000</v>
      </c>
      <c r="H51" s="184">
        <f t="shared" si="6"/>
        <v>0</v>
      </c>
      <c r="I51" s="149"/>
    </row>
    <row r="52" spans="1:11" x14ac:dyDescent="0.25">
      <c r="A52" s="93">
        <v>6</v>
      </c>
      <c r="B52" s="191" t="s">
        <v>287</v>
      </c>
      <c r="C52" s="85"/>
      <c r="D52" s="86"/>
      <c r="E52" s="85">
        <v>4000</v>
      </c>
      <c r="F52" s="86">
        <f t="shared" si="5"/>
        <v>4000</v>
      </c>
      <c r="G52" s="86">
        <v>4000</v>
      </c>
      <c r="H52" s="184">
        <f t="shared" si="6"/>
        <v>0</v>
      </c>
      <c r="I52" s="149"/>
    </row>
    <row r="53" spans="1:11" x14ac:dyDescent="0.25">
      <c r="A53" s="83"/>
      <c r="B53" s="210" t="s">
        <v>288</v>
      </c>
      <c r="C53" s="85">
        <v>0</v>
      </c>
      <c r="D53" s="92">
        <v>0</v>
      </c>
      <c r="E53" s="85">
        <v>4000</v>
      </c>
      <c r="F53" s="86">
        <f t="shared" si="5"/>
        <v>4000</v>
      </c>
      <c r="G53" s="86">
        <v>4000</v>
      </c>
      <c r="H53" s="184">
        <f t="shared" si="6"/>
        <v>0</v>
      </c>
      <c r="I53" s="149"/>
    </row>
    <row r="54" spans="1:11" x14ac:dyDescent="0.25">
      <c r="A54" s="113"/>
      <c r="B54" s="173"/>
      <c r="C54" s="86"/>
      <c r="D54" s="92"/>
      <c r="E54" s="86"/>
      <c r="F54" s="86"/>
      <c r="G54" s="86"/>
      <c r="H54" s="183"/>
      <c r="I54" s="149"/>
    </row>
    <row r="55" spans="1:11" x14ac:dyDescent="0.25">
      <c r="A55" s="113"/>
      <c r="B55" s="174"/>
      <c r="C55" s="98"/>
      <c r="D55" s="98"/>
      <c r="E55" s="98">
        <f>SUM(E47:E54)</f>
        <v>23500</v>
      </c>
      <c r="F55" s="98"/>
      <c r="G55" s="98">
        <f>SUM(G47:G54)</f>
        <v>23500</v>
      </c>
      <c r="H55" s="183"/>
      <c r="I55" s="149"/>
    </row>
    <row r="56" spans="1:11" x14ac:dyDescent="0.25">
      <c r="A56" s="142"/>
    </row>
    <row r="57" spans="1:11" x14ac:dyDescent="0.25">
      <c r="A57" s="175"/>
    </row>
    <row r="58" spans="1:11" x14ac:dyDescent="0.25">
      <c r="A58" s="109"/>
    </row>
    <row r="59" spans="1:11" x14ac:dyDescent="0.25">
      <c r="A59" s="79"/>
      <c r="B59" s="79"/>
      <c r="C59" s="106"/>
      <c r="D59" s="107"/>
      <c r="E59" s="106"/>
      <c r="F59" s="108"/>
      <c r="G59" s="106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158" t="s">
        <v>208</v>
      </c>
      <c r="J60" s="185" t="s">
        <v>266</v>
      </c>
      <c r="K60" s="113"/>
    </row>
    <row r="61" spans="1:11" x14ac:dyDescent="0.25">
      <c r="A61" s="50" t="s">
        <v>198</v>
      </c>
      <c r="B61" s="211" t="s">
        <v>321</v>
      </c>
      <c r="C61" s="102">
        <f>E30+E43+E55</f>
        <v>85600</v>
      </c>
      <c r="D61" s="113"/>
      <c r="E61" s="113"/>
      <c r="F61" s="211" t="s">
        <v>321</v>
      </c>
      <c r="G61" s="102">
        <f>H30+G43+G55</f>
        <v>79450</v>
      </c>
      <c r="H61" s="113"/>
      <c r="I61" s="113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149">
        <f>C61*C62</f>
        <v>6848</v>
      </c>
      <c r="E62" s="113"/>
      <c r="F62" s="113" t="s">
        <v>209</v>
      </c>
      <c r="G62" s="161">
        <v>0.08</v>
      </c>
      <c r="H62" s="149">
        <f>D62</f>
        <v>6848</v>
      </c>
      <c r="I62" s="113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113"/>
      <c r="J63" s="113"/>
      <c r="K63" s="113"/>
    </row>
    <row r="64" spans="1:11" x14ac:dyDescent="0.25">
      <c r="A64" s="50"/>
      <c r="B64" s="168" t="s">
        <v>232</v>
      </c>
      <c r="C64" s="149">
        <f>F30</f>
        <v>0</v>
      </c>
      <c r="D64" s="113"/>
      <c r="E64" s="113"/>
      <c r="F64" s="168" t="s">
        <v>232</v>
      </c>
      <c r="G64" s="149">
        <f>C64</f>
        <v>0</v>
      </c>
      <c r="H64" s="113"/>
      <c r="I64" s="113"/>
      <c r="J64" s="113"/>
      <c r="K64" s="113"/>
    </row>
    <row r="65" spans="1:11" x14ac:dyDescent="0.25">
      <c r="A65" s="50" t="s">
        <v>201</v>
      </c>
      <c r="B65" s="168" t="s">
        <v>239</v>
      </c>
      <c r="C65" s="160">
        <f>'DEC  2017'!E73</f>
        <v>96801.262305280048</v>
      </c>
      <c r="D65" s="113"/>
      <c r="E65" s="113"/>
      <c r="F65" s="168" t="s">
        <v>239</v>
      </c>
      <c r="G65" s="160">
        <f>'DEC  2017'!I73</f>
        <v>39942.275200000033</v>
      </c>
      <c r="H65" s="113"/>
      <c r="I65" s="113"/>
      <c r="J65" s="113"/>
      <c r="K65" s="113"/>
    </row>
    <row r="66" spans="1:11" x14ac:dyDescent="0.25">
      <c r="A66" s="50" t="s">
        <v>202</v>
      </c>
      <c r="B66" s="168" t="s">
        <v>193</v>
      </c>
      <c r="C66" s="149">
        <f>C61+C63+C64+C65</f>
        <v>185401.26230528005</v>
      </c>
      <c r="D66" s="113"/>
      <c r="E66" s="113"/>
      <c r="F66" s="168" t="s">
        <v>193</v>
      </c>
      <c r="G66" s="149">
        <f>G61+G63+G64+G65</f>
        <v>122392.27520000003</v>
      </c>
      <c r="H66" s="113"/>
      <c r="I66" s="113"/>
      <c r="J66" s="113"/>
      <c r="K66" s="113"/>
    </row>
    <row r="67" spans="1:11" x14ac:dyDescent="0.25">
      <c r="A67" s="50"/>
      <c r="B67" s="212" t="s">
        <v>211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219" t="s">
        <v>336</v>
      </c>
      <c r="C68" s="113"/>
      <c r="D68" s="164">
        <v>2500</v>
      </c>
      <c r="E68" s="113"/>
      <c r="F68" s="219" t="s">
        <v>336</v>
      </c>
      <c r="G68" s="113"/>
      <c r="H68" s="164">
        <v>2500</v>
      </c>
      <c r="I68" s="113"/>
      <c r="J68" s="113"/>
      <c r="K68" s="113"/>
    </row>
    <row r="69" spans="1:11" x14ac:dyDescent="0.25">
      <c r="A69" s="50"/>
      <c r="B69" s="213" t="s">
        <v>337</v>
      </c>
      <c r="C69" s="113"/>
      <c r="D69" s="164">
        <v>1950</v>
      </c>
      <c r="E69" s="113"/>
      <c r="F69" s="213" t="s">
        <v>337</v>
      </c>
      <c r="G69" s="113"/>
      <c r="H69" s="164">
        <v>1950</v>
      </c>
      <c r="I69" s="113"/>
      <c r="J69" s="113"/>
      <c r="K69" s="113"/>
    </row>
    <row r="70" spans="1:11" x14ac:dyDescent="0.25">
      <c r="B70" s="163" t="s">
        <v>320</v>
      </c>
      <c r="C70" s="164"/>
      <c r="D70" s="165">
        <v>2000</v>
      </c>
      <c r="E70" s="113"/>
      <c r="F70" s="163" t="s">
        <v>320</v>
      </c>
      <c r="G70" s="164"/>
      <c r="H70" s="165">
        <v>2000</v>
      </c>
      <c r="I70" s="113"/>
      <c r="J70" s="113"/>
      <c r="K70" s="113"/>
    </row>
    <row r="71" spans="1:11" x14ac:dyDescent="0.25"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B72" s="166" t="s">
        <v>193</v>
      </c>
      <c r="C72" s="167">
        <f>C66</f>
        <v>185401.26230528005</v>
      </c>
      <c r="D72" s="149">
        <f>SUM(D62:D71)</f>
        <v>13298</v>
      </c>
      <c r="E72" s="149">
        <f>C72-D72</f>
        <v>172103.26230528005</v>
      </c>
      <c r="F72" s="166" t="s">
        <v>193</v>
      </c>
      <c r="G72" s="167">
        <f>G66</f>
        <v>122392.27520000003</v>
      </c>
      <c r="H72" s="149">
        <f>SUM(H62:H71)</f>
        <v>13298</v>
      </c>
      <c r="I72" s="149">
        <f>G72-H72</f>
        <v>109094.27520000003</v>
      </c>
      <c r="J72" s="149">
        <f>I30</f>
        <v>0</v>
      </c>
      <c r="K72" s="113"/>
    </row>
    <row r="73" spans="1:11" x14ac:dyDescent="0.25">
      <c r="G73" s="79"/>
    </row>
    <row r="74" spans="1:11" x14ac:dyDescent="0.25">
      <c r="B74" s="59"/>
      <c r="C74" s="79"/>
      <c r="D74" s="79"/>
      <c r="E74" s="79"/>
      <c r="F74" s="148"/>
    </row>
    <row r="75" spans="1:11" x14ac:dyDescent="0.25">
      <c r="B75" s="78" t="s">
        <v>71</v>
      </c>
      <c r="C75" s="79"/>
      <c r="D75" s="150" t="s">
        <v>72</v>
      </c>
      <c r="E75" s="79"/>
      <c r="F75" s="78" t="s">
        <v>73</v>
      </c>
    </row>
    <row r="77" spans="1:11" x14ac:dyDescent="0.25">
      <c r="B77" s="78" t="s">
        <v>379</v>
      </c>
      <c r="D77" s="78" t="s">
        <v>135</v>
      </c>
      <c r="F77" s="78" t="s">
        <v>130</v>
      </c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3" workbookViewId="0">
      <selection activeCell="H69" sqref="H69"/>
    </sheetView>
  </sheetViews>
  <sheetFormatPr defaultRowHeight="15" x14ac:dyDescent="0.25"/>
  <cols>
    <col min="1" max="1" width="3.85546875" customWidth="1"/>
    <col min="2" max="2" width="16.42578125" customWidth="1"/>
    <col min="3" max="3" width="12.5703125" customWidth="1"/>
    <col min="4" max="4" width="11" customWidth="1"/>
    <col min="5" max="5" width="11.28515625" customWidth="1"/>
    <col min="6" max="6" width="10.5703125" customWidth="1"/>
    <col min="7" max="7" width="11.28515625" customWidth="1"/>
    <col min="8" max="8" width="10.85546875" customWidth="1"/>
    <col min="9" max="9" width="11.85546875" customWidth="1"/>
    <col min="13" max="13" width="10.5703125" bestFit="1" customWidth="1"/>
  </cols>
  <sheetData>
    <row r="1" spans="1:11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78"/>
      <c r="J1" s="78"/>
      <c r="K1" s="78"/>
    </row>
    <row r="2" spans="1:11" ht="21" x14ac:dyDescent="0.25">
      <c r="A2" s="8"/>
      <c r="B2" s="64" t="s">
        <v>317</v>
      </c>
      <c r="C2" s="11"/>
      <c r="D2" s="11"/>
      <c r="E2" s="11"/>
      <c r="F2" s="103"/>
      <c r="G2" s="103"/>
      <c r="H2" s="103"/>
      <c r="I2" s="78"/>
      <c r="J2" s="78"/>
      <c r="K2" s="78"/>
    </row>
    <row r="3" spans="1:11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113" t="s">
        <v>306</v>
      </c>
      <c r="J3" s="78"/>
      <c r="K3" s="78"/>
    </row>
    <row r="4" spans="1:11" x14ac:dyDescent="0.25">
      <c r="A4" s="16">
        <v>1</v>
      </c>
      <c r="B4" s="191" t="s">
        <v>257</v>
      </c>
      <c r="C4" s="17" t="s">
        <v>18</v>
      </c>
      <c r="D4" s="18"/>
      <c r="E4" s="226">
        <v>2500</v>
      </c>
      <c r="F4" s="18">
        <v>100</v>
      </c>
      <c r="G4" s="176">
        <f>D4+E4+F4</f>
        <v>2600</v>
      </c>
      <c r="H4" s="223">
        <v>2500</v>
      </c>
      <c r="I4" s="221">
        <f>G4-H4</f>
        <v>100</v>
      </c>
      <c r="J4" s="78"/>
      <c r="K4" s="78"/>
    </row>
    <row r="5" spans="1:11" x14ac:dyDescent="0.25">
      <c r="A5" s="16">
        <v>2</v>
      </c>
      <c r="B5" s="191" t="s">
        <v>307</v>
      </c>
      <c r="C5" s="17" t="s">
        <v>20</v>
      </c>
      <c r="D5" s="18"/>
      <c r="E5" s="226">
        <v>2500</v>
      </c>
      <c r="F5" s="18">
        <v>100</v>
      </c>
      <c r="G5" s="176">
        <f t="shared" ref="G5:G27" si="0">D5+E5+F5</f>
        <v>2600</v>
      </c>
      <c r="H5" s="223">
        <v>2500</v>
      </c>
      <c r="I5" s="221">
        <f t="shared" ref="I5:I44" si="1">G5-H5</f>
        <v>100</v>
      </c>
      <c r="J5" s="78"/>
      <c r="K5" s="78"/>
    </row>
    <row r="6" spans="1:11" x14ac:dyDescent="0.25">
      <c r="A6" s="16">
        <v>3</v>
      </c>
      <c r="B6" s="191" t="s">
        <v>258</v>
      </c>
      <c r="C6" s="17" t="s">
        <v>22</v>
      </c>
      <c r="D6" s="18">
        <v>100</v>
      </c>
      <c r="E6" s="226">
        <v>2500</v>
      </c>
      <c r="F6" s="18">
        <v>100</v>
      </c>
      <c r="G6" s="176">
        <f t="shared" si="0"/>
        <v>2700</v>
      </c>
      <c r="H6" s="223">
        <v>2500</v>
      </c>
      <c r="I6" s="221">
        <f t="shared" si="1"/>
        <v>200</v>
      </c>
      <c r="J6" s="78"/>
      <c r="K6" s="78"/>
    </row>
    <row r="7" spans="1:11" x14ac:dyDescent="0.25">
      <c r="A7" s="16">
        <v>4</v>
      </c>
      <c r="B7" s="191" t="s">
        <v>217</v>
      </c>
      <c r="C7" s="17" t="s">
        <v>24</v>
      </c>
      <c r="D7" s="18">
        <v>0</v>
      </c>
      <c r="E7" s="226">
        <v>2500</v>
      </c>
      <c r="F7" s="18">
        <v>100</v>
      </c>
      <c r="G7" s="176">
        <f t="shared" si="0"/>
        <v>2600</v>
      </c>
      <c r="H7" s="223">
        <v>2500</v>
      </c>
      <c r="I7" s="221">
        <f t="shared" si="1"/>
        <v>100</v>
      </c>
      <c r="J7" s="78"/>
      <c r="K7" s="78"/>
    </row>
    <row r="8" spans="1:11" x14ac:dyDescent="0.25">
      <c r="A8" s="16">
        <v>5</v>
      </c>
      <c r="B8" s="218" t="s">
        <v>330</v>
      </c>
      <c r="C8" s="17" t="s">
        <v>26</v>
      </c>
      <c r="D8" s="18"/>
      <c r="E8" s="226">
        <v>2500</v>
      </c>
      <c r="F8" s="18">
        <v>100</v>
      </c>
      <c r="G8" s="176">
        <f t="shared" si="0"/>
        <v>2600</v>
      </c>
      <c r="H8" s="223">
        <v>2500</v>
      </c>
      <c r="I8" s="221">
        <f t="shared" si="1"/>
        <v>100</v>
      </c>
      <c r="J8" s="78"/>
      <c r="K8" s="78"/>
    </row>
    <row r="9" spans="1:11" x14ac:dyDescent="0.25">
      <c r="A9" s="187">
        <v>6</v>
      </c>
      <c r="B9" s="191" t="s">
        <v>274</v>
      </c>
      <c r="C9" s="192" t="s">
        <v>28</v>
      </c>
      <c r="D9" s="176"/>
      <c r="E9" s="225">
        <v>2500</v>
      </c>
      <c r="F9" s="176">
        <v>100</v>
      </c>
      <c r="G9" s="176">
        <f t="shared" si="0"/>
        <v>2600</v>
      </c>
      <c r="H9" s="223">
        <v>2500</v>
      </c>
      <c r="I9" s="221">
        <f t="shared" si="1"/>
        <v>100</v>
      </c>
      <c r="J9" s="155"/>
      <c r="K9" s="155"/>
    </row>
    <row r="10" spans="1:11" x14ac:dyDescent="0.25">
      <c r="A10" s="16">
        <v>7</v>
      </c>
      <c r="B10" s="191" t="s">
        <v>308</v>
      </c>
      <c r="C10" s="17" t="s">
        <v>30</v>
      </c>
      <c r="D10" s="18"/>
      <c r="E10" s="226">
        <v>2500</v>
      </c>
      <c r="F10" s="18">
        <v>100</v>
      </c>
      <c r="G10" s="176">
        <f t="shared" si="0"/>
        <v>2600</v>
      </c>
      <c r="H10" s="223">
        <v>2500</v>
      </c>
      <c r="I10" s="221">
        <f t="shared" si="1"/>
        <v>100</v>
      </c>
      <c r="J10" s="78">
        <v>2500</v>
      </c>
      <c r="K10" s="78"/>
    </row>
    <row r="11" spans="1:11" x14ac:dyDescent="0.25">
      <c r="A11" s="16">
        <v>8</v>
      </c>
      <c r="B11" s="193" t="s">
        <v>220</v>
      </c>
      <c r="C11" s="17" t="s">
        <v>32</v>
      </c>
      <c r="D11" s="18"/>
      <c r="E11" s="226">
        <v>2500</v>
      </c>
      <c r="F11" s="18">
        <v>100</v>
      </c>
      <c r="G11" s="176">
        <f t="shared" si="0"/>
        <v>2600</v>
      </c>
      <c r="H11" s="223">
        <v>2500</v>
      </c>
      <c r="I11" s="221">
        <f t="shared" si="1"/>
        <v>100</v>
      </c>
      <c r="J11" s="78"/>
      <c r="K11" s="78"/>
    </row>
    <row r="12" spans="1:11" x14ac:dyDescent="0.25">
      <c r="A12" s="16">
        <v>9</v>
      </c>
      <c r="B12" s="191" t="s">
        <v>221</v>
      </c>
      <c r="C12" s="17" t="s">
        <v>34</v>
      </c>
      <c r="D12" s="18">
        <v>2400</v>
      </c>
      <c r="E12" s="226">
        <v>2500</v>
      </c>
      <c r="F12" s="18">
        <v>100</v>
      </c>
      <c r="G12" s="176">
        <f t="shared" si="0"/>
        <v>5000</v>
      </c>
      <c r="H12" s="223">
        <v>4500</v>
      </c>
      <c r="I12" s="221">
        <f t="shared" si="1"/>
        <v>500</v>
      </c>
      <c r="J12" s="78"/>
      <c r="K12" s="78"/>
    </row>
    <row r="13" spans="1:11" x14ac:dyDescent="0.25">
      <c r="A13" s="16">
        <v>10</v>
      </c>
      <c r="B13" s="191" t="s">
        <v>95</v>
      </c>
      <c r="C13" s="17" t="s">
        <v>36</v>
      </c>
      <c r="D13" s="18"/>
      <c r="E13" s="226">
        <v>2500</v>
      </c>
      <c r="F13" s="18">
        <v>100</v>
      </c>
      <c r="G13" s="176">
        <f t="shared" si="0"/>
        <v>2600</v>
      </c>
      <c r="H13" s="223">
        <v>2500</v>
      </c>
      <c r="I13" s="221">
        <f t="shared" si="1"/>
        <v>100</v>
      </c>
      <c r="J13" s="78"/>
      <c r="K13" s="78"/>
    </row>
    <row r="14" spans="1:11" x14ac:dyDescent="0.25">
      <c r="A14" s="16">
        <v>11</v>
      </c>
      <c r="B14" s="191" t="s">
        <v>222</v>
      </c>
      <c r="C14" s="17" t="s">
        <v>38</v>
      </c>
      <c r="D14" s="18"/>
      <c r="E14" s="226">
        <v>2600</v>
      </c>
      <c r="F14" s="18">
        <v>100</v>
      </c>
      <c r="G14" s="176">
        <f t="shared" si="0"/>
        <v>2700</v>
      </c>
      <c r="H14" s="223">
        <v>2500</v>
      </c>
      <c r="I14" s="221">
        <f t="shared" si="1"/>
        <v>200</v>
      </c>
      <c r="J14" s="78"/>
      <c r="K14" s="78"/>
    </row>
    <row r="15" spans="1:11" x14ac:dyDescent="0.25">
      <c r="A15" s="16">
        <v>12</v>
      </c>
      <c r="B15" s="191" t="s">
        <v>252</v>
      </c>
      <c r="C15" s="17" t="s">
        <v>40</v>
      </c>
      <c r="D15" s="18">
        <v>150</v>
      </c>
      <c r="E15" s="226">
        <v>2500</v>
      </c>
      <c r="F15" s="18">
        <v>100</v>
      </c>
      <c r="G15" s="176">
        <f t="shared" si="0"/>
        <v>2750</v>
      </c>
      <c r="H15" s="223">
        <v>2500</v>
      </c>
      <c r="I15" s="221">
        <f t="shared" si="1"/>
        <v>250</v>
      </c>
      <c r="J15" s="78"/>
      <c r="K15" s="78"/>
    </row>
    <row r="16" spans="1:11" x14ac:dyDescent="0.25">
      <c r="A16" s="16">
        <v>13</v>
      </c>
      <c r="B16" s="191" t="s">
        <v>292</v>
      </c>
      <c r="C16" s="17" t="s">
        <v>42</v>
      </c>
      <c r="D16" s="18"/>
      <c r="E16" s="226">
        <v>2500</v>
      </c>
      <c r="F16" s="18">
        <v>100</v>
      </c>
      <c r="G16" s="176">
        <f t="shared" si="0"/>
        <v>2600</v>
      </c>
      <c r="H16" s="223">
        <v>2500</v>
      </c>
      <c r="I16" s="221">
        <f t="shared" si="1"/>
        <v>100</v>
      </c>
      <c r="J16" s="78"/>
      <c r="K16" s="78"/>
    </row>
    <row r="17" spans="1:11" x14ac:dyDescent="0.25">
      <c r="A17" s="16">
        <v>14</v>
      </c>
      <c r="B17" s="191" t="s">
        <v>282</v>
      </c>
      <c r="C17" s="17" t="s">
        <v>44</v>
      </c>
      <c r="D17" s="18">
        <v>100</v>
      </c>
      <c r="E17" s="226">
        <v>2500</v>
      </c>
      <c r="F17" s="18">
        <v>100</v>
      </c>
      <c r="G17" s="176">
        <f t="shared" si="0"/>
        <v>2700</v>
      </c>
      <c r="H17" s="223">
        <v>2500</v>
      </c>
      <c r="I17" s="221">
        <f t="shared" si="1"/>
        <v>200</v>
      </c>
      <c r="J17" s="78"/>
      <c r="K17" s="78"/>
    </row>
    <row r="18" spans="1:11" x14ac:dyDescent="0.25">
      <c r="A18" s="16">
        <v>15</v>
      </c>
      <c r="B18" s="191" t="s">
        <v>309</v>
      </c>
      <c r="C18" s="17" t="s">
        <v>46</v>
      </c>
      <c r="D18" s="18"/>
      <c r="E18" s="226">
        <v>2500</v>
      </c>
      <c r="F18" s="18"/>
      <c r="G18" s="176">
        <f t="shared" si="0"/>
        <v>2500</v>
      </c>
      <c r="H18" s="223">
        <v>2500</v>
      </c>
      <c r="I18" s="221">
        <f t="shared" si="1"/>
        <v>0</v>
      </c>
      <c r="J18" s="78"/>
      <c r="K18" s="78"/>
    </row>
    <row r="19" spans="1:11" x14ac:dyDescent="0.25">
      <c r="A19" s="16">
        <v>16</v>
      </c>
      <c r="B19" s="191" t="s">
        <v>225</v>
      </c>
      <c r="C19" s="17" t="s">
        <v>48</v>
      </c>
      <c r="D19" s="18"/>
      <c r="E19" s="226">
        <v>2500</v>
      </c>
      <c r="F19" s="18">
        <v>100</v>
      </c>
      <c r="G19" s="176">
        <f t="shared" si="0"/>
        <v>2600</v>
      </c>
      <c r="H19" s="223">
        <v>2500</v>
      </c>
      <c r="I19" s="221">
        <f t="shared" si="1"/>
        <v>100</v>
      </c>
      <c r="J19" s="78"/>
      <c r="K19" s="78"/>
    </row>
    <row r="20" spans="1:11" x14ac:dyDescent="0.25">
      <c r="A20" s="21">
        <v>17</v>
      </c>
      <c r="B20" s="194" t="s">
        <v>316</v>
      </c>
      <c r="C20" s="17" t="s">
        <v>50</v>
      </c>
      <c r="D20" s="18"/>
      <c r="E20" s="229">
        <v>3000</v>
      </c>
      <c r="F20" s="24">
        <v>100</v>
      </c>
      <c r="G20" s="176">
        <f t="shared" si="0"/>
        <v>3100</v>
      </c>
      <c r="H20" s="223">
        <v>5000</v>
      </c>
      <c r="I20" s="221">
        <f t="shared" si="1"/>
        <v>-1900</v>
      </c>
      <c r="J20" s="78"/>
      <c r="K20" s="78"/>
    </row>
    <row r="21" spans="1:11" x14ac:dyDescent="0.25">
      <c r="A21" s="21">
        <v>18</v>
      </c>
      <c r="B21" s="194" t="s">
        <v>226</v>
      </c>
      <c r="C21" s="17" t="s">
        <v>52</v>
      </c>
      <c r="D21" s="18">
        <v>800</v>
      </c>
      <c r="E21" s="229">
        <v>3000</v>
      </c>
      <c r="F21" s="24">
        <v>100</v>
      </c>
      <c r="G21" s="176">
        <f t="shared" si="0"/>
        <v>3900</v>
      </c>
      <c r="H21" s="223">
        <v>3000</v>
      </c>
      <c r="I21" s="221">
        <f t="shared" si="1"/>
        <v>900</v>
      </c>
      <c r="J21" s="78"/>
      <c r="K21" s="78"/>
    </row>
    <row r="22" spans="1:11" x14ac:dyDescent="0.25">
      <c r="A22" s="21">
        <v>19</v>
      </c>
      <c r="B22" s="195" t="s">
        <v>270</v>
      </c>
      <c r="C22" s="17" t="s">
        <v>54</v>
      </c>
      <c r="D22" s="18">
        <v>0</v>
      </c>
      <c r="E22" s="229">
        <v>3000</v>
      </c>
      <c r="F22" s="24">
        <v>100</v>
      </c>
      <c r="G22" s="176">
        <f t="shared" si="0"/>
        <v>3100</v>
      </c>
      <c r="H22" s="223">
        <v>0</v>
      </c>
      <c r="I22" s="221">
        <f t="shared" si="1"/>
        <v>3100</v>
      </c>
      <c r="J22" s="78"/>
      <c r="K22" s="78"/>
    </row>
    <row r="23" spans="1:11" x14ac:dyDescent="0.25">
      <c r="A23" s="21">
        <v>20</v>
      </c>
      <c r="B23" s="194" t="s">
        <v>228</v>
      </c>
      <c r="C23" s="17" t="s">
        <v>56</v>
      </c>
      <c r="D23" s="18">
        <v>200</v>
      </c>
      <c r="E23" s="229">
        <v>3000</v>
      </c>
      <c r="F23" s="24">
        <v>100</v>
      </c>
      <c r="G23" s="176">
        <f t="shared" si="0"/>
        <v>3300</v>
      </c>
      <c r="H23" s="223">
        <v>3000</v>
      </c>
      <c r="I23" s="221">
        <f t="shared" si="1"/>
        <v>300</v>
      </c>
      <c r="J23" s="78"/>
      <c r="K23" s="78"/>
    </row>
    <row r="24" spans="1:11" x14ac:dyDescent="0.25">
      <c r="A24" s="21">
        <v>21</v>
      </c>
      <c r="B24" s="195" t="s">
        <v>291</v>
      </c>
      <c r="C24" s="17" t="s">
        <v>58</v>
      </c>
      <c r="D24" s="18">
        <v>0</v>
      </c>
      <c r="E24" s="229">
        <v>3000</v>
      </c>
      <c r="F24" s="24">
        <v>100</v>
      </c>
      <c r="G24" s="176">
        <f t="shared" si="0"/>
        <v>3100</v>
      </c>
      <c r="H24" s="223">
        <v>3000</v>
      </c>
      <c r="I24" s="221">
        <f t="shared" si="1"/>
        <v>100</v>
      </c>
      <c r="J24" s="78"/>
      <c r="K24" s="78"/>
    </row>
    <row r="25" spans="1:11" x14ac:dyDescent="0.25">
      <c r="A25" s="21">
        <v>22</v>
      </c>
      <c r="B25" s="195" t="s">
        <v>283</v>
      </c>
      <c r="C25" s="17" t="s">
        <v>60</v>
      </c>
      <c r="D25" s="18">
        <v>0</v>
      </c>
      <c r="E25" s="229">
        <v>3000</v>
      </c>
      <c r="F25" s="24">
        <v>100</v>
      </c>
      <c r="G25" s="176">
        <f t="shared" si="0"/>
        <v>3100</v>
      </c>
      <c r="H25" s="223">
        <v>3000</v>
      </c>
      <c r="I25" s="221">
        <f t="shared" si="1"/>
        <v>100</v>
      </c>
      <c r="J25" s="78"/>
      <c r="K25" s="78"/>
    </row>
    <row r="26" spans="1:11" x14ac:dyDescent="0.25">
      <c r="A26" s="21">
        <v>23</v>
      </c>
      <c r="B26" s="195" t="s">
        <v>310</v>
      </c>
      <c r="C26" s="17" t="s">
        <v>62</v>
      </c>
      <c r="D26" s="18"/>
      <c r="E26" s="229">
        <v>3000</v>
      </c>
      <c r="F26" s="24">
        <v>100</v>
      </c>
      <c r="G26" s="176">
        <f t="shared" si="0"/>
        <v>3100</v>
      </c>
      <c r="H26" s="223">
        <v>3000</v>
      </c>
      <c r="I26" s="221">
        <f t="shared" si="1"/>
        <v>100</v>
      </c>
      <c r="J26" s="78">
        <v>3000</v>
      </c>
      <c r="K26" s="78"/>
    </row>
    <row r="27" spans="1:11" x14ac:dyDescent="0.25">
      <c r="A27" s="28">
        <v>24</v>
      </c>
      <c r="B27" s="196" t="s">
        <v>277</v>
      </c>
      <c r="C27" s="29" t="s">
        <v>64</v>
      </c>
      <c r="D27" s="18">
        <v>0</v>
      </c>
      <c r="E27" s="230">
        <v>3000</v>
      </c>
      <c r="F27" s="198">
        <v>100</v>
      </c>
      <c r="G27" s="176">
        <f t="shared" si="0"/>
        <v>3100</v>
      </c>
      <c r="H27" s="224">
        <v>3000</v>
      </c>
      <c r="I27" s="221">
        <f t="shared" si="1"/>
        <v>100</v>
      </c>
      <c r="J27" s="78"/>
      <c r="K27" s="78"/>
    </row>
    <row r="28" spans="1:11" x14ac:dyDescent="0.25">
      <c r="A28" s="37"/>
      <c r="B28" s="176"/>
      <c r="C28" s="18"/>
      <c r="D28" s="18">
        <v>0</v>
      </c>
      <c r="E28" s="19"/>
      <c r="F28" s="19"/>
      <c r="G28" s="176">
        <f>D28+E28+F28</f>
        <v>0</v>
      </c>
      <c r="H28" s="132"/>
      <c r="I28" s="149">
        <f t="shared" si="1"/>
        <v>0</v>
      </c>
      <c r="J28" s="78"/>
      <c r="K28" s="78"/>
    </row>
    <row r="29" spans="1:11" x14ac:dyDescent="0.25">
      <c r="A29" s="38"/>
      <c r="B29" s="199" t="s">
        <v>65</v>
      </c>
      <c r="C29" s="38"/>
      <c r="D29" s="149"/>
      <c r="E29" s="40">
        <f>SUM(E4:E28)</f>
        <v>64100</v>
      </c>
      <c r="F29" s="42">
        <f>SUM(F4:F28)</f>
        <v>2300</v>
      </c>
      <c r="G29" s="19"/>
      <c r="H29" s="135">
        <f>SUM(H4:H28)</f>
        <v>65000</v>
      </c>
      <c r="I29" s="149"/>
      <c r="J29" s="78"/>
      <c r="K29" s="78"/>
    </row>
    <row r="30" spans="1:11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149">
        <f>G30-H30</f>
        <v>0</v>
      </c>
      <c r="J30" s="78"/>
      <c r="K30" s="78"/>
    </row>
    <row r="31" spans="1:11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149"/>
      <c r="J31" s="78"/>
      <c r="K31" s="78"/>
    </row>
    <row r="32" spans="1:11" x14ac:dyDescent="0.25">
      <c r="A32" s="83" t="s">
        <v>106</v>
      </c>
      <c r="B32" s="84" t="s">
        <v>311</v>
      </c>
      <c r="C32" s="85"/>
      <c r="D32" s="86">
        <v>0</v>
      </c>
      <c r="E32" s="231">
        <v>2500</v>
      </c>
      <c r="F32" s="232">
        <f>D32+E32</f>
        <v>2500</v>
      </c>
      <c r="G32" s="232"/>
      <c r="H32" s="233">
        <f>F32-G32</f>
        <v>2500</v>
      </c>
      <c r="I32" s="149">
        <f>G32-H32</f>
        <v>-2500</v>
      </c>
      <c r="J32" s="78"/>
      <c r="K32" s="78"/>
    </row>
    <row r="33" spans="1:13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149">
        <f t="shared" si="1"/>
        <v>0</v>
      </c>
      <c r="J33" s="78"/>
      <c r="K33" s="78"/>
    </row>
    <row r="34" spans="1:13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2">F34-G34</f>
        <v>0</v>
      </c>
      <c r="I34" s="149"/>
      <c r="J34" s="78"/>
      <c r="K34" s="78"/>
    </row>
    <row r="35" spans="1:13" x14ac:dyDescent="0.25">
      <c r="A35" s="87" t="s">
        <v>112</v>
      </c>
      <c r="B35" s="201" t="s">
        <v>254</v>
      </c>
      <c r="C35" s="89"/>
      <c r="D35" s="90"/>
      <c r="E35" s="235">
        <v>2500</v>
      </c>
      <c r="F35" s="232">
        <f t="shared" ref="F35:F40" si="3">D35+E35</f>
        <v>2500</v>
      </c>
      <c r="G35" s="236"/>
      <c r="H35" s="233">
        <f t="shared" si="2"/>
        <v>2500</v>
      </c>
      <c r="I35" s="149"/>
      <c r="J35" s="78"/>
      <c r="K35" s="78"/>
    </row>
    <row r="36" spans="1:13" x14ac:dyDescent="0.25">
      <c r="A36" s="99" t="s">
        <v>114</v>
      </c>
      <c r="B36" s="202" t="s">
        <v>184</v>
      </c>
      <c r="C36" s="86"/>
      <c r="D36" s="86"/>
      <c r="E36" s="232">
        <v>2500</v>
      </c>
      <c r="F36" s="232">
        <f t="shared" si="3"/>
        <v>2500</v>
      </c>
      <c r="G36" s="234">
        <v>2200</v>
      </c>
      <c r="H36" s="233">
        <f t="shared" si="2"/>
        <v>300</v>
      </c>
      <c r="I36" s="149"/>
      <c r="J36" s="78"/>
      <c r="K36" s="78"/>
      <c r="M36" s="102">
        <f>H29+G42+G54</f>
        <v>94700</v>
      </c>
    </row>
    <row r="37" spans="1:13" x14ac:dyDescent="0.25">
      <c r="A37" s="93" t="s">
        <v>116</v>
      </c>
      <c r="B37" s="200" t="s">
        <v>281</v>
      </c>
      <c r="C37" s="94"/>
      <c r="D37" s="92"/>
      <c r="E37" s="237"/>
      <c r="F37" s="232">
        <f t="shared" si="3"/>
        <v>0</v>
      </c>
      <c r="G37" s="238">
        <v>0</v>
      </c>
      <c r="H37" s="233">
        <f t="shared" si="2"/>
        <v>0</v>
      </c>
      <c r="I37" s="149"/>
      <c r="J37" s="78"/>
      <c r="K37" s="78"/>
    </row>
    <row r="38" spans="1:13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3"/>
        <v>2500</v>
      </c>
      <c r="G38" s="234">
        <v>2500</v>
      </c>
      <c r="H38" s="233">
        <f t="shared" si="2"/>
        <v>0</v>
      </c>
      <c r="I38" s="149"/>
      <c r="J38" s="78"/>
      <c r="K38" s="78"/>
    </row>
    <row r="39" spans="1:13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3"/>
        <v>0</v>
      </c>
      <c r="G39" s="234"/>
      <c r="H39" s="233">
        <f t="shared" si="2"/>
        <v>0</v>
      </c>
      <c r="I39" s="149"/>
      <c r="J39" s="78"/>
      <c r="K39" s="78"/>
    </row>
    <row r="40" spans="1:13" x14ac:dyDescent="0.25">
      <c r="A40" s="83" t="s">
        <v>123</v>
      </c>
      <c r="B40" s="200" t="s">
        <v>191</v>
      </c>
      <c r="C40" s="85"/>
      <c r="D40" s="92">
        <v>200</v>
      </c>
      <c r="E40" s="231">
        <v>2500</v>
      </c>
      <c r="F40" s="232">
        <f t="shared" si="3"/>
        <v>2700</v>
      </c>
      <c r="G40" s="234"/>
      <c r="H40" s="233">
        <f t="shared" si="2"/>
        <v>2700</v>
      </c>
      <c r="I40" s="149"/>
      <c r="J40" s="78"/>
      <c r="K40" s="78"/>
    </row>
    <row r="41" spans="1:13" x14ac:dyDescent="0.25">
      <c r="A41" s="83" t="s">
        <v>125</v>
      </c>
      <c r="B41" s="203"/>
      <c r="C41" s="78"/>
      <c r="D41" s="186"/>
      <c r="E41" s="245"/>
      <c r="F41" s="232"/>
      <c r="G41" s="234"/>
      <c r="H41" s="233">
        <f t="shared" si="2"/>
        <v>0</v>
      </c>
      <c r="I41" s="149"/>
      <c r="J41" s="78"/>
      <c r="K41" s="78"/>
    </row>
    <row r="42" spans="1:13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14000</v>
      </c>
      <c r="F42" s="240"/>
      <c r="G42" s="240">
        <f>SUM(G32:G41)</f>
        <v>6200</v>
      </c>
      <c r="H42" s="241">
        <f>SUM(H32:H41)</f>
        <v>8000</v>
      </c>
      <c r="I42" s="149"/>
      <c r="J42" s="78"/>
      <c r="K42" s="78"/>
    </row>
    <row r="43" spans="1:13" x14ac:dyDescent="0.25">
      <c r="A43" s="96"/>
      <c r="B43" s="84"/>
      <c r="C43" s="86"/>
      <c r="D43" s="92"/>
      <c r="E43" s="98"/>
      <c r="F43" s="98"/>
      <c r="G43" s="86"/>
      <c r="H43" s="183"/>
      <c r="I43" s="149">
        <f t="shared" si="1"/>
        <v>0</v>
      </c>
      <c r="J43" s="78"/>
      <c r="K43" s="78"/>
    </row>
    <row r="44" spans="1:13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149">
        <f t="shared" si="1"/>
        <v>0</v>
      </c>
      <c r="J44" s="78"/>
      <c r="K44" s="78"/>
    </row>
    <row r="45" spans="1:13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149"/>
      <c r="J45" s="78"/>
      <c r="K45" s="78"/>
    </row>
    <row r="46" spans="1:13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184">
        <f>F46-G46</f>
        <v>0</v>
      </c>
      <c r="I46" s="149"/>
      <c r="J46" s="78"/>
      <c r="K46" s="78"/>
    </row>
    <row r="47" spans="1:13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4">D47+E47</f>
        <v>4000</v>
      </c>
      <c r="G47" s="232">
        <v>4000</v>
      </c>
      <c r="H47" s="184">
        <f t="shared" ref="H47:H52" si="5">F47-G47</f>
        <v>0</v>
      </c>
      <c r="I47" s="149"/>
      <c r="J47" s="78"/>
      <c r="K47" s="78"/>
    </row>
    <row r="48" spans="1:13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4"/>
        <v>4000</v>
      </c>
      <c r="G48" s="232">
        <v>4000</v>
      </c>
      <c r="H48" s="184">
        <f t="shared" si="5"/>
        <v>0</v>
      </c>
      <c r="I48" s="149"/>
      <c r="J48" s="78"/>
      <c r="K48" s="78"/>
    </row>
    <row r="49" spans="1:11" x14ac:dyDescent="0.25">
      <c r="A49" s="83">
        <v>4</v>
      </c>
      <c r="B49" s="191" t="s">
        <v>284</v>
      </c>
      <c r="C49" s="86"/>
      <c r="D49" s="78"/>
      <c r="E49" s="231"/>
      <c r="F49" s="232">
        <f t="shared" si="4"/>
        <v>0</v>
      </c>
      <c r="G49" s="232"/>
      <c r="H49" s="184">
        <f t="shared" si="5"/>
        <v>0</v>
      </c>
      <c r="I49" s="149"/>
      <c r="J49" s="78"/>
      <c r="K49" s="78"/>
    </row>
    <row r="50" spans="1:11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4"/>
        <v>4000</v>
      </c>
      <c r="G50" s="232">
        <v>4000</v>
      </c>
      <c r="H50" s="184">
        <f t="shared" si="5"/>
        <v>0</v>
      </c>
      <c r="I50" s="149"/>
      <c r="J50" s="78">
        <v>4000</v>
      </c>
      <c r="K50" s="78"/>
    </row>
    <row r="51" spans="1:11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4"/>
        <v>4000</v>
      </c>
      <c r="G51" s="232">
        <v>4000</v>
      </c>
      <c r="H51" s="184">
        <f t="shared" si="5"/>
        <v>0</v>
      </c>
      <c r="I51" s="149"/>
      <c r="J51" s="78"/>
      <c r="K51" s="78"/>
    </row>
    <row r="52" spans="1:11" x14ac:dyDescent="0.25">
      <c r="A52" s="83"/>
      <c r="B52" s="210" t="s">
        <v>288</v>
      </c>
      <c r="C52" s="85">
        <v>0</v>
      </c>
      <c r="D52" s="92">
        <v>0</v>
      </c>
      <c r="E52" s="231">
        <v>4000</v>
      </c>
      <c r="F52" s="232">
        <f t="shared" si="4"/>
        <v>4000</v>
      </c>
      <c r="G52" s="232">
        <v>4000</v>
      </c>
      <c r="H52" s="184">
        <f t="shared" si="5"/>
        <v>0</v>
      </c>
      <c r="I52" s="149"/>
      <c r="J52" s="78"/>
      <c r="K52" s="78"/>
    </row>
    <row r="53" spans="1:11" x14ac:dyDescent="0.25">
      <c r="A53" s="113"/>
      <c r="B53" s="173"/>
      <c r="C53" s="86"/>
      <c r="D53" s="92"/>
      <c r="E53" s="86"/>
      <c r="F53" s="86"/>
      <c r="G53" s="86"/>
      <c r="H53" s="183"/>
      <c r="I53" s="149"/>
      <c r="J53" s="78"/>
      <c r="K53" s="78"/>
    </row>
    <row r="54" spans="1:11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149"/>
      <c r="J54" s="78"/>
      <c r="K54" s="78"/>
    </row>
    <row r="55" spans="1:11" x14ac:dyDescent="0.25">
      <c r="A55" s="142"/>
      <c r="B55" s="78"/>
      <c r="C55" s="78"/>
      <c r="D55" s="78"/>
      <c r="E55" s="78"/>
      <c r="F55" s="78"/>
      <c r="G55" s="78"/>
      <c r="H55" s="78"/>
      <c r="I55" s="78"/>
      <c r="J55" s="78"/>
      <c r="K55" s="78"/>
    </row>
    <row r="56" spans="1:11" x14ac:dyDescent="0.25">
      <c r="A56" s="175"/>
      <c r="B56" s="78"/>
      <c r="C56" s="78"/>
      <c r="D56" s="78"/>
      <c r="E56" s="78"/>
      <c r="F56" s="78"/>
      <c r="G56" s="78"/>
      <c r="H56" s="78"/>
      <c r="I56" s="78"/>
      <c r="J56" s="78"/>
      <c r="K56" s="78"/>
    </row>
    <row r="57" spans="1:11" x14ac:dyDescent="0.25">
      <c r="A57" s="109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</row>
    <row r="59" spans="1:11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158" t="s">
        <v>306</v>
      </c>
      <c r="J59" s="185" t="s">
        <v>266</v>
      </c>
      <c r="K59" s="113"/>
    </row>
    <row r="60" spans="1:11" x14ac:dyDescent="0.25">
      <c r="A60" s="50"/>
      <c r="B60" s="211" t="s">
        <v>319</v>
      </c>
      <c r="C60" s="102">
        <f>E29+E42+E54</f>
        <v>101600</v>
      </c>
      <c r="D60" s="113"/>
      <c r="E60" s="113"/>
      <c r="F60" s="211" t="s">
        <v>319</v>
      </c>
      <c r="G60" s="102">
        <f>H29+G42+G54</f>
        <v>94700</v>
      </c>
      <c r="H60" s="113"/>
      <c r="I60" s="113"/>
      <c r="J60" s="113"/>
      <c r="K60" s="113"/>
    </row>
    <row r="61" spans="1:11" x14ac:dyDescent="0.25">
      <c r="A61" s="50"/>
      <c r="B61" s="113" t="s">
        <v>209</v>
      </c>
      <c r="C61" s="161">
        <v>0.08</v>
      </c>
      <c r="D61" s="149">
        <f>C60*C61</f>
        <v>8128</v>
      </c>
      <c r="E61" s="113"/>
      <c r="F61" s="113" t="s">
        <v>209</v>
      </c>
      <c r="G61" s="161">
        <v>0.08</v>
      </c>
      <c r="H61" s="149">
        <f>D61</f>
        <v>8128</v>
      </c>
      <c r="I61" s="113"/>
      <c r="J61" s="113"/>
      <c r="K61" s="113"/>
    </row>
    <row r="62" spans="1:11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113"/>
      <c r="J62" s="113"/>
      <c r="K62" s="113"/>
    </row>
    <row r="63" spans="1:11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113"/>
      <c r="J63" s="113"/>
      <c r="K63" s="113"/>
    </row>
    <row r="64" spans="1:11" s="78" customFormat="1" x14ac:dyDescent="0.25">
      <c r="A64" s="50"/>
      <c r="B64" s="168" t="s">
        <v>323</v>
      </c>
      <c r="C64" s="149">
        <v>11500</v>
      </c>
      <c r="D64" s="113"/>
      <c r="E64" s="113"/>
      <c r="F64" s="168"/>
      <c r="G64" s="149"/>
      <c r="H64" s="113"/>
      <c r="I64" s="113"/>
      <c r="J64" s="113"/>
      <c r="K64" s="113"/>
    </row>
    <row r="65" spans="1:11" x14ac:dyDescent="0.25">
      <c r="A65" s="50"/>
      <c r="B65" s="168" t="s">
        <v>239</v>
      </c>
      <c r="C65" s="160">
        <f>'JAN 18'!E72</f>
        <v>172103.26230528005</v>
      </c>
      <c r="D65" s="113"/>
      <c r="E65" s="113"/>
      <c r="F65" s="168" t="s">
        <v>239</v>
      </c>
      <c r="G65" s="160">
        <f>'JAN 18'!I72</f>
        <v>109094.27520000003</v>
      </c>
      <c r="H65" s="113"/>
      <c r="I65" s="113"/>
      <c r="J65" s="113"/>
      <c r="K65" s="113"/>
    </row>
    <row r="66" spans="1:11" x14ac:dyDescent="0.25">
      <c r="A66" s="50"/>
      <c r="B66" s="168" t="s">
        <v>193</v>
      </c>
      <c r="C66" s="149">
        <f>SUM(C60:C65)</f>
        <v>290503.34230528004</v>
      </c>
      <c r="D66" s="113"/>
      <c r="E66" s="113"/>
      <c r="F66" s="168" t="s">
        <v>193</v>
      </c>
      <c r="G66" s="149">
        <f>G60+G62+G63+G65</f>
        <v>209094.27520000003</v>
      </c>
      <c r="H66" s="113"/>
      <c r="I66" s="113"/>
      <c r="J66" s="113"/>
      <c r="K66" s="113"/>
    </row>
    <row r="67" spans="1:11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113"/>
      <c r="J67" s="113"/>
      <c r="K67" s="113"/>
    </row>
    <row r="68" spans="1:11" x14ac:dyDescent="0.25">
      <c r="A68" s="50"/>
      <c r="B68" s="219">
        <v>43172</v>
      </c>
      <c r="C68" s="78"/>
      <c r="D68" s="164">
        <v>100000</v>
      </c>
      <c r="E68" s="113"/>
      <c r="F68" s="219">
        <v>43172</v>
      </c>
      <c r="G68" s="78"/>
      <c r="H68" s="164">
        <v>100000</v>
      </c>
      <c r="I68" s="113"/>
      <c r="J68" s="113"/>
      <c r="K68" s="113"/>
    </row>
    <row r="69" spans="1:11" x14ac:dyDescent="0.25">
      <c r="A69" s="50"/>
      <c r="B69" s="164" t="s">
        <v>372</v>
      </c>
      <c r="C69" s="78"/>
      <c r="D69" s="164">
        <v>5000</v>
      </c>
      <c r="E69" s="113"/>
      <c r="F69" s="164" t="s">
        <v>372</v>
      </c>
      <c r="G69" s="78"/>
      <c r="H69" s="164">
        <v>5000</v>
      </c>
      <c r="I69" s="113"/>
      <c r="J69" s="113"/>
      <c r="K69" s="113"/>
    </row>
    <row r="70" spans="1:11" x14ac:dyDescent="0.25">
      <c r="A70" s="78"/>
      <c r="B70" s="163"/>
      <c r="C70" s="164"/>
      <c r="D70" s="165"/>
      <c r="E70" s="113"/>
      <c r="F70" s="163"/>
      <c r="G70" s="164"/>
      <c r="H70" s="165"/>
      <c r="I70" s="113"/>
      <c r="J70" s="113"/>
      <c r="K70" s="113"/>
    </row>
    <row r="71" spans="1:11" x14ac:dyDescent="0.25">
      <c r="A71" s="78"/>
      <c r="B71" s="164"/>
      <c r="C71" s="164"/>
      <c r="D71" s="113"/>
      <c r="E71" s="113"/>
      <c r="F71" s="164"/>
      <c r="G71" s="164"/>
      <c r="H71" s="113"/>
      <c r="I71" s="113"/>
      <c r="J71" s="113"/>
      <c r="K71" s="113"/>
    </row>
    <row r="72" spans="1:11" x14ac:dyDescent="0.25">
      <c r="A72" s="78"/>
      <c r="B72" s="166" t="s">
        <v>193</v>
      </c>
      <c r="C72" s="243">
        <f>C66</f>
        <v>290503.34230528004</v>
      </c>
      <c r="D72" s="221">
        <f>SUM(D61:D71)</f>
        <v>113128</v>
      </c>
      <c r="E72" s="221">
        <f>C72-D72</f>
        <v>177375.34230528004</v>
      </c>
      <c r="F72" s="166" t="s">
        <v>193</v>
      </c>
      <c r="G72" s="243">
        <f>G66</f>
        <v>209094.27520000003</v>
      </c>
      <c r="H72" s="221">
        <f>SUM(H61:H71)</f>
        <v>113128</v>
      </c>
      <c r="I72" s="221">
        <f>G72-H72</f>
        <v>95966.275200000033</v>
      </c>
      <c r="J72" s="149">
        <f>I29</f>
        <v>0</v>
      </c>
      <c r="K72" s="113"/>
    </row>
    <row r="73" spans="1:11" x14ac:dyDescent="0.25">
      <c r="A73" s="78"/>
      <c r="B73" s="78"/>
      <c r="C73" s="78"/>
      <c r="D73" s="78"/>
      <c r="E73" s="78"/>
      <c r="F73" s="78"/>
      <c r="G73" s="79"/>
      <c r="H73" s="78"/>
      <c r="I73" s="78"/>
      <c r="J73" s="78"/>
      <c r="K73" s="78"/>
    </row>
    <row r="74" spans="1:11" x14ac:dyDescent="0.25">
      <c r="A74" s="78"/>
      <c r="B74" s="78" t="s">
        <v>71</v>
      </c>
      <c r="C74" s="79"/>
      <c r="D74" s="150" t="s">
        <v>72</v>
      </c>
      <c r="E74" s="79"/>
      <c r="F74" s="78" t="s">
        <v>73</v>
      </c>
      <c r="G74" s="78"/>
      <c r="H74" s="78"/>
      <c r="I74" s="78"/>
      <c r="J74" s="78"/>
      <c r="K74" s="78"/>
    </row>
    <row r="75" spans="1:11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</row>
    <row r="76" spans="1:11" x14ac:dyDescent="0.25">
      <c r="A76" s="78"/>
      <c r="B76" s="78" t="s">
        <v>379</v>
      </c>
      <c r="C76" s="78"/>
      <c r="D76" s="78" t="s">
        <v>135</v>
      </c>
      <c r="E76" s="78"/>
      <c r="F76" s="78" t="s">
        <v>130</v>
      </c>
      <c r="G76" s="78"/>
      <c r="H76" s="78"/>
      <c r="I76" s="78"/>
      <c r="J76" s="78"/>
      <c r="K76" s="78"/>
    </row>
    <row r="77" spans="1:11" x14ac:dyDescent="0.25">
      <c r="B77" s="78"/>
      <c r="C77" s="78"/>
      <c r="D77" s="78"/>
      <c r="E77" s="78"/>
      <c r="F77" s="78"/>
      <c r="G77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9" workbookViewId="0">
      <selection activeCell="H99" sqref="H99"/>
    </sheetView>
  </sheetViews>
  <sheetFormatPr defaultRowHeight="15" x14ac:dyDescent="0.25"/>
  <cols>
    <col min="2" max="2" width="14.42578125" customWidth="1"/>
    <col min="4" max="4" width="11.285156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6.25" x14ac:dyDescent="0.25">
      <c r="A3" s="8"/>
      <c r="B3" s="9"/>
      <c r="C3" s="64" t="s">
        <v>148</v>
      </c>
      <c r="D3" s="11"/>
      <c r="E3" s="11"/>
      <c r="F3" s="11"/>
      <c r="G3" s="103"/>
      <c r="H3" s="103"/>
      <c r="I3" s="103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31" t="s">
        <v>13</v>
      </c>
      <c r="J4" s="136"/>
      <c r="K4" s="136"/>
      <c r="L4" s="136"/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32">
        <v>100</v>
      </c>
      <c r="J5" s="137"/>
      <c r="K5" s="137"/>
      <c r="L5" s="137"/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32">
        <v>100</v>
      </c>
      <c r="J6" s="137"/>
      <c r="K6" s="137"/>
      <c r="L6" s="137"/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32">
        <v>100</v>
      </c>
      <c r="J7" s="138"/>
      <c r="K7" s="138"/>
      <c r="L7" s="137"/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32">
        <v>100</v>
      </c>
      <c r="J8" s="139"/>
      <c r="K8" s="140"/>
      <c r="L8" s="137"/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32">
        <v>100</v>
      </c>
      <c r="J9" s="139"/>
      <c r="K9" s="140"/>
      <c r="L9" s="137"/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32">
        <v>0</v>
      </c>
      <c r="J10" s="139"/>
      <c r="K10" s="140"/>
      <c r="L10" s="137"/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32">
        <v>100</v>
      </c>
      <c r="J11" s="139"/>
      <c r="K11" s="141"/>
      <c r="L11" s="137"/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32">
        <v>0</v>
      </c>
      <c r="J12" s="142"/>
      <c r="K12" s="142"/>
      <c r="L12" s="137"/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32">
        <v>100</v>
      </c>
      <c r="J13" s="137"/>
      <c r="K13" s="137"/>
      <c r="L13" s="137"/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32">
        <v>100</v>
      </c>
      <c r="J14" s="137"/>
      <c r="K14" s="137"/>
      <c r="L14" s="137"/>
    </row>
    <row r="15" spans="1:12" x14ac:dyDescent="0.25">
      <c r="A15" s="16">
        <v>11</v>
      </c>
      <c r="B15" s="116" t="s">
        <v>88</v>
      </c>
      <c r="C15" s="17" t="s">
        <v>38</v>
      </c>
      <c r="D15" s="18">
        <v>0</v>
      </c>
      <c r="E15" s="18">
        <v>2500</v>
      </c>
      <c r="F15" s="18">
        <v>100</v>
      </c>
      <c r="G15" s="18">
        <f t="shared" si="0"/>
        <v>2600</v>
      </c>
      <c r="H15" s="19">
        <v>2500</v>
      </c>
      <c r="I15" s="132">
        <v>100</v>
      </c>
      <c r="J15" s="137"/>
      <c r="K15" s="137"/>
      <c r="L15" s="137"/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32">
        <v>100</v>
      </c>
      <c r="J16" s="137"/>
      <c r="K16" s="137"/>
      <c r="L16" s="137"/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32">
        <v>100</v>
      </c>
      <c r="J17" s="137"/>
      <c r="K17" s="137"/>
      <c r="L17" s="137"/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32">
        <v>100</v>
      </c>
      <c r="J18" s="137"/>
      <c r="K18" s="137"/>
      <c r="L18" s="137"/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32">
        <v>100</v>
      </c>
      <c r="J19" s="137"/>
      <c r="K19" s="137"/>
      <c r="L19" s="137"/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32">
        <v>100</v>
      </c>
      <c r="J20" s="137"/>
      <c r="K20" s="137"/>
      <c r="L20" s="137"/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32">
        <v>100</v>
      </c>
      <c r="J21" s="143"/>
      <c r="K21" s="142"/>
      <c r="L21" s="137"/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32">
        <v>100</v>
      </c>
      <c r="J22" s="143"/>
      <c r="K22" s="142"/>
      <c r="L22" s="137"/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32">
        <v>100</v>
      </c>
      <c r="J23" s="143"/>
      <c r="K23" s="142"/>
      <c r="L23" s="137"/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32">
        <v>100</v>
      </c>
      <c r="J24" s="143"/>
      <c r="K24" s="142"/>
      <c r="L24" s="137"/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32">
        <v>0</v>
      </c>
      <c r="J25" s="143"/>
      <c r="K25" s="142"/>
      <c r="L25" s="137"/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32">
        <v>100</v>
      </c>
      <c r="J26" s="143"/>
      <c r="K26" s="142"/>
      <c r="L26" s="137"/>
    </row>
    <row r="27" spans="1:12" x14ac:dyDescent="0.25">
      <c r="A27" s="21">
        <v>23</v>
      </c>
      <c r="B27" s="118" t="s">
        <v>61</v>
      </c>
      <c r="C27" s="17" t="s">
        <v>62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32">
        <v>100</v>
      </c>
      <c r="J27" s="143"/>
      <c r="K27" s="142"/>
      <c r="L27" s="137"/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133">
        <v>100</v>
      </c>
      <c r="J28" s="144"/>
      <c r="K28" s="142"/>
      <c r="L28" s="137"/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34"/>
      <c r="J29" s="137"/>
      <c r="K29" s="137"/>
      <c r="L29" s="137"/>
    </row>
    <row r="30" spans="1:12" x14ac:dyDescent="0.25">
      <c r="A30" s="38"/>
      <c r="B30" s="39" t="s">
        <v>65</v>
      </c>
      <c r="C30" s="38"/>
      <c r="D30" s="18">
        <v>0</v>
      </c>
      <c r="E30" s="40">
        <f>SUM(E5:E29)</f>
        <v>64000</v>
      </c>
      <c r="F30" s="42">
        <f>SUM(F5:F28)</f>
        <v>2300</v>
      </c>
      <c r="G30" s="18">
        <f>SUM(G5:G29)</f>
        <v>66300</v>
      </c>
      <c r="H30" s="40">
        <f>SUM(H5:H29)</f>
        <v>71300</v>
      </c>
      <c r="I30" s="135">
        <f>SUM(I5:I28)</f>
        <v>2100</v>
      </c>
      <c r="J30" s="145"/>
      <c r="K30" s="145"/>
      <c r="L30" s="146"/>
    </row>
    <row r="31" spans="1:12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/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/>
      <c r="K34" s="78"/>
      <c r="L34" s="78"/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>
        <v>0</v>
      </c>
      <c r="D36" s="86">
        <v>0</v>
      </c>
      <c r="E36" s="85"/>
      <c r="F36" s="86"/>
      <c r="G36" s="86"/>
      <c r="H36" s="113"/>
      <c r="I36" s="78"/>
      <c r="J36" s="78"/>
      <c r="K36" s="78"/>
      <c r="L36" s="78"/>
    </row>
    <row r="37" spans="1:12" x14ac:dyDescent="0.25">
      <c r="A37" s="83" t="s">
        <v>110</v>
      </c>
      <c r="B37" s="121" t="s">
        <v>111</v>
      </c>
      <c r="C37" s="85">
        <v>0</v>
      </c>
      <c r="D37" s="86"/>
      <c r="E37" s="85">
        <v>2500</v>
      </c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107</v>
      </c>
      <c r="C40" s="94"/>
      <c r="D40" s="92">
        <v>0</v>
      </c>
      <c r="E40" s="94"/>
      <c r="F40" s="95"/>
      <c r="G40" s="115"/>
      <c r="H40" s="113"/>
      <c r="I40" s="78"/>
      <c r="J40" s="78"/>
      <c r="K40" s="78"/>
      <c r="L40" s="78"/>
    </row>
    <row r="41" spans="1:12" x14ac:dyDescent="0.25">
      <c r="A41" s="83" t="s">
        <v>119</v>
      </c>
      <c r="B41" s="120" t="s">
        <v>120</v>
      </c>
      <c r="C41" s="85">
        <v>0</v>
      </c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122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 t="s">
        <v>124</v>
      </c>
      <c r="C43" s="85"/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126</v>
      </c>
      <c r="C44" s="85"/>
      <c r="D44" s="92">
        <v>0</v>
      </c>
      <c r="E44" s="85">
        <v>1500</v>
      </c>
      <c r="F44" s="86">
        <v>1500</v>
      </c>
      <c r="G44" s="98">
        <v>1500</v>
      </c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78"/>
      <c r="L46" s="78"/>
    </row>
    <row r="47" spans="1:12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/>
      <c r="D49" s="86">
        <v>4500</v>
      </c>
      <c r="E49" s="86">
        <v>4500</v>
      </c>
      <c r="F49" s="86">
        <v>4500</v>
      </c>
      <c r="G49" s="86">
        <v>4500</v>
      </c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>
        <v>4500</v>
      </c>
      <c r="E50" s="85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140</v>
      </c>
      <c r="C52" s="85"/>
      <c r="D52" s="86">
        <v>4500</v>
      </c>
      <c r="E52" s="85"/>
      <c r="F52" s="86">
        <v>4500</v>
      </c>
      <c r="G52" s="86">
        <v>4500</v>
      </c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/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/>
    </row>
    <row r="57" spans="1:12" x14ac:dyDescent="0.25">
      <c r="A57" s="97"/>
      <c r="B57" s="97"/>
      <c r="C57" s="98"/>
      <c r="D57" s="98">
        <v>27000</v>
      </c>
      <c r="E57" s="98">
        <f>SUM(E49:E56)</f>
        <v>22500</v>
      </c>
      <c r="F57" s="98">
        <v>27000</v>
      </c>
      <c r="G57" s="98">
        <v>27000</v>
      </c>
      <c r="H57" s="78"/>
      <c r="I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27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ht="17.25" x14ac:dyDescent="0.4">
      <c r="A60" s="50"/>
      <c r="B60" s="46" t="s">
        <v>67</v>
      </c>
      <c r="C60" s="50"/>
      <c r="D60" s="102">
        <f>E30+E47+E57</f>
        <v>106000</v>
      </c>
      <c r="E60" s="78"/>
      <c r="F60" s="78"/>
      <c r="G60" s="51"/>
      <c r="H60" s="52"/>
      <c r="I60" s="79"/>
      <c r="J60" s="79"/>
      <c r="K60" s="50"/>
      <c r="L60" s="78"/>
    </row>
    <row r="61" spans="1:12" x14ac:dyDescent="0.25">
      <c r="A61" s="50"/>
      <c r="B61" s="46" t="s">
        <v>10</v>
      </c>
      <c r="C61" s="78"/>
      <c r="D61" s="79">
        <v>2300</v>
      </c>
      <c r="E61" s="79"/>
      <c r="F61" s="78"/>
      <c r="G61" s="78"/>
      <c r="H61" s="54"/>
      <c r="I61" s="46"/>
      <c r="J61" s="55"/>
      <c r="K61" s="78"/>
      <c r="L61" s="78"/>
    </row>
    <row r="62" spans="1:12" x14ac:dyDescent="0.25">
      <c r="A62" s="78"/>
      <c r="B62" s="46" t="s">
        <v>69</v>
      </c>
      <c r="C62" s="78"/>
      <c r="D62" s="102">
        <f>D60</f>
        <v>106000</v>
      </c>
      <c r="E62" s="78"/>
      <c r="F62" s="78"/>
      <c r="G62" s="78"/>
      <c r="H62" s="78"/>
      <c r="I62" s="78"/>
      <c r="J62" s="78"/>
      <c r="K62" s="78"/>
      <c r="L62" s="78"/>
    </row>
    <row r="63" spans="1:12" x14ac:dyDescent="0.25">
      <c r="A63" s="50"/>
      <c r="B63" s="57" t="s">
        <v>70</v>
      </c>
      <c r="C63" s="46"/>
      <c r="D63" s="78"/>
      <c r="E63" s="79" t="s">
        <v>71</v>
      </c>
      <c r="F63" s="79"/>
      <c r="G63" s="78"/>
      <c r="H63" s="79" t="s">
        <v>72</v>
      </c>
      <c r="I63" s="78"/>
      <c r="J63" s="78"/>
      <c r="K63" s="79"/>
      <c r="L63" s="78"/>
    </row>
    <row r="64" spans="1:12" x14ac:dyDescent="0.25">
      <c r="A64" s="50" t="s">
        <v>102</v>
      </c>
      <c r="B64" s="77">
        <v>0.08</v>
      </c>
      <c r="C64" s="46"/>
      <c r="D64" s="102">
        <f>D62*B64</f>
        <v>8480</v>
      </c>
      <c r="F64" s="79"/>
      <c r="G64" s="78"/>
      <c r="H64" s="78"/>
      <c r="I64" s="79"/>
      <c r="J64" s="78"/>
      <c r="K64" s="78"/>
      <c r="L64" s="78"/>
    </row>
    <row r="65" spans="1:12" x14ac:dyDescent="0.25">
      <c r="A65" s="50"/>
      <c r="B65" s="50" t="s">
        <v>136</v>
      </c>
      <c r="C65" s="46"/>
      <c r="D65" s="126">
        <v>100000</v>
      </c>
      <c r="E65" s="79" t="s">
        <v>134</v>
      </c>
      <c r="F65" s="79"/>
      <c r="G65" s="78"/>
      <c r="H65" s="79" t="s">
        <v>75</v>
      </c>
      <c r="I65" s="78"/>
      <c r="J65" s="78"/>
      <c r="K65" s="79"/>
      <c r="L65" s="78"/>
    </row>
    <row r="66" spans="1:12" x14ac:dyDescent="0.25">
      <c r="A66" s="50"/>
      <c r="B66" s="57" t="s">
        <v>77</v>
      </c>
      <c r="C66" s="46"/>
      <c r="D66" s="102">
        <f>SUM(D64:D65)</f>
        <v>108480</v>
      </c>
      <c r="E66" s="59" t="s">
        <v>78</v>
      </c>
      <c r="F66" s="79"/>
      <c r="G66" s="78"/>
      <c r="H66" s="79" t="s">
        <v>79</v>
      </c>
      <c r="I66" s="79"/>
      <c r="J66" s="78"/>
      <c r="K66" s="79"/>
      <c r="L66" s="78"/>
    </row>
    <row r="67" spans="1:12" x14ac:dyDescent="0.25">
      <c r="A67" s="50"/>
      <c r="B67" s="78" t="s">
        <v>137</v>
      </c>
      <c r="C67" s="46"/>
      <c r="D67" s="102">
        <f>D62-D66</f>
        <v>-2480</v>
      </c>
      <c r="E67" s="78"/>
      <c r="F67" s="78"/>
      <c r="G67" s="78"/>
      <c r="H67" s="78"/>
      <c r="I67" s="78"/>
      <c r="J67" s="78"/>
      <c r="K67" s="78"/>
      <c r="L67" s="78"/>
    </row>
    <row r="68" spans="1:12" s="78" customFormat="1" x14ac:dyDescent="0.25">
      <c r="A68" s="50"/>
      <c r="B68" s="78" t="s">
        <v>10</v>
      </c>
      <c r="C68" s="46"/>
      <c r="D68" s="102">
        <v>2300</v>
      </c>
    </row>
    <row r="69" spans="1:12" s="78" customFormat="1" x14ac:dyDescent="0.25">
      <c r="A69" s="50"/>
      <c r="C69" s="46"/>
      <c r="D69" s="102">
        <f>SUM(D67:D68)</f>
        <v>-180</v>
      </c>
    </row>
    <row r="70" spans="1:12" x14ac:dyDescent="0.25">
      <c r="A70" s="78"/>
      <c r="B70" s="79" t="s">
        <v>135</v>
      </c>
      <c r="C70" s="79"/>
      <c r="D70" s="79" t="s">
        <v>130</v>
      </c>
      <c r="E70" s="79"/>
      <c r="F70" s="78"/>
      <c r="G70" s="78"/>
      <c r="H70" s="78"/>
      <c r="I70" s="78"/>
      <c r="J70" s="78"/>
      <c r="K70" s="78"/>
      <c r="L70" s="78"/>
    </row>
    <row r="71" spans="1:12" x14ac:dyDescent="0.25">
      <c r="A71" s="79" t="s">
        <v>131</v>
      </c>
      <c r="B71" s="79" t="s">
        <v>132</v>
      </c>
      <c r="C71" s="79"/>
      <c r="D71" s="79" t="s">
        <v>133</v>
      </c>
      <c r="E71" s="79"/>
      <c r="F71" s="78"/>
      <c r="G71" s="106"/>
      <c r="H71" s="78"/>
      <c r="I71" s="78"/>
      <c r="J71" s="78"/>
      <c r="K71" s="78"/>
      <c r="L71" s="78"/>
    </row>
    <row r="72" spans="1:12" x14ac:dyDescent="0.25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</row>
    <row r="75" spans="1:12" x14ac:dyDescent="0.2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</row>
    <row r="76" spans="1:12" x14ac:dyDescent="0.25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1:12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</row>
    <row r="81" spans="1:1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1:12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1:1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1:12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spans="1:12" x14ac:dyDescent="0.2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</row>
    <row r="86" spans="1:12" x14ac:dyDescent="0.25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</row>
    <row r="87" spans="1:12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</row>
    <row r="88" spans="1:12" x14ac:dyDescent="0.25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</row>
    <row r="89" spans="1:12" x14ac:dyDescent="0.25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</row>
    <row r="90" spans="1:12" x14ac:dyDescent="0.25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</row>
    <row r="91" spans="1:12" x14ac:dyDescent="0.25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</row>
    <row r="92" spans="1:12" x14ac:dyDescent="0.25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</row>
    <row r="93" spans="1:12" x14ac:dyDescent="0.25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</row>
    <row r="94" spans="1:12" x14ac:dyDescent="0.25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</row>
    <row r="95" spans="1:12" x14ac:dyDescent="0.2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</row>
    <row r="96" spans="1:12" x14ac:dyDescent="0.25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</row>
    <row r="97" spans="1:12" x14ac:dyDescent="0.25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</row>
    <row r="98" spans="1:12" x14ac:dyDescent="0.25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</row>
    <row r="99" spans="1:12" x14ac:dyDescent="0.25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</row>
    <row r="100" spans="1:12" x14ac:dyDescent="0.25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</row>
    <row r="101" spans="1:12" x14ac:dyDescent="0.25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</row>
  </sheetData>
  <pageMargins left="0.7" right="0.7" top="0.75" bottom="0.75" header="0.3" footer="0.3"/>
  <pageSetup orientation="portrait" horizontalDpi="120" verticalDpi="72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40" workbookViewId="0">
      <selection activeCell="B12" sqref="B12"/>
    </sheetView>
  </sheetViews>
  <sheetFormatPr defaultRowHeight="15" x14ac:dyDescent="0.25"/>
  <cols>
    <col min="1" max="1" width="3.5703125" customWidth="1"/>
    <col min="2" max="2" width="16.42578125" customWidth="1"/>
    <col min="3" max="3" width="11.5703125" customWidth="1"/>
    <col min="4" max="4" width="10" customWidth="1"/>
    <col min="5" max="5" width="11.28515625" customWidth="1"/>
    <col min="7" max="7" width="11.85546875" customWidth="1"/>
    <col min="8" max="8" width="10.7109375" customWidth="1"/>
    <col min="9" max="9" width="13.5703125" style="220" customWidth="1"/>
  </cols>
  <sheetData>
    <row r="1" spans="1:12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J1" s="78"/>
      <c r="K1" s="78"/>
      <c r="L1" s="78"/>
    </row>
    <row r="2" spans="1:12" ht="21" x14ac:dyDescent="0.25">
      <c r="A2" s="8"/>
      <c r="B2" s="64" t="s">
        <v>325</v>
      </c>
      <c r="C2" s="11"/>
      <c r="D2" s="11"/>
      <c r="E2" s="11"/>
      <c r="F2" s="103"/>
      <c r="G2" s="103"/>
      <c r="H2" s="103"/>
      <c r="J2" s="78"/>
      <c r="K2" s="78"/>
      <c r="L2" s="78"/>
    </row>
    <row r="3" spans="1:12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  <c r="L3" s="78"/>
    </row>
    <row r="4" spans="1:12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  <c r="L4" s="78"/>
    </row>
    <row r="5" spans="1:12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  <c r="L5" s="78"/>
    </row>
    <row r="6" spans="1:12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  <c r="L6" s="78"/>
    </row>
    <row r="7" spans="1:12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  <c r="L7" s="78"/>
    </row>
    <row r="8" spans="1:12" x14ac:dyDescent="0.25">
      <c r="A8" s="16">
        <v>5</v>
      </c>
      <c r="B8" s="218" t="s">
        <v>281</v>
      </c>
      <c r="C8" s="17" t="s">
        <v>26</v>
      </c>
      <c r="D8" s="226"/>
      <c r="E8" s="226"/>
      <c r="F8" s="226"/>
      <c r="G8" s="225">
        <f>D8+E8+F8</f>
        <v>0</v>
      </c>
      <c r="H8" s="223"/>
      <c r="I8" s="221">
        <f t="shared" si="0"/>
        <v>0</v>
      </c>
      <c r="J8" s="78"/>
      <c r="K8" s="78"/>
      <c r="L8" s="78"/>
    </row>
    <row r="9" spans="1:12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  <c r="L9" s="78"/>
    </row>
    <row r="10" spans="1:12" x14ac:dyDescent="0.25">
      <c r="A10" s="16">
        <v>7</v>
      </c>
      <c r="B10" s="191" t="s">
        <v>308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  <c r="L10" s="78"/>
    </row>
    <row r="11" spans="1:12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  <c r="L11" s="78"/>
    </row>
    <row r="12" spans="1:12" x14ac:dyDescent="0.25">
      <c r="A12" s="16">
        <v>9</v>
      </c>
      <c r="B12" s="191" t="s">
        <v>221</v>
      </c>
      <c r="C12" s="17" t="s">
        <v>34</v>
      </c>
      <c r="D12" s="226">
        <v>500</v>
      </c>
      <c r="E12" s="226">
        <v>2500</v>
      </c>
      <c r="F12" s="226">
        <v>100</v>
      </c>
      <c r="G12" s="225">
        <f t="shared" si="1"/>
        <v>3100</v>
      </c>
      <c r="H12" s="223"/>
      <c r="I12" s="221">
        <f t="shared" si="0"/>
        <v>3100</v>
      </c>
      <c r="J12" s="78"/>
      <c r="K12" s="78"/>
      <c r="L12" s="78"/>
    </row>
    <row r="13" spans="1:12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  <c r="L13" s="78"/>
    </row>
    <row r="14" spans="1:12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  <c r="L14" s="78"/>
    </row>
    <row r="15" spans="1:12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  <c r="L15" s="78"/>
    </row>
    <row r="16" spans="1:12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  <c r="L16" s="78"/>
    </row>
    <row r="17" spans="1:12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>
        <v>2500</v>
      </c>
      <c r="I17" s="221">
        <f t="shared" si="0"/>
        <v>200</v>
      </c>
      <c r="J17" s="78"/>
      <c r="K17" s="78"/>
      <c r="L17" s="78"/>
    </row>
    <row r="18" spans="1:12" x14ac:dyDescent="0.25">
      <c r="A18" s="16">
        <v>15</v>
      </c>
      <c r="B18" s="191" t="s">
        <v>309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  <c r="L18" s="78"/>
    </row>
    <row r="19" spans="1:12" x14ac:dyDescent="0.25">
      <c r="A19" s="16">
        <v>16</v>
      </c>
      <c r="B19" s="191" t="s">
        <v>225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  <c r="L19" s="78"/>
    </row>
    <row r="20" spans="1:12" x14ac:dyDescent="0.25">
      <c r="A20" s="21">
        <v>17</v>
      </c>
      <c r="B20" s="194" t="s">
        <v>316</v>
      </c>
      <c r="C20" s="17" t="s">
        <v>50</v>
      </c>
      <c r="D20" s="226"/>
      <c r="E20" s="229">
        <v>3000</v>
      </c>
      <c r="F20" s="227">
        <v>100</v>
      </c>
      <c r="G20" s="225">
        <f t="shared" si="2"/>
        <v>3100</v>
      </c>
      <c r="H20" s="223">
        <v>3000</v>
      </c>
      <c r="I20" s="221">
        <f t="shared" si="0"/>
        <v>100</v>
      </c>
      <c r="J20" s="78"/>
      <c r="K20" s="78"/>
      <c r="L20" s="78"/>
    </row>
    <row r="21" spans="1:12" x14ac:dyDescent="0.25">
      <c r="A21" s="21">
        <v>18</v>
      </c>
      <c r="B21" s="194" t="s">
        <v>226</v>
      </c>
      <c r="C21" s="17" t="s">
        <v>52</v>
      </c>
      <c r="D21" s="226">
        <v>800</v>
      </c>
      <c r="E21" s="229">
        <v>3000</v>
      </c>
      <c r="F21" s="227">
        <v>100</v>
      </c>
      <c r="G21" s="225">
        <f t="shared" si="2"/>
        <v>3900</v>
      </c>
      <c r="H21" s="223">
        <v>3000</v>
      </c>
      <c r="I21" s="221">
        <f t="shared" si="0"/>
        <v>900</v>
      </c>
      <c r="J21" s="78"/>
      <c r="K21" s="78"/>
      <c r="L21" s="78"/>
    </row>
    <row r="22" spans="1:12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>
        <v>0</v>
      </c>
      <c r="I22" s="221">
        <f t="shared" si="0"/>
        <v>0</v>
      </c>
      <c r="J22" s="78"/>
      <c r="K22" s="78"/>
      <c r="L22" s="78"/>
    </row>
    <row r="23" spans="1:12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  <c r="L23" s="78"/>
    </row>
    <row r="24" spans="1:12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  <c r="L24" s="78"/>
    </row>
    <row r="25" spans="1:12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  <c r="L25" s="78"/>
    </row>
    <row r="26" spans="1:12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  <c r="L26" s="78"/>
    </row>
    <row r="27" spans="1:12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  <c r="L27" s="78"/>
    </row>
    <row r="28" spans="1:12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  <c r="L28" s="78"/>
    </row>
    <row r="29" spans="1:12" x14ac:dyDescent="0.25">
      <c r="A29" s="38"/>
      <c r="B29" s="199" t="s">
        <v>65</v>
      </c>
      <c r="C29" s="38"/>
      <c r="D29" s="149"/>
      <c r="E29" s="40">
        <f>SUM(E4:E28)</f>
        <v>58600</v>
      </c>
      <c r="F29" s="42">
        <f>SUM(F4:F28)</f>
        <v>2200</v>
      </c>
      <c r="G29" s="19"/>
      <c r="H29" s="135">
        <f>SUM(H4:H28)</f>
        <v>56000</v>
      </c>
      <c r="I29" s="221"/>
      <c r="J29" s="78"/>
      <c r="K29" s="78"/>
      <c r="L29" s="78"/>
    </row>
    <row r="30" spans="1:12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221">
        <f>G30-H30</f>
        <v>0</v>
      </c>
      <c r="J30" s="78"/>
      <c r="K30" s="78"/>
      <c r="L30" s="78"/>
    </row>
    <row r="31" spans="1:12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221"/>
      <c r="J31" s="78"/>
      <c r="K31" s="78"/>
      <c r="L31" s="78"/>
    </row>
    <row r="32" spans="1:12" x14ac:dyDescent="0.25">
      <c r="A32" s="83" t="s">
        <v>106</v>
      </c>
      <c r="B32" s="84" t="s">
        <v>311</v>
      </c>
      <c r="C32" s="85"/>
      <c r="D32" s="86">
        <v>0</v>
      </c>
      <c r="E32" s="231">
        <v>2500</v>
      </c>
      <c r="F32" s="232">
        <f>D32+E32</f>
        <v>2500</v>
      </c>
      <c r="G32" s="232"/>
      <c r="H32" s="233">
        <f>F32-G32</f>
        <v>2500</v>
      </c>
      <c r="I32" s="221">
        <f t="shared" si="0"/>
        <v>-2500</v>
      </c>
      <c r="J32" s="78"/>
      <c r="K32" s="78"/>
      <c r="L32" s="78"/>
    </row>
    <row r="33" spans="1:12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221">
        <f t="shared" si="0"/>
        <v>0</v>
      </c>
      <c r="J33" s="78"/>
      <c r="K33" s="78"/>
      <c r="L33" s="78"/>
    </row>
    <row r="34" spans="1:12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3">F34-G34</f>
        <v>0</v>
      </c>
      <c r="I34" s="221"/>
      <c r="J34" s="78"/>
      <c r="K34" s="78"/>
      <c r="L34" s="78"/>
    </row>
    <row r="35" spans="1:12" x14ac:dyDescent="0.25">
      <c r="A35" s="87" t="s">
        <v>112</v>
      </c>
      <c r="B35" s="201" t="s">
        <v>254</v>
      </c>
      <c r="C35" s="89"/>
      <c r="D35" s="90">
        <v>2500</v>
      </c>
      <c r="E35" s="235">
        <v>2500</v>
      </c>
      <c r="F35" s="232">
        <f t="shared" ref="F35:F40" si="4">D35+E35</f>
        <v>5000</v>
      </c>
      <c r="G35" s="236">
        <v>2500</v>
      </c>
      <c r="H35" s="233">
        <f t="shared" si="3"/>
        <v>2500</v>
      </c>
      <c r="I35" s="221"/>
      <c r="J35" s="78"/>
      <c r="K35" s="78"/>
      <c r="L35" s="78"/>
    </row>
    <row r="36" spans="1:12" x14ac:dyDescent="0.25">
      <c r="A36" s="99" t="s">
        <v>114</v>
      </c>
      <c r="B36" s="202" t="s">
        <v>184</v>
      </c>
      <c r="C36" s="86"/>
      <c r="D36" s="86">
        <v>300</v>
      </c>
      <c r="E36" s="232">
        <v>2500</v>
      </c>
      <c r="F36" s="232">
        <f t="shared" si="4"/>
        <v>2800</v>
      </c>
      <c r="G36" s="234">
        <v>2500</v>
      </c>
      <c r="H36" s="233">
        <f t="shared" si="3"/>
        <v>300</v>
      </c>
      <c r="I36" s="221"/>
      <c r="J36" s="78"/>
      <c r="K36" s="78"/>
      <c r="L36" s="78"/>
    </row>
    <row r="37" spans="1:12" x14ac:dyDescent="0.25">
      <c r="A37" s="93" t="s">
        <v>116</v>
      </c>
      <c r="B37" s="200" t="s">
        <v>322</v>
      </c>
      <c r="C37" s="94"/>
      <c r="D37" s="92"/>
      <c r="E37" s="237">
        <v>5000</v>
      </c>
      <c r="F37" s="232">
        <f t="shared" si="4"/>
        <v>5000</v>
      </c>
      <c r="G37" s="238">
        <v>5000</v>
      </c>
      <c r="H37" s="233">
        <f t="shared" si="3"/>
        <v>0</v>
      </c>
      <c r="I37" s="221"/>
      <c r="J37" s="78"/>
      <c r="K37" s="78"/>
      <c r="L37" s="78"/>
    </row>
    <row r="38" spans="1:12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4"/>
        <v>2500</v>
      </c>
      <c r="G38" s="234">
        <v>2500</v>
      </c>
      <c r="H38" s="233">
        <f t="shared" si="3"/>
        <v>0</v>
      </c>
      <c r="I38" s="221"/>
      <c r="J38" s="78"/>
      <c r="K38" s="78"/>
      <c r="L38" s="78"/>
    </row>
    <row r="39" spans="1:12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4"/>
        <v>0</v>
      </c>
      <c r="G39" s="234"/>
      <c r="H39" s="233">
        <f t="shared" si="3"/>
        <v>0</v>
      </c>
      <c r="I39" s="221"/>
      <c r="J39" s="78"/>
      <c r="K39" s="78"/>
      <c r="L39" s="78"/>
    </row>
    <row r="40" spans="1:12" x14ac:dyDescent="0.25">
      <c r="A40" s="83" t="s">
        <v>123</v>
      </c>
      <c r="B40" s="200" t="s">
        <v>191</v>
      </c>
      <c r="C40" s="85"/>
      <c r="D40" s="92">
        <v>2700</v>
      </c>
      <c r="E40" s="231">
        <v>2500</v>
      </c>
      <c r="F40" s="232">
        <f t="shared" si="4"/>
        <v>5200</v>
      </c>
      <c r="G40" s="234">
        <v>2500</v>
      </c>
      <c r="H40" s="233">
        <f t="shared" si="3"/>
        <v>2700</v>
      </c>
      <c r="I40" s="221"/>
      <c r="J40" s="78"/>
      <c r="K40" s="78"/>
      <c r="L40" s="78"/>
    </row>
    <row r="41" spans="1:12" x14ac:dyDescent="0.25">
      <c r="A41" s="83" t="s">
        <v>125</v>
      </c>
      <c r="B41" s="203"/>
      <c r="C41" s="78"/>
      <c r="D41" s="186"/>
      <c r="E41" s="152"/>
      <c r="F41" s="86"/>
      <c r="G41" s="169"/>
      <c r="H41" s="184">
        <f t="shared" si="3"/>
        <v>0</v>
      </c>
      <c r="I41" s="221"/>
      <c r="J41" s="78"/>
      <c r="K41" s="78"/>
      <c r="L41" s="78"/>
    </row>
    <row r="42" spans="1:12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19000</v>
      </c>
      <c r="F42" s="240"/>
      <c r="G42" s="240">
        <f>SUM(G32:G41)</f>
        <v>16500</v>
      </c>
      <c r="H42" s="241">
        <f>SUM(H32:H41)</f>
        <v>8000</v>
      </c>
      <c r="I42" s="221"/>
      <c r="J42" s="78"/>
      <c r="K42" s="78"/>
      <c r="L42" s="78"/>
    </row>
    <row r="43" spans="1:12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  <c r="L43" s="78"/>
    </row>
    <row r="44" spans="1:12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  <c r="L44" s="78"/>
    </row>
    <row r="45" spans="1:12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  <c r="L45" s="78"/>
    </row>
    <row r="46" spans="1:12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  <c r="L46" s="78"/>
    </row>
    <row r="47" spans="1:12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  <c r="L47" s="78"/>
    </row>
    <row r="48" spans="1:12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  <c r="L48" s="78"/>
    </row>
    <row r="49" spans="1:12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  <c r="L49" s="78"/>
    </row>
    <row r="50" spans="1:12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  <c r="L50" s="78"/>
    </row>
    <row r="51" spans="1:12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  <c r="L51" s="78"/>
    </row>
    <row r="52" spans="1:12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  <c r="L52" s="78"/>
    </row>
    <row r="53" spans="1:12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  <c r="L53" s="78"/>
    </row>
    <row r="54" spans="1:12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  <c r="L54" s="78"/>
    </row>
    <row r="55" spans="1:12" x14ac:dyDescent="0.25">
      <c r="A55" s="142"/>
      <c r="B55" s="78"/>
      <c r="C55" s="78"/>
      <c r="D55" s="78"/>
      <c r="E55" s="78"/>
      <c r="F55" s="78"/>
      <c r="G55" s="78"/>
      <c r="H55" s="78"/>
      <c r="J55" s="78"/>
      <c r="K55" s="78"/>
      <c r="L55" s="78"/>
    </row>
    <row r="56" spans="1:12" x14ac:dyDescent="0.25">
      <c r="A56" s="175"/>
      <c r="B56" s="78"/>
      <c r="C56" s="78"/>
      <c r="D56" s="78"/>
      <c r="E56" s="78"/>
      <c r="F56" s="78"/>
      <c r="G56" s="78"/>
      <c r="H56" s="78"/>
      <c r="J56" s="78"/>
      <c r="K56" s="78"/>
      <c r="L56" s="78"/>
    </row>
    <row r="57" spans="1:12" x14ac:dyDescent="0.25">
      <c r="A57" s="109"/>
      <c r="B57" s="78"/>
      <c r="C57" s="78"/>
      <c r="D57" s="78"/>
      <c r="E57" s="78"/>
      <c r="F57" s="78"/>
      <c r="G57" s="78"/>
      <c r="H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J58" s="78"/>
      <c r="K58" s="78"/>
      <c r="L58" s="78"/>
    </row>
    <row r="59" spans="1:12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  <c r="L59" s="78"/>
    </row>
    <row r="60" spans="1:12" x14ac:dyDescent="0.25">
      <c r="A60" s="50"/>
      <c r="B60" s="211" t="s">
        <v>318</v>
      </c>
      <c r="C60" s="220">
        <f>E29+E42+E54</f>
        <v>101100</v>
      </c>
      <c r="D60" s="113"/>
      <c r="E60" s="113"/>
      <c r="F60" s="211" t="s">
        <v>318</v>
      </c>
      <c r="G60" s="220">
        <f>H29+G42+G54</f>
        <v>96000</v>
      </c>
      <c r="H60" s="113"/>
      <c r="I60" s="221"/>
      <c r="J60" s="113"/>
      <c r="K60" s="113"/>
      <c r="L60" s="78"/>
    </row>
    <row r="61" spans="1:12" x14ac:dyDescent="0.25">
      <c r="A61" s="50"/>
      <c r="B61" s="113" t="s">
        <v>209</v>
      </c>
      <c r="C61" s="161">
        <v>0.08</v>
      </c>
      <c r="D61" s="221">
        <f>C60*C61</f>
        <v>8088</v>
      </c>
      <c r="E61" s="113"/>
      <c r="F61" s="113" t="s">
        <v>209</v>
      </c>
      <c r="G61" s="161">
        <v>0.08</v>
      </c>
      <c r="H61" s="221">
        <f>D61</f>
        <v>8088</v>
      </c>
      <c r="I61" s="221"/>
      <c r="J61" s="113"/>
      <c r="K61" s="113"/>
      <c r="L61" s="78"/>
    </row>
    <row r="62" spans="1:12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  <c r="L62" s="78"/>
    </row>
    <row r="63" spans="1:12" x14ac:dyDescent="0.25">
      <c r="A63" s="50"/>
      <c r="B63" s="168" t="s">
        <v>232</v>
      </c>
      <c r="C63" s="221">
        <f>F29</f>
        <v>2200</v>
      </c>
      <c r="D63" s="113"/>
      <c r="E63" s="113"/>
      <c r="F63" s="168" t="s">
        <v>232</v>
      </c>
      <c r="G63" s="221">
        <f>C63</f>
        <v>2200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239</v>
      </c>
      <c r="C64" s="160">
        <f>'FEB 2018'!E72</f>
        <v>177375.34230528004</v>
      </c>
      <c r="D64" s="113"/>
      <c r="E64" s="113"/>
      <c r="F64" s="168" t="s">
        <v>239</v>
      </c>
      <c r="G64" s="244">
        <f>'FEB 2018'!I72</f>
        <v>95966.275200000033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193</v>
      </c>
      <c r="C65" s="221">
        <f>C60+C62+C63+C64</f>
        <v>283675.34230528004</v>
      </c>
      <c r="D65" s="113"/>
      <c r="E65" s="113"/>
      <c r="F65" s="168" t="s">
        <v>193</v>
      </c>
      <c r="G65" s="221">
        <f>G60+G62+G63+G64</f>
        <v>197166.27520000003</v>
      </c>
      <c r="H65" s="113"/>
      <c r="I65" s="221"/>
      <c r="J65" s="113"/>
      <c r="K65" s="113"/>
      <c r="L65" s="78"/>
    </row>
    <row r="66" spans="1:12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  <c r="L66" s="78"/>
    </row>
    <row r="67" spans="1:12" x14ac:dyDescent="0.25">
      <c r="A67" s="50"/>
      <c r="B67" s="163" t="s">
        <v>329</v>
      </c>
      <c r="C67" s="78"/>
      <c r="D67" s="164">
        <v>2500</v>
      </c>
      <c r="E67" s="113"/>
      <c r="F67" s="163" t="s">
        <v>315</v>
      </c>
      <c r="G67" s="78"/>
      <c r="H67" s="164">
        <v>2500</v>
      </c>
      <c r="I67" s="221"/>
      <c r="J67" s="113"/>
      <c r="K67" s="113"/>
      <c r="L67" s="78"/>
    </row>
    <row r="68" spans="1:12" x14ac:dyDescent="0.25">
      <c r="A68" s="50"/>
      <c r="B68" s="213">
        <v>43172</v>
      </c>
      <c r="C68" s="78"/>
      <c r="D68" s="164">
        <v>99700</v>
      </c>
      <c r="E68" s="113"/>
      <c r="F68" s="213">
        <v>43172</v>
      </c>
      <c r="G68" s="78"/>
      <c r="H68" s="164">
        <v>99700</v>
      </c>
      <c r="I68" s="221"/>
      <c r="J68" s="113"/>
      <c r="K68" s="113"/>
      <c r="L68" s="78"/>
    </row>
    <row r="69" spans="1:12" x14ac:dyDescent="0.25">
      <c r="A69" s="78"/>
      <c r="B69" s="163" t="s">
        <v>331</v>
      </c>
      <c r="C69" s="164"/>
      <c r="D69" s="165">
        <v>1557</v>
      </c>
      <c r="E69" s="113"/>
      <c r="F69" s="163" t="s">
        <v>324</v>
      </c>
      <c r="G69" s="164"/>
      <c r="H69" s="165">
        <v>1557</v>
      </c>
      <c r="I69" s="221"/>
      <c r="J69" s="113"/>
      <c r="K69" s="113"/>
      <c r="L69" s="78"/>
    </row>
    <row r="70" spans="1:12" x14ac:dyDescent="0.25">
      <c r="A70" s="78"/>
      <c r="B70" s="164"/>
      <c r="C70" s="164"/>
      <c r="D70" s="113"/>
      <c r="E70" s="113"/>
      <c r="F70" s="164"/>
      <c r="G70" s="164"/>
      <c r="H70" s="113"/>
      <c r="I70" s="221"/>
      <c r="J70" s="113"/>
      <c r="K70" s="113"/>
      <c r="L70" s="78"/>
    </row>
    <row r="71" spans="1:12" x14ac:dyDescent="0.25">
      <c r="A71" s="78"/>
      <c r="B71" s="166" t="s">
        <v>193</v>
      </c>
      <c r="C71" s="243">
        <f>C65</f>
        <v>283675.34230528004</v>
      </c>
      <c r="D71" s="221">
        <f>SUM(D61:D70)</f>
        <v>111845</v>
      </c>
      <c r="E71" s="221">
        <f>C71-D71</f>
        <v>171830.34230528004</v>
      </c>
      <c r="F71" s="166" t="s">
        <v>193</v>
      </c>
      <c r="G71" s="243">
        <f>G65</f>
        <v>197166.27520000003</v>
      </c>
      <c r="H71" s="221">
        <f>SUM(H61:H70)</f>
        <v>111845</v>
      </c>
      <c r="I71" s="221">
        <f>G71-H71</f>
        <v>85321.275200000033</v>
      </c>
      <c r="J71" s="149">
        <f>I29</f>
        <v>0</v>
      </c>
      <c r="K71" s="113"/>
      <c r="L71" s="78"/>
    </row>
    <row r="72" spans="1:12" x14ac:dyDescent="0.25">
      <c r="A72" s="78"/>
      <c r="B72" s="78"/>
      <c r="C72" s="78"/>
      <c r="D72" s="78"/>
      <c r="E72" s="78"/>
      <c r="F72" s="78"/>
      <c r="G72" s="79"/>
      <c r="H72" s="78"/>
      <c r="J72" s="78"/>
      <c r="K72" s="78"/>
      <c r="L72" s="78"/>
    </row>
    <row r="73" spans="1:12" x14ac:dyDescent="0.25">
      <c r="A73" s="78"/>
      <c r="B73" s="78" t="s">
        <v>71</v>
      </c>
      <c r="C73" s="79"/>
      <c r="D73" s="150" t="s">
        <v>72</v>
      </c>
      <c r="E73" s="79"/>
      <c r="F73" s="78" t="s">
        <v>73</v>
      </c>
      <c r="G73" s="78"/>
      <c r="H73" s="78"/>
      <c r="J73" s="78"/>
      <c r="K73" s="78"/>
      <c r="L73" s="78"/>
    </row>
    <row r="74" spans="1:12" x14ac:dyDescent="0.25">
      <c r="A74" s="78"/>
      <c r="B74" s="78"/>
      <c r="C74" s="78"/>
      <c r="D74" s="78"/>
      <c r="E74" s="78"/>
      <c r="F74" s="78"/>
      <c r="G74" s="78"/>
      <c r="H74" s="78"/>
      <c r="J74" s="78"/>
      <c r="K74" s="78"/>
      <c r="L74" s="78"/>
    </row>
    <row r="75" spans="1:12" x14ac:dyDescent="0.25">
      <c r="A75" s="78"/>
      <c r="B75" s="78" t="s">
        <v>379</v>
      </c>
      <c r="C75" s="78"/>
      <c r="D75" s="78" t="s">
        <v>135</v>
      </c>
      <c r="E75" s="78"/>
      <c r="F75" s="78" t="s">
        <v>130</v>
      </c>
      <c r="G75" s="78"/>
      <c r="H75" s="78"/>
      <c r="J75" s="78"/>
      <c r="K75" s="78"/>
      <c r="L75" s="78"/>
    </row>
    <row r="76" spans="1:12" x14ac:dyDescent="0.25">
      <c r="B76" s="78"/>
      <c r="C76" s="78"/>
      <c r="D76" s="78"/>
      <c r="E76" s="78"/>
      <c r="F76" s="78"/>
      <c r="G76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6" workbookViewId="0">
      <selection activeCell="L75" sqref="L75"/>
    </sheetView>
  </sheetViews>
  <sheetFormatPr defaultRowHeight="15" x14ac:dyDescent="0.25"/>
  <cols>
    <col min="1" max="1" width="3.7109375" customWidth="1"/>
    <col min="2" max="2" width="17.42578125" customWidth="1"/>
    <col min="3" max="3" width="10.5703125" bestFit="1" customWidth="1"/>
    <col min="4" max="4" width="9.5703125" bestFit="1" customWidth="1"/>
    <col min="6" max="6" width="11.85546875" customWidth="1"/>
  </cols>
  <sheetData>
    <row r="1" spans="1:12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220"/>
      <c r="J1" s="78"/>
      <c r="K1" s="78"/>
      <c r="L1" s="78"/>
    </row>
    <row r="2" spans="1:12" ht="21" x14ac:dyDescent="0.25">
      <c r="A2" s="8"/>
      <c r="B2" s="64" t="s">
        <v>326</v>
      </c>
      <c r="C2" s="11"/>
      <c r="D2" s="11"/>
      <c r="E2" s="11"/>
      <c r="F2" s="103"/>
      <c r="G2" s="103"/>
      <c r="H2" s="103"/>
      <c r="I2" s="220"/>
      <c r="J2" s="78"/>
      <c r="K2" s="78"/>
      <c r="L2" s="78"/>
    </row>
    <row r="3" spans="1:12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  <c r="L3" s="78"/>
    </row>
    <row r="4" spans="1:12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  <c r="L4" s="78"/>
    </row>
    <row r="5" spans="1:12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  <c r="L5" s="78"/>
    </row>
    <row r="6" spans="1:12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  <c r="L6" s="78"/>
    </row>
    <row r="7" spans="1:12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  <c r="L7" s="78"/>
    </row>
    <row r="8" spans="1:12" x14ac:dyDescent="0.25">
      <c r="A8" s="16">
        <v>5</v>
      </c>
      <c r="B8" s="218" t="s">
        <v>327</v>
      </c>
      <c r="C8" s="17" t="s">
        <v>26</v>
      </c>
      <c r="D8" s="226"/>
      <c r="E8" s="226">
        <v>2500</v>
      </c>
      <c r="F8" s="226">
        <v>100</v>
      </c>
      <c r="G8" s="225">
        <f>D8+E8+F8</f>
        <v>2600</v>
      </c>
      <c r="H8" s="223">
        <v>2500</v>
      </c>
      <c r="I8" s="221">
        <f t="shared" si="0"/>
        <v>100</v>
      </c>
      <c r="J8" s="78"/>
      <c r="K8" s="78"/>
      <c r="L8" s="78"/>
    </row>
    <row r="9" spans="1:12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  <c r="L9" s="78"/>
    </row>
    <row r="10" spans="1:12" x14ac:dyDescent="0.25">
      <c r="A10" s="16">
        <v>7</v>
      </c>
      <c r="B10" s="191" t="s">
        <v>309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  <c r="L10" s="78"/>
    </row>
    <row r="11" spans="1:12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  <c r="L11" s="78"/>
    </row>
    <row r="12" spans="1:12" x14ac:dyDescent="0.25">
      <c r="A12" s="16">
        <v>9</v>
      </c>
      <c r="B12" s="191" t="s">
        <v>221</v>
      </c>
      <c r="C12" s="17" t="s">
        <v>34</v>
      </c>
      <c r="D12" s="226">
        <v>3100</v>
      </c>
      <c r="E12" s="226">
        <v>2500</v>
      </c>
      <c r="F12" s="226">
        <v>100</v>
      </c>
      <c r="G12" s="225">
        <f t="shared" si="1"/>
        <v>5700</v>
      </c>
      <c r="H12" s="223">
        <v>5600</v>
      </c>
      <c r="I12" s="221">
        <f t="shared" si="0"/>
        <v>100</v>
      </c>
      <c r="J12" s="78"/>
      <c r="K12" s="78"/>
      <c r="L12" s="78"/>
    </row>
    <row r="13" spans="1:12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  <c r="L13" s="78"/>
    </row>
    <row r="14" spans="1:12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  <c r="L14" s="78"/>
    </row>
    <row r="15" spans="1:12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  <c r="L15" s="78"/>
    </row>
    <row r="16" spans="1:12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  <c r="L16" s="78"/>
    </row>
    <row r="17" spans="1:12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>
        <v>2500</v>
      </c>
      <c r="I17" s="221">
        <f t="shared" si="0"/>
        <v>200</v>
      </c>
      <c r="J17" s="78"/>
      <c r="K17" s="78"/>
      <c r="L17" s="78"/>
    </row>
    <row r="18" spans="1:12" x14ac:dyDescent="0.25">
      <c r="A18" s="16">
        <v>15</v>
      </c>
      <c r="B18" s="191" t="s">
        <v>225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  <c r="L18" s="78"/>
    </row>
    <row r="19" spans="1:12" x14ac:dyDescent="0.25">
      <c r="A19" s="16">
        <v>16</v>
      </c>
      <c r="B19" s="218" t="s">
        <v>328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  <c r="L19" s="78"/>
    </row>
    <row r="20" spans="1:12" x14ac:dyDescent="0.25">
      <c r="A20" s="21">
        <v>17</v>
      </c>
      <c r="B20" s="194" t="s">
        <v>316</v>
      </c>
      <c r="C20" s="17" t="s">
        <v>50</v>
      </c>
      <c r="D20" s="226"/>
      <c r="E20" s="229">
        <v>3000</v>
      </c>
      <c r="F20" s="227">
        <v>100</v>
      </c>
      <c r="G20" s="225">
        <f t="shared" si="2"/>
        <v>3100</v>
      </c>
      <c r="H20" s="223">
        <v>3000</v>
      </c>
      <c r="I20" s="221">
        <f t="shared" si="0"/>
        <v>100</v>
      </c>
      <c r="J20" s="78"/>
      <c r="K20" s="78"/>
      <c r="L20" s="78"/>
    </row>
    <row r="21" spans="1:12" x14ac:dyDescent="0.25">
      <c r="A21" s="21">
        <v>18</v>
      </c>
      <c r="B21" s="194" t="s">
        <v>226</v>
      </c>
      <c r="C21" s="17" t="s">
        <v>52</v>
      </c>
      <c r="D21" s="226"/>
      <c r="E21" s="229">
        <v>3000</v>
      </c>
      <c r="F21" s="227">
        <v>100</v>
      </c>
      <c r="G21" s="225">
        <f t="shared" si="2"/>
        <v>3100</v>
      </c>
      <c r="H21" s="223">
        <v>3000</v>
      </c>
      <c r="I21" s="221">
        <f t="shared" si="0"/>
        <v>100</v>
      </c>
      <c r="J21" s="78"/>
      <c r="K21" s="78"/>
      <c r="L21" s="78"/>
    </row>
    <row r="22" spans="1:12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>
        <v>0</v>
      </c>
      <c r="I22" s="221">
        <f t="shared" si="0"/>
        <v>0</v>
      </c>
      <c r="J22" s="78"/>
      <c r="K22" s="78"/>
      <c r="L22" s="78"/>
    </row>
    <row r="23" spans="1:12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  <c r="L23" s="78"/>
    </row>
    <row r="24" spans="1:12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  <c r="L24" s="78"/>
    </row>
    <row r="25" spans="1:12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  <c r="L25" s="78"/>
    </row>
    <row r="26" spans="1:12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  <c r="L26" s="78"/>
    </row>
    <row r="27" spans="1:12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  <c r="L27" s="78"/>
    </row>
    <row r="28" spans="1:12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  <c r="L28" s="78"/>
    </row>
    <row r="29" spans="1:12" x14ac:dyDescent="0.25">
      <c r="A29" s="38"/>
      <c r="B29" s="199" t="s">
        <v>65</v>
      </c>
      <c r="C29" s="38"/>
      <c r="D29" s="149"/>
      <c r="E29" s="40">
        <f>SUM(E4:E28)</f>
        <v>61100</v>
      </c>
      <c r="F29" s="42">
        <f>SUM(F4:F28)</f>
        <v>2300</v>
      </c>
      <c r="G29" s="19"/>
      <c r="H29" s="135">
        <f>SUM(H4:H28)</f>
        <v>64100</v>
      </c>
      <c r="I29" s="221"/>
      <c r="J29" s="78"/>
      <c r="K29" s="78"/>
      <c r="L29" s="78"/>
    </row>
    <row r="30" spans="1:12" x14ac:dyDescent="0.25">
      <c r="A30" s="78"/>
      <c r="B30" s="561" t="s">
        <v>246</v>
      </c>
      <c r="C30" s="561"/>
      <c r="D30" s="561"/>
      <c r="E30" s="561"/>
      <c r="F30" s="561"/>
      <c r="G30" s="561"/>
      <c r="H30" s="78"/>
      <c r="I30" s="221">
        <f>G30-H30</f>
        <v>0</v>
      </c>
      <c r="J30" s="78"/>
      <c r="K30" s="78"/>
      <c r="L30" s="78"/>
    </row>
    <row r="31" spans="1:12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182" t="s">
        <v>105</v>
      </c>
      <c r="I31" s="221"/>
      <c r="J31" s="78"/>
      <c r="K31" s="78"/>
      <c r="L31" s="78"/>
    </row>
    <row r="32" spans="1:12" x14ac:dyDescent="0.25">
      <c r="A32" s="83" t="s">
        <v>106</v>
      </c>
      <c r="B32" s="84" t="s">
        <v>281</v>
      </c>
      <c r="C32" s="85"/>
      <c r="D32" s="86">
        <v>0</v>
      </c>
      <c r="E32" s="231"/>
      <c r="F32" s="232"/>
      <c r="G32" s="232"/>
      <c r="H32" s="233"/>
      <c r="I32" s="221"/>
      <c r="J32" s="78"/>
      <c r="K32" s="78"/>
      <c r="L32" s="78"/>
    </row>
    <row r="33" spans="1:12" x14ac:dyDescent="0.25">
      <c r="A33" s="83" t="s">
        <v>108</v>
      </c>
      <c r="B33" s="200" t="s">
        <v>284</v>
      </c>
      <c r="C33" s="85"/>
      <c r="D33" s="86">
        <v>0</v>
      </c>
      <c r="E33" s="231"/>
      <c r="F33" s="232"/>
      <c r="G33" s="232"/>
      <c r="H33" s="233"/>
      <c r="I33" s="221">
        <f t="shared" si="0"/>
        <v>0</v>
      </c>
      <c r="J33" s="78"/>
      <c r="K33" s="78"/>
      <c r="L33" s="78"/>
    </row>
    <row r="34" spans="1:12" x14ac:dyDescent="0.25">
      <c r="A34" s="83" t="s">
        <v>110</v>
      </c>
      <c r="B34" s="200" t="s">
        <v>312</v>
      </c>
      <c r="C34" s="85"/>
      <c r="D34" s="86"/>
      <c r="E34" s="231">
        <v>1500</v>
      </c>
      <c r="F34" s="232">
        <f>D34+E34</f>
        <v>1500</v>
      </c>
      <c r="G34" s="234">
        <v>1500</v>
      </c>
      <c r="H34" s="233">
        <f t="shared" ref="H34:H41" si="3">F34-G34</f>
        <v>0</v>
      </c>
      <c r="I34" s="221"/>
      <c r="J34" s="78"/>
      <c r="K34" s="78"/>
      <c r="L34" s="78"/>
    </row>
    <row r="35" spans="1:12" x14ac:dyDescent="0.25">
      <c r="A35" s="87" t="s">
        <v>112</v>
      </c>
      <c r="B35" s="201" t="s">
        <v>254</v>
      </c>
      <c r="C35" s="89"/>
      <c r="D35" s="90">
        <v>2500</v>
      </c>
      <c r="E35" s="235">
        <v>2500</v>
      </c>
      <c r="F35" s="232">
        <f t="shared" ref="F35:F40" si="4">D35+E35</f>
        <v>5000</v>
      </c>
      <c r="G35" s="236">
        <v>2500</v>
      </c>
      <c r="H35" s="233">
        <f t="shared" si="3"/>
        <v>2500</v>
      </c>
      <c r="I35" s="221"/>
      <c r="J35" s="78"/>
      <c r="K35" s="78"/>
      <c r="L35" s="78"/>
    </row>
    <row r="36" spans="1:12" x14ac:dyDescent="0.25">
      <c r="A36" s="99" t="s">
        <v>114</v>
      </c>
      <c r="B36" s="202" t="s">
        <v>184</v>
      </c>
      <c r="C36" s="86"/>
      <c r="D36" s="86">
        <v>300</v>
      </c>
      <c r="E36" s="232">
        <v>2500</v>
      </c>
      <c r="F36" s="232">
        <f t="shared" si="4"/>
        <v>2800</v>
      </c>
      <c r="G36" s="234">
        <v>1075</v>
      </c>
      <c r="H36" s="233">
        <f t="shared" si="3"/>
        <v>1725</v>
      </c>
      <c r="I36" s="221"/>
      <c r="J36" s="78"/>
      <c r="K36" s="78"/>
      <c r="L36" s="78"/>
    </row>
    <row r="37" spans="1:12" x14ac:dyDescent="0.25">
      <c r="A37" s="93" t="s">
        <v>116</v>
      </c>
      <c r="B37" s="200" t="s">
        <v>322</v>
      </c>
      <c r="C37" s="94"/>
      <c r="D37" s="246"/>
      <c r="E37" s="237">
        <v>2500</v>
      </c>
      <c r="F37" s="232">
        <f t="shared" si="4"/>
        <v>2500</v>
      </c>
      <c r="G37" s="238"/>
      <c r="H37" s="233">
        <f t="shared" si="3"/>
        <v>2500</v>
      </c>
      <c r="I37" s="221"/>
      <c r="J37" s="78"/>
      <c r="K37" s="78"/>
      <c r="L37" s="78"/>
    </row>
    <row r="38" spans="1:12" x14ac:dyDescent="0.25">
      <c r="A38" s="83" t="s">
        <v>119</v>
      </c>
      <c r="B38" s="203" t="s">
        <v>120</v>
      </c>
      <c r="C38" s="85"/>
      <c r="D38" s="92"/>
      <c r="E38" s="231">
        <v>2500</v>
      </c>
      <c r="F38" s="232">
        <f t="shared" si="4"/>
        <v>2500</v>
      </c>
      <c r="G38" s="234">
        <v>2500</v>
      </c>
      <c r="H38" s="233">
        <f t="shared" si="3"/>
        <v>0</v>
      </c>
      <c r="I38" s="221"/>
      <c r="J38" s="78"/>
      <c r="K38" s="78"/>
      <c r="L38" s="78"/>
    </row>
    <row r="39" spans="1:12" x14ac:dyDescent="0.25">
      <c r="A39" s="83" t="s">
        <v>121</v>
      </c>
      <c r="B39" s="200" t="s">
        <v>186</v>
      </c>
      <c r="C39" s="85"/>
      <c r="D39" s="92"/>
      <c r="E39" s="231"/>
      <c r="F39" s="232">
        <f t="shared" si="4"/>
        <v>0</v>
      </c>
      <c r="G39" s="234"/>
      <c r="H39" s="233">
        <f t="shared" si="3"/>
        <v>0</v>
      </c>
      <c r="I39" s="221"/>
      <c r="J39" s="78"/>
      <c r="K39" s="78"/>
      <c r="L39" s="78"/>
    </row>
    <row r="40" spans="1:12" x14ac:dyDescent="0.25">
      <c r="A40" s="83" t="s">
        <v>123</v>
      </c>
      <c r="B40" s="200" t="s">
        <v>191</v>
      </c>
      <c r="C40" s="85"/>
      <c r="D40" s="92">
        <v>2700</v>
      </c>
      <c r="E40" s="231">
        <v>2500</v>
      </c>
      <c r="F40" s="232">
        <f t="shared" si="4"/>
        <v>5200</v>
      </c>
      <c r="G40" s="234"/>
      <c r="H40" s="233">
        <f t="shared" si="3"/>
        <v>5200</v>
      </c>
      <c r="I40" s="221"/>
      <c r="J40" s="78"/>
      <c r="K40" s="78"/>
      <c r="L40" s="78"/>
    </row>
    <row r="41" spans="1:12" x14ac:dyDescent="0.25">
      <c r="A41" s="83" t="s">
        <v>125</v>
      </c>
      <c r="B41" s="203"/>
      <c r="C41" s="78"/>
      <c r="D41" s="186"/>
      <c r="E41" s="152"/>
      <c r="F41" s="86"/>
      <c r="G41" s="169"/>
      <c r="H41" s="184">
        <f t="shared" si="3"/>
        <v>0</v>
      </c>
      <c r="I41" s="221"/>
      <c r="J41" s="78"/>
      <c r="K41" s="78"/>
      <c r="L41" s="78"/>
    </row>
    <row r="42" spans="1:12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14000</v>
      </c>
      <c r="F42" s="240"/>
      <c r="G42" s="240">
        <f>SUM(G32:G41)</f>
        <v>7575</v>
      </c>
      <c r="H42" s="241">
        <f>SUM(H32:H41)</f>
        <v>11925</v>
      </c>
      <c r="I42" s="221"/>
      <c r="J42" s="78"/>
      <c r="K42" s="78"/>
      <c r="L42" s="78"/>
    </row>
    <row r="43" spans="1:12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  <c r="L43" s="78"/>
    </row>
    <row r="44" spans="1:12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  <c r="L44" s="78"/>
    </row>
    <row r="45" spans="1:12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  <c r="L45" s="78"/>
    </row>
    <row r="46" spans="1:12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  <c r="L46" s="78"/>
    </row>
    <row r="47" spans="1:12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  <c r="L47" s="78"/>
    </row>
    <row r="48" spans="1:12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  <c r="L48" s="78"/>
    </row>
    <row r="49" spans="1:12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  <c r="L49" s="78"/>
    </row>
    <row r="50" spans="1:12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  <c r="L50" s="78"/>
    </row>
    <row r="51" spans="1:12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  <c r="L51" s="78"/>
    </row>
    <row r="52" spans="1:12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  <c r="L52" s="78"/>
    </row>
    <row r="53" spans="1:12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  <c r="L53" s="78"/>
    </row>
    <row r="54" spans="1:12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  <c r="L54" s="78"/>
    </row>
    <row r="55" spans="1:12" x14ac:dyDescent="0.25">
      <c r="A55" s="142"/>
      <c r="B55" s="78"/>
      <c r="C55" s="78"/>
      <c r="D55" s="78"/>
      <c r="E55" s="78"/>
      <c r="F55" s="78"/>
      <c r="G55" s="78"/>
      <c r="H55" s="78"/>
      <c r="I55" s="220"/>
      <c r="J55" s="78"/>
      <c r="K55" s="78"/>
      <c r="L55" s="78"/>
    </row>
    <row r="56" spans="1:12" x14ac:dyDescent="0.25">
      <c r="A56" s="175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09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220"/>
      <c r="J58" s="78"/>
      <c r="K58" s="78"/>
      <c r="L58" s="78"/>
    </row>
    <row r="59" spans="1:12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  <c r="L59" s="78"/>
    </row>
    <row r="60" spans="1:12" x14ac:dyDescent="0.25">
      <c r="A60" s="50"/>
      <c r="B60" s="211" t="s">
        <v>338</v>
      </c>
      <c r="C60" s="220">
        <f>E29+E42+E54</f>
        <v>98600</v>
      </c>
      <c r="D60" s="113"/>
      <c r="E60" s="113"/>
      <c r="F60" s="211" t="s">
        <v>338</v>
      </c>
      <c r="G60" s="220">
        <f>H29+G42+G54</f>
        <v>95175</v>
      </c>
      <c r="H60" s="113"/>
      <c r="I60" s="221"/>
      <c r="J60" s="113"/>
      <c r="K60" s="113"/>
      <c r="L60" s="78"/>
    </row>
    <row r="61" spans="1:12" x14ac:dyDescent="0.25">
      <c r="A61" s="50"/>
      <c r="B61" s="113" t="s">
        <v>209</v>
      </c>
      <c r="C61" s="161">
        <v>0.08</v>
      </c>
      <c r="D61" s="221">
        <f>C60*C61</f>
        <v>7888</v>
      </c>
      <c r="E61" s="113"/>
      <c r="F61" s="113" t="s">
        <v>209</v>
      </c>
      <c r="G61" s="161">
        <v>0.08</v>
      </c>
      <c r="H61" s="221">
        <f>D61</f>
        <v>7888</v>
      </c>
      <c r="I61" s="221"/>
      <c r="J61" s="113"/>
      <c r="K61" s="113"/>
      <c r="L61" s="78"/>
    </row>
    <row r="62" spans="1:12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  <c r="L62" s="78"/>
    </row>
    <row r="63" spans="1:12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239</v>
      </c>
      <c r="C64" s="244">
        <f>'MARCH '!E71</f>
        <v>171830.34230528004</v>
      </c>
      <c r="D64" s="113"/>
      <c r="E64" s="113"/>
      <c r="F64" s="168" t="s">
        <v>239</v>
      </c>
      <c r="G64" s="244">
        <f>'MARCH '!I71</f>
        <v>85321.275200000033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193</v>
      </c>
      <c r="C65" s="221">
        <f>C60+C62+C63+C64</f>
        <v>275730.34230528004</v>
      </c>
      <c r="D65" s="113"/>
      <c r="E65" s="113"/>
      <c r="F65" s="168" t="s">
        <v>193</v>
      </c>
      <c r="G65" s="221">
        <f>G60+G62+G63+G64</f>
        <v>185796.27520000003</v>
      </c>
      <c r="H65" s="113"/>
      <c r="I65" s="221"/>
      <c r="J65" s="113"/>
      <c r="K65" s="113"/>
      <c r="L65" s="78"/>
    </row>
    <row r="66" spans="1:12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  <c r="L66" s="78"/>
    </row>
    <row r="67" spans="1:12" x14ac:dyDescent="0.25">
      <c r="A67" s="50"/>
      <c r="B67" s="163" t="s">
        <v>333</v>
      </c>
      <c r="C67" s="78"/>
      <c r="D67" s="164">
        <v>2500</v>
      </c>
      <c r="E67" s="113"/>
      <c r="F67" s="163" t="s">
        <v>333</v>
      </c>
      <c r="G67" s="78"/>
      <c r="H67" s="164">
        <v>2500</v>
      </c>
      <c r="I67" s="221"/>
      <c r="J67" s="113"/>
      <c r="K67" s="113"/>
      <c r="L67" s="78"/>
    </row>
    <row r="68" spans="1:12" x14ac:dyDescent="0.25">
      <c r="A68" s="50"/>
      <c r="B68" s="213" t="s">
        <v>332</v>
      </c>
      <c r="C68" s="78"/>
      <c r="D68" s="164">
        <v>725</v>
      </c>
      <c r="E68" s="113"/>
      <c r="F68" s="213" t="s">
        <v>332</v>
      </c>
      <c r="G68" s="78"/>
      <c r="H68" s="164">
        <v>725</v>
      </c>
      <c r="I68" s="221"/>
      <c r="J68" s="113"/>
      <c r="K68" s="113"/>
      <c r="L68" s="78"/>
    </row>
    <row r="69" spans="1:12" x14ac:dyDescent="0.25">
      <c r="A69" s="78"/>
      <c r="B69" s="163" t="s">
        <v>334</v>
      </c>
      <c r="C69" s="164"/>
      <c r="D69" s="165">
        <v>2066</v>
      </c>
      <c r="E69" s="113"/>
      <c r="F69" s="163" t="s">
        <v>334</v>
      </c>
      <c r="G69" s="164"/>
      <c r="H69" s="165">
        <v>2066</v>
      </c>
      <c r="I69" s="221"/>
      <c r="J69" s="113"/>
      <c r="K69" s="113"/>
      <c r="L69" s="78"/>
    </row>
    <row r="70" spans="1:12" s="78" customFormat="1" x14ac:dyDescent="0.25">
      <c r="B70" s="163" t="s">
        <v>335</v>
      </c>
      <c r="C70" s="164"/>
      <c r="D70" s="165">
        <v>522</v>
      </c>
      <c r="E70" s="113"/>
      <c r="F70" s="163" t="s">
        <v>335</v>
      </c>
      <c r="G70" s="164"/>
      <c r="H70" s="165">
        <v>522</v>
      </c>
      <c r="I70" s="221"/>
      <c r="J70" s="113"/>
      <c r="K70" s="113"/>
    </row>
    <row r="71" spans="1:12" s="78" customFormat="1" x14ac:dyDescent="0.25">
      <c r="B71" s="219">
        <v>43208</v>
      </c>
      <c r="C71" s="164"/>
      <c r="D71" s="165">
        <v>80700</v>
      </c>
      <c r="E71" s="113"/>
      <c r="F71" s="219">
        <v>43208</v>
      </c>
      <c r="G71" s="164"/>
      <c r="H71" s="165">
        <v>80700</v>
      </c>
      <c r="I71" s="221"/>
      <c r="J71" s="113"/>
      <c r="K71" s="113"/>
    </row>
    <row r="72" spans="1:12" s="78" customFormat="1" x14ac:dyDescent="0.25">
      <c r="B72" s="163" t="s">
        <v>367</v>
      </c>
      <c r="C72" s="164"/>
      <c r="D72" s="165">
        <v>2500</v>
      </c>
      <c r="E72" s="113"/>
      <c r="F72" s="163"/>
      <c r="G72" s="164"/>
      <c r="H72" s="165"/>
      <c r="I72" s="221"/>
      <c r="J72" s="113"/>
      <c r="K72" s="113"/>
    </row>
    <row r="73" spans="1:12" s="78" customFormat="1" x14ac:dyDescent="0.25"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2" x14ac:dyDescent="0.25">
      <c r="A74" s="78"/>
      <c r="B74" s="164"/>
      <c r="C74" s="164"/>
      <c r="D74" s="113"/>
      <c r="E74" s="113"/>
      <c r="F74" s="164"/>
      <c r="G74" s="164"/>
      <c r="H74" s="113"/>
      <c r="I74" s="221"/>
      <c r="J74" s="113"/>
      <c r="K74" s="113"/>
      <c r="L74" s="78"/>
    </row>
    <row r="75" spans="1:12" x14ac:dyDescent="0.25">
      <c r="A75" s="78"/>
      <c r="B75" s="166" t="s">
        <v>193</v>
      </c>
      <c r="C75" s="243">
        <f>C65</f>
        <v>275730.34230528004</v>
      </c>
      <c r="D75" s="221">
        <f>SUM(D61:D74)</f>
        <v>96901</v>
      </c>
      <c r="E75" s="221">
        <f>C75-D75</f>
        <v>178829.34230528004</v>
      </c>
      <c r="F75" s="166" t="s">
        <v>193</v>
      </c>
      <c r="G75" s="243">
        <f>G65</f>
        <v>185796.27520000003</v>
      </c>
      <c r="H75" s="221">
        <f>SUM(H61:H74)</f>
        <v>94401</v>
      </c>
      <c r="I75" s="221">
        <f>G75-H75</f>
        <v>91395.275200000033</v>
      </c>
      <c r="J75" s="149">
        <f>I29</f>
        <v>0</v>
      </c>
      <c r="K75" s="113"/>
      <c r="L75" s="78"/>
    </row>
    <row r="76" spans="1:12" x14ac:dyDescent="0.25">
      <c r="A76" s="78"/>
      <c r="B76" s="78"/>
      <c r="C76" s="78"/>
      <c r="D76" s="78"/>
      <c r="E76" s="78"/>
      <c r="F76" s="78"/>
      <c r="G76" s="79"/>
      <c r="H76" s="78"/>
      <c r="I76" s="220"/>
      <c r="J76" s="78"/>
      <c r="K76" s="78"/>
      <c r="L76" s="78"/>
    </row>
    <row r="77" spans="1:12" x14ac:dyDescent="0.25">
      <c r="A77" s="78"/>
      <c r="B77" s="78" t="s">
        <v>71</v>
      </c>
      <c r="C77" s="79"/>
      <c r="D77" s="150" t="s">
        <v>72</v>
      </c>
      <c r="E77" s="79"/>
      <c r="F77" s="78" t="s">
        <v>73</v>
      </c>
      <c r="G77" s="78"/>
      <c r="H77" s="78"/>
      <c r="I77" s="220"/>
      <c r="J77" s="78"/>
      <c r="K77" s="78"/>
      <c r="L77" s="78"/>
    </row>
    <row r="78" spans="1:12" x14ac:dyDescent="0.25">
      <c r="A78" s="78"/>
      <c r="B78" s="78"/>
      <c r="C78" s="78"/>
      <c r="D78" s="78"/>
      <c r="E78" s="78"/>
      <c r="F78" s="78"/>
      <c r="G78" s="78"/>
      <c r="H78" s="78"/>
      <c r="I78" s="220"/>
      <c r="J78" s="78"/>
      <c r="K78" s="78"/>
      <c r="L78" s="78"/>
    </row>
    <row r="79" spans="1:12" x14ac:dyDescent="0.25">
      <c r="A79" s="78"/>
      <c r="B79" s="78" t="s">
        <v>379</v>
      </c>
      <c r="C79" s="78"/>
      <c r="D79" s="78" t="s">
        <v>135</v>
      </c>
      <c r="E79" s="78"/>
      <c r="F79" s="78" t="s">
        <v>130</v>
      </c>
      <c r="G79" s="78"/>
      <c r="H79" s="78"/>
      <c r="I79" s="220"/>
      <c r="J79" s="78"/>
      <c r="K79" s="78"/>
      <c r="L79" s="78"/>
    </row>
    <row r="80" spans="1:12" x14ac:dyDescent="0.25">
      <c r="B80" s="78"/>
      <c r="C80" s="78"/>
      <c r="D80" s="78"/>
      <c r="E80" s="78"/>
      <c r="F80" s="78"/>
      <c r="G80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3" workbookViewId="0">
      <selection activeCell="K45" sqref="K45"/>
    </sheetView>
  </sheetViews>
  <sheetFormatPr defaultRowHeight="15" x14ac:dyDescent="0.25"/>
  <cols>
    <col min="1" max="1" width="4.140625" customWidth="1"/>
    <col min="2" max="2" width="17.140625" customWidth="1"/>
    <col min="4" max="4" width="9.5703125" bestFit="1" customWidth="1"/>
    <col min="6" max="6" width="11.28515625" customWidth="1"/>
  </cols>
  <sheetData>
    <row r="1" spans="1:11" ht="31.5" x14ac:dyDescent="0.5">
      <c r="A1" s="61"/>
      <c r="B1" s="61"/>
      <c r="C1" s="217"/>
      <c r="D1" s="215" t="s">
        <v>305</v>
      </c>
      <c r="E1" s="217"/>
      <c r="F1" s="217"/>
      <c r="G1" s="217"/>
      <c r="H1" s="2"/>
      <c r="I1" s="220"/>
      <c r="J1" s="78"/>
      <c r="K1" s="78"/>
    </row>
    <row r="2" spans="1:11" ht="21" x14ac:dyDescent="0.25">
      <c r="A2" s="8"/>
      <c r="B2" s="64" t="s">
        <v>340</v>
      </c>
      <c r="C2" s="11"/>
      <c r="D2" s="11"/>
      <c r="E2" s="11"/>
      <c r="F2" s="103"/>
      <c r="G2" s="103"/>
      <c r="H2" s="103"/>
      <c r="I2" s="220"/>
      <c r="J2" s="78"/>
      <c r="K2" s="78"/>
    </row>
    <row r="3" spans="1:11" x14ac:dyDescent="0.25">
      <c r="A3" s="13" t="s">
        <v>3</v>
      </c>
      <c r="B3" s="14" t="s">
        <v>4</v>
      </c>
      <c r="C3" s="14" t="s">
        <v>5</v>
      </c>
      <c r="D3" s="14" t="s">
        <v>239</v>
      </c>
      <c r="E3" s="14" t="s">
        <v>9</v>
      </c>
      <c r="F3" s="15" t="s">
        <v>10</v>
      </c>
      <c r="G3" s="15" t="s">
        <v>11</v>
      </c>
      <c r="H3" s="131" t="s">
        <v>12</v>
      </c>
      <c r="I3" s="221" t="s">
        <v>306</v>
      </c>
      <c r="J3" s="78"/>
      <c r="K3" s="78"/>
    </row>
    <row r="4" spans="1:11" x14ac:dyDescent="0.25">
      <c r="A4" s="16">
        <v>1</v>
      </c>
      <c r="B4" s="191" t="s">
        <v>257</v>
      </c>
      <c r="C4" s="17" t="s">
        <v>18</v>
      </c>
      <c r="D4" s="226"/>
      <c r="E4" s="226">
        <v>2500</v>
      </c>
      <c r="F4" s="226">
        <v>100</v>
      </c>
      <c r="G4" s="225">
        <f>D4+E4+F4</f>
        <v>2600</v>
      </c>
      <c r="H4" s="223">
        <v>2500</v>
      </c>
      <c r="I4" s="221">
        <f>G4-H4</f>
        <v>100</v>
      </c>
      <c r="J4" s="78"/>
      <c r="K4" s="78"/>
    </row>
    <row r="5" spans="1:11" x14ac:dyDescent="0.25">
      <c r="A5" s="16">
        <v>2</v>
      </c>
      <c r="B5" s="191" t="s">
        <v>307</v>
      </c>
      <c r="C5" s="17" t="s">
        <v>20</v>
      </c>
      <c r="D5" s="226"/>
      <c r="E5" s="226">
        <v>2500</v>
      </c>
      <c r="F5" s="226">
        <v>100</v>
      </c>
      <c r="G5" s="225">
        <v>2600</v>
      </c>
      <c r="H5" s="223">
        <v>2500</v>
      </c>
      <c r="I5" s="221">
        <f t="shared" ref="I5:I44" si="0">G5-H5</f>
        <v>100</v>
      </c>
      <c r="J5" s="78"/>
      <c r="K5" s="78"/>
    </row>
    <row r="6" spans="1:11" x14ac:dyDescent="0.25">
      <c r="A6" s="16">
        <v>3</v>
      </c>
      <c r="B6" s="191" t="s">
        <v>258</v>
      </c>
      <c r="C6" s="17" t="s">
        <v>22</v>
      </c>
      <c r="D6" s="226">
        <v>100</v>
      </c>
      <c r="E6" s="226">
        <v>2500</v>
      </c>
      <c r="F6" s="226">
        <v>100</v>
      </c>
      <c r="G6" s="225">
        <f t="shared" ref="G6:G16" si="1">D6+E6+F6</f>
        <v>2700</v>
      </c>
      <c r="H6" s="223">
        <v>2500</v>
      </c>
      <c r="I6" s="221">
        <f t="shared" si="0"/>
        <v>200</v>
      </c>
      <c r="J6" s="78"/>
      <c r="K6" s="78"/>
    </row>
    <row r="7" spans="1:11" x14ac:dyDescent="0.25">
      <c r="A7" s="16">
        <v>4</v>
      </c>
      <c r="B7" s="191" t="s">
        <v>217</v>
      </c>
      <c r="C7" s="17" t="s">
        <v>24</v>
      </c>
      <c r="D7" s="226">
        <v>0</v>
      </c>
      <c r="E7" s="226">
        <v>2500</v>
      </c>
      <c r="F7" s="226">
        <v>100</v>
      </c>
      <c r="G7" s="225">
        <f>D7+E7+F7</f>
        <v>2600</v>
      </c>
      <c r="H7" s="223">
        <v>2500</v>
      </c>
      <c r="I7" s="221">
        <f t="shared" si="0"/>
        <v>100</v>
      </c>
      <c r="J7" s="78"/>
      <c r="K7" s="78"/>
    </row>
    <row r="8" spans="1:11" x14ac:dyDescent="0.25">
      <c r="A8" s="16">
        <v>5</v>
      </c>
      <c r="B8" s="218" t="s">
        <v>327</v>
      </c>
      <c r="C8" s="17" t="s">
        <v>26</v>
      </c>
      <c r="D8" s="226"/>
      <c r="E8" s="226">
        <v>2500</v>
      </c>
      <c r="F8" s="226">
        <v>100</v>
      </c>
      <c r="G8" s="225">
        <f>D8+E8+F8</f>
        <v>2600</v>
      </c>
      <c r="H8" s="223">
        <v>2500</v>
      </c>
      <c r="I8" s="221">
        <f t="shared" si="0"/>
        <v>100</v>
      </c>
      <c r="J8" s="78"/>
      <c r="K8" s="78"/>
    </row>
    <row r="9" spans="1:11" x14ac:dyDescent="0.25">
      <c r="A9" s="187">
        <v>6</v>
      </c>
      <c r="B9" s="191" t="s">
        <v>274</v>
      </c>
      <c r="C9" s="192" t="s">
        <v>28</v>
      </c>
      <c r="D9" s="225"/>
      <c r="E9" s="225">
        <v>2500</v>
      </c>
      <c r="F9" s="225">
        <v>100</v>
      </c>
      <c r="G9" s="225">
        <f>D9+E9+F9</f>
        <v>2600</v>
      </c>
      <c r="H9" s="223">
        <v>2500</v>
      </c>
      <c r="I9" s="221">
        <f t="shared" si="0"/>
        <v>100</v>
      </c>
      <c r="J9" s="155"/>
      <c r="K9" s="155"/>
    </row>
    <row r="10" spans="1:11" x14ac:dyDescent="0.25">
      <c r="A10" s="16">
        <v>7</v>
      </c>
      <c r="B10" s="191" t="s">
        <v>309</v>
      </c>
      <c r="C10" s="17" t="s">
        <v>30</v>
      </c>
      <c r="D10" s="226"/>
      <c r="E10" s="226">
        <v>2500</v>
      </c>
      <c r="F10" s="226">
        <v>100</v>
      </c>
      <c r="G10" s="225">
        <f t="shared" si="1"/>
        <v>2600</v>
      </c>
      <c r="H10" s="223">
        <v>2500</v>
      </c>
      <c r="I10" s="221">
        <f t="shared" si="0"/>
        <v>100</v>
      </c>
      <c r="J10" s="78">
        <v>2500</v>
      </c>
      <c r="K10" s="78"/>
    </row>
    <row r="11" spans="1:11" x14ac:dyDescent="0.25">
      <c r="A11" s="16">
        <v>8</v>
      </c>
      <c r="B11" s="193" t="s">
        <v>220</v>
      </c>
      <c r="C11" s="17" t="s">
        <v>32</v>
      </c>
      <c r="D11" s="226"/>
      <c r="E11" s="226">
        <v>2500</v>
      </c>
      <c r="F11" s="226">
        <v>100</v>
      </c>
      <c r="G11" s="225">
        <f t="shared" si="1"/>
        <v>2600</v>
      </c>
      <c r="H11" s="223">
        <v>2500</v>
      </c>
      <c r="I11" s="221">
        <f t="shared" si="0"/>
        <v>100</v>
      </c>
      <c r="J11" s="78"/>
      <c r="K11" s="78"/>
    </row>
    <row r="12" spans="1:11" x14ac:dyDescent="0.25">
      <c r="A12" s="16">
        <v>9</v>
      </c>
      <c r="B12" s="191" t="s">
        <v>221</v>
      </c>
      <c r="C12" s="17" t="s">
        <v>34</v>
      </c>
      <c r="D12" s="226">
        <v>3100</v>
      </c>
      <c r="E12" s="226">
        <v>2500</v>
      </c>
      <c r="F12" s="226">
        <v>100</v>
      </c>
      <c r="G12" s="225">
        <f t="shared" si="1"/>
        <v>5700</v>
      </c>
      <c r="H12" s="223">
        <v>5250</v>
      </c>
      <c r="I12" s="221">
        <f t="shared" si="0"/>
        <v>450</v>
      </c>
      <c r="J12" s="78"/>
      <c r="K12" s="78"/>
    </row>
    <row r="13" spans="1:11" x14ac:dyDescent="0.25">
      <c r="A13" s="16">
        <v>10</v>
      </c>
      <c r="B13" s="191" t="s">
        <v>95</v>
      </c>
      <c r="C13" s="17" t="s">
        <v>36</v>
      </c>
      <c r="D13" s="226"/>
      <c r="E13" s="226">
        <v>2500</v>
      </c>
      <c r="F13" s="226">
        <v>100</v>
      </c>
      <c r="G13" s="225">
        <f t="shared" si="1"/>
        <v>2600</v>
      </c>
      <c r="H13" s="223">
        <v>2500</v>
      </c>
      <c r="I13" s="221">
        <f t="shared" si="0"/>
        <v>100</v>
      </c>
      <c r="J13" s="78"/>
      <c r="K13" s="78"/>
    </row>
    <row r="14" spans="1:11" x14ac:dyDescent="0.25">
      <c r="A14" s="16">
        <v>11</v>
      </c>
      <c r="B14" s="191" t="s">
        <v>222</v>
      </c>
      <c r="C14" s="17" t="s">
        <v>38</v>
      </c>
      <c r="D14" s="226"/>
      <c r="E14" s="226">
        <v>2600</v>
      </c>
      <c r="F14" s="226">
        <v>100</v>
      </c>
      <c r="G14" s="225">
        <f t="shared" si="1"/>
        <v>2700</v>
      </c>
      <c r="H14" s="223">
        <v>2500</v>
      </c>
      <c r="I14" s="221">
        <f t="shared" si="0"/>
        <v>200</v>
      </c>
      <c r="J14" s="78"/>
      <c r="K14" s="78"/>
    </row>
    <row r="15" spans="1:11" x14ac:dyDescent="0.25">
      <c r="A15" s="16">
        <v>12</v>
      </c>
      <c r="B15" s="191" t="s">
        <v>252</v>
      </c>
      <c r="C15" s="17" t="s">
        <v>40</v>
      </c>
      <c r="D15" s="226">
        <v>150</v>
      </c>
      <c r="E15" s="226">
        <v>2500</v>
      </c>
      <c r="F15" s="226">
        <v>100</v>
      </c>
      <c r="G15" s="225">
        <f t="shared" si="1"/>
        <v>2750</v>
      </c>
      <c r="H15" s="223">
        <v>2500</v>
      </c>
      <c r="I15" s="221">
        <f t="shared" si="0"/>
        <v>250</v>
      </c>
      <c r="J15" s="78"/>
      <c r="K15" s="78"/>
    </row>
    <row r="16" spans="1:11" x14ac:dyDescent="0.25">
      <c r="A16" s="16">
        <v>13</v>
      </c>
      <c r="B16" s="191" t="s">
        <v>292</v>
      </c>
      <c r="C16" s="17" t="s">
        <v>42</v>
      </c>
      <c r="D16" s="226"/>
      <c r="E16" s="226">
        <v>2500</v>
      </c>
      <c r="F16" s="226">
        <v>100</v>
      </c>
      <c r="G16" s="225">
        <f t="shared" si="1"/>
        <v>2600</v>
      </c>
      <c r="H16" s="223">
        <v>2500</v>
      </c>
      <c r="I16" s="221">
        <f t="shared" si="0"/>
        <v>100</v>
      </c>
      <c r="J16" s="78"/>
      <c r="K16" s="78"/>
    </row>
    <row r="17" spans="1:11" x14ac:dyDescent="0.25">
      <c r="A17" s="16">
        <v>14</v>
      </c>
      <c r="B17" s="191" t="s">
        <v>282</v>
      </c>
      <c r="C17" s="17" t="s">
        <v>44</v>
      </c>
      <c r="D17" s="226">
        <v>100</v>
      </c>
      <c r="E17" s="226">
        <v>2500</v>
      </c>
      <c r="F17" s="226">
        <v>100</v>
      </c>
      <c r="G17" s="225">
        <f>D17+E17+F17</f>
        <v>2700</v>
      </c>
      <c r="H17" s="223"/>
      <c r="I17" s="221">
        <f t="shared" si="0"/>
        <v>2700</v>
      </c>
      <c r="J17" s="78"/>
      <c r="K17" s="78"/>
    </row>
    <row r="18" spans="1:11" x14ac:dyDescent="0.25">
      <c r="A18" s="16">
        <v>15</v>
      </c>
      <c r="B18" s="191" t="s">
        <v>225</v>
      </c>
      <c r="C18" s="17" t="s">
        <v>46</v>
      </c>
      <c r="D18" s="226"/>
      <c r="E18" s="226">
        <v>2500</v>
      </c>
      <c r="F18" s="226">
        <v>100</v>
      </c>
      <c r="G18" s="225">
        <f t="shared" ref="G18:G28" si="2">D18+E18+F18</f>
        <v>2600</v>
      </c>
      <c r="H18" s="223">
        <v>2500</v>
      </c>
      <c r="I18" s="221">
        <f t="shared" si="0"/>
        <v>100</v>
      </c>
      <c r="J18" s="78"/>
      <c r="K18" s="78"/>
    </row>
    <row r="19" spans="1:11" x14ac:dyDescent="0.25">
      <c r="A19" s="16">
        <v>16</v>
      </c>
      <c r="B19" s="218" t="s">
        <v>328</v>
      </c>
      <c r="C19" s="17" t="s">
        <v>48</v>
      </c>
      <c r="D19" s="226"/>
      <c r="E19" s="226">
        <v>2500</v>
      </c>
      <c r="F19" s="226">
        <v>100</v>
      </c>
      <c r="G19" s="225">
        <f t="shared" si="2"/>
        <v>2600</v>
      </c>
      <c r="H19" s="223">
        <v>2500</v>
      </c>
      <c r="I19" s="221">
        <f t="shared" si="0"/>
        <v>100</v>
      </c>
      <c r="J19" s="78"/>
      <c r="K19" s="78"/>
    </row>
    <row r="20" spans="1:11" x14ac:dyDescent="0.25">
      <c r="A20" s="21">
        <v>17</v>
      </c>
      <c r="B20" s="194" t="s">
        <v>316</v>
      </c>
      <c r="C20" s="17" t="s">
        <v>50</v>
      </c>
      <c r="D20" s="226">
        <v>834</v>
      </c>
      <c r="E20" s="229">
        <v>3000</v>
      </c>
      <c r="F20" s="227">
        <v>100</v>
      </c>
      <c r="G20" s="225">
        <f t="shared" si="2"/>
        <v>3934</v>
      </c>
      <c r="H20" s="223">
        <v>3000</v>
      </c>
      <c r="I20" s="221">
        <f t="shared" si="0"/>
        <v>934</v>
      </c>
      <c r="J20" s="78"/>
      <c r="K20" s="78"/>
    </row>
    <row r="21" spans="1:11" x14ac:dyDescent="0.25">
      <c r="A21" s="21">
        <v>18</v>
      </c>
      <c r="B21" s="194" t="s">
        <v>226</v>
      </c>
      <c r="C21" s="17" t="s">
        <v>52</v>
      </c>
      <c r="D21" s="226"/>
      <c r="E21" s="229">
        <v>3000</v>
      </c>
      <c r="F21" s="227">
        <v>100</v>
      </c>
      <c r="G21" s="225">
        <f t="shared" si="2"/>
        <v>3100</v>
      </c>
      <c r="H21" s="223">
        <v>3000</v>
      </c>
      <c r="I21" s="221">
        <f t="shared" si="0"/>
        <v>100</v>
      </c>
      <c r="J21" s="78"/>
      <c r="K21" s="78"/>
    </row>
    <row r="22" spans="1:11" x14ac:dyDescent="0.25">
      <c r="A22" s="21">
        <v>19</v>
      </c>
      <c r="B22" s="195" t="s">
        <v>281</v>
      </c>
      <c r="C22" s="17" t="s">
        <v>54</v>
      </c>
      <c r="D22" s="226">
        <v>0</v>
      </c>
      <c r="E22" s="229"/>
      <c r="F22" s="227"/>
      <c r="G22" s="225"/>
      <c r="H22" s="223"/>
      <c r="I22" s="221">
        <f t="shared" si="0"/>
        <v>0</v>
      </c>
      <c r="J22" s="78"/>
      <c r="K22" s="78"/>
    </row>
    <row r="23" spans="1:11" x14ac:dyDescent="0.25">
      <c r="A23" s="21">
        <v>20</v>
      </c>
      <c r="B23" s="194" t="s">
        <v>228</v>
      </c>
      <c r="C23" s="17" t="s">
        <v>56</v>
      </c>
      <c r="D23" s="226">
        <v>200</v>
      </c>
      <c r="E23" s="229">
        <v>3000</v>
      </c>
      <c r="F23" s="227">
        <v>100</v>
      </c>
      <c r="G23" s="225">
        <f t="shared" si="2"/>
        <v>3300</v>
      </c>
      <c r="H23" s="223">
        <v>3000</v>
      </c>
      <c r="I23" s="221">
        <f t="shared" si="0"/>
        <v>300</v>
      </c>
      <c r="J23" s="78"/>
      <c r="K23" s="78"/>
    </row>
    <row r="24" spans="1:11" x14ac:dyDescent="0.25">
      <c r="A24" s="21">
        <v>21</v>
      </c>
      <c r="B24" s="195" t="s">
        <v>291</v>
      </c>
      <c r="C24" s="17" t="s">
        <v>58</v>
      </c>
      <c r="D24" s="226">
        <v>0</v>
      </c>
      <c r="E24" s="229">
        <v>3000</v>
      </c>
      <c r="F24" s="227">
        <v>100</v>
      </c>
      <c r="G24" s="225">
        <f t="shared" si="2"/>
        <v>3100</v>
      </c>
      <c r="H24" s="223">
        <v>3000</v>
      </c>
      <c r="I24" s="221">
        <f t="shared" si="0"/>
        <v>100</v>
      </c>
      <c r="J24" s="78"/>
      <c r="K24" s="78"/>
    </row>
    <row r="25" spans="1:11" x14ac:dyDescent="0.25">
      <c r="A25" s="21">
        <v>22</v>
      </c>
      <c r="B25" s="195" t="s">
        <v>283</v>
      </c>
      <c r="C25" s="17" t="s">
        <v>60</v>
      </c>
      <c r="D25" s="226">
        <v>0</v>
      </c>
      <c r="E25" s="229">
        <v>3000</v>
      </c>
      <c r="F25" s="227">
        <v>100</v>
      </c>
      <c r="G25" s="225">
        <f t="shared" si="2"/>
        <v>3100</v>
      </c>
      <c r="H25" s="223">
        <v>3000</v>
      </c>
      <c r="I25" s="221">
        <f t="shared" si="0"/>
        <v>100</v>
      </c>
      <c r="J25" s="78"/>
      <c r="K25" s="78"/>
    </row>
    <row r="26" spans="1:11" x14ac:dyDescent="0.25">
      <c r="A26" s="21">
        <v>23</v>
      </c>
      <c r="B26" s="195" t="s">
        <v>310</v>
      </c>
      <c r="C26" s="17" t="s">
        <v>62</v>
      </c>
      <c r="D26" s="226"/>
      <c r="E26" s="229">
        <v>3000</v>
      </c>
      <c r="F26" s="227">
        <v>100</v>
      </c>
      <c r="G26" s="225">
        <f t="shared" si="2"/>
        <v>3100</v>
      </c>
      <c r="H26" s="223">
        <v>3000</v>
      </c>
      <c r="I26" s="221">
        <f t="shared" si="0"/>
        <v>100</v>
      </c>
      <c r="J26" s="78">
        <v>3000</v>
      </c>
      <c r="K26" s="78"/>
    </row>
    <row r="27" spans="1:11" x14ac:dyDescent="0.25">
      <c r="A27" s="28">
        <v>24</v>
      </c>
      <c r="B27" s="196" t="s">
        <v>277</v>
      </c>
      <c r="C27" s="29" t="s">
        <v>64</v>
      </c>
      <c r="D27" s="226">
        <v>0</v>
      </c>
      <c r="E27" s="230">
        <v>3000</v>
      </c>
      <c r="F27" s="228">
        <v>100</v>
      </c>
      <c r="G27" s="225">
        <f t="shared" si="2"/>
        <v>3100</v>
      </c>
      <c r="H27" s="224">
        <v>3000</v>
      </c>
      <c r="I27" s="221">
        <f t="shared" si="0"/>
        <v>100</v>
      </c>
      <c r="J27" s="78"/>
      <c r="K27" s="78"/>
    </row>
    <row r="28" spans="1:11" x14ac:dyDescent="0.25">
      <c r="A28" s="37"/>
      <c r="B28" s="176"/>
      <c r="C28" s="18"/>
      <c r="D28" s="18">
        <v>0</v>
      </c>
      <c r="E28" s="19"/>
      <c r="F28" s="19"/>
      <c r="G28" s="176">
        <f t="shared" si="2"/>
        <v>0</v>
      </c>
      <c r="H28" s="132"/>
      <c r="I28" s="221">
        <f t="shared" si="0"/>
        <v>0</v>
      </c>
      <c r="J28" s="78"/>
      <c r="K28" s="78"/>
    </row>
    <row r="29" spans="1:11" x14ac:dyDescent="0.25">
      <c r="A29" s="38"/>
      <c r="B29" s="199" t="s">
        <v>65</v>
      </c>
      <c r="C29" s="38"/>
      <c r="D29" s="149"/>
      <c r="E29" s="40">
        <f>SUM(E4:E28)</f>
        <v>61100</v>
      </c>
      <c r="F29" s="247">
        <f>SUM(F4:F28)</f>
        <v>2300</v>
      </c>
      <c r="G29" s="19"/>
      <c r="H29" s="135">
        <f>SUM(H4:H28)</f>
        <v>61250</v>
      </c>
      <c r="I29" s="221"/>
      <c r="J29" s="78"/>
      <c r="K29" s="78"/>
    </row>
    <row r="30" spans="1:11" x14ac:dyDescent="0.25">
      <c r="A30" s="113"/>
      <c r="B30" s="564" t="s">
        <v>246</v>
      </c>
      <c r="C30" s="564"/>
      <c r="D30" s="564"/>
      <c r="E30" s="564"/>
      <c r="F30" s="564"/>
      <c r="G30" s="564"/>
      <c r="H30" s="78"/>
      <c r="I30" s="221">
        <f>G30-H30</f>
        <v>0</v>
      </c>
      <c r="J30" s="78"/>
      <c r="K30" s="78"/>
    </row>
    <row r="31" spans="1:11" x14ac:dyDescent="0.25">
      <c r="A31" s="81" t="s">
        <v>3</v>
      </c>
      <c r="B31" s="81" t="s">
        <v>4</v>
      </c>
      <c r="C31" s="81" t="s">
        <v>104</v>
      </c>
      <c r="D31" s="81" t="s">
        <v>8</v>
      </c>
      <c r="E31" s="81" t="s">
        <v>9</v>
      </c>
      <c r="F31" s="82" t="s">
        <v>11</v>
      </c>
      <c r="G31" s="81" t="s">
        <v>12</v>
      </c>
      <c r="H31" s="357" t="s">
        <v>105</v>
      </c>
      <c r="I31" s="221"/>
      <c r="J31" s="78"/>
      <c r="K31" s="78"/>
    </row>
    <row r="32" spans="1:11" x14ac:dyDescent="0.25">
      <c r="A32" s="83" t="s">
        <v>106</v>
      </c>
      <c r="B32" s="249" t="s">
        <v>281</v>
      </c>
      <c r="C32" s="85"/>
      <c r="D32" s="86"/>
      <c r="E32" s="231"/>
      <c r="F32" s="232"/>
      <c r="G32" s="234"/>
      <c r="H32" s="358"/>
      <c r="I32" s="221"/>
      <c r="J32" s="78"/>
      <c r="K32" s="78"/>
    </row>
    <row r="33" spans="1:11" x14ac:dyDescent="0.25">
      <c r="A33" s="83" t="s">
        <v>108</v>
      </c>
      <c r="B33" s="200" t="s">
        <v>284</v>
      </c>
      <c r="C33" s="85"/>
      <c r="D33" s="86">
        <v>0</v>
      </c>
      <c r="E33" s="231"/>
      <c r="F33" s="232">
        <f t="shared" ref="F33:F41" si="3">D33+E33</f>
        <v>0</v>
      </c>
      <c r="G33" s="232"/>
      <c r="H33" s="358">
        <f t="shared" ref="H33:H41" si="4">F33-G33</f>
        <v>0</v>
      </c>
      <c r="I33" s="221">
        <f t="shared" si="0"/>
        <v>0</v>
      </c>
      <c r="J33" s="78"/>
      <c r="K33" s="78"/>
    </row>
    <row r="34" spans="1:11" x14ac:dyDescent="0.25">
      <c r="A34" s="83" t="s">
        <v>110</v>
      </c>
      <c r="B34" s="200" t="s">
        <v>281</v>
      </c>
      <c r="C34" s="85"/>
      <c r="D34" s="246"/>
      <c r="E34" s="231"/>
      <c r="F34" s="232"/>
      <c r="G34" s="234"/>
      <c r="H34" s="358"/>
      <c r="I34" s="221"/>
      <c r="J34" s="78"/>
      <c r="K34" s="78"/>
    </row>
    <row r="35" spans="1:11" x14ac:dyDescent="0.25">
      <c r="A35" s="83" t="s">
        <v>112</v>
      </c>
      <c r="B35" s="249" t="s">
        <v>281</v>
      </c>
      <c r="C35" s="113"/>
      <c r="D35" s="113"/>
      <c r="E35" s="113"/>
      <c r="F35" s="232">
        <f t="shared" si="3"/>
        <v>0</v>
      </c>
      <c r="G35" s="113"/>
      <c r="H35" s="358">
        <f t="shared" si="4"/>
        <v>0</v>
      </c>
      <c r="I35" s="221"/>
      <c r="J35" s="78"/>
      <c r="K35" s="78"/>
    </row>
    <row r="36" spans="1:11" x14ac:dyDescent="0.25">
      <c r="A36" s="99" t="s">
        <v>114</v>
      </c>
      <c r="B36" s="200" t="s">
        <v>281</v>
      </c>
      <c r="C36" s="86"/>
      <c r="D36" s="86"/>
      <c r="E36" s="232"/>
      <c r="F36" s="232"/>
      <c r="G36" s="234"/>
      <c r="H36" s="358"/>
      <c r="I36" s="221"/>
      <c r="J36" s="78"/>
      <c r="K36" s="78"/>
    </row>
    <row r="37" spans="1:11" x14ac:dyDescent="0.25">
      <c r="A37" s="83" t="s">
        <v>116</v>
      </c>
      <c r="B37" s="249" t="s">
        <v>281</v>
      </c>
      <c r="C37" s="113"/>
      <c r="D37" s="113"/>
      <c r="E37" s="113"/>
      <c r="F37" s="232">
        <f t="shared" si="3"/>
        <v>0</v>
      </c>
      <c r="G37" s="113"/>
      <c r="H37" s="358">
        <f t="shared" si="4"/>
        <v>0</v>
      </c>
      <c r="I37" s="221"/>
      <c r="J37" s="78"/>
      <c r="K37" s="78"/>
    </row>
    <row r="38" spans="1:11" x14ac:dyDescent="0.25">
      <c r="A38" s="83" t="s">
        <v>119</v>
      </c>
      <c r="B38" s="249" t="s">
        <v>120</v>
      </c>
      <c r="C38" s="85"/>
      <c r="D38" s="92"/>
      <c r="E38" s="231">
        <v>2500</v>
      </c>
      <c r="F38" s="232">
        <f t="shared" si="3"/>
        <v>2500</v>
      </c>
      <c r="G38" s="234">
        <v>2500</v>
      </c>
      <c r="H38" s="358">
        <f t="shared" si="4"/>
        <v>0</v>
      </c>
      <c r="I38" s="221"/>
      <c r="J38" s="78"/>
      <c r="K38" s="78"/>
    </row>
    <row r="39" spans="1:11" x14ac:dyDescent="0.25">
      <c r="A39" s="83" t="s">
        <v>121</v>
      </c>
      <c r="B39" s="200" t="s">
        <v>281</v>
      </c>
      <c r="C39" s="85"/>
      <c r="D39" s="92"/>
      <c r="E39" s="231"/>
      <c r="F39" s="232">
        <f t="shared" si="3"/>
        <v>0</v>
      </c>
      <c r="G39" s="234"/>
      <c r="H39" s="358">
        <f t="shared" si="4"/>
        <v>0</v>
      </c>
      <c r="I39" s="221"/>
      <c r="J39" s="78"/>
      <c r="K39" s="78"/>
    </row>
    <row r="40" spans="1:11" x14ac:dyDescent="0.25">
      <c r="A40" s="83" t="s">
        <v>123</v>
      </c>
      <c r="B40" s="200" t="s">
        <v>341</v>
      </c>
      <c r="C40" s="85"/>
      <c r="D40" s="92">
        <v>5200</v>
      </c>
      <c r="E40" s="231">
        <v>2500</v>
      </c>
      <c r="F40" s="232">
        <f t="shared" si="3"/>
        <v>7700</v>
      </c>
      <c r="G40" s="234">
        <v>7700</v>
      </c>
      <c r="H40" s="358">
        <f t="shared" si="4"/>
        <v>0</v>
      </c>
      <c r="I40" s="221"/>
      <c r="J40" s="78"/>
      <c r="K40" s="78"/>
    </row>
    <row r="41" spans="1:11" x14ac:dyDescent="0.25">
      <c r="A41" s="83" t="s">
        <v>125</v>
      </c>
      <c r="B41" s="200" t="s">
        <v>312</v>
      </c>
      <c r="C41" s="85"/>
      <c r="D41" s="86"/>
      <c r="E41" s="231">
        <v>1500</v>
      </c>
      <c r="F41" s="232">
        <f t="shared" si="3"/>
        <v>1500</v>
      </c>
      <c r="G41" s="234">
        <v>1500</v>
      </c>
      <c r="H41" s="358">
        <f t="shared" si="4"/>
        <v>0</v>
      </c>
      <c r="I41" s="221"/>
      <c r="J41" s="78"/>
      <c r="K41" s="78"/>
    </row>
    <row r="42" spans="1:11" x14ac:dyDescent="0.25">
      <c r="A42" s="83"/>
      <c r="B42" s="204" t="s">
        <v>193</v>
      </c>
      <c r="C42" s="205">
        <v>0</v>
      </c>
      <c r="D42" s="206">
        <v>0</v>
      </c>
      <c r="E42" s="239">
        <f>SUM(E32:E41)</f>
        <v>6500</v>
      </c>
      <c r="F42" s="240"/>
      <c r="G42" s="240">
        <f>SUM(G32:G41)</f>
        <v>11700</v>
      </c>
      <c r="H42" s="358"/>
      <c r="I42" s="221"/>
      <c r="J42" s="78"/>
      <c r="K42" s="78"/>
    </row>
    <row r="43" spans="1:11" x14ac:dyDescent="0.25">
      <c r="A43" s="96"/>
      <c r="B43" s="84"/>
      <c r="C43" s="86"/>
      <c r="D43" s="92"/>
      <c r="E43" s="98"/>
      <c r="F43" s="98"/>
      <c r="G43" s="86"/>
      <c r="H43" s="183"/>
      <c r="I43" s="221">
        <f t="shared" si="0"/>
        <v>0</v>
      </c>
      <c r="J43" s="78"/>
      <c r="K43" s="78"/>
    </row>
    <row r="44" spans="1:11" ht="18.75" x14ac:dyDescent="0.25">
      <c r="A44" s="562" t="s">
        <v>247</v>
      </c>
      <c r="B44" s="563"/>
      <c r="C44" s="563"/>
      <c r="D44" s="563"/>
      <c r="E44" s="563"/>
      <c r="F44" s="563"/>
      <c r="G44" s="563"/>
      <c r="H44" s="563"/>
      <c r="I44" s="221">
        <f t="shared" si="0"/>
        <v>0</v>
      </c>
      <c r="J44" s="78"/>
      <c r="K44" s="78"/>
    </row>
    <row r="45" spans="1:11" x14ac:dyDescent="0.25">
      <c r="A45" s="78"/>
      <c r="B45" s="78"/>
      <c r="C45" s="78"/>
      <c r="D45" s="78"/>
      <c r="E45" s="78" t="s">
        <v>9</v>
      </c>
      <c r="F45" s="78" t="s">
        <v>11</v>
      </c>
      <c r="G45" s="78" t="s">
        <v>12</v>
      </c>
      <c r="H45" s="78" t="s">
        <v>306</v>
      </c>
      <c r="I45" s="221"/>
      <c r="J45" s="78"/>
      <c r="K45" s="78"/>
    </row>
    <row r="46" spans="1:11" x14ac:dyDescent="0.25">
      <c r="A46" s="83">
        <v>1</v>
      </c>
      <c r="B46" s="191" t="s">
        <v>313</v>
      </c>
      <c r="C46" s="85"/>
      <c r="D46" s="86"/>
      <c r="E46" s="232">
        <v>3500</v>
      </c>
      <c r="F46" s="232">
        <f>SUM(D46:E46)</f>
        <v>3500</v>
      </c>
      <c r="G46" s="232">
        <v>3500</v>
      </c>
      <c r="H46" s="233">
        <f>F46-G46</f>
        <v>0</v>
      </c>
      <c r="I46" s="221"/>
      <c r="J46" s="78"/>
      <c r="K46" s="78"/>
    </row>
    <row r="47" spans="1:11" x14ac:dyDescent="0.25">
      <c r="A47" s="83">
        <v>2</v>
      </c>
      <c r="B47" s="191" t="s">
        <v>250</v>
      </c>
      <c r="C47" s="85"/>
      <c r="D47" s="86"/>
      <c r="E47" s="231">
        <v>4000</v>
      </c>
      <c r="F47" s="232">
        <f t="shared" ref="F47:F52" si="5">D47+E47</f>
        <v>4000</v>
      </c>
      <c r="G47" s="232">
        <v>4000</v>
      </c>
      <c r="H47" s="233">
        <f t="shared" ref="H47:H52" si="6">F47-G47</f>
        <v>0</v>
      </c>
      <c r="I47" s="221"/>
      <c r="J47" s="78"/>
      <c r="K47" s="78"/>
    </row>
    <row r="48" spans="1:11" x14ac:dyDescent="0.25">
      <c r="A48" s="83">
        <v>3</v>
      </c>
      <c r="B48" s="191" t="s">
        <v>248</v>
      </c>
      <c r="C48" s="85"/>
      <c r="D48" s="86"/>
      <c r="E48" s="231">
        <v>4000</v>
      </c>
      <c r="F48" s="232">
        <f t="shared" si="5"/>
        <v>4000</v>
      </c>
      <c r="G48" s="232">
        <v>4000</v>
      </c>
      <c r="H48" s="233">
        <f t="shared" si="6"/>
        <v>0</v>
      </c>
      <c r="I48" s="221"/>
      <c r="J48" s="78"/>
      <c r="K48" s="78"/>
    </row>
    <row r="49" spans="1:11" x14ac:dyDescent="0.25">
      <c r="A49" s="83">
        <v>4</v>
      </c>
      <c r="B49" s="191" t="s">
        <v>284</v>
      </c>
      <c r="C49" s="86"/>
      <c r="D49" s="78"/>
      <c r="E49" s="231"/>
      <c r="F49" s="232">
        <f t="shared" si="5"/>
        <v>0</v>
      </c>
      <c r="G49" s="232"/>
      <c r="H49" s="233">
        <f t="shared" si="6"/>
        <v>0</v>
      </c>
      <c r="I49" s="221"/>
      <c r="J49" s="78"/>
      <c r="K49" s="78"/>
    </row>
    <row r="50" spans="1:11" x14ac:dyDescent="0.25">
      <c r="A50" s="99">
        <v>5</v>
      </c>
      <c r="B50" s="191" t="s">
        <v>314</v>
      </c>
      <c r="C50" s="85"/>
      <c r="D50" s="86"/>
      <c r="E50" s="231">
        <v>4000</v>
      </c>
      <c r="F50" s="232">
        <f t="shared" si="5"/>
        <v>4000</v>
      </c>
      <c r="G50" s="232">
        <v>4000</v>
      </c>
      <c r="H50" s="233">
        <f t="shared" si="6"/>
        <v>0</v>
      </c>
      <c r="I50" s="221"/>
      <c r="J50" s="78">
        <v>4000</v>
      </c>
      <c r="K50" s="78"/>
    </row>
    <row r="51" spans="1:11" x14ac:dyDescent="0.25">
      <c r="A51" s="93">
        <v>6</v>
      </c>
      <c r="B51" s="191" t="s">
        <v>287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/>
      <c r="K51" s="78"/>
    </row>
    <row r="52" spans="1:11" x14ac:dyDescent="0.25">
      <c r="A52" s="83">
        <v>7</v>
      </c>
      <c r="B52" s="210" t="s">
        <v>288</v>
      </c>
      <c r="C52" s="85">
        <v>0</v>
      </c>
      <c r="D52" s="92">
        <v>0</v>
      </c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  <c r="J52" s="78"/>
      <c r="K52" s="78"/>
    </row>
    <row r="53" spans="1:11" x14ac:dyDescent="0.25">
      <c r="A53" s="113"/>
      <c r="B53" s="173"/>
      <c r="C53" s="86"/>
      <c r="D53" s="92"/>
      <c r="E53" s="232"/>
      <c r="F53" s="232"/>
      <c r="G53" s="232"/>
      <c r="H53" s="233"/>
      <c r="I53" s="221"/>
      <c r="J53" s="78"/>
      <c r="K53" s="78"/>
    </row>
    <row r="54" spans="1:11" x14ac:dyDescent="0.25">
      <c r="A54" s="113"/>
      <c r="B54" s="174"/>
      <c r="C54" s="98"/>
      <c r="D54" s="98"/>
      <c r="E54" s="242">
        <f>SUM(E46:E53)</f>
        <v>23500</v>
      </c>
      <c r="F54" s="242"/>
      <c r="G54" s="242">
        <f>SUM(G46:G53)</f>
        <v>23500</v>
      </c>
      <c r="H54" s="233"/>
      <c r="I54" s="221"/>
      <c r="J54" s="78"/>
      <c r="K54" s="78"/>
    </row>
    <row r="55" spans="1:11" x14ac:dyDescent="0.25">
      <c r="A55" s="142"/>
      <c r="B55" s="78"/>
      <c r="C55" s="78"/>
      <c r="D55" s="78"/>
      <c r="E55" s="78"/>
      <c r="F55" s="78"/>
      <c r="G55" s="78"/>
      <c r="H55" s="78"/>
      <c r="I55" s="220"/>
      <c r="J55" s="78"/>
      <c r="K55" s="78"/>
    </row>
    <row r="56" spans="1:11" x14ac:dyDescent="0.25">
      <c r="A56" s="175"/>
      <c r="B56" s="78"/>
      <c r="C56" s="78"/>
      <c r="D56" s="78"/>
      <c r="E56" s="78"/>
      <c r="F56" s="78"/>
      <c r="G56" s="78"/>
      <c r="H56" s="78"/>
      <c r="I56" s="220"/>
      <c r="J56" s="78"/>
      <c r="K56" s="78"/>
    </row>
    <row r="57" spans="1:11" x14ac:dyDescent="0.25">
      <c r="A57" s="109"/>
      <c r="B57" s="78"/>
      <c r="C57" s="78"/>
      <c r="D57" s="78"/>
      <c r="E57" s="78"/>
      <c r="F57" s="78"/>
      <c r="G57" s="78"/>
      <c r="H57" s="78"/>
      <c r="I57" s="220"/>
      <c r="J57" s="78"/>
      <c r="K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220"/>
      <c r="J58" s="78"/>
      <c r="K58" s="78"/>
    </row>
    <row r="59" spans="1:11" ht="21" x14ac:dyDescent="0.35">
      <c r="A59" s="4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85" t="s">
        <v>266</v>
      </c>
      <c r="K59" s="113"/>
    </row>
    <row r="60" spans="1:11" x14ac:dyDescent="0.25">
      <c r="A60" s="50"/>
      <c r="B60" s="211" t="s">
        <v>339</v>
      </c>
      <c r="C60" s="221">
        <f>E29+E42+E54</f>
        <v>91100</v>
      </c>
      <c r="D60" s="113"/>
      <c r="E60" s="113"/>
      <c r="F60" s="211" t="s">
        <v>339</v>
      </c>
      <c r="G60" s="221">
        <f>H29+G42+G54</f>
        <v>96450</v>
      </c>
      <c r="H60" s="113"/>
      <c r="I60" s="221"/>
      <c r="J60" s="113"/>
      <c r="K60" s="113"/>
    </row>
    <row r="61" spans="1:11" x14ac:dyDescent="0.25">
      <c r="A61" s="50"/>
      <c r="B61" s="113" t="s">
        <v>209</v>
      </c>
      <c r="C61" s="161">
        <v>0.08</v>
      </c>
      <c r="D61" s="221">
        <f>H61</f>
        <v>7716</v>
      </c>
      <c r="E61" s="113"/>
      <c r="F61" s="113" t="s">
        <v>209</v>
      </c>
      <c r="G61" s="161">
        <v>0.08</v>
      </c>
      <c r="H61" s="221">
        <f>G60*G61</f>
        <v>7716</v>
      </c>
      <c r="I61" s="221"/>
      <c r="J61" s="113"/>
      <c r="K61" s="113"/>
    </row>
    <row r="62" spans="1:11" x14ac:dyDescent="0.25">
      <c r="A62" s="78"/>
      <c r="B62" s="168" t="s">
        <v>210</v>
      </c>
      <c r="C62" s="113">
        <v>3000</v>
      </c>
      <c r="D62" s="113"/>
      <c r="E62" s="113"/>
      <c r="F62" s="168" t="s">
        <v>210</v>
      </c>
      <c r="G62" s="113">
        <v>3000</v>
      </c>
      <c r="H62" s="113"/>
      <c r="I62" s="221"/>
      <c r="J62" s="113"/>
      <c r="K62" s="113"/>
    </row>
    <row r="63" spans="1:11" x14ac:dyDescent="0.25">
      <c r="A63" s="50"/>
      <c r="B63" s="168" t="s">
        <v>232</v>
      </c>
      <c r="C63" s="221">
        <f>F29</f>
        <v>2300</v>
      </c>
      <c r="D63" s="113"/>
      <c r="E63" s="113"/>
      <c r="F63" s="168" t="s">
        <v>232</v>
      </c>
      <c r="G63" s="221">
        <f>C63</f>
        <v>2300</v>
      </c>
      <c r="H63" s="113"/>
      <c r="I63" s="221"/>
      <c r="J63" s="113"/>
      <c r="K63" s="113"/>
    </row>
    <row r="64" spans="1:11" x14ac:dyDescent="0.25">
      <c r="A64" s="50"/>
      <c r="B64" s="168" t="s">
        <v>239</v>
      </c>
      <c r="C64" s="244">
        <f>APRILL!E75</f>
        <v>178829.34230528004</v>
      </c>
      <c r="D64" s="113"/>
      <c r="E64" s="113"/>
      <c r="F64" s="168" t="s">
        <v>239</v>
      </c>
      <c r="G64" s="244">
        <f>APRILL!I75</f>
        <v>91395.275200000033</v>
      </c>
      <c r="H64" s="113"/>
      <c r="I64" s="221"/>
      <c r="J64" s="113"/>
      <c r="K64" s="113"/>
    </row>
    <row r="65" spans="1:11" x14ac:dyDescent="0.25">
      <c r="A65" s="50"/>
      <c r="B65" s="168" t="s">
        <v>193</v>
      </c>
      <c r="C65" s="221">
        <f>C60+C62+C63+C64</f>
        <v>275229.34230528004</v>
      </c>
      <c r="D65" s="113"/>
      <c r="E65" s="113"/>
      <c r="F65" s="168" t="s">
        <v>193</v>
      </c>
      <c r="G65" s="221">
        <f>G60+G62+G63+G64</f>
        <v>193145.27520000003</v>
      </c>
      <c r="H65" s="113"/>
      <c r="I65" s="221"/>
      <c r="J65" s="113"/>
      <c r="K65" s="113"/>
    </row>
    <row r="66" spans="1:11" x14ac:dyDescent="0.25">
      <c r="A66" s="50"/>
      <c r="B66" s="212" t="s">
        <v>276</v>
      </c>
      <c r="C66" s="161"/>
      <c r="D66" s="149"/>
      <c r="E66" s="113"/>
      <c r="F66" s="212" t="s">
        <v>276</v>
      </c>
      <c r="G66" s="161"/>
      <c r="H66" s="149"/>
      <c r="I66" s="221"/>
      <c r="J66" s="113"/>
      <c r="K66" s="113"/>
    </row>
    <row r="67" spans="1:11" x14ac:dyDescent="0.25">
      <c r="A67" s="50"/>
      <c r="B67" s="219">
        <v>43231</v>
      </c>
      <c r="C67" s="113"/>
      <c r="D67" s="164">
        <v>80000</v>
      </c>
      <c r="E67" s="113"/>
      <c r="F67" s="219">
        <v>43231</v>
      </c>
      <c r="G67" s="113"/>
      <c r="H67" s="164">
        <v>80000</v>
      </c>
      <c r="I67" s="221"/>
      <c r="J67" s="113"/>
      <c r="K67" s="113"/>
    </row>
    <row r="68" spans="1:11" x14ac:dyDescent="0.25">
      <c r="A68" s="50"/>
      <c r="B68" s="213" t="s">
        <v>373</v>
      </c>
      <c r="C68" s="113"/>
      <c r="D68" s="164">
        <v>2500</v>
      </c>
      <c r="E68" s="113"/>
      <c r="F68" s="213" t="s">
        <v>373</v>
      </c>
      <c r="G68" s="113"/>
      <c r="H68" s="164">
        <v>2500</v>
      </c>
      <c r="I68" s="221"/>
      <c r="J68" s="113"/>
      <c r="K68" s="113"/>
    </row>
    <row r="69" spans="1:11" x14ac:dyDescent="0.25">
      <c r="A69" s="78"/>
      <c r="B69" s="163" t="s">
        <v>374</v>
      </c>
      <c r="C69" s="164"/>
      <c r="D69" s="165">
        <v>1725</v>
      </c>
      <c r="E69" s="113"/>
      <c r="F69" s="163" t="s">
        <v>374</v>
      </c>
      <c r="G69" s="164"/>
      <c r="H69" s="165">
        <v>1725</v>
      </c>
      <c r="I69" s="221"/>
      <c r="J69" s="113"/>
      <c r="K69" s="113"/>
    </row>
    <row r="70" spans="1:11" x14ac:dyDescent="0.25">
      <c r="A70" s="78"/>
      <c r="B70" s="163" t="s">
        <v>375</v>
      </c>
      <c r="C70" s="164"/>
      <c r="D70" s="165">
        <v>2500</v>
      </c>
      <c r="E70" s="113"/>
      <c r="F70" s="163" t="s">
        <v>375</v>
      </c>
      <c r="G70" s="164"/>
      <c r="H70" s="165">
        <v>2500</v>
      </c>
      <c r="I70" s="221"/>
      <c r="J70" s="113"/>
      <c r="K70" s="113"/>
    </row>
    <row r="71" spans="1:11" x14ac:dyDescent="0.25">
      <c r="A71" s="78"/>
      <c r="B71" s="219"/>
      <c r="C71" s="164"/>
      <c r="D71" s="165"/>
      <c r="E71" s="113"/>
      <c r="F71" s="219"/>
      <c r="G71" s="164"/>
      <c r="H71" s="165"/>
      <c r="I71" s="221"/>
      <c r="J71" s="113"/>
      <c r="K71" s="113"/>
    </row>
    <row r="72" spans="1:11" x14ac:dyDescent="0.25">
      <c r="A72" s="78"/>
      <c r="B72" s="163"/>
      <c r="C72" s="164"/>
      <c r="D72" s="165"/>
      <c r="E72" s="113"/>
      <c r="F72" s="163"/>
      <c r="G72" s="164"/>
      <c r="H72" s="165"/>
      <c r="I72" s="221"/>
      <c r="J72" s="113"/>
      <c r="K72" s="113"/>
    </row>
    <row r="73" spans="1:11" x14ac:dyDescent="0.25">
      <c r="A73" s="78"/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1" x14ac:dyDescent="0.25">
      <c r="A74" s="78"/>
      <c r="B74" s="164"/>
      <c r="C74" s="164"/>
      <c r="D74" s="113"/>
      <c r="E74" s="113"/>
      <c r="F74" s="164"/>
      <c r="G74" s="164"/>
      <c r="H74" s="113"/>
      <c r="I74" s="221"/>
      <c r="J74" s="113"/>
      <c r="K74" s="113"/>
    </row>
    <row r="75" spans="1:11" x14ac:dyDescent="0.25">
      <c r="A75" s="78"/>
      <c r="B75" s="166" t="s">
        <v>193</v>
      </c>
      <c r="C75" s="243">
        <f>C65</f>
        <v>275229.34230528004</v>
      </c>
      <c r="D75" s="221">
        <f>SUM(D61:D74)</f>
        <v>94441</v>
      </c>
      <c r="E75" s="221">
        <f>C75-D75</f>
        <v>180788.34230528004</v>
      </c>
      <c r="F75" s="166" t="s">
        <v>193</v>
      </c>
      <c r="G75" s="243">
        <f>G65</f>
        <v>193145.27520000003</v>
      </c>
      <c r="H75" s="221">
        <f>SUM(H61:H74)</f>
        <v>94441</v>
      </c>
      <c r="I75" s="221">
        <f>G75-H75</f>
        <v>98704.275200000033</v>
      </c>
      <c r="J75" s="149">
        <f>I29</f>
        <v>0</v>
      </c>
      <c r="K75" s="113"/>
    </row>
    <row r="76" spans="1:11" x14ac:dyDescent="0.25">
      <c r="A76" s="78"/>
      <c r="B76" s="78"/>
      <c r="C76" s="78"/>
      <c r="D76" s="78"/>
      <c r="E76" s="78"/>
      <c r="F76" s="78"/>
      <c r="G76" s="79"/>
      <c r="H76" s="78"/>
      <c r="I76" s="220"/>
      <c r="J76" s="78"/>
      <c r="K76" s="78"/>
    </row>
    <row r="77" spans="1:11" x14ac:dyDescent="0.25">
      <c r="A77" s="78"/>
      <c r="B77" s="78" t="s">
        <v>71</v>
      </c>
      <c r="C77" s="79"/>
      <c r="D77" s="150" t="s">
        <v>72</v>
      </c>
      <c r="E77" s="79"/>
      <c r="F77" s="78" t="s">
        <v>73</v>
      </c>
      <c r="G77" s="78"/>
      <c r="H77" s="78"/>
      <c r="I77" s="220"/>
      <c r="J77" s="78"/>
      <c r="K77" s="78"/>
    </row>
    <row r="78" spans="1:11" x14ac:dyDescent="0.25">
      <c r="A78" s="78"/>
      <c r="B78" s="78"/>
      <c r="C78" s="78"/>
      <c r="D78" s="78"/>
      <c r="E78" s="78"/>
      <c r="F78" s="78"/>
      <c r="G78" s="78"/>
      <c r="H78" s="78"/>
      <c r="I78" s="220"/>
      <c r="J78" s="78"/>
      <c r="K78" s="78"/>
    </row>
    <row r="79" spans="1:11" x14ac:dyDescent="0.25">
      <c r="A79" s="78"/>
      <c r="B79" s="78" t="s">
        <v>379</v>
      </c>
      <c r="C79" s="78"/>
      <c r="D79" s="78" t="s">
        <v>135</v>
      </c>
      <c r="E79" s="78"/>
      <c r="F79" s="78" t="s">
        <v>130</v>
      </c>
      <c r="G79" s="78"/>
      <c r="H79" s="78"/>
      <c r="I79" s="220"/>
      <c r="J79" s="78"/>
      <c r="K79" s="78"/>
    </row>
    <row r="80" spans="1:11" x14ac:dyDescent="0.25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</row>
  </sheetData>
  <mergeCells count="2">
    <mergeCell ref="B30:G30"/>
    <mergeCell ref="A44:H4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43" workbookViewId="0">
      <selection activeCell="K36" sqref="K36"/>
    </sheetView>
  </sheetViews>
  <sheetFormatPr defaultRowHeight="15" x14ac:dyDescent="0.25"/>
  <cols>
    <col min="1" max="1" width="4.140625" style="78" customWidth="1"/>
    <col min="2" max="2" width="17.140625" style="78" customWidth="1"/>
    <col min="3" max="3" width="9.140625" style="78"/>
    <col min="4" max="4" width="9.42578125" style="78" customWidth="1"/>
    <col min="5" max="5" width="9.140625" style="78"/>
    <col min="6" max="6" width="12.5703125" style="78" customWidth="1"/>
    <col min="7" max="9" width="9.140625" style="78"/>
    <col min="10" max="10" width="8.7109375" style="78" customWidth="1"/>
    <col min="11" max="11" width="10.28515625" style="78" customWidth="1"/>
    <col min="12" max="16384" width="9.140625" style="78"/>
  </cols>
  <sheetData>
    <row r="1" spans="1:11" ht="15.75" x14ac:dyDescent="0.25">
      <c r="D1" s="251" t="s">
        <v>356</v>
      </c>
    </row>
    <row r="2" spans="1:11" ht="15.75" x14ac:dyDescent="0.25">
      <c r="D2" s="250" t="s">
        <v>357</v>
      </c>
      <c r="E2" s="5"/>
    </row>
    <row r="3" spans="1:11" ht="16.5" customHeight="1" x14ac:dyDescent="0.25">
      <c r="D3" s="5" t="s">
        <v>359</v>
      </c>
      <c r="E3" s="250"/>
      <c r="F3" s="103"/>
    </row>
    <row r="4" spans="1:11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</row>
    <row r="5" spans="1:11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0" si="0">D5+E5+F5</f>
        <v>2600</v>
      </c>
      <c r="H5" s="223">
        <v>2500</v>
      </c>
      <c r="I5" s="221">
        <f>G5-H5</f>
        <v>100</v>
      </c>
    </row>
    <row r="6" spans="1:11" x14ac:dyDescent="0.25">
      <c r="A6" s="16">
        <v>2</v>
      </c>
      <c r="B6" s="191" t="s">
        <v>345</v>
      </c>
      <c r="C6" s="17" t="s">
        <v>20</v>
      </c>
      <c r="D6" s="226"/>
      <c r="E6" s="226">
        <v>5000</v>
      </c>
      <c r="F6" s="226">
        <v>100</v>
      </c>
      <c r="G6" s="225">
        <f t="shared" si="0"/>
        <v>5100</v>
      </c>
      <c r="H6" s="223">
        <v>5000</v>
      </c>
      <c r="I6" s="221">
        <f>G6-H6</f>
        <v>100</v>
      </c>
    </row>
    <row r="7" spans="1:11" x14ac:dyDescent="0.25">
      <c r="A7" s="16">
        <v>3</v>
      </c>
      <c r="B7" s="191" t="s">
        <v>281</v>
      </c>
      <c r="C7" s="17" t="s">
        <v>22</v>
      </c>
      <c r="D7" s="226"/>
      <c r="E7" s="226"/>
      <c r="F7" s="226"/>
      <c r="G7" s="225">
        <f t="shared" si="0"/>
        <v>0</v>
      </c>
      <c r="H7" s="223"/>
      <c r="I7" s="221">
        <f>G7-H7</f>
        <v>0</v>
      </c>
    </row>
    <row r="8" spans="1:11" x14ac:dyDescent="0.25">
      <c r="A8" s="16">
        <v>4</v>
      </c>
      <c r="B8" s="191" t="s">
        <v>217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ref="I8:I45" si="1">G8-H8</f>
        <v>100</v>
      </c>
    </row>
    <row r="9" spans="1:11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</row>
    <row r="10" spans="1:11" x14ac:dyDescent="0.25">
      <c r="A10" s="187">
        <v>6</v>
      </c>
      <c r="B10" s="191" t="s">
        <v>343</v>
      </c>
      <c r="C10" s="192" t="s">
        <v>28</v>
      </c>
      <c r="D10" s="225"/>
      <c r="E10" s="225">
        <v>2500</v>
      </c>
      <c r="F10" s="225">
        <v>100</v>
      </c>
      <c r="G10" s="225">
        <f t="shared" si="0"/>
        <v>2600</v>
      </c>
      <c r="H10" s="223">
        <v>2500</v>
      </c>
      <c r="I10" s="221">
        <f t="shared" si="1"/>
        <v>100</v>
      </c>
      <c r="J10" s="155"/>
      <c r="K10" s="155"/>
    </row>
    <row r="11" spans="1:11" x14ac:dyDescent="0.25">
      <c r="A11" s="16">
        <v>7</v>
      </c>
      <c r="B11" s="191" t="s">
        <v>281</v>
      </c>
      <c r="C11" s="17" t="s">
        <v>30</v>
      </c>
      <c r="D11" s="226"/>
      <c r="E11" s="226"/>
      <c r="F11" s="226"/>
      <c r="G11" s="225"/>
      <c r="H11" s="223"/>
      <c r="I11" s="221">
        <f t="shared" si="1"/>
        <v>0</v>
      </c>
      <c r="J11" s="78">
        <v>2500</v>
      </c>
    </row>
    <row r="12" spans="1:11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</row>
    <row r="13" spans="1:11" x14ac:dyDescent="0.25">
      <c r="A13" s="16">
        <v>9</v>
      </c>
      <c r="B13" s="191" t="s">
        <v>221</v>
      </c>
      <c r="C13" s="17" t="s">
        <v>34</v>
      </c>
      <c r="D13" s="226">
        <v>450</v>
      </c>
      <c r="E13" s="226">
        <v>2500</v>
      </c>
      <c r="F13" s="226">
        <v>100</v>
      </c>
      <c r="G13" s="225">
        <f t="shared" si="2"/>
        <v>3050</v>
      </c>
      <c r="H13" s="223">
        <v>3000</v>
      </c>
      <c r="I13" s="221">
        <f t="shared" si="1"/>
        <v>50</v>
      </c>
    </row>
    <row r="14" spans="1:11" x14ac:dyDescent="0.25">
      <c r="A14" s="16">
        <v>10</v>
      </c>
      <c r="B14" s="191" t="s">
        <v>95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</row>
    <row r="15" spans="1:11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</row>
    <row r="16" spans="1:11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</row>
    <row r="17" spans="1:10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</row>
    <row r="18" spans="1:10" x14ac:dyDescent="0.25">
      <c r="A18" s="16">
        <v>14</v>
      </c>
      <c r="B18" s="191" t="s">
        <v>282</v>
      </c>
      <c r="C18" s="17" t="s">
        <v>44</v>
      </c>
      <c r="D18" s="226">
        <v>2700</v>
      </c>
      <c r="E18" s="226">
        <v>2500</v>
      </c>
      <c r="F18" s="226">
        <v>100</v>
      </c>
      <c r="G18" s="225">
        <f>D18+E18+F18</f>
        <v>5300</v>
      </c>
      <c r="H18" s="223">
        <v>5000</v>
      </c>
      <c r="I18" s="221">
        <f t="shared" si="1"/>
        <v>300</v>
      </c>
    </row>
    <row r="19" spans="1:10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</row>
    <row r="20" spans="1:10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</row>
    <row r="21" spans="1:10" x14ac:dyDescent="0.25">
      <c r="A21" s="21">
        <v>17</v>
      </c>
      <c r="B21" s="194" t="s">
        <v>316</v>
      </c>
      <c r="C21" s="17" t="s">
        <v>50</v>
      </c>
      <c r="D21" s="226">
        <v>834</v>
      </c>
      <c r="E21" s="229">
        <v>3000</v>
      </c>
      <c r="F21" s="227">
        <v>100</v>
      </c>
      <c r="G21" s="225">
        <f t="shared" si="3"/>
        <v>3934</v>
      </c>
      <c r="H21" s="223">
        <v>3000</v>
      </c>
      <c r="I21" s="221">
        <f t="shared" si="1"/>
        <v>934</v>
      </c>
    </row>
    <row r="22" spans="1:10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 t="shared" si="3"/>
        <v>3100</v>
      </c>
      <c r="H22" s="223">
        <v>3000</v>
      </c>
      <c r="I22" s="221">
        <f t="shared" si="1"/>
        <v>100</v>
      </c>
    </row>
    <row r="23" spans="1:10" x14ac:dyDescent="0.25">
      <c r="A23" s="21">
        <v>19</v>
      </c>
      <c r="B23" s="195" t="s">
        <v>281</v>
      </c>
      <c r="C23" s="17" t="s">
        <v>54</v>
      </c>
      <c r="D23" s="226">
        <v>0</v>
      </c>
      <c r="E23" s="229"/>
      <c r="F23" s="227"/>
      <c r="G23" s="225"/>
      <c r="H23" s="223"/>
      <c r="I23" s="221">
        <f t="shared" si="1"/>
        <v>0</v>
      </c>
    </row>
    <row r="24" spans="1:10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</row>
    <row r="25" spans="1:10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</row>
    <row r="26" spans="1:10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</row>
    <row r="27" spans="1:10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>
        <v>3000</v>
      </c>
    </row>
    <row r="28" spans="1:10" x14ac:dyDescent="0.25">
      <c r="A28" s="28">
        <v>24</v>
      </c>
      <c r="B28" s="196" t="s">
        <v>277</v>
      </c>
      <c r="C28" s="29" t="s">
        <v>64</v>
      </c>
      <c r="D28" s="226">
        <v>0</v>
      </c>
      <c r="E28" s="230">
        <v>3000</v>
      </c>
      <c r="F28" s="228">
        <v>100</v>
      </c>
      <c r="G28" s="225">
        <f t="shared" si="3"/>
        <v>3100</v>
      </c>
      <c r="H28" s="224">
        <v>3000</v>
      </c>
      <c r="I28" s="221">
        <f t="shared" si="1"/>
        <v>100</v>
      </c>
    </row>
    <row r="29" spans="1:10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</row>
    <row r="30" spans="1:10" x14ac:dyDescent="0.25">
      <c r="A30" s="38"/>
      <c r="B30" s="199" t="s">
        <v>65</v>
      </c>
      <c r="C30" s="38"/>
      <c r="D30" s="149"/>
      <c r="E30" s="40">
        <f>SUM(E5:E29)</f>
        <v>58500</v>
      </c>
      <c r="F30" s="247">
        <f>SUM(F5:F29)</f>
        <v>2100</v>
      </c>
      <c r="G30" s="19"/>
      <c r="H30" s="135">
        <f>SUM(H5:H29)</f>
        <v>61500</v>
      </c>
      <c r="I30" s="221"/>
    </row>
    <row r="31" spans="1:10" x14ac:dyDescent="0.25">
      <c r="B31" s="561" t="s">
        <v>346</v>
      </c>
      <c r="C31" s="561"/>
      <c r="D31" s="561"/>
      <c r="E31" s="561"/>
      <c r="F31" s="561"/>
      <c r="G31" s="561"/>
      <c r="I31" s="221">
        <f>G31-H31</f>
        <v>0</v>
      </c>
    </row>
    <row r="32" spans="1:10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</row>
    <row r="33" spans="1:9" x14ac:dyDescent="0.25">
      <c r="A33" s="83" t="s">
        <v>106</v>
      </c>
      <c r="B33" s="201" t="s">
        <v>281</v>
      </c>
      <c r="C33" s="89"/>
      <c r="D33" s="90"/>
      <c r="E33" s="235"/>
      <c r="F33" s="232"/>
      <c r="G33" s="236"/>
      <c r="H33" s="233"/>
      <c r="I33" s="221"/>
    </row>
    <row r="34" spans="1:9" x14ac:dyDescent="0.25">
      <c r="A34" s="83" t="s">
        <v>108</v>
      </c>
      <c r="B34" s="200" t="s">
        <v>284</v>
      </c>
      <c r="C34" s="85"/>
      <c r="D34" s="86">
        <v>0</v>
      </c>
      <c r="E34" s="231"/>
      <c r="F34" s="232">
        <f t="shared" ref="F34:F42" si="4">D34+E34</f>
        <v>0</v>
      </c>
      <c r="G34" s="232"/>
      <c r="H34" s="233">
        <f>F34-G34</f>
        <v>0</v>
      </c>
      <c r="I34" s="221">
        <f t="shared" si="1"/>
        <v>0</v>
      </c>
    </row>
    <row r="35" spans="1:9" x14ac:dyDescent="0.25">
      <c r="A35" s="83" t="s">
        <v>110</v>
      </c>
      <c r="B35" s="200" t="s">
        <v>281</v>
      </c>
      <c r="C35" s="85"/>
      <c r="D35" s="246"/>
      <c r="E35" s="231"/>
      <c r="F35" s="232"/>
      <c r="G35" s="238"/>
      <c r="H35" s="233"/>
      <c r="I35" s="221"/>
    </row>
    <row r="36" spans="1:9" x14ac:dyDescent="0.25">
      <c r="A36" s="87" t="s">
        <v>112</v>
      </c>
      <c r="B36" s="203" t="s">
        <v>281</v>
      </c>
      <c r="C36" s="113"/>
      <c r="D36" s="113"/>
      <c r="E36" s="113"/>
      <c r="F36" s="232"/>
      <c r="H36" s="233"/>
      <c r="I36" s="221"/>
    </row>
    <row r="37" spans="1:9" x14ac:dyDescent="0.25">
      <c r="A37" s="99" t="s">
        <v>114</v>
      </c>
      <c r="B37" s="200" t="s">
        <v>281</v>
      </c>
      <c r="C37" s="86"/>
      <c r="D37" s="86"/>
      <c r="E37" s="232"/>
      <c r="F37" s="232"/>
      <c r="G37" s="234"/>
      <c r="H37" s="233"/>
      <c r="I37" s="221"/>
    </row>
    <row r="38" spans="1:9" x14ac:dyDescent="0.25">
      <c r="A38" s="93" t="s">
        <v>116</v>
      </c>
      <c r="B38" s="249" t="s">
        <v>281</v>
      </c>
      <c r="C38" s="113"/>
      <c r="D38" s="113"/>
      <c r="F38" s="232"/>
      <c r="H38" s="233"/>
      <c r="I38" s="221"/>
    </row>
    <row r="39" spans="1:9" x14ac:dyDescent="0.25">
      <c r="A39" s="83" t="s">
        <v>119</v>
      </c>
      <c r="B39" s="249" t="s">
        <v>120</v>
      </c>
      <c r="C39" s="85"/>
      <c r="D39" s="92"/>
      <c r="E39" s="248">
        <v>2500</v>
      </c>
      <c r="F39" s="232">
        <f t="shared" si="4"/>
        <v>2500</v>
      </c>
      <c r="G39" s="234">
        <v>2500</v>
      </c>
      <c r="H39" s="233">
        <f>F39-G39</f>
        <v>0</v>
      </c>
      <c r="I39" s="221"/>
    </row>
    <row r="40" spans="1:9" x14ac:dyDescent="0.25">
      <c r="A40" s="83" t="s">
        <v>121</v>
      </c>
      <c r="B40" s="200" t="s">
        <v>281</v>
      </c>
      <c r="C40" s="85"/>
      <c r="D40" s="92"/>
      <c r="E40" s="231"/>
      <c r="F40" s="232">
        <f t="shared" si="4"/>
        <v>0</v>
      </c>
      <c r="G40" s="234"/>
      <c r="H40" s="233">
        <f>F40-G40</f>
        <v>0</v>
      </c>
      <c r="I40" s="221"/>
    </row>
    <row r="41" spans="1:9" x14ac:dyDescent="0.25">
      <c r="A41" s="83" t="s">
        <v>123</v>
      </c>
      <c r="B41" s="200" t="s">
        <v>341</v>
      </c>
      <c r="C41" s="85"/>
      <c r="D41" s="92"/>
      <c r="E41" s="231">
        <v>2500</v>
      </c>
      <c r="F41" s="232">
        <f t="shared" si="4"/>
        <v>2500</v>
      </c>
      <c r="G41" s="234">
        <v>2500</v>
      </c>
      <c r="H41" s="233">
        <f>F41-G41</f>
        <v>0</v>
      </c>
      <c r="I41" s="221"/>
    </row>
    <row r="42" spans="1:9" x14ac:dyDescent="0.25">
      <c r="A42" s="83" t="s">
        <v>125</v>
      </c>
      <c r="B42" s="200" t="s">
        <v>312</v>
      </c>
      <c r="C42" s="85"/>
      <c r="D42" s="86"/>
      <c r="E42" s="231">
        <v>1500</v>
      </c>
      <c r="F42" s="232">
        <f t="shared" si="4"/>
        <v>1500</v>
      </c>
      <c r="G42" s="234">
        <v>1500</v>
      </c>
      <c r="H42" s="233">
        <f>F42-G42</f>
        <v>0</v>
      </c>
      <c r="I42" s="221"/>
    </row>
    <row r="43" spans="1:9" x14ac:dyDescent="0.25">
      <c r="A43" s="83"/>
      <c r="B43" s="204" t="s">
        <v>193</v>
      </c>
      <c r="C43" s="205">
        <v>0</v>
      </c>
      <c r="D43" s="206">
        <v>0</v>
      </c>
      <c r="E43" s="239">
        <f>SUM(E33:E42)</f>
        <v>6500</v>
      </c>
      <c r="F43" s="240"/>
      <c r="G43" s="240">
        <f>SUM(G33:G42)</f>
        <v>6500</v>
      </c>
      <c r="H43" s="233">
        <f>F43-G43</f>
        <v>-6500</v>
      </c>
      <c r="I43" s="221"/>
    </row>
    <row r="44" spans="1:9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</row>
    <row r="45" spans="1:9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</row>
    <row r="46" spans="1:9" x14ac:dyDescent="0.25">
      <c r="E46" s="78" t="s">
        <v>9</v>
      </c>
      <c r="F46" s="78" t="s">
        <v>11</v>
      </c>
      <c r="G46" s="78" t="s">
        <v>12</v>
      </c>
      <c r="H46" s="78" t="s">
        <v>306</v>
      </c>
      <c r="I46" s="221"/>
    </row>
    <row r="47" spans="1:9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</row>
    <row r="48" spans="1:9" x14ac:dyDescent="0.25">
      <c r="A48" s="83">
        <v>2</v>
      </c>
      <c r="B48" s="191" t="s">
        <v>250</v>
      </c>
      <c r="C48" s="85"/>
      <c r="D48" s="86"/>
      <c r="E48" s="231">
        <v>4000</v>
      </c>
      <c r="F48" s="232">
        <f t="shared" ref="F48:F53" si="5">D48+E48</f>
        <v>4000</v>
      </c>
      <c r="G48" s="232">
        <v>4000</v>
      </c>
      <c r="H48" s="233">
        <f t="shared" ref="H48:H53" si="6">F48-G48</f>
        <v>0</v>
      </c>
      <c r="I48" s="221"/>
    </row>
    <row r="49" spans="1:11" x14ac:dyDescent="0.25">
      <c r="A49" s="83">
        <v>3</v>
      </c>
      <c r="B49" s="191" t="s">
        <v>307</v>
      </c>
      <c r="C49" s="85"/>
      <c r="D49" s="86"/>
      <c r="E49" s="231">
        <v>5500</v>
      </c>
      <c r="F49" s="232">
        <f t="shared" si="5"/>
        <v>5500</v>
      </c>
      <c r="G49" s="232">
        <v>5500</v>
      </c>
      <c r="H49" s="233">
        <f t="shared" si="6"/>
        <v>0</v>
      </c>
      <c r="I49" s="221"/>
    </row>
    <row r="50" spans="1:11" x14ac:dyDescent="0.25">
      <c r="A50" s="83">
        <v>4</v>
      </c>
      <c r="B50" s="191" t="s">
        <v>284</v>
      </c>
      <c r="C50" s="86"/>
      <c r="E50" s="231"/>
      <c r="F50" s="232">
        <f t="shared" si="5"/>
        <v>0</v>
      </c>
      <c r="G50" s="232"/>
      <c r="H50" s="233">
        <f t="shared" si="6"/>
        <v>0</v>
      </c>
      <c r="I50" s="221"/>
    </row>
    <row r="51" spans="1:11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 t="shared" si="5"/>
        <v>4000</v>
      </c>
      <c r="G51" s="232">
        <v>4000</v>
      </c>
      <c r="H51" s="233">
        <f t="shared" si="6"/>
        <v>0</v>
      </c>
      <c r="I51" s="221"/>
      <c r="J51" s="78">
        <v>4000</v>
      </c>
    </row>
    <row r="52" spans="1:11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 t="shared" si="5"/>
        <v>4000</v>
      </c>
      <c r="G52" s="232">
        <v>4000</v>
      </c>
      <c r="H52" s="233">
        <f t="shared" si="6"/>
        <v>0</v>
      </c>
      <c r="I52" s="221"/>
    </row>
    <row r="53" spans="1:11" x14ac:dyDescent="0.25">
      <c r="A53" s="83">
        <v>7</v>
      </c>
      <c r="B53" s="210" t="s">
        <v>288</v>
      </c>
      <c r="C53" s="85">
        <v>0</v>
      </c>
      <c r="D53" s="92">
        <v>0</v>
      </c>
      <c r="E53" s="231">
        <v>4000</v>
      </c>
      <c r="F53" s="232">
        <f t="shared" si="5"/>
        <v>4000</v>
      </c>
      <c r="G53" s="232">
        <v>4000</v>
      </c>
      <c r="H53" s="233">
        <f t="shared" si="6"/>
        <v>0</v>
      </c>
      <c r="I53" s="221"/>
    </row>
    <row r="54" spans="1:11" x14ac:dyDescent="0.25">
      <c r="A54" s="113"/>
      <c r="B54" s="173"/>
      <c r="C54" s="86"/>
      <c r="D54" s="92"/>
      <c r="E54" s="232"/>
      <c r="F54" s="232"/>
      <c r="G54" s="232"/>
      <c r="H54" s="233"/>
      <c r="I54" s="221"/>
    </row>
    <row r="55" spans="1:11" x14ac:dyDescent="0.25">
      <c r="A55" s="113"/>
      <c r="B55" s="174"/>
      <c r="C55" s="98"/>
      <c r="D55" s="98"/>
      <c r="E55" s="242">
        <f>SUM(E47:E54)</f>
        <v>25000</v>
      </c>
      <c r="F55" s="242"/>
      <c r="G55" s="242">
        <f>SUM(G47:G54)</f>
        <v>25000</v>
      </c>
      <c r="H55" s="233"/>
      <c r="I55" s="221"/>
    </row>
    <row r="56" spans="1:11" x14ac:dyDescent="0.25">
      <c r="A56" s="142"/>
      <c r="I56" s="220"/>
    </row>
    <row r="57" spans="1:11" x14ac:dyDescent="0.25">
      <c r="A57" s="175"/>
      <c r="I57" s="220"/>
    </row>
    <row r="58" spans="1:11" x14ac:dyDescent="0.25">
      <c r="A58" s="109"/>
      <c r="I58" s="220"/>
    </row>
    <row r="59" spans="1:11" x14ac:dyDescent="0.25">
      <c r="A59" s="79"/>
      <c r="B59" s="79"/>
      <c r="C59" s="106"/>
      <c r="D59" s="107"/>
      <c r="E59" s="106"/>
      <c r="F59" s="108"/>
      <c r="G59" s="106"/>
      <c r="I59" s="220"/>
    </row>
    <row r="60" spans="1:11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</row>
    <row r="61" spans="1:11" x14ac:dyDescent="0.25">
      <c r="A61" s="50"/>
      <c r="B61" s="211" t="s">
        <v>342</v>
      </c>
      <c r="C61" s="221">
        <f>E30+E43+E55</f>
        <v>90000</v>
      </c>
      <c r="D61" s="113"/>
      <c r="E61" s="113"/>
      <c r="F61" s="211" t="s">
        <v>342</v>
      </c>
      <c r="G61" s="221">
        <f>H30+G43+G55</f>
        <v>93000</v>
      </c>
      <c r="H61" s="113"/>
      <c r="I61" s="221"/>
      <c r="J61" s="113"/>
      <c r="K61" s="113"/>
    </row>
    <row r="62" spans="1:11" x14ac:dyDescent="0.25">
      <c r="A62" s="50"/>
      <c r="B62" s="113" t="s">
        <v>209</v>
      </c>
      <c r="C62" s="161">
        <v>0.08</v>
      </c>
      <c r="D62" s="221">
        <f>C61*C62</f>
        <v>7200</v>
      </c>
      <c r="E62" s="113"/>
      <c r="F62" s="113" t="s">
        <v>209</v>
      </c>
      <c r="G62" s="161">
        <v>0.08</v>
      </c>
      <c r="H62" s="221">
        <f>D62</f>
        <v>7200</v>
      </c>
      <c r="I62" s="221"/>
      <c r="J62" s="113"/>
      <c r="K62" s="113"/>
    </row>
    <row r="63" spans="1:11" x14ac:dyDescent="0.25"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</row>
    <row r="64" spans="1:11" x14ac:dyDescent="0.25">
      <c r="A64" s="50"/>
      <c r="B64" s="168" t="s">
        <v>232</v>
      </c>
      <c r="C64" s="221">
        <f>F30</f>
        <v>2100</v>
      </c>
      <c r="D64" s="113"/>
      <c r="E64" s="113"/>
      <c r="F64" s="168" t="s">
        <v>232</v>
      </c>
      <c r="G64" s="221">
        <f>C64</f>
        <v>2100</v>
      </c>
      <c r="H64" s="113"/>
      <c r="I64" s="221"/>
      <c r="J64" s="113"/>
      <c r="K64" s="113"/>
    </row>
    <row r="65" spans="1:11" x14ac:dyDescent="0.25">
      <c r="A65" s="50"/>
      <c r="B65" s="168" t="s">
        <v>239</v>
      </c>
      <c r="C65" s="244">
        <f>MAY!E75</f>
        <v>180788.34230528004</v>
      </c>
      <c r="D65" s="113"/>
      <c r="E65" s="113"/>
      <c r="F65" s="168" t="s">
        <v>239</v>
      </c>
      <c r="G65" s="244">
        <f>MAY!I75</f>
        <v>98704.275200000033</v>
      </c>
      <c r="H65" s="113"/>
      <c r="I65" s="221"/>
      <c r="J65" s="113"/>
      <c r="K65" s="113"/>
    </row>
    <row r="66" spans="1:11" x14ac:dyDescent="0.25">
      <c r="A66" s="50"/>
      <c r="B66" s="168" t="s">
        <v>193</v>
      </c>
      <c r="C66" s="221">
        <f>C61+C63+C64+C65</f>
        <v>275888.34230528004</v>
      </c>
      <c r="D66" s="113"/>
      <c r="E66" s="113"/>
      <c r="F66" s="168" t="s">
        <v>193</v>
      </c>
      <c r="G66" s="221">
        <f>G61+G63+G64+G65</f>
        <v>196804.27520000003</v>
      </c>
      <c r="H66" s="113"/>
      <c r="I66" s="221"/>
      <c r="J66" s="113"/>
      <c r="K66" s="113"/>
    </row>
    <row r="67" spans="1:11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</row>
    <row r="68" spans="1:11" x14ac:dyDescent="0.25">
      <c r="A68" s="50"/>
      <c r="B68" s="219" t="s">
        <v>402</v>
      </c>
      <c r="C68" s="113"/>
      <c r="D68" s="164">
        <v>2150</v>
      </c>
      <c r="E68" s="113"/>
      <c r="F68" s="219" t="s">
        <v>402</v>
      </c>
      <c r="G68" s="113"/>
      <c r="H68" s="164">
        <v>2150</v>
      </c>
      <c r="I68" s="221"/>
      <c r="J68" s="113"/>
      <c r="K68" s="113"/>
    </row>
    <row r="69" spans="1:11" x14ac:dyDescent="0.25">
      <c r="A69" s="50"/>
      <c r="B69" s="213" t="s">
        <v>344</v>
      </c>
      <c r="C69" s="113"/>
      <c r="D69" s="164">
        <v>500</v>
      </c>
      <c r="E69" s="113"/>
      <c r="F69" s="213" t="s">
        <v>344</v>
      </c>
      <c r="G69" s="113"/>
      <c r="H69" s="164">
        <v>500</v>
      </c>
      <c r="I69" s="221"/>
      <c r="J69" s="113"/>
      <c r="K69" s="113"/>
    </row>
    <row r="70" spans="1:11" x14ac:dyDescent="0.25">
      <c r="B70" s="219">
        <v>43265</v>
      </c>
      <c r="C70" s="164"/>
      <c r="D70" s="165">
        <v>80000</v>
      </c>
      <c r="E70" s="113"/>
      <c r="F70" s="219">
        <v>43265</v>
      </c>
      <c r="G70" s="164"/>
      <c r="H70" s="165">
        <v>80000</v>
      </c>
      <c r="I70" s="221"/>
      <c r="J70" s="113"/>
      <c r="K70" s="113"/>
    </row>
    <row r="71" spans="1:11" x14ac:dyDescent="0.25">
      <c r="B71" s="163" t="s">
        <v>347</v>
      </c>
      <c r="C71" s="164"/>
      <c r="D71" s="165">
        <v>11100</v>
      </c>
      <c r="E71" s="113"/>
      <c r="F71" s="163" t="s">
        <v>347</v>
      </c>
      <c r="G71" s="164"/>
      <c r="H71" s="165">
        <v>11100</v>
      </c>
      <c r="I71" s="221"/>
      <c r="J71" s="113"/>
      <c r="K71" s="113"/>
    </row>
    <row r="72" spans="1:11" x14ac:dyDescent="0.25">
      <c r="B72" s="219"/>
      <c r="C72" s="164"/>
      <c r="D72" s="165"/>
      <c r="E72" s="113"/>
      <c r="F72" s="219"/>
      <c r="G72" s="164"/>
      <c r="H72" s="165"/>
      <c r="I72" s="221"/>
      <c r="J72" s="113"/>
      <c r="K72" s="113"/>
    </row>
    <row r="73" spans="1:11" x14ac:dyDescent="0.25">
      <c r="B73" s="163"/>
      <c r="C73" s="164"/>
      <c r="D73" s="165"/>
      <c r="E73" s="113"/>
      <c r="F73" s="163"/>
      <c r="G73" s="164"/>
      <c r="H73" s="165"/>
      <c r="I73" s="221"/>
      <c r="J73" s="113"/>
      <c r="K73" s="113"/>
    </row>
    <row r="74" spans="1:11" x14ac:dyDescent="0.25">
      <c r="B74" s="163"/>
      <c r="C74" s="164"/>
      <c r="D74" s="165"/>
      <c r="E74" s="113"/>
      <c r="F74" s="163"/>
      <c r="G74" s="164"/>
      <c r="H74" s="165"/>
      <c r="I74" s="221"/>
      <c r="J74" s="113"/>
      <c r="K74" s="113"/>
    </row>
    <row r="75" spans="1:11" x14ac:dyDescent="0.25">
      <c r="B75" s="164"/>
      <c r="C75" s="164"/>
      <c r="D75" s="113"/>
      <c r="E75" s="113"/>
      <c r="F75" s="164"/>
      <c r="G75" s="164"/>
      <c r="H75" s="113"/>
      <c r="I75" s="221"/>
      <c r="J75" s="113"/>
      <c r="K75" s="113"/>
    </row>
    <row r="76" spans="1:11" x14ac:dyDescent="0.25">
      <c r="B76" s="166" t="s">
        <v>193</v>
      </c>
      <c r="C76" s="243">
        <f>C66</f>
        <v>275888.34230528004</v>
      </c>
      <c r="D76" s="221">
        <f>SUM(D62:D75)</f>
        <v>100950</v>
      </c>
      <c r="E76" s="221">
        <f>C76-D76</f>
        <v>174938.34230528004</v>
      </c>
      <c r="F76" s="166" t="s">
        <v>193</v>
      </c>
      <c r="G76" s="243">
        <f>G66</f>
        <v>196804.27520000003</v>
      </c>
      <c r="H76" s="221">
        <f>SUM(H62:H75)</f>
        <v>100950</v>
      </c>
      <c r="I76" s="221">
        <f>G76-H76</f>
        <v>95854.275200000033</v>
      </c>
      <c r="J76" s="149">
        <f>I30</f>
        <v>0</v>
      </c>
      <c r="K76" s="113"/>
    </row>
    <row r="77" spans="1:11" x14ac:dyDescent="0.25">
      <c r="G77" s="79"/>
      <c r="I77" s="220"/>
    </row>
    <row r="78" spans="1:11" x14ac:dyDescent="0.25">
      <c r="B78" s="78" t="s">
        <v>71</v>
      </c>
      <c r="C78" s="79"/>
      <c r="D78" s="150" t="s">
        <v>72</v>
      </c>
      <c r="E78" s="79"/>
      <c r="F78" s="78" t="s">
        <v>73</v>
      </c>
      <c r="I78" s="220"/>
    </row>
    <row r="79" spans="1:11" x14ac:dyDescent="0.25">
      <c r="I79" s="220"/>
    </row>
    <row r="80" spans="1:11" x14ac:dyDescent="0.25">
      <c r="B80" s="78" t="s">
        <v>379</v>
      </c>
      <c r="D80" s="78" t="s">
        <v>135</v>
      </c>
      <c r="F80" s="78" t="s">
        <v>130</v>
      </c>
      <c r="I80" s="220"/>
    </row>
  </sheetData>
  <mergeCells count="2">
    <mergeCell ref="B31:G31"/>
    <mergeCell ref="A45:H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46" workbookViewId="0">
      <selection activeCell="E74" sqref="E74"/>
    </sheetView>
  </sheetViews>
  <sheetFormatPr defaultRowHeight="15" x14ac:dyDescent="0.25"/>
  <cols>
    <col min="1" max="1" width="4.42578125" customWidth="1"/>
    <col min="2" max="2" width="18" bestFit="1" customWidth="1"/>
    <col min="3" max="3" width="9" customWidth="1"/>
    <col min="4" max="4" width="11.5703125" customWidth="1"/>
    <col min="5" max="5" width="11.28515625" bestFit="1" customWidth="1"/>
    <col min="6" max="6" width="17.28515625" bestFit="1" customWidth="1"/>
    <col min="7" max="7" width="12.42578125" bestFit="1" customWidth="1"/>
    <col min="8" max="8" width="9.140625" customWidth="1"/>
  </cols>
  <sheetData>
    <row r="1" spans="1:12" s="78" customFormat="1" ht="15.75" x14ac:dyDescent="0.25">
      <c r="D1" s="251" t="s">
        <v>356</v>
      </c>
    </row>
    <row r="2" spans="1:12" s="78" customFormat="1" ht="15.75" x14ac:dyDescent="0.25">
      <c r="D2" s="250" t="s">
        <v>357</v>
      </c>
      <c r="E2" s="5"/>
    </row>
    <row r="3" spans="1:12" ht="16.5" customHeight="1" x14ac:dyDescent="0.25">
      <c r="A3" s="8"/>
      <c r="D3" s="5" t="s">
        <v>358</v>
      </c>
      <c r="E3" s="250"/>
      <c r="F3" s="103"/>
      <c r="G3" s="103"/>
      <c r="H3" s="103"/>
      <c r="I3" s="220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1" si="0">D5+E5+F5</f>
        <v>2600</v>
      </c>
      <c r="H5" s="223">
        <v>2500</v>
      </c>
      <c r="I5" s="221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345</v>
      </c>
      <c r="C6" s="17" t="s">
        <v>20</v>
      </c>
      <c r="D6" s="226"/>
      <c r="E6" s="226">
        <v>2500</v>
      </c>
      <c r="F6" s="226">
        <v>100</v>
      </c>
      <c r="G6" s="225">
        <f t="shared" si="0"/>
        <v>2600</v>
      </c>
      <c r="H6" s="223">
        <v>2500</v>
      </c>
      <c r="I6" s="221">
        <f t="shared" ref="I6:I45" si="1">G6-H6</f>
        <v>100</v>
      </c>
      <c r="J6" s="78"/>
      <c r="K6" s="78"/>
      <c r="L6" s="78"/>
    </row>
    <row r="7" spans="1:12" x14ac:dyDescent="0.25">
      <c r="A7" s="16">
        <v>3</v>
      </c>
      <c r="B7" s="191" t="s">
        <v>370</v>
      </c>
      <c r="C7" s="17" t="s">
        <v>22</v>
      </c>
      <c r="D7" s="226"/>
      <c r="E7" s="226">
        <v>850</v>
      </c>
      <c r="F7" s="226"/>
      <c r="G7" s="225">
        <f t="shared" si="0"/>
        <v>850</v>
      </c>
      <c r="H7" s="223">
        <v>850</v>
      </c>
      <c r="I7" s="221">
        <f t="shared" si="1"/>
        <v>0</v>
      </c>
      <c r="J7" s="78"/>
      <c r="K7" s="78"/>
      <c r="L7" s="78"/>
    </row>
    <row r="8" spans="1:12" x14ac:dyDescent="0.25">
      <c r="A8" s="16">
        <v>4</v>
      </c>
      <c r="B8" s="191" t="s">
        <v>348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si="1"/>
        <v>100</v>
      </c>
      <c r="J8" s="78"/>
      <c r="K8" s="78"/>
      <c r="L8" s="78"/>
    </row>
    <row r="9" spans="1:12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  <c r="J9" s="78"/>
      <c r="K9" s="78"/>
      <c r="L9" s="78"/>
    </row>
    <row r="10" spans="1:12" x14ac:dyDescent="0.25">
      <c r="A10" s="187">
        <v>6</v>
      </c>
      <c r="B10" s="191" t="s">
        <v>349</v>
      </c>
      <c r="C10" s="192" t="s">
        <v>28</v>
      </c>
      <c r="D10" s="225"/>
      <c r="E10" s="225">
        <v>5000</v>
      </c>
      <c r="F10" s="225">
        <v>100</v>
      </c>
      <c r="G10" s="225">
        <f t="shared" si="0"/>
        <v>5100</v>
      </c>
      <c r="H10" s="223">
        <v>5000</v>
      </c>
      <c r="I10" s="221">
        <f t="shared" si="1"/>
        <v>100</v>
      </c>
      <c r="J10" s="155"/>
      <c r="K10" s="155"/>
      <c r="L10" s="78"/>
    </row>
    <row r="11" spans="1:12" x14ac:dyDescent="0.25">
      <c r="A11" s="16">
        <v>7</v>
      </c>
      <c r="B11" s="191" t="s">
        <v>369</v>
      </c>
      <c r="C11" s="17" t="s">
        <v>30</v>
      </c>
      <c r="D11" s="226"/>
      <c r="E11" s="226">
        <v>5000</v>
      </c>
      <c r="F11" s="226">
        <v>100</v>
      </c>
      <c r="G11" s="225">
        <f t="shared" si="0"/>
        <v>5100</v>
      </c>
      <c r="H11" s="223">
        <v>5000</v>
      </c>
      <c r="I11" s="221">
        <f t="shared" si="1"/>
        <v>100</v>
      </c>
      <c r="J11" s="78">
        <v>2500</v>
      </c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  <c r="J12" s="78"/>
      <c r="K12" s="78"/>
      <c r="L12" s="78"/>
    </row>
    <row r="13" spans="1:12" x14ac:dyDescent="0.25">
      <c r="A13" s="16">
        <v>9</v>
      </c>
      <c r="B13" s="191" t="s">
        <v>366</v>
      </c>
      <c r="C13" s="17" t="s">
        <v>34</v>
      </c>
      <c r="D13" s="226"/>
      <c r="E13" s="226">
        <v>5000</v>
      </c>
      <c r="F13" s="226">
        <v>100</v>
      </c>
      <c r="G13" s="225">
        <f t="shared" si="2"/>
        <v>5100</v>
      </c>
      <c r="H13" s="223">
        <v>5000</v>
      </c>
      <c r="I13" s="221">
        <f t="shared" si="1"/>
        <v>100</v>
      </c>
      <c r="J13" s="78"/>
      <c r="K13" s="78"/>
      <c r="L13" s="78"/>
    </row>
    <row r="14" spans="1:12" x14ac:dyDescent="0.25">
      <c r="A14" s="16">
        <v>10</v>
      </c>
      <c r="B14" s="191" t="s">
        <v>350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  <c r="J16" s="78"/>
      <c r="K16" s="78"/>
      <c r="L16" s="78"/>
    </row>
    <row r="17" spans="1:12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226"/>
      <c r="E18" s="226">
        <v>2500</v>
      </c>
      <c r="F18" s="226">
        <v>100</v>
      </c>
      <c r="G18" s="225">
        <f>D18+E18+F18</f>
        <v>2600</v>
      </c>
      <c r="H18" s="223">
        <v>2500</v>
      </c>
      <c r="I18" s="221">
        <f t="shared" si="1"/>
        <v>100</v>
      </c>
      <c r="J18" s="78"/>
      <c r="K18" s="78"/>
      <c r="L18" s="78"/>
    </row>
    <row r="19" spans="1:12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  <c r="J19" s="78"/>
      <c r="K19" s="78"/>
      <c r="L19" s="78"/>
    </row>
    <row r="20" spans="1:12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  <c r="J20" s="78"/>
      <c r="K20" s="78"/>
      <c r="L20" s="78"/>
    </row>
    <row r="21" spans="1:12" x14ac:dyDescent="0.25">
      <c r="A21" s="21">
        <v>17</v>
      </c>
      <c r="B21" s="194" t="s">
        <v>352</v>
      </c>
      <c r="C21" s="17" t="s">
        <v>50</v>
      </c>
      <c r="D21" s="226"/>
      <c r="E21" s="229">
        <v>3000</v>
      </c>
      <c r="F21" s="227">
        <v>100</v>
      </c>
      <c r="G21" s="225">
        <f t="shared" si="3"/>
        <v>3100</v>
      </c>
      <c r="H21" s="223">
        <v>3000</v>
      </c>
      <c r="I21" s="221">
        <f t="shared" si="1"/>
        <v>100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>D22+E22+F22</f>
        <v>3100</v>
      </c>
      <c r="H22" s="223">
        <v>3000</v>
      </c>
      <c r="I22" s="221">
        <f t="shared" si="1"/>
        <v>100</v>
      </c>
      <c r="J22" s="78"/>
      <c r="K22" s="78"/>
      <c r="L22" s="78"/>
    </row>
    <row r="23" spans="1:12" x14ac:dyDescent="0.25">
      <c r="A23" s="21">
        <v>19</v>
      </c>
      <c r="B23" s="195" t="s">
        <v>351</v>
      </c>
      <c r="C23" s="17" t="s">
        <v>54</v>
      </c>
      <c r="D23" s="226">
        <v>0</v>
      </c>
      <c r="E23" s="229">
        <v>3000</v>
      </c>
      <c r="F23" s="227">
        <v>100</v>
      </c>
      <c r="G23" s="225">
        <f>D23+E23+F23</f>
        <v>3100</v>
      </c>
      <c r="H23" s="223">
        <v>3000</v>
      </c>
      <c r="I23" s="221">
        <f t="shared" si="1"/>
        <v>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  <c r="J26" s="78"/>
      <c r="K26" s="78"/>
      <c r="L26" s="78"/>
    </row>
    <row r="27" spans="1:12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>
        <v>3000</v>
      </c>
      <c r="K27" s="78"/>
      <c r="L27" s="78"/>
    </row>
    <row r="28" spans="1:12" x14ac:dyDescent="0.25">
      <c r="A28" s="28">
        <v>24</v>
      </c>
      <c r="B28" s="196" t="s">
        <v>281</v>
      </c>
      <c r="C28" s="29" t="s">
        <v>64</v>
      </c>
      <c r="D28" s="226">
        <v>0</v>
      </c>
      <c r="E28" s="230"/>
      <c r="F28" s="228"/>
      <c r="G28" s="225">
        <f t="shared" si="3"/>
        <v>0</v>
      </c>
      <c r="H28" s="224"/>
      <c r="I28" s="221">
        <f t="shared" si="1"/>
        <v>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66850</v>
      </c>
      <c r="F30" s="247">
        <f>SUM(F5:F29)</f>
        <v>2200</v>
      </c>
      <c r="G30" s="19"/>
      <c r="H30" s="135">
        <f>SUM(H5:H29)</f>
        <v>66850</v>
      </c>
      <c r="I30" s="221"/>
      <c r="J30" s="78"/>
      <c r="K30" s="78"/>
      <c r="L30" s="78"/>
    </row>
    <row r="31" spans="1:12" x14ac:dyDescent="0.25">
      <c r="A31" s="78"/>
      <c r="B31" s="561" t="s">
        <v>346</v>
      </c>
      <c r="C31" s="561"/>
      <c r="D31" s="561"/>
      <c r="E31" s="561"/>
      <c r="F31" s="561"/>
      <c r="G31" s="561"/>
      <c r="H31" s="78"/>
      <c r="I31" s="221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  <c r="J32" s="78"/>
      <c r="K32" s="78"/>
      <c r="L32" s="78"/>
    </row>
    <row r="33" spans="1:12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21"/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>
        <v>0</v>
      </c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21">
        <f t="shared" si="1"/>
        <v>0</v>
      </c>
      <c r="J34" s="78"/>
      <c r="K34" s="78"/>
      <c r="L34" s="78"/>
    </row>
    <row r="35" spans="1:12" x14ac:dyDescent="0.25">
      <c r="A35" s="83" t="s">
        <v>110</v>
      </c>
      <c r="B35" s="200" t="s">
        <v>364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21"/>
      <c r="J35" s="78"/>
      <c r="K35" s="78"/>
      <c r="L35" s="78"/>
    </row>
    <row r="36" spans="1:12" x14ac:dyDescent="0.25">
      <c r="A36" s="87" t="s">
        <v>112</v>
      </c>
      <c r="B36" s="203" t="s">
        <v>367</v>
      </c>
      <c r="C36" s="113"/>
      <c r="D36" s="113"/>
      <c r="E36" s="263">
        <v>2500</v>
      </c>
      <c r="F36" s="252">
        <f t="shared" si="4"/>
        <v>2500</v>
      </c>
      <c r="G36" s="148">
        <v>2500</v>
      </c>
      <c r="H36" s="254">
        <f t="shared" si="5"/>
        <v>0</v>
      </c>
      <c r="I36" s="221"/>
      <c r="J36" s="78"/>
      <c r="K36" s="78"/>
      <c r="L36" s="78"/>
    </row>
    <row r="37" spans="1:12" x14ac:dyDescent="0.25">
      <c r="A37" s="99" t="s">
        <v>114</v>
      </c>
      <c r="B37" s="200" t="s">
        <v>353</v>
      </c>
      <c r="C37" s="86"/>
      <c r="D37" s="86"/>
      <c r="E37" s="264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21"/>
      <c r="J37" s="78"/>
      <c r="K37" s="78"/>
      <c r="L37" s="78"/>
    </row>
    <row r="38" spans="1:12" x14ac:dyDescent="0.25">
      <c r="A38" s="93" t="s">
        <v>116</v>
      </c>
      <c r="B38" s="249" t="s">
        <v>365</v>
      </c>
      <c r="C38" s="113"/>
      <c r="D38" s="113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21"/>
      <c r="J38" s="78"/>
      <c r="K38" s="78"/>
      <c r="L38" s="78"/>
    </row>
    <row r="39" spans="1:12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21"/>
      <c r="J39" s="78"/>
      <c r="K39" s="78"/>
      <c r="L39" s="78"/>
    </row>
    <row r="40" spans="1:12" x14ac:dyDescent="0.25">
      <c r="A40" s="83" t="s">
        <v>121</v>
      </c>
      <c r="B40" s="200" t="s">
        <v>281</v>
      </c>
      <c r="C40" s="85"/>
      <c r="D40" s="92"/>
      <c r="E40" s="262"/>
      <c r="F40" s="252">
        <f t="shared" si="4"/>
        <v>0</v>
      </c>
      <c r="G40" s="257"/>
      <c r="H40" s="254">
        <f t="shared" si="5"/>
        <v>0</v>
      </c>
      <c r="I40" s="221"/>
      <c r="J40" s="78"/>
      <c r="K40" s="78"/>
      <c r="L40" s="78"/>
    </row>
    <row r="41" spans="1:12" x14ac:dyDescent="0.25">
      <c r="A41" s="83" t="s">
        <v>123</v>
      </c>
      <c r="B41" s="200" t="s">
        <v>341</v>
      </c>
      <c r="C41" s="85"/>
      <c r="D41" s="92"/>
      <c r="E41" s="262">
        <v>2500</v>
      </c>
      <c r="F41" s="252">
        <f t="shared" si="4"/>
        <v>2500</v>
      </c>
      <c r="G41" s="257"/>
      <c r="H41" s="254">
        <f t="shared" si="5"/>
        <v>2500</v>
      </c>
      <c r="I41" s="221"/>
      <c r="J41" s="78"/>
      <c r="K41" s="78"/>
      <c r="L41" s="78"/>
    </row>
    <row r="42" spans="1:12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21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19500</v>
      </c>
      <c r="F43" s="260">
        <f>SUM(F33:F42)</f>
        <v>19500</v>
      </c>
      <c r="G43" s="260">
        <f>SUM(G33:G42)</f>
        <v>17000</v>
      </c>
      <c r="H43" s="254">
        <f>F43-G43</f>
        <v>2500</v>
      </c>
      <c r="I43" s="221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9</v>
      </c>
      <c r="F46" s="78" t="s">
        <v>11</v>
      </c>
      <c r="G46" s="78" t="s">
        <v>12</v>
      </c>
      <c r="H46" s="78" t="s">
        <v>306</v>
      </c>
      <c r="I46" s="221"/>
      <c r="J46" s="78"/>
      <c r="K46" s="78"/>
      <c r="L46" s="78"/>
    </row>
    <row r="47" spans="1:12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  <c r="J47" s="78"/>
      <c r="K47" s="78"/>
      <c r="L47" s="78"/>
    </row>
    <row r="48" spans="1:12" x14ac:dyDescent="0.25">
      <c r="A48" s="83">
        <v>2</v>
      </c>
      <c r="B48" s="191" t="s">
        <v>250</v>
      </c>
      <c r="C48" s="85"/>
      <c r="D48" s="86"/>
      <c r="E48" s="231">
        <v>4000</v>
      </c>
      <c r="F48" s="232">
        <f t="shared" ref="F48:F53" si="6">D48+E48</f>
        <v>4000</v>
      </c>
      <c r="G48" s="232">
        <v>4000</v>
      </c>
      <c r="H48" s="233">
        <f t="shared" ref="H48:H53" si="7">F48-G48</f>
        <v>0</v>
      </c>
      <c r="I48" s="221"/>
      <c r="J48" s="78"/>
      <c r="K48" s="78"/>
      <c r="L48" s="78"/>
    </row>
    <row r="49" spans="1:12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 t="shared" si="6"/>
        <v>4000</v>
      </c>
      <c r="G49" s="232">
        <v>4000</v>
      </c>
      <c r="H49" s="233">
        <f t="shared" si="7"/>
        <v>0</v>
      </c>
      <c r="I49" s="221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231"/>
      <c r="F50" s="232">
        <f t="shared" si="6"/>
        <v>0</v>
      </c>
      <c r="G50" s="232"/>
      <c r="H50" s="233">
        <f t="shared" si="7"/>
        <v>0</v>
      </c>
      <c r="I50" s="221"/>
      <c r="J50" s="78"/>
      <c r="K50" s="78"/>
      <c r="L50" s="78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 t="shared" si="6"/>
        <v>4000</v>
      </c>
      <c r="G51" s="232">
        <v>4000</v>
      </c>
      <c r="H51" s="233">
        <f t="shared" si="7"/>
        <v>0</v>
      </c>
      <c r="I51" s="221"/>
      <c r="J51" s="78">
        <v>4000</v>
      </c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 t="shared" si="6"/>
        <v>4000</v>
      </c>
      <c r="G52" s="232">
        <v>4000</v>
      </c>
      <c r="H52" s="233">
        <f t="shared" si="7"/>
        <v>0</v>
      </c>
      <c r="I52" s="221"/>
      <c r="J52" s="78"/>
      <c r="K52" s="78"/>
      <c r="L52" s="78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 t="shared" si="6"/>
        <v>4000</v>
      </c>
      <c r="G53" s="232">
        <v>4000</v>
      </c>
      <c r="H53" s="233">
        <f t="shared" si="7"/>
        <v>0</v>
      </c>
      <c r="I53" s="221"/>
      <c r="J53" s="78"/>
      <c r="K53" s="78"/>
      <c r="L53" s="78"/>
    </row>
    <row r="54" spans="1:12" x14ac:dyDescent="0.25">
      <c r="A54" s="113"/>
      <c r="B54" s="173"/>
      <c r="C54" s="86"/>
      <c r="D54" s="92"/>
      <c r="E54" s="232"/>
      <c r="F54" s="232"/>
      <c r="G54" s="232"/>
      <c r="H54" s="233"/>
      <c r="I54" s="221"/>
      <c r="J54" s="78"/>
      <c r="K54" s="78"/>
      <c r="L54" s="78"/>
    </row>
    <row r="55" spans="1:12" x14ac:dyDescent="0.25">
      <c r="A55" s="113"/>
      <c r="B55" s="174"/>
      <c r="C55" s="98"/>
      <c r="D55" s="98"/>
      <c r="E55" s="242">
        <f>SUM(E47:E54)</f>
        <v>23500</v>
      </c>
      <c r="F55" s="242"/>
      <c r="G55" s="242">
        <f>SUM(G47:G54)</f>
        <v>23500</v>
      </c>
      <c r="H55" s="233"/>
      <c r="I55" s="221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220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220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  <c r="L60" s="78"/>
    </row>
    <row r="61" spans="1:12" x14ac:dyDescent="0.25">
      <c r="A61" s="50"/>
      <c r="B61" s="211" t="s">
        <v>355</v>
      </c>
      <c r="C61" s="221">
        <f>E30+E43+E55</f>
        <v>109850</v>
      </c>
      <c r="D61" s="113"/>
      <c r="E61" s="113"/>
      <c r="F61" s="211" t="s">
        <v>355</v>
      </c>
      <c r="G61" s="221">
        <f>H30+G43+G55</f>
        <v>107350</v>
      </c>
      <c r="H61" s="113"/>
      <c r="I61" s="221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221">
        <f>C61*C62</f>
        <v>8788</v>
      </c>
      <c r="E62" s="113"/>
      <c r="F62" s="113" t="s">
        <v>209</v>
      </c>
      <c r="G62" s="161">
        <v>0.08</v>
      </c>
      <c r="H62" s="221">
        <f>D62</f>
        <v>8788</v>
      </c>
      <c r="I62" s="221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232</v>
      </c>
      <c r="C64" s="221">
        <f>F30</f>
        <v>2200</v>
      </c>
      <c r="D64" s="113"/>
      <c r="E64" s="113"/>
      <c r="F64" s="168" t="s">
        <v>232</v>
      </c>
      <c r="G64" s="221">
        <f>C64</f>
        <v>2200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239</v>
      </c>
      <c r="C65" s="244">
        <f>'JUNE '!E76</f>
        <v>174938.34230528004</v>
      </c>
      <c r="D65" s="113"/>
      <c r="E65" s="113"/>
      <c r="F65" s="168" t="s">
        <v>239</v>
      </c>
      <c r="G65" s="244">
        <f>MAY!I75</f>
        <v>98704.275200000033</v>
      </c>
      <c r="H65" s="113"/>
      <c r="I65" s="221"/>
      <c r="J65" s="113"/>
      <c r="K65" s="113"/>
      <c r="L65" s="78"/>
    </row>
    <row r="66" spans="1:12" x14ac:dyDescent="0.25">
      <c r="A66" s="50"/>
      <c r="B66" s="168" t="s">
        <v>193</v>
      </c>
      <c r="C66" s="221">
        <f>C61+C63+C64+C65</f>
        <v>289988.34230528004</v>
      </c>
      <c r="D66" s="113"/>
      <c r="E66" s="113"/>
      <c r="F66" s="168" t="s">
        <v>193</v>
      </c>
      <c r="G66" s="221">
        <f>G61+G63+G64+G65</f>
        <v>211254.27520000003</v>
      </c>
      <c r="H66" s="113"/>
      <c r="I66" s="221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  <c r="L67" s="78"/>
    </row>
    <row r="68" spans="1:12" x14ac:dyDescent="0.25">
      <c r="A68" s="50"/>
      <c r="B68" s="163" t="s">
        <v>347</v>
      </c>
      <c r="C68" s="164"/>
      <c r="D68" s="165">
        <v>11100</v>
      </c>
      <c r="E68" s="113"/>
      <c r="F68" s="163" t="s">
        <v>347</v>
      </c>
      <c r="G68" s="164"/>
      <c r="H68" s="165">
        <v>11100</v>
      </c>
      <c r="I68" s="221"/>
      <c r="J68" s="113"/>
      <c r="K68" s="113"/>
      <c r="L68" s="78"/>
    </row>
    <row r="69" spans="1:12" x14ac:dyDescent="0.25">
      <c r="A69" s="50"/>
      <c r="B69" s="213" t="s">
        <v>361</v>
      </c>
      <c r="C69" s="113"/>
      <c r="D69" s="164">
        <v>2600</v>
      </c>
      <c r="E69" s="113"/>
      <c r="F69" s="213" t="s">
        <v>361</v>
      </c>
      <c r="G69" s="113"/>
      <c r="H69" s="164">
        <v>2600</v>
      </c>
      <c r="I69" s="221"/>
      <c r="J69" s="113"/>
      <c r="K69" s="113"/>
      <c r="L69" s="78"/>
    </row>
    <row r="70" spans="1:12" x14ac:dyDescent="0.25">
      <c r="A70" s="78"/>
      <c r="B70" s="219" t="s">
        <v>362</v>
      </c>
      <c r="C70" s="164"/>
      <c r="D70" s="165">
        <v>1000</v>
      </c>
      <c r="E70" s="113"/>
      <c r="F70" s="219" t="s">
        <v>362</v>
      </c>
      <c r="G70" s="164"/>
      <c r="H70" s="165">
        <v>1000</v>
      </c>
      <c r="I70" s="221"/>
      <c r="J70" s="113"/>
      <c r="K70" s="113"/>
      <c r="L70" s="78"/>
    </row>
    <row r="71" spans="1:12" x14ac:dyDescent="0.25">
      <c r="A71" s="78"/>
      <c r="B71" s="113" t="s">
        <v>363</v>
      </c>
      <c r="C71" s="113"/>
      <c r="D71" s="113">
        <v>4000</v>
      </c>
      <c r="E71" s="113"/>
      <c r="F71" s="113" t="s">
        <v>363</v>
      </c>
      <c r="G71" s="113"/>
      <c r="H71" s="113">
        <v>4000</v>
      </c>
      <c r="I71" s="221"/>
      <c r="J71" s="113"/>
      <c r="K71" s="113"/>
      <c r="L71" s="78"/>
    </row>
    <row r="72" spans="1:12" x14ac:dyDescent="0.25">
      <c r="A72" s="78"/>
      <c r="B72" s="219">
        <v>43291</v>
      </c>
      <c r="C72" s="164"/>
      <c r="D72" s="165">
        <v>82000</v>
      </c>
      <c r="E72" s="113"/>
      <c r="F72" s="219">
        <v>43291</v>
      </c>
      <c r="G72" s="164"/>
      <c r="H72" s="165">
        <v>82000</v>
      </c>
      <c r="I72" s="221"/>
      <c r="J72" s="113"/>
      <c r="K72" s="113"/>
      <c r="L72" s="78"/>
    </row>
    <row r="73" spans="1:12" x14ac:dyDescent="0.25">
      <c r="A73" s="78"/>
      <c r="B73" s="163" t="s">
        <v>368</v>
      </c>
      <c r="C73" s="164"/>
      <c r="D73" s="165">
        <v>2746</v>
      </c>
      <c r="E73" s="113"/>
      <c r="F73" s="163" t="s">
        <v>368</v>
      </c>
      <c r="G73" s="164"/>
      <c r="H73" s="165">
        <v>2746</v>
      </c>
      <c r="I73" s="221"/>
      <c r="J73" s="113"/>
      <c r="K73" s="113"/>
      <c r="L73" s="78"/>
    </row>
    <row r="74" spans="1:12" x14ac:dyDescent="0.25">
      <c r="A74" s="78"/>
      <c r="B74" s="163"/>
      <c r="C74" s="164"/>
      <c r="D74" s="165"/>
      <c r="E74" s="113"/>
      <c r="F74" s="163"/>
      <c r="G74" s="164"/>
      <c r="H74" s="165"/>
      <c r="I74" s="221"/>
      <c r="J74" s="113"/>
      <c r="K74" s="113"/>
      <c r="L74" s="78"/>
    </row>
    <row r="75" spans="1:12" x14ac:dyDescent="0.25">
      <c r="A75" s="78"/>
      <c r="B75" s="164"/>
      <c r="C75" s="164"/>
      <c r="D75" s="113"/>
      <c r="E75" s="113"/>
      <c r="F75" s="164"/>
      <c r="G75" s="164"/>
      <c r="H75" s="113"/>
      <c r="I75" s="221"/>
      <c r="J75" s="113"/>
      <c r="K75" s="113"/>
      <c r="L75" s="78"/>
    </row>
    <row r="76" spans="1:12" x14ac:dyDescent="0.25">
      <c r="A76" s="78"/>
      <c r="B76" s="166" t="s">
        <v>193</v>
      </c>
      <c r="C76" s="243">
        <f>C66</f>
        <v>289988.34230528004</v>
      </c>
      <c r="D76" s="221">
        <f>SUM(D62:D75)</f>
        <v>112234</v>
      </c>
      <c r="E76" s="221">
        <f>C76-D76</f>
        <v>177754.34230528004</v>
      </c>
      <c r="F76" s="166" t="s">
        <v>193</v>
      </c>
      <c r="G76" s="243">
        <f>G66</f>
        <v>211254.27520000003</v>
      </c>
      <c r="H76" s="221">
        <f>SUM(H62:H75)</f>
        <v>112234</v>
      </c>
      <c r="I76" s="221">
        <f>G76-H76</f>
        <v>99020.275200000033</v>
      </c>
      <c r="J76" s="149">
        <f>I30</f>
        <v>0</v>
      </c>
      <c r="K76" s="113"/>
      <c r="L76" s="78"/>
    </row>
    <row r="77" spans="1:12" x14ac:dyDescent="0.25">
      <c r="A77" s="78"/>
      <c r="B77" s="78"/>
      <c r="C77" s="78"/>
      <c r="D77" s="78"/>
      <c r="E77" s="78"/>
      <c r="F77" s="78"/>
      <c r="G77" s="79"/>
      <c r="H77" s="78"/>
      <c r="I77" s="220"/>
      <c r="J77" s="78"/>
      <c r="K77" s="78"/>
      <c r="L77" s="78"/>
    </row>
    <row r="78" spans="1:12" x14ac:dyDescent="0.25">
      <c r="A78" s="78"/>
      <c r="B78" s="78" t="s">
        <v>71</v>
      </c>
      <c r="C78" s="79"/>
      <c r="D78" s="150" t="s">
        <v>72</v>
      </c>
      <c r="E78" s="79"/>
      <c r="F78" s="78" t="s">
        <v>73</v>
      </c>
      <c r="G78" s="78"/>
      <c r="H78" s="78"/>
      <c r="I78" s="220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220"/>
      <c r="J79" s="78"/>
      <c r="K79" s="78"/>
      <c r="L79" s="78"/>
    </row>
    <row r="80" spans="1:12" x14ac:dyDescent="0.25">
      <c r="A80" s="78"/>
      <c r="B80" s="78" t="s">
        <v>379</v>
      </c>
      <c r="C80" s="78"/>
      <c r="D80" s="78" t="s">
        <v>135</v>
      </c>
      <c r="E80" s="78"/>
      <c r="F80" s="78" t="s">
        <v>130</v>
      </c>
      <c r="G80" s="78"/>
      <c r="H80" s="78"/>
      <c r="I80" s="220"/>
      <c r="J80" s="78"/>
      <c r="K80" s="78"/>
      <c r="L80" s="78"/>
    </row>
    <row r="81" spans="2:7" x14ac:dyDescent="0.25">
      <c r="B81" s="78"/>
      <c r="C81" s="78"/>
      <c r="D81" s="78"/>
      <c r="E81" s="78"/>
      <c r="F81" s="78"/>
      <c r="G81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J84" sqref="J84"/>
    </sheetView>
  </sheetViews>
  <sheetFormatPr defaultRowHeight="15" x14ac:dyDescent="0.25"/>
  <cols>
    <col min="1" max="1" width="6.140625" customWidth="1"/>
    <col min="2" max="2" width="20.7109375" customWidth="1"/>
    <col min="4" max="4" width="9.5703125" bestFit="1" customWidth="1"/>
    <col min="6" max="6" width="12.28515625" customWidth="1"/>
    <col min="9" max="10" width="9.140625" customWidth="1"/>
    <col min="11" max="11" width="10.42578125" customWidth="1"/>
  </cols>
  <sheetData>
    <row r="1" spans="1:12" ht="15.75" x14ac:dyDescent="0.25">
      <c r="A1" s="78"/>
      <c r="B1" s="78"/>
      <c r="C1" s="78"/>
      <c r="D1" s="251" t="s">
        <v>356</v>
      </c>
      <c r="E1" s="78"/>
      <c r="F1" s="78"/>
      <c r="G1" s="78"/>
      <c r="H1" s="78"/>
      <c r="I1" s="78"/>
      <c r="J1" s="78"/>
      <c r="K1" s="78"/>
      <c r="L1" s="78"/>
    </row>
    <row r="2" spans="1:12" ht="15.75" x14ac:dyDescent="0.25">
      <c r="A2" s="78"/>
      <c r="B2" s="78"/>
      <c r="C2" s="78"/>
      <c r="D2" s="250" t="s">
        <v>357</v>
      </c>
      <c r="E2" s="5"/>
      <c r="F2" s="78"/>
      <c r="G2" s="78"/>
      <c r="H2" s="78"/>
      <c r="I2" s="78"/>
      <c r="J2" s="78"/>
      <c r="K2" s="78"/>
      <c r="L2" s="78"/>
    </row>
    <row r="3" spans="1:12" ht="16.5" customHeight="1" x14ac:dyDescent="0.25">
      <c r="A3" s="8"/>
      <c r="B3" s="78"/>
      <c r="C3" s="78"/>
      <c r="D3" s="5" t="s">
        <v>377</v>
      </c>
      <c r="E3" s="250"/>
      <c r="F3" s="103"/>
      <c r="G3" s="103"/>
      <c r="H3" s="103"/>
      <c r="I3" s="220"/>
      <c r="J3" s="78"/>
      <c r="K3" s="78"/>
      <c r="L3" s="78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239</v>
      </c>
      <c r="E4" s="14" t="s">
        <v>9</v>
      </c>
      <c r="F4" s="15" t="s">
        <v>10</v>
      </c>
      <c r="G4" s="15" t="s">
        <v>11</v>
      </c>
      <c r="H4" s="131" t="s">
        <v>12</v>
      </c>
      <c r="I4" s="221" t="s">
        <v>306</v>
      </c>
      <c r="J4" s="78"/>
      <c r="K4" s="78"/>
      <c r="L4" s="78"/>
    </row>
    <row r="5" spans="1:12" x14ac:dyDescent="0.25">
      <c r="A5" s="16">
        <v>1</v>
      </c>
      <c r="B5" s="191" t="s">
        <v>257</v>
      </c>
      <c r="C5" s="17" t="s">
        <v>18</v>
      </c>
      <c r="D5" s="226"/>
      <c r="E5" s="226">
        <v>2500</v>
      </c>
      <c r="F5" s="226">
        <v>100</v>
      </c>
      <c r="G5" s="225">
        <f t="shared" ref="G5:G11" si="0">D5+E5+F5</f>
        <v>2600</v>
      </c>
      <c r="H5" s="223">
        <v>2500</v>
      </c>
      <c r="I5" s="221">
        <f>G5-H5</f>
        <v>100</v>
      </c>
      <c r="J5" s="78"/>
      <c r="K5" s="78"/>
      <c r="L5" s="78"/>
    </row>
    <row r="6" spans="1:12" x14ac:dyDescent="0.25">
      <c r="A6" s="16">
        <v>2</v>
      </c>
      <c r="B6" s="191" t="s">
        <v>345</v>
      </c>
      <c r="C6" s="17" t="s">
        <v>20</v>
      </c>
      <c r="D6" s="226"/>
      <c r="E6" s="226">
        <v>2500</v>
      </c>
      <c r="F6" s="226">
        <v>100</v>
      </c>
      <c r="G6" s="225">
        <f t="shared" si="0"/>
        <v>2600</v>
      </c>
      <c r="H6" s="223">
        <v>2500</v>
      </c>
      <c r="I6" s="221">
        <f t="shared" ref="I6:I45" si="1">G6-H6</f>
        <v>100</v>
      </c>
      <c r="J6" s="78"/>
      <c r="K6" s="78"/>
      <c r="L6" s="78"/>
    </row>
    <row r="7" spans="1:12" x14ac:dyDescent="0.25">
      <c r="A7" s="16">
        <v>3</v>
      </c>
      <c r="B7" s="191" t="s">
        <v>370</v>
      </c>
      <c r="C7" s="17" t="s">
        <v>22</v>
      </c>
      <c r="D7" s="226"/>
      <c r="E7" s="226">
        <v>2500</v>
      </c>
      <c r="F7" s="226">
        <v>100</v>
      </c>
      <c r="G7" s="225">
        <f t="shared" si="0"/>
        <v>2600</v>
      </c>
      <c r="H7" s="223">
        <v>2500</v>
      </c>
      <c r="I7" s="221">
        <f t="shared" si="1"/>
        <v>100</v>
      </c>
      <c r="J7" s="78"/>
      <c r="K7" s="78"/>
      <c r="L7" s="78"/>
    </row>
    <row r="8" spans="1:12" x14ac:dyDescent="0.25">
      <c r="A8" s="16">
        <v>4</v>
      </c>
      <c r="B8" s="191" t="s">
        <v>348</v>
      </c>
      <c r="C8" s="17" t="s">
        <v>24</v>
      </c>
      <c r="D8" s="226">
        <v>0</v>
      </c>
      <c r="E8" s="226">
        <v>2500</v>
      </c>
      <c r="F8" s="226">
        <v>100</v>
      </c>
      <c r="G8" s="225">
        <f t="shared" si="0"/>
        <v>2600</v>
      </c>
      <c r="H8" s="223">
        <v>2500</v>
      </c>
      <c r="I8" s="221">
        <f t="shared" si="1"/>
        <v>100</v>
      </c>
      <c r="J8" s="78"/>
      <c r="K8" s="78"/>
      <c r="L8" s="78"/>
    </row>
    <row r="9" spans="1:12" x14ac:dyDescent="0.25">
      <c r="A9" s="16">
        <v>5</v>
      </c>
      <c r="B9" s="218" t="s">
        <v>327</v>
      </c>
      <c r="C9" s="17" t="s">
        <v>26</v>
      </c>
      <c r="D9" s="226"/>
      <c r="E9" s="226">
        <v>2500</v>
      </c>
      <c r="F9" s="226">
        <v>100</v>
      </c>
      <c r="G9" s="225">
        <f t="shared" si="0"/>
        <v>2600</v>
      </c>
      <c r="H9" s="223">
        <v>2500</v>
      </c>
      <c r="I9" s="221">
        <f t="shared" si="1"/>
        <v>100</v>
      </c>
      <c r="J9" s="78"/>
      <c r="K9" s="78"/>
      <c r="L9" s="78"/>
    </row>
    <row r="10" spans="1:12" x14ac:dyDescent="0.25">
      <c r="A10" s="187">
        <v>6</v>
      </c>
      <c r="B10" s="191" t="s">
        <v>349</v>
      </c>
      <c r="C10" s="192" t="s">
        <v>28</v>
      </c>
      <c r="D10" s="225"/>
      <c r="E10" s="225">
        <v>2500</v>
      </c>
      <c r="F10" s="225">
        <v>100</v>
      </c>
      <c r="G10" s="225">
        <f t="shared" si="0"/>
        <v>2600</v>
      </c>
      <c r="H10" s="223">
        <v>2500</v>
      </c>
      <c r="I10" s="221">
        <f t="shared" si="1"/>
        <v>100</v>
      </c>
      <c r="J10" s="155"/>
      <c r="K10" s="155"/>
      <c r="L10" s="78"/>
    </row>
    <row r="11" spans="1:12" x14ac:dyDescent="0.25">
      <c r="A11" s="16">
        <v>7</v>
      </c>
      <c r="B11" s="191" t="s">
        <v>369</v>
      </c>
      <c r="C11" s="17" t="s">
        <v>30</v>
      </c>
      <c r="D11" s="226"/>
      <c r="E11" s="226">
        <v>2500</v>
      </c>
      <c r="F11" s="226">
        <v>100</v>
      </c>
      <c r="G11" s="225">
        <f t="shared" si="0"/>
        <v>2600</v>
      </c>
      <c r="H11" s="223">
        <v>2500</v>
      </c>
      <c r="I11" s="221">
        <f t="shared" si="1"/>
        <v>100</v>
      </c>
      <c r="J11" s="78"/>
      <c r="K11" s="78"/>
      <c r="L11" s="78"/>
    </row>
    <row r="12" spans="1:12" x14ac:dyDescent="0.25">
      <c r="A12" s="16">
        <v>8</v>
      </c>
      <c r="B12" s="193" t="s">
        <v>220</v>
      </c>
      <c r="C12" s="17" t="s">
        <v>32</v>
      </c>
      <c r="D12" s="226"/>
      <c r="E12" s="226">
        <v>2500</v>
      </c>
      <c r="F12" s="226">
        <v>100</v>
      </c>
      <c r="G12" s="225">
        <f t="shared" ref="G12:G17" si="2">D12+E12+F12</f>
        <v>2600</v>
      </c>
      <c r="H12" s="223">
        <v>2500</v>
      </c>
      <c r="I12" s="221">
        <f t="shared" si="1"/>
        <v>100</v>
      </c>
      <c r="J12" s="78"/>
      <c r="K12" s="78"/>
      <c r="L12" s="78"/>
    </row>
    <row r="13" spans="1:12" x14ac:dyDescent="0.25">
      <c r="A13" s="16">
        <v>9</v>
      </c>
      <c r="B13" s="191" t="s">
        <v>366</v>
      </c>
      <c r="C13" s="17" t="s">
        <v>34</v>
      </c>
      <c r="D13" s="226"/>
      <c r="E13" s="226">
        <v>2500</v>
      </c>
      <c r="F13" s="226">
        <v>100</v>
      </c>
      <c r="G13" s="225">
        <f t="shared" si="2"/>
        <v>2600</v>
      </c>
      <c r="H13" s="223">
        <v>2500</v>
      </c>
      <c r="I13" s="221">
        <f t="shared" si="1"/>
        <v>100</v>
      </c>
      <c r="J13" s="78"/>
      <c r="K13" s="78"/>
      <c r="L13" s="78"/>
    </row>
    <row r="14" spans="1:12" x14ac:dyDescent="0.25">
      <c r="A14" s="16">
        <v>10</v>
      </c>
      <c r="B14" s="191" t="s">
        <v>350</v>
      </c>
      <c r="C14" s="17" t="s">
        <v>36</v>
      </c>
      <c r="D14" s="226"/>
      <c r="E14" s="226">
        <v>2500</v>
      </c>
      <c r="F14" s="226">
        <v>100</v>
      </c>
      <c r="G14" s="225">
        <f t="shared" si="2"/>
        <v>2600</v>
      </c>
      <c r="H14" s="223">
        <v>2500</v>
      </c>
      <c r="I14" s="221">
        <f t="shared" si="1"/>
        <v>100</v>
      </c>
      <c r="J14" s="78"/>
      <c r="K14" s="78"/>
      <c r="L14" s="78"/>
    </row>
    <row r="15" spans="1:12" x14ac:dyDescent="0.25">
      <c r="A15" s="16">
        <v>11</v>
      </c>
      <c r="B15" s="191" t="s">
        <v>222</v>
      </c>
      <c r="C15" s="17" t="s">
        <v>38</v>
      </c>
      <c r="D15" s="226"/>
      <c r="E15" s="226">
        <v>2500</v>
      </c>
      <c r="F15" s="226">
        <v>100</v>
      </c>
      <c r="G15" s="225">
        <f t="shared" si="2"/>
        <v>2600</v>
      </c>
      <c r="H15" s="223">
        <v>2500</v>
      </c>
      <c r="I15" s="221">
        <f t="shared" si="1"/>
        <v>100</v>
      </c>
      <c r="J15" s="78"/>
      <c r="K15" s="78"/>
      <c r="L15" s="78"/>
    </row>
    <row r="16" spans="1:12" x14ac:dyDescent="0.25">
      <c r="A16" s="16">
        <v>12</v>
      </c>
      <c r="B16" s="191" t="s">
        <v>252</v>
      </c>
      <c r="C16" s="17" t="s">
        <v>40</v>
      </c>
      <c r="D16" s="226"/>
      <c r="E16" s="226">
        <v>2500</v>
      </c>
      <c r="F16" s="226">
        <v>100</v>
      </c>
      <c r="G16" s="225">
        <f t="shared" si="2"/>
        <v>2600</v>
      </c>
      <c r="H16" s="223">
        <v>2500</v>
      </c>
      <c r="I16" s="221">
        <f t="shared" si="1"/>
        <v>100</v>
      </c>
      <c r="J16" s="78"/>
      <c r="K16" s="78"/>
      <c r="L16" s="78"/>
    </row>
    <row r="17" spans="1:12" x14ac:dyDescent="0.25">
      <c r="A17" s="16">
        <v>13</v>
      </c>
      <c r="B17" s="191" t="s">
        <v>258</v>
      </c>
      <c r="C17" s="17" t="s">
        <v>42</v>
      </c>
      <c r="D17" s="226"/>
      <c r="E17" s="226">
        <v>2500</v>
      </c>
      <c r="F17" s="226">
        <v>100</v>
      </c>
      <c r="G17" s="225">
        <f t="shared" si="2"/>
        <v>2600</v>
      </c>
      <c r="H17" s="223">
        <v>2500</v>
      </c>
      <c r="I17" s="221">
        <f t="shared" si="1"/>
        <v>100</v>
      </c>
      <c r="J17" s="78"/>
      <c r="K17" s="78"/>
      <c r="L17" s="78"/>
    </row>
    <row r="18" spans="1:12" x14ac:dyDescent="0.25">
      <c r="A18" s="16">
        <v>14</v>
      </c>
      <c r="B18" s="191" t="s">
        <v>282</v>
      </c>
      <c r="C18" s="17" t="s">
        <v>44</v>
      </c>
      <c r="D18" s="226"/>
      <c r="E18" s="226">
        <v>2500</v>
      </c>
      <c r="F18" s="226">
        <v>100</v>
      </c>
      <c r="G18" s="225">
        <f>D18+E18+F18</f>
        <v>2600</v>
      </c>
      <c r="H18" s="223">
        <v>2500</v>
      </c>
      <c r="I18" s="221">
        <f t="shared" si="1"/>
        <v>100</v>
      </c>
      <c r="J18" s="78"/>
      <c r="K18" s="78"/>
      <c r="L18" s="78"/>
    </row>
    <row r="19" spans="1:12" x14ac:dyDescent="0.25">
      <c r="A19" s="16">
        <v>15</v>
      </c>
      <c r="B19" s="191" t="s">
        <v>225</v>
      </c>
      <c r="C19" s="17" t="s">
        <v>46</v>
      </c>
      <c r="D19" s="226"/>
      <c r="E19" s="226">
        <v>2500</v>
      </c>
      <c r="F19" s="226">
        <v>100</v>
      </c>
      <c r="G19" s="225">
        <f t="shared" ref="G19:G29" si="3">D19+E19+F19</f>
        <v>2600</v>
      </c>
      <c r="H19" s="223">
        <v>2500</v>
      </c>
      <c r="I19" s="221">
        <f t="shared" si="1"/>
        <v>100</v>
      </c>
      <c r="J19" s="78"/>
      <c r="K19" s="78"/>
      <c r="L19" s="78"/>
    </row>
    <row r="20" spans="1:12" x14ac:dyDescent="0.25">
      <c r="A20" s="16">
        <v>16</v>
      </c>
      <c r="B20" s="218" t="s">
        <v>328</v>
      </c>
      <c r="C20" s="17" t="s">
        <v>48</v>
      </c>
      <c r="D20" s="226"/>
      <c r="E20" s="226">
        <v>2500</v>
      </c>
      <c r="F20" s="226">
        <v>100</v>
      </c>
      <c r="G20" s="225">
        <f t="shared" si="3"/>
        <v>2600</v>
      </c>
      <c r="H20" s="223">
        <v>2500</v>
      </c>
      <c r="I20" s="221">
        <f t="shared" si="1"/>
        <v>100</v>
      </c>
      <c r="J20" s="78"/>
      <c r="K20" s="78"/>
      <c r="L20" s="78"/>
    </row>
    <row r="21" spans="1:12" x14ac:dyDescent="0.25">
      <c r="A21" s="21">
        <v>17</v>
      </c>
      <c r="B21" s="194" t="s">
        <v>352</v>
      </c>
      <c r="C21" s="17" t="s">
        <v>50</v>
      </c>
      <c r="D21" s="226"/>
      <c r="E21" s="229">
        <v>3000</v>
      </c>
      <c r="F21" s="227">
        <v>100</v>
      </c>
      <c r="G21" s="225">
        <f t="shared" si="3"/>
        <v>3100</v>
      </c>
      <c r="H21" s="223">
        <v>3000</v>
      </c>
      <c r="I21" s="221">
        <f t="shared" si="1"/>
        <v>100</v>
      </c>
      <c r="J21" s="78"/>
      <c r="K21" s="78"/>
      <c r="L21" s="78"/>
    </row>
    <row r="22" spans="1:12" x14ac:dyDescent="0.25">
      <c r="A22" s="21">
        <v>18</v>
      </c>
      <c r="B22" s="194" t="s">
        <v>226</v>
      </c>
      <c r="C22" s="17" t="s">
        <v>52</v>
      </c>
      <c r="D22" s="226"/>
      <c r="E22" s="229">
        <v>3000</v>
      </c>
      <c r="F22" s="227">
        <v>100</v>
      </c>
      <c r="G22" s="225">
        <f>D22+E22+F22</f>
        <v>3100</v>
      </c>
      <c r="H22" s="223">
        <v>3000</v>
      </c>
      <c r="I22" s="221">
        <f t="shared" si="1"/>
        <v>100</v>
      </c>
      <c r="J22" s="78"/>
      <c r="K22" s="78"/>
      <c r="L22" s="78"/>
    </row>
    <row r="23" spans="1:12" x14ac:dyDescent="0.25">
      <c r="A23" s="21">
        <v>19</v>
      </c>
      <c r="B23" s="195" t="s">
        <v>351</v>
      </c>
      <c r="C23" s="17" t="s">
        <v>54</v>
      </c>
      <c r="D23" s="226">
        <v>0</v>
      </c>
      <c r="E23" s="229">
        <v>3000</v>
      </c>
      <c r="F23" s="227">
        <v>100</v>
      </c>
      <c r="G23" s="225">
        <f>D23+E23+F23</f>
        <v>3100</v>
      </c>
      <c r="H23" s="223">
        <v>3000</v>
      </c>
      <c r="I23" s="221">
        <f t="shared" si="1"/>
        <v>100</v>
      </c>
      <c r="J23" s="78"/>
      <c r="K23" s="78"/>
      <c r="L23" s="78"/>
    </row>
    <row r="24" spans="1:12" x14ac:dyDescent="0.25">
      <c r="A24" s="21">
        <v>20</v>
      </c>
      <c r="B24" s="194" t="s">
        <v>228</v>
      </c>
      <c r="C24" s="17" t="s">
        <v>56</v>
      </c>
      <c r="D24" s="226"/>
      <c r="E24" s="229">
        <v>3000</v>
      </c>
      <c r="F24" s="227">
        <v>100</v>
      </c>
      <c r="G24" s="225">
        <f t="shared" si="3"/>
        <v>3100</v>
      </c>
      <c r="H24" s="223">
        <v>3000</v>
      </c>
      <c r="I24" s="221">
        <f t="shared" si="1"/>
        <v>100</v>
      </c>
      <c r="J24" s="78"/>
      <c r="K24" s="78"/>
      <c r="L24" s="78"/>
    </row>
    <row r="25" spans="1:12" x14ac:dyDescent="0.25">
      <c r="A25" s="21">
        <v>21</v>
      </c>
      <c r="B25" s="195" t="s">
        <v>291</v>
      </c>
      <c r="C25" s="17" t="s">
        <v>58</v>
      </c>
      <c r="D25" s="226">
        <v>0</v>
      </c>
      <c r="E25" s="229">
        <v>3000</v>
      </c>
      <c r="F25" s="227">
        <v>100</v>
      </c>
      <c r="G25" s="225">
        <f t="shared" si="3"/>
        <v>3100</v>
      </c>
      <c r="H25" s="223">
        <v>3000</v>
      </c>
      <c r="I25" s="221">
        <f t="shared" si="1"/>
        <v>100</v>
      </c>
      <c r="J25" s="78"/>
      <c r="K25" s="78"/>
      <c r="L25" s="78"/>
    </row>
    <row r="26" spans="1:12" x14ac:dyDescent="0.25">
      <c r="A26" s="21">
        <v>22</v>
      </c>
      <c r="B26" s="195" t="s">
        <v>283</v>
      </c>
      <c r="C26" s="17" t="s">
        <v>60</v>
      </c>
      <c r="D26" s="226">
        <v>0</v>
      </c>
      <c r="E26" s="229">
        <v>3000</v>
      </c>
      <c r="F26" s="227">
        <v>100</v>
      </c>
      <c r="G26" s="225">
        <f t="shared" si="3"/>
        <v>3100</v>
      </c>
      <c r="H26" s="223">
        <v>3000</v>
      </c>
      <c r="I26" s="221">
        <f t="shared" si="1"/>
        <v>100</v>
      </c>
      <c r="J26" s="78"/>
      <c r="K26" s="78"/>
      <c r="L26" s="78"/>
    </row>
    <row r="27" spans="1:12" x14ac:dyDescent="0.25">
      <c r="A27" s="21">
        <v>23</v>
      </c>
      <c r="B27" s="195" t="s">
        <v>310</v>
      </c>
      <c r="C27" s="17" t="s">
        <v>62</v>
      </c>
      <c r="D27" s="226"/>
      <c r="E27" s="229">
        <v>3000</v>
      </c>
      <c r="F27" s="227">
        <v>100</v>
      </c>
      <c r="G27" s="225">
        <f t="shared" si="3"/>
        <v>3100</v>
      </c>
      <c r="H27" s="223">
        <v>3000</v>
      </c>
      <c r="I27" s="221">
        <f t="shared" si="1"/>
        <v>100</v>
      </c>
      <c r="J27" s="78"/>
      <c r="K27" s="78"/>
      <c r="L27" s="78"/>
    </row>
    <row r="28" spans="1:12" x14ac:dyDescent="0.25">
      <c r="A28" s="28">
        <v>24</v>
      </c>
      <c r="B28" s="196" t="s">
        <v>384</v>
      </c>
      <c r="C28" s="29" t="s">
        <v>64</v>
      </c>
      <c r="D28" s="226">
        <v>0</v>
      </c>
      <c r="E28" s="230">
        <v>4500</v>
      </c>
      <c r="F28" s="228">
        <v>100</v>
      </c>
      <c r="G28" s="225">
        <f t="shared" si="3"/>
        <v>4600</v>
      </c>
      <c r="H28" s="224">
        <v>4500</v>
      </c>
      <c r="I28" s="221">
        <f t="shared" si="1"/>
        <v>100</v>
      </c>
      <c r="J28" s="78"/>
      <c r="K28" s="78"/>
      <c r="L28" s="78"/>
    </row>
    <row r="29" spans="1:12" x14ac:dyDescent="0.25">
      <c r="A29" s="37"/>
      <c r="B29" s="176"/>
      <c r="C29" s="18"/>
      <c r="D29" s="18">
        <v>0</v>
      </c>
      <c r="E29" s="19"/>
      <c r="F29" s="19"/>
      <c r="G29" s="176">
        <f t="shared" si="3"/>
        <v>0</v>
      </c>
      <c r="H29" s="132"/>
      <c r="I29" s="221">
        <f t="shared" si="1"/>
        <v>0</v>
      </c>
      <c r="J29" s="78"/>
      <c r="K29" s="78"/>
      <c r="L29" s="78"/>
    </row>
    <row r="30" spans="1:12" x14ac:dyDescent="0.25">
      <c r="A30" s="38"/>
      <c r="B30" s="199" t="s">
        <v>65</v>
      </c>
      <c r="C30" s="38"/>
      <c r="D30" s="149"/>
      <c r="E30" s="40">
        <f>SUM(E5:E29)</f>
        <v>65500</v>
      </c>
      <c r="F30" s="247">
        <f>SUM(F5:F29)</f>
        <v>2400</v>
      </c>
      <c r="G30" s="19"/>
      <c r="H30" s="135">
        <f>SUM(H5:H29)</f>
        <v>65500</v>
      </c>
      <c r="I30" s="221"/>
      <c r="J30" s="78"/>
      <c r="K30" s="78"/>
      <c r="L30" s="78"/>
    </row>
    <row r="31" spans="1:12" x14ac:dyDescent="0.25">
      <c r="A31" s="78"/>
      <c r="B31" s="561" t="s">
        <v>346</v>
      </c>
      <c r="C31" s="561"/>
      <c r="D31" s="561"/>
      <c r="E31" s="561"/>
      <c r="F31" s="561"/>
      <c r="G31" s="561"/>
      <c r="H31" s="78"/>
      <c r="I31" s="221">
        <f>G31-H31</f>
        <v>0</v>
      </c>
      <c r="J31" s="78"/>
      <c r="K31" s="78"/>
      <c r="L31" s="78"/>
    </row>
    <row r="32" spans="1:12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182" t="s">
        <v>105</v>
      </c>
      <c r="I32" s="221"/>
      <c r="J32" s="78"/>
      <c r="K32" s="78"/>
      <c r="L32" s="78"/>
    </row>
    <row r="33" spans="1:12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21"/>
      <c r="J33" s="78"/>
      <c r="K33" s="78"/>
      <c r="L33" s="78"/>
    </row>
    <row r="34" spans="1:12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39" si="4">D34+E34</f>
        <v>0</v>
      </c>
      <c r="G34" s="252"/>
      <c r="H34" s="254">
        <f t="shared" ref="H34:H42" si="5">F34-G34</f>
        <v>0</v>
      </c>
      <c r="I34" s="221">
        <f t="shared" si="1"/>
        <v>0</v>
      </c>
      <c r="J34" s="78"/>
      <c r="K34" s="78"/>
      <c r="L34" s="78"/>
    </row>
    <row r="35" spans="1:12" ht="17.25" customHeight="1" x14ac:dyDescent="0.25">
      <c r="A35" s="83" t="s">
        <v>110</v>
      </c>
      <c r="B35" s="200" t="s">
        <v>376</v>
      </c>
      <c r="C35" s="85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21"/>
      <c r="J35" s="78"/>
      <c r="K35" s="78"/>
      <c r="L35" s="78"/>
    </row>
    <row r="36" spans="1:12" x14ac:dyDescent="0.25">
      <c r="A36" s="87" t="s">
        <v>112</v>
      </c>
      <c r="B36" s="200" t="s">
        <v>364</v>
      </c>
      <c r="C36" s="113"/>
      <c r="D36" s="246"/>
      <c r="E36" s="263">
        <v>2500</v>
      </c>
      <c r="F36" s="252">
        <f t="shared" si="4"/>
        <v>2500</v>
      </c>
      <c r="G36" s="148">
        <v>2000</v>
      </c>
      <c r="H36" s="254">
        <f t="shared" si="5"/>
        <v>500</v>
      </c>
      <c r="I36" s="221"/>
      <c r="J36" s="78"/>
      <c r="K36" s="78"/>
      <c r="L36" s="78"/>
    </row>
    <row r="37" spans="1:12" ht="17.25" customHeight="1" x14ac:dyDescent="0.25">
      <c r="A37" s="99" t="s">
        <v>114</v>
      </c>
      <c r="B37" s="200" t="s">
        <v>353</v>
      </c>
      <c r="C37" s="86"/>
      <c r="D37" s="246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21"/>
      <c r="J37" s="78"/>
      <c r="K37" s="78"/>
      <c r="L37" s="78"/>
    </row>
    <row r="38" spans="1:12" x14ac:dyDescent="0.25">
      <c r="A38" s="93" t="s">
        <v>116</v>
      </c>
      <c r="B38" s="249" t="s">
        <v>365</v>
      </c>
      <c r="C38" s="113">
        <v>300</v>
      </c>
      <c r="D38" s="246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21"/>
      <c r="J38" s="78"/>
      <c r="K38" s="78"/>
      <c r="L38" s="78"/>
    </row>
    <row r="39" spans="1:12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21"/>
      <c r="J39" s="78"/>
      <c r="K39" s="78"/>
      <c r="L39" s="78"/>
    </row>
    <row r="40" spans="1:12" x14ac:dyDescent="0.25">
      <c r="A40" s="83" t="s">
        <v>121</v>
      </c>
      <c r="B40" s="203" t="s">
        <v>383</v>
      </c>
      <c r="C40" s="85">
        <v>500</v>
      </c>
      <c r="D40" s="92"/>
      <c r="E40" s="262">
        <v>2500</v>
      </c>
      <c r="F40" s="252">
        <f>D40+E40</f>
        <v>2500</v>
      </c>
      <c r="G40" s="257">
        <v>2500</v>
      </c>
      <c r="H40" s="254">
        <f t="shared" si="5"/>
        <v>0</v>
      </c>
      <c r="I40" s="221"/>
      <c r="J40" s="78"/>
      <c r="K40" s="78"/>
      <c r="L40" s="78"/>
    </row>
    <row r="41" spans="1:12" ht="16.5" customHeight="1" x14ac:dyDescent="0.25">
      <c r="A41" s="83" t="s">
        <v>123</v>
      </c>
      <c r="B41" s="200" t="s">
        <v>341</v>
      </c>
      <c r="C41" s="85"/>
      <c r="D41" s="246">
        <v>2500</v>
      </c>
      <c r="E41" s="262">
        <v>2500</v>
      </c>
      <c r="F41" s="252">
        <f>D41+E41</f>
        <v>5000</v>
      </c>
      <c r="G41" s="257">
        <v>2500</v>
      </c>
      <c r="H41" s="254">
        <f t="shared" si="5"/>
        <v>2500</v>
      </c>
      <c r="I41" s="221"/>
      <c r="J41" s="78"/>
      <c r="K41" s="78"/>
      <c r="L41" s="78"/>
    </row>
    <row r="42" spans="1:12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>D42+E42</f>
        <v>1500</v>
      </c>
      <c r="G42" s="257">
        <v>1500</v>
      </c>
      <c r="H42" s="254">
        <f t="shared" si="5"/>
        <v>0</v>
      </c>
      <c r="I42" s="221"/>
      <c r="J42" s="78"/>
      <c r="K42" s="78"/>
      <c r="L42" s="78"/>
    </row>
    <row r="43" spans="1:12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22000</v>
      </c>
      <c r="F43" s="260">
        <f>SUM(F33:F42)</f>
        <v>24500</v>
      </c>
      <c r="G43" s="260">
        <f>SUM(G33:G42)</f>
        <v>21500</v>
      </c>
      <c r="H43" s="254">
        <f>F43-G43</f>
        <v>3000</v>
      </c>
      <c r="I43" s="221"/>
      <c r="J43" s="78"/>
      <c r="K43" s="78"/>
      <c r="L43" s="78"/>
    </row>
    <row r="44" spans="1:12" x14ac:dyDescent="0.25">
      <c r="A44" s="96"/>
      <c r="B44" s="84"/>
      <c r="C44" s="86"/>
      <c r="D44" s="92"/>
      <c r="E44" s="98"/>
      <c r="F44" s="98"/>
      <c r="G44" s="86"/>
      <c r="H44" s="183"/>
      <c r="I44" s="221">
        <f t="shared" si="1"/>
        <v>0</v>
      </c>
      <c r="J44" s="78"/>
      <c r="K44" s="78"/>
      <c r="L44" s="78"/>
    </row>
    <row r="45" spans="1:12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21">
        <f t="shared" si="1"/>
        <v>0</v>
      </c>
      <c r="J45" s="78"/>
      <c r="K45" s="78"/>
      <c r="L45" s="78"/>
    </row>
    <row r="46" spans="1:12" x14ac:dyDescent="0.25">
      <c r="A46" s="78"/>
      <c r="B46" s="78"/>
      <c r="C46" s="78"/>
      <c r="D46" s="78"/>
      <c r="E46" s="78" t="s">
        <v>9</v>
      </c>
      <c r="F46" s="78" t="s">
        <v>11</v>
      </c>
      <c r="G46" s="78" t="s">
        <v>12</v>
      </c>
      <c r="H46" s="78" t="s">
        <v>306</v>
      </c>
      <c r="I46" s="221"/>
      <c r="J46" s="78"/>
      <c r="K46" s="78"/>
      <c r="L46" s="78"/>
    </row>
    <row r="47" spans="1:12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233">
        <f>F47-G47</f>
        <v>0</v>
      </c>
      <c r="I47" s="221"/>
      <c r="J47" s="78"/>
      <c r="K47" s="78"/>
      <c r="L47" s="78"/>
    </row>
    <row r="48" spans="1:12" x14ac:dyDescent="0.25">
      <c r="A48" s="83">
        <v>2</v>
      </c>
      <c r="B48" s="191" t="s">
        <v>281</v>
      </c>
      <c r="C48" s="85"/>
      <c r="D48" s="86"/>
      <c r="E48" s="231"/>
      <c r="F48" s="232"/>
      <c r="G48" s="232"/>
      <c r="H48" s="233"/>
      <c r="I48" s="221"/>
      <c r="J48" s="78"/>
      <c r="K48" s="78"/>
      <c r="L48" s="78"/>
    </row>
    <row r="49" spans="1:12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233">
        <f>F49-G49</f>
        <v>0</v>
      </c>
      <c r="I49" s="221"/>
      <c r="J49" s="78"/>
      <c r="K49" s="78"/>
      <c r="L49" s="78"/>
    </row>
    <row r="50" spans="1:12" x14ac:dyDescent="0.25">
      <c r="A50" s="83">
        <v>4</v>
      </c>
      <c r="B50" s="191" t="s">
        <v>284</v>
      </c>
      <c r="C50" s="86"/>
      <c r="D50" s="78"/>
      <c r="E50" s="231"/>
      <c r="F50" s="232">
        <f>D50+E50</f>
        <v>0</v>
      </c>
      <c r="G50" s="232"/>
      <c r="H50" s="233">
        <f>F50-G50</f>
        <v>0</v>
      </c>
      <c r="I50" s="221"/>
      <c r="J50" s="78"/>
      <c r="K50" s="78"/>
      <c r="L50" s="78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233">
        <f>F51-G51</f>
        <v>0</v>
      </c>
      <c r="I51" s="221"/>
      <c r="J51" s="78"/>
      <c r="K51" s="78"/>
      <c r="L51" s="78"/>
    </row>
    <row r="52" spans="1:12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233">
        <f>F52-G52</f>
        <v>0</v>
      </c>
      <c r="I52" s="221"/>
      <c r="J52" s="78"/>
      <c r="K52" s="78"/>
      <c r="L52" s="78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233">
        <f>F53-G53</f>
        <v>0</v>
      </c>
      <c r="I53" s="221"/>
      <c r="J53" s="78"/>
      <c r="K53" s="78"/>
      <c r="L53" s="78"/>
    </row>
    <row r="54" spans="1:12" x14ac:dyDescent="0.25">
      <c r="A54" s="113"/>
      <c r="B54" s="173"/>
      <c r="C54" s="86"/>
      <c r="D54" s="92"/>
      <c r="E54" s="232"/>
      <c r="F54" s="232"/>
      <c r="G54" s="232"/>
      <c r="H54" s="233"/>
      <c r="I54" s="221"/>
      <c r="J54" s="78"/>
      <c r="K54" s="78"/>
      <c r="L54" s="78"/>
    </row>
    <row r="55" spans="1:12" x14ac:dyDescent="0.25">
      <c r="A55" s="113"/>
      <c r="B55" s="174"/>
      <c r="C55" s="98"/>
      <c r="D55" s="98"/>
      <c r="E55" s="242">
        <f>SUM(E47:E54)</f>
        <v>19500</v>
      </c>
      <c r="F55" s="242"/>
      <c r="G55" s="242">
        <f>SUM(G47:G54)</f>
        <v>19500</v>
      </c>
      <c r="H55" s="233"/>
      <c r="I55" s="221"/>
      <c r="J55" s="78"/>
      <c r="K55" s="78"/>
      <c r="L55" s="78"/>
    </row>
    <row r="56" spans="1:12" x14ac:dyDescent="0.25">
      <c r="A56" s="142"/>
      <c r="B56" s="78"/>
      <c r="C56" s="78"/>
      <c r="D56" s="78"/>
      <c r="E56" s="78"/>
      <c r="F56" s="78"/>
      <c r="G56" s="78"/>
      <c r="H56" s="78"/>
      <c r="I56" s="220"/>
      <c r="J56" s="78"/>
      <c r="K56" s="78"/>
      <c r="L56" s="78"/>
    </row>
    <row r="57" spans="1:12" x14ac:dyDescent="0.25">
      <c r="A57" s="175"/>
      <c r="B57" s="78"/>
      <c r="C57" s="78"/>
      <c r="D57" s="78"/>
      <c r="E57" s="78"/>
      <c r="F57" s="78"/>
      <c r="G57" s="78"/>
      <c r="H57" s="78"/>
      <c r="I57" s="220"/>
      <c r="J57" s="78"/>
      <c r="K57" s="78"/>
      <c r="L57" s="78"/>
    </row>
    <row r="58" spans="1:12" x14ac:dyDescent="0.25">
      <c r="A58" s="109"/>
      <c r="B58" s="78"/>
      <c r="C58" s="78"/>
      <c r="D58" s="78"/>
      <c r="E58" s="78"/>
      <c r="F58" s="78"/>
      <c r="G58" s="78"/>
      <c r="H58" s="78"/>
      <c r="I58" s="220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220"/>
      <c r="J59" s="78"/>
      <c r="K59" s="78"/>
      <c r="L59" s="78"/>
    </row>
    <row r="60" spans="1:12" ht="21" x14ac:dyDescent="0.35">
      <c r="A60" s="4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85" t="s">
        <v>266</v>
      </c>
      <c r="K60" s="113"/>
      <c r="L60" s="78"/>
    </row>
    <row r="61" spans="1:12" x14ac:dyDescent="0.25">
      <c r="A61" s="50"/>
      <c r="B61" s="211" t="s">
        <v>378</v>
      </c>
      <c r="C61" s="221">
        <f>E30+E43+E55</f>
        <v>107000</v>
      </c>
      <c r="D61" s="113"/>
      <c r="E61" s="113"/>
      <c r="F61" s="211" t="s">
        <v>300</v>
      </c>
      <c r="G61" s="221">
        <f>H30+G43+G55</f>
        <v>106500</v>
      </c>
      <c r="H61" s="113"/>
      <c r="I61" s="221"/>
      <c r="J61" s="113"/>
      <c r="K61" s="113"/>
      <c r="L61" s="78"/>
    </row>
    <row r="62" spans="1:12" x14ac:dyDescent="0.25">
      <c r="A62" s="50"/>
      <c r="B62" s="113" t="s">
        <v>209</v>
      </c>
      <c r="C62" s="161">
        <v>0.08</v>
      </c>
      <c r="D62" s="221">
        <f>C61*C62</f>
        <v>8560</v>
      </c>
      <c r="E62" s="113"/>
      <c r="F62" s="113" t="s">
        <v>209</v>
      </c>
      <c r="G62" s="161">
        <v>0.08</v>
      </c>
      <c r="H62" s="221">
        <f>D62</f>
        <v>8560</v>
      </c>
      <c r="I62" s="221"/>
      <c r="J62" s="113"/>
      <c r="K62" s="113"/>
      <c r="L62" s="78"/>
    </row>
    <row r="63" spans="1:12" x14ac:dyDescent="0.25">
      <c r="A63" s="78"/>
      <c r="B63" s="168" t="s">
        <v>210</v>
      </c>
      <c r="C63" s="113">
        <v>3000</v>
      </c>
      <c r="D63" s="113"/>
      <c r="E63" s="113"/>
      <c r="F63" s="168" t="s">
        <v>210</v>
      </c>
      <c r="G63" s="113">
        <v>3000</v>
      </c>
      <c r="H63" s="113"/>
      <c r="I63" s="221"/>
      <c r="J63" s="113"/>
      <c r="K63" s="113"/>
      <c r="L63" s="78"/>
    </row>
    <row r="64" spans="1:12" x14ac:dyDescent="0.25">
      <c r="A64" s="50"/>
      <c r="B64" s="168" t="s">
        <v>232</v>
      </c>
      <c r="C64" s="221">
        <f>F30</f>
        <v>2400</v>
      </c>
      <c r="D64" s="113"/>
      <c r="E64" s="113"/>
      <c r="F64" s="168" t="s">
        <v>232</v>
      </c>
      <c r="G64" s="221">
        <f>C64</f>
        <v>2400</v>
      </c>
      <c r="H64" s="113"/>
      <c r="I64" s="221"/>
      <c r="J64" s="113"/>
      <c r="K64" s="113"/>
      <c r="L64" s="78"/>
    </row>
    <row r="65" spans="1:12" x14ac:dyDescent="0.25">
      <c r="A65" s="50"/>
      <c r="B65" s="168" t="s">
        <v>239</v>
      </c>
      <c r="C65" s="244">
        <f>JULY7!E76</f>
        <v>177754.34230528004</v>
      </c>
      <c r="D65" s="113"/>
      <c r="E65" s="113"/>
      <c r="F65" s="168" t="s">
        <v>239</v>
      </c>
      <c r="G65" s="244">
        <f>JULY7!I76</f>
        <v>99020.275200000033</v>
      </c>
      <c r="H65" s="113"/>
      <c r="I65" s="221"/>
      <c r="J65" s="113"/>
      <c r="K65" s="113"/>
      <c r="L65" s="78"/>
    </row>
    <row r="66" spans="1:12" x14ac:dyDescent="0.25">
      <c r="A66" s="50"/>
      <c r="B66" s="168" t="s">
        <v>193</v>
      </c>
      <c r="C66" s="221">
        <f>C61+C63+C64+C65</f>
        <v>290154.34230528004</v>
      </c>
      <c r="D66" s="113"/>
      <c r="E66" s="113"/>
      <c r="F66" s="168" t="s">
        <v>193</v>
      </c>
      <c r="G66" s="221">
        <f>G61+G63+G64+G65</f>
        <v>210920.27520000003</v>
      </c>
      <c r="H66" s="113"/>
      <c r="I66" s="221"/>
      <c r="J66" s="113"/>
      <c r="K66" s="113"/>
      <c r="L66" s="78"/>
    </row>
    <row r="67" spans="1:12" x14ac:dyDescent="0.25">
      <c r="A67" s="50"/>
      <c r="B67" s="212" t="s">
        <v>276</v>
      </c>
      <c r="C67" s="161"/>
      <c r="D67" s="149"/>
      <c r="E67" s="113"/>
      <c r="F67" s="212" t="s">
        <v>276</v>
      </c>
      <c r="G67" s="161"/>
      <c r="H67" s="149"/>
      <c r="I67" s="221"/>
      <c r="J67" s="113"/>
      <c r="K67" s="113"/>
      <c r="L67" s="78"/>
    </row>
    <row r="68" spans="1:12" x14ac:dyDescent="0.25">
      <c r="A68" s="50"/>
      <c r="B68" s="163" t="s">
        <v>347</v>
      </c>
      <c r="C68" s="164"/>
      <c r="D68" s="165"/>
      <c r="E68" s="113"/>
      <c r="F68" s="163" t="s">
        <v>347</v>
      </c>
      <c r="G68" s="164"/>
      <c r="H68" s="165"/>
      <c r="I68" s="221"/>
      <c r="J68" s="113"/>
      <c r="K68" s="113"/>
      <c r="L68" s="78"/>
    </row>
    <row r="69" spans="1:12" x14ac:dyDescent="0.25">
      <c r="A69" s="50"/>
      <c r="B69" s="213">
        <v>43318</v>
      </c>
      <c r="C69" s="113"/>
      <c r="D69" s="164">
        <v>1000</v>
      </c>
      <c r="E69" s="113"/>
      <c r="F69" s="213">
        <v>43318</v>
      </c>
      <c r="G69" s="113"/>
      <c r="H69" s="164">
        <v>1000</v>
      </c>
      <c r="I69" s="221"/>
      <c r="J69" s="113"/>
      <c r="K69" s="113"/>
      <c r="L69" s="78"/>
    </row>
    <row r="70" spans="1:12" x14ac:dyDescent="0.25">
      <c r="A70" s="78"/>
      <c r="B70" s="219" t="s">
        <v>380</v>
      </c>
      <c r="C70" s="164"/>
      <c r="D70" s="165">
        <v>2511</v>
      </c>
      <c r="E70" s="113"/>
      <c r="F70" s="219" t="s">
        <v>380</v>
      </c>
      <c r="G70" s="164"/>
      <c r="H70" s="165">
        <v>2511</v>
      </c>
      <c r="I70" s="221"/>
      <c r="J70" s="113"/>
      <c r="K70" s="113"/>
      <c r="L70" s="78"/>
    </row>
    <row r="71" spans="1:12" x14ac:dyDescent="0.25">
      <c r="A71" s="78"/>
      <c r="B71" s="113" t="s">
        <v>381</v>
      </c>
      <c r="C71" s="113"/>
      <c r="D71" s="113">
        <v>2100</v>
      </c>
      <c r="E71" s="113"/>
      <c r="F71" s="113" t="s">
        <v>381</v>
      </c>
      <c r="G71" s="113"/>
      <c r="H71" s="113">
        <v>2100</v>
      </c>
      <c r="I71" s="221"/>
      <c r="J71" s="113"/>
      <c r="K71" s="113"/>
      <c r="L71" s="78"/>
    </row>
    <row r="72" spans="1:12" x14ac:dyDescent="0.25">
      <c r="A72" s="78"/>
      <c r="B72" s="219" t="s">
        <v>382</v>
      </c>
      <c r="C72" s="164"/>
      <c r="D72" s="165">
        <v>3010</v>
      </c>
      <c r="E72" s="113"/>
      <c r="F72" s="219" t="s">
        <v>382</v>
      </c>
      <c r="G72" s="164"/>
      <c r="H72" s="165">
        <v>3010</v>
      </c>
      <c r="I72" s="221"/>
      <c r="J72" s="113"/>
      <c r="K72" s="113"/>
      <c r="L72" s="78"/>
    </row>
    <row r="73" spans="1:12" x14ac:dyDescent="0.25">
      <c r="A73" s="78"/>
      <c r="B73" s="163" t="s">
        <v>385</v>
      </c>
      <c r="C73" s="164"/>
      <c r="D73" s="165">
        <v>1000</v>
      </c>
      <c r="E73" s="113"/>
      <c r="F73" s="163" t="s">
        <v>385</v>
      </c>
      <c r="G73" s="164"/>
      <c r="H73" s="165">
        <v>1000</v>
      </c>
      <c r="I73" s="221"/>
      <c r="J73" s="113"/>
      <c r="K73" s="113"/>
      <c r="L73" s="78"/>
    </row>
    <row r="74" spans="1:12" x14ac:dyDescent="0.25">
      <c r="A74" s="78"/>
      <c r="B74" s="219">
        <v>43336</v>
      </c>
      <c r="C74" s="164"/>
      <c r="D74" s="165">
        <v>100000</v>
      </c>
      <c r="E74" s="113"/>
      <c r="F74" s="219">
        <v>43336</v>
      </c>
      <c r="G74" s="164"/>
      <c r="H74" s="165">
        <v>100000</v>
      </c>
      <c r="I74" s="221"/>
      <c r="J74" s="113"/>
      <c r="K74" s="113"/>
      <c r="L74" s="78"/>
    </row>
    <row r="75" spans="1:12" x14ac:dyDescent="0.25">
      <c r="A75" s="78"/>
      <c r="B75" s="164"/>
      <c r="C75" s="164"/>
      <c r="D75" s="113"/>
      <c r="E75" s="113"/>
      <c r="F75" s="164"/>
      <c r="G75" s="164"/>
      <c r="H75" s="113"/>
      <c r="I75" s="221"/>
      <c r="J75" s="113"/>
      <c r="K75" s="113"/>
      <c r="L75" s="78"/>
    </row>
    <row r="76" spans="1:12" x14ac:dyDescent="0.25">
      <c r="A76" s="78"/>
      <c r="B76" s="166" t="s">
        <v>193</v>
      </c>
      <c r="C76" s="243">
        <f>C66</f>
        <v>290154.34230528004</v>
      </c>
      <c r="D76" s="221">
        <f>SUM(D62:D75)</f>
        <v>118181</v>
      </c>
      <c r="E76" s="221">
        <f>C76-D76</f>
        <v>171973.34230528004</v>
      </c>
      <c r="F76" s="166" t="s">
        <v>193</v>
      </c>
      <c r="G76" s="243">
        <f>G66</f>
        <v>210920.27520000003</v>
      </c>
      <c r="H76" s="221">
        <f>SUM(H62:H75)</f>
        <v>118181</v>
      </c>
      <c r="I76" s="221">
        <f>G76-H76</f>
        <v>92739.275200000033</v>
      </c>
      <c r="J76" s="149">
        <f>I30</f>
        <v>0</v>
      </c>
      <c r="K76" s="113"/>
      <c r="L76" s="78"/>
    </row>
    <row r="77" spans="1:12" x14ac:dyDescent="0.25">
      <c r="A77" s="78"/>
      <c r="B77" s="78"/>
      <c r="C77" s="78"/>
      <c r="D77" s="78"/>
      <c r="E77" s="78"/>
      <c r="F77" s="78"/>
      <c r="G77" s="79"/>
      <c r="H77" s="78"/>
      <c r="I77" s="220"/>
      <c r="J77" s="78"/>
      <c r="K77" s="78"/>
      <c r="L77" s="78"/>
    </row>
    <row r="78" spans="1:12" x14ac:dyDescent="0.25">
      <c r="A78" s="78"/>
      <c r="B78" s="78" t="s">
        <v>71</v>
      </c>
      <c r="C78" s="79"/>
      <c r="D78" s="150" t="s">
        <v>72</v>
      </c>
      <c r="E78" s="79"/>
      <c r="F78" s="78" t="s">
        <v>73</v>
      </c>
      <c r="G78" s="78"/>
      <c r="H78" s="78"/>
      <c r="I78" s="220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220"/>
      <c r="J79" s="78"/>
      <c r="K79" s="78"/>
      <c r="L79" s="78"/>
    </row>
    <row r="80" spans="1:12" x14ac:dyDescent="0.25">
      <c r="A80" s="78"/>
      <c r="B80" s="78" t="s">
        <v>379</v>
      </c>
      <c r="C80" s="78"/>
      <c r="D80" s="78" t="s">
        <v>135</v>
      </c>
      <c r="E80" s="78"/>
      <c r="F80" s="78" t="s">
        <v>130</v>
      </c>
      <c r="G80" s="78"/>
      <c r="H80" s="78"/>
      <c r="I80" s="220"/>
      <c r="J80" s="78"/>
      <c r="K80" s="78"/>
      <c r="L80" s="78"/>
    </row>
    <row r="81" spans="1:12" x14ac:dyDescent="0.25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</row>
    <row r="82" spans="1:12" x14ac:dyDescent="0.25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</row>
    <row r="83" spans="1:1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</row>
    <row r="84" spans="1:12" x14ac:dyDescent="0.25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opLeftCell="B43" workbookViewId="0">
      <selection activeCell="J74" sqref="J7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0.140625" style="78" customWidth="1"/>
    <col min="5" max="5" width="9.140625" style="78"/>
    <col min="6" max="6" width="12.28515625" style="78" customWidth="1"/>
    <col min="7" max="8" width="9.140625" style="78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6.5" customHeight="1" x14ac:dyDescent="0.25">
      <c r="A3" s="268"/>
      <c r="B3" s="150"/>
      <c r="C3" s="150"/>
      <c r="D3" s="5" t="s">
        <v>386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369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226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>
        <v>3000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388</v>
      </c>
      <c r="C23" s="274" t="s">
        <v>54</v>
      </c>
      <c r="D23" s="275"/>
      <c r="E23" s="280">
        <v>4500</v>
      </c>
      <c r="F23" s="281">
        <v>100</v>
      </c>
      <c r="G23" s="276">
        <f>D23+E23+F23</f>
        <v>4600</v>
      </c>
      <c r="H23" s="277">
        <v>4000</v>
      </c>
      <c r="I23" s="273">
        <f t="shared" si="1"/>
        <v>600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65500</v>
      </c>
      <c r="F30" s="247">
        <f>SUM(F5:F29)</f>
        <v>2400</v>
      </c>
      <c r="G30" s="291"/>
      <c r="H30" s="296">
        <f>SUM(H5:H29)</f>
        <v>65000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ht="17.25" customHeight="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164">
        <v>500</v>
      </c>
      <c r="E36" s="263">
        <v>2500</v>
      </c>
      <c r="F36" s="252">
        <f t="shared" si="4"/>
        <v>3000</v>
      </c>
      <c r="G36" s="148">
        <v>2500</v>
      </c>
      <c r="H36" s="254">
        <f t="shared" si="5"/>
        <v>500</v>
      </c>
      <c r="I36" s="273"/>
      <c r="J36" s="150"/>
      <c r="K36" s="150"/>
    </row>
    <row r="37" spans="1:11" ht="17.25" customHeight="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164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>
        <v>500</v>
      </c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ht="16.5" customHeight="1" x14ac:dyDescent="0.25">
      <c r="A41" s="83" t="s">
        <v>123</v>
      </c>
      <c r="B41" s="200" t="s">
        <v>341</v>
      </c>
      <c r="C41" s="85"/>
      <c r="D41" s="246">
        <v>2500</v>
      </c>
      <c r="E41" s="262"/>
      <c r="F41" s="252">
        <f t="shared" si="4"/>
        <v>2500</v>
      </c>
      <c r="G41" s="257">
        <v>2500</v>
      </c>
      <c r="H41" s="254">
        <f t="shared" si="5"/>
        <v>0</v>
      </c>
      <c r="I41" s="273"/>
      <c r="J41" s="150"/>
      <c r="K41" s="150"/>
    </row>
    <row r="42" spans="1:11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246">
        <f ca="1">SUM(D33:D43)</f>
        <v>53214150000</v>
      </c>
      <c r="E43" s="259">
        <f>SUM(E33:E42)</f>
        <v>19500</v>
      </c>
      <c r="F43" s="260">
        <f>SUM(F33:F42)</f>
        <v>22500</v>
      </c>
      <c r="G43" s="260">
        <f>SUM(G33:G42)</f>
        <v>22000</v>
      </c>
      <c r="H43" s="254">
        <f>F43-G43</f>
        <v>500</v>
      </c>
      <c r="I43" s="273"/>
      <c r="J43" s="150"/>
      <c r="K43" s="150"/>
    </row>
    <row r="44" spans="1:11" x14ac:dyDescent="0.25">
      <c r="A44" s="96"/>
      <c r="B44" s="84"/>
      <c r="C44" s="86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387</v>
      </c>
      <c r="C48" s="85"/>
      <c r="D48" s="86"/>
      <c r="E48" s="231">
        <v>8000</v>
      </c>
      <c r="F48" s="232">
        <f>SUM(D48:E48)</f>
        <v>8000</v>
      </c>
      <c r="G48" s="232">
        <v>8000</v>
      </c>
      <c r="H48" s="301">
        <f t="shared" si="6"/>
        <v>0</v>
      </c>
      <c r="I48" s="273"/>
      <c r="J48" s="150"/>
      <c r="K48" s="150"/>
    </row>
    <row r="49" spans="1:11" x14ac:dyDescent="0.25">
      <c r="A49" s="83">
        <v>3</v>
      </c>
      <c r="B49" s="191" t="s">
        <v>307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1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1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1" x14ac:dyDescent="0.25">
      <c r="A52" s="93">
        <v>6</v>
      </c>
      <c r="B52" s="191" t="s">
        <v>287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1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1" x14ac:dyDescent="0.25">
      <c r="A54" s="164"/>
      <c r="B54" s="173"/>
      <c r="C54" s="86"/>
      <c r="D54" s="92"/>
      <c r="E54" s="232"/>
      <c r="F54" s="232"/>
      <c r="G54" s="232"/>
      <c r="H54" s="301"/>
      <c r="I54" s="273"/>
      <c r="J54" s="150"/>
      <c r="K54" s="150"/>
    </row>
    <row r="55" spans="1:11" x14ac:dyDescent="0.25">
      <c r="A55" s="164"/>
      <c r="B55" s="174"/>
      <c r="C55" s="98"/>
      <c r="D55" s="98"/>
      <c r="E55" s="242">
        <f>SUM(E47:E54)</f>
        <v>27500</v>
      </c>
      <c r="F55" s="242"/>
      <c r="G55" s="242">
        <f>SUM(G47:G54)</f>
        <v>27500</v>
      </c>
      <c r="H55" s="301"/>
      <c r="I55" s="273"/>
      <c r="J55" s="150"/>
      <c r="K55" s="150"/>
    </row>
    <row r="56" spans="1:11" x14ac:dyDescent="0.25">
      <c r="A56" s="302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1" x14ac:dyDescent="0.25">
      <c r="A57" s="175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1" x14ac:dyDescent="0.25">
      <c r="A58" s="109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1" x14ac:dyDescent="0.25">
      <c r="A59" s="79"/>
      <c r="B59" s="79"/>
      <c r="C59" s="106"/>
      <c r="D59" s="107"/>
      <c r="E59" s="106"/>
      <c r="F59" s="108"/>
      <c r="G59" s="106"/>
      <c r="H59" s="150"/>
      <c r="I59" s="269"/>
      <c r="J59" s="150"/>
      <c r="K59" s="150"/>
    </row>
    <row r="60" spans="1:11" ht="21" x14ac:dyDescent="0.35">
      <c r="A60" s="30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50"/>
      <c r="K60" s="150"/>
    </row>
    <row r="61" spans="1:11" x14ac:dyDescent="0.25">
      <c r="A61" s="304"/>
      <c r="B61" s="211" t="s">
        <v>303</v>
      </c>
      <c r="C61" s="273">
        <f>E30+E43+E55</f>
        <v>112500</v>
      </c>
      <c r="D61" s="164"/>
      <c r="E61" s="164"/>
      <c r="F61" s="211" t="s">
        <v>303</v>
      </c>
      <c r="G61" s="273">
        <f>H30+G43+G55</f>
        <v>114500</v>
      </c>
      <c r="H61" s="164"/>
      <c r="I61" s="273"/>
      <c r="J61" s="150"/>
      <c r="K61" s="150"/>
    </row>
    <row r="62" spans="1:11" x14ac:dyDescent="0.25">
      <c r="A62" s="304"/>
      <c r="B62" s="164" t="s">
        <v>209</v>
      </c>
      <c r="C62" s="305">
        <v>0.08</v>
      </c>
      <c r="D62" s="306">
        <f>C61*C62</f>
        <v>9000</v>
      </c>
      <c r="E62" s="164"/>
      <c r="F62" s="164" t="s">
        <v>209</v>
      </c>
      <c r="G62" s="305">
        <v>0.08</v>
      </c>
      <c r="H62" s="273">
        <f>D62</f>
        <v>9000</v>
      </c>
      <c r="I62" s="273"/>
      <c r="J62" s="150"/>
      <c r="K62" s="150"/>
    </row>
    <row r="63" spans="1:11" x14ac:dyDescent="0.25">
      <c r="A63" s="150"/>
      <c r="B63" s="163" t="s">
        <v>210</v>
      </c>
      <c r="C63" s="164">
        <v>3000</v>
      </c>
      <c r="D63" s="164"/>
      <c r="E63" s="164"/>
      <c r="F63" s="163" t="s">
        <v>210</v>
      </c>
      <c r="G63" s="164">
        <v>3000</v>
      </c>
      <c r="H63" s="164"/>
      <c r="I63" s="273"/>
      <c r="J63" s="150"/>
      <c r="K63" s="150"/>
    </row>
    <row r="64" spans="1:11" x14ac:dyDescent="0.25">
      <c r="A64" s="304"/>
      <c r="B64" s="163" t="s">
        <v>232</v>
      </c>
      <c r="C64" s="273">
        <f>F30</f>
        <v>2400</v>
      </c>
      <c r="D64" s="164"/>
      <c r="E64" s="164"/>
      <c r="F64" s="163" t="s">
        <v>232</v>
      </c>
      <c r="G64" s="273">
        <f>C64</f>
        <v>2400</v>
      </c>
      <c r="H64" s="164"/>
      <c r="I64" s="273"/>
      <c r="J64" s="150"/>
      <c r="K64" s="150"/>
    </row>
    <row r="65" spans="1:11" x14ac:dyDescent="0.25">
      <c r="A65" s="304"/>
      <c r="B65" s="163" t="s">
        <v>239</v>
      </c>
      <c r="C65" s="244">
        <f>AUG!E76</f>
        <v>171973.34230528004</v>
      </c>
      <c r="D65" s="164"/>
      <c r="E65" s="164"/>
      <c r="F65" s="163" t="s">
        <v>239</v>
      </c>
      <c r="G65" s="244">
        <f>AUG!I76</f>
        <v>92739.275200000033</v>
      </c>
      <c r="H65" s="164"/>
      <c r="I65" s="273"/>
      <c r="J65" s="150"/>
      <c r="K65" s="150"/>
    </row>
    <row r="66" spans="1:11" x14ac:dyDescent="0.25">
      <c r="A66" s="304"/>
      <c r="B66" s="163" t="s">
        <v>193</v>
      </c>
      <c r="C66" s="273">
        <f>C61+C63+C64+C65</f>
        <v>289873.34230528004</v>
      </c>
      <c r="D66" s="164"/>
      <c r="E66" s="164"/>
      <c r="F66" s="163" t="s">
        <v>193</v>
      </c>
      <c r="G66" s="273">
        <f>G61+G63+G64+G65</f>
        <v>212639.27520000003</v>
      </c>
      <c r="H66" s="164"/>
      <c r="I66" s="273"/>
      <c r="J66" s="150"/>
      <c r="K66" s="150"/>
    </row>
    <row r="67" spans="1:11" x14ac:dyDescent="0.25">
      <c r="A67" s="304"/>
      <c r="B67" s="212" t="s">
        <v>276</v>
      </c>
      <c r="C67" s="305"/>
      <c r="D67" s="295"/>
      <c r="E67" s="164"/>
      <c r="F67" s="212" t="s">
        <v>276</v>
      </c>
      <c r="G67" s="305"/>
      <c r="H67" s="295"/>
      <c r="I67" s="273"/>
      <c r="J67" s="150"/>
      <c r="K67" s="150"/>
    </row>
    <row r="68" spans="1:11" x14ac:dyDescent="0.25">
      <c r="A68" s="304"/>
      <c r="B68" s="163" t="s">
        <v>347</v>
      </c>
      <c r="C68" s="164"/>
      <c r="D68" s="165">
        <v>2000</v>
      </c>
      <c r="E68" s="164"/>
      <c r="F68" s="163" t="s">
        <v>347</v>
      </c>
      <c r="G68" s="164"/>
      <c r="H68" s="165">
        <v>2000</v>
      </c>
      <c r="I68" s="273"/>
      <c r="J68" s="150"/>
      <c r="K68" s="150"/>
    </row>
    <row r="69" spans="1:11" x14ac:dyDescent="0.25">
      <c r="A69" s="304"/>
      <c r="B69" s="213">
        <v>43360</v>
      </c>
      <c r="C69" s="164"/>
      <c r="D69" s="164">
        <v>82500</v>
      </c>
      <c r="E69" s="164"/>
      <c r="F69" s="213">
        <v>43360</v>
      </c>
      <c r="G69" s="164"/>
      <c r="H69" s="164">
        <v>82500</v>
      </c>
      <c r="I69" s="273"/>
      <c r="J69" s="150"/>
      <c r="K69" s="150"/>
    </row>
    <row r="70" spans="1:11" x14ac:dyDescent="0.25">
      <c r="A70" s="150"/>
      <c r="B70" s="219" t="s">
        <v>341</v>
      </c>
      <c r="C70" s="164"/>
      <c r="D70" s="165">
        <v>2500</v>
      </c>
      <c r="E70" s="164"/>
      <c r="F70" s="219" t="s">
        <v>341</v>
      </c>
      <c r="G70" s="164"/>
      <c r="H70" s="165">
        <v>2500</v>
      </c>
      <c r="I70" s="273"/>
      <c r="J70" s="150"/>
      <c r="K70" s="150"/>
    </row>
    <row r="71" spans="1:11" x14ac:dyDescent="0.25">
      <c r="A71" s="150"/>
      <c r="B71" s="164" t="s">
        <v>12</v>
      </c>
      <c r="C71" s="164"/>
      <c r="D71" s="164">
        <v>75000</v>
      </c>
      <c r="E71" s="164"/>
      <c r="F71" s="164" t="s">
        <v>12</v>
      </c>
      <c r="G71" s="164"/>
      <c r="H71" s="164">
        <v>30000</v>
      </c>
      <c r="I71" s="273"/>
      <c r="J71" s="150"/>
      <c r="K71" s="150"/>
    </row>
    <row r="72" spans="1:11" x14ac:dyDescent="0.25">
      <c r="A72" s="150"/>
      <c r="B72" s="219" t="s">
        <v>212</v>
      </c>
      <c r="C72" s="164"/>
      <c r="D72" s="165">
        <v>40000</v>
      </c>
      <c r="E72" s="164"/>
      <c r="F72" s="219" t="s">
        <v>212</v>
      </c>
      <c r="G72" s="164"/>
      <c r="H72" s="165"/>
      <c r="I72" s="273"/>
      <c r="J72" s="150"/>
      <c r="K72" s="150"/>
    </row>
    <row r="73" spans="1:11" x14ac:dyDescent="0.25">
      <c r="A73" s="150"/>
      <c r="B73" s="166" t="s">
        <v>193</v>
      </c>
      <c r="C73" s="243">
        <f>C66</f>
        <v>289873.34230528004</v>
      </c>
      <c r="D73" s="273">
        <f>SUM(D62:D72)</f>
        <v>211000</v>
      </c>
      <c r="E73" s="273">
        <f>C73-D73</f>
        <v>78873.342305280035</v>
      </c>
      <c r="F73" s="166" t="s">
        <v>193</v>
      </c>
      <c r="G73" s="243">
        <f>G66</f>
        <v>212639.27520000003</v>
      </c>
      <c r="H73" s="273">
        <f>SUM(H62:H72)</f>
        <v>126000</v>
      </c>
      <c r="I73" s="273">
        <f>G73-H73</f>
        <v>86639.275200000033</v>
      </c>
      <c r="J73" s="150"/>
      <c r="K73" s="150"/>
    </row>
    <row r="74" spans="1:11" x14ac:dyDescent="0.25">
      <c r="A74" s="150"/>
      <c r="B74" s="150"/>
      <c r="C74" s="150"/>
      <c r="D74" s="150"/>
      <c r="E74" s="150"/>
      <c r="F74" s="150"/>
      <c r="G74" s="79"/>
      <c r="H74" s="150"/>
      <c r="I74" s="269"/>
      <c r="J74" s="150"/>
      <c r="K74" s="150"/>
    </row>
    <row r="75" spans="1:11" x14ac:dyDescent="0.25">
      <c r="A75" s="150"/>
      <c r="B75" s="150" t="s">
        <v>71</v>
      </c>
      <c r="C75" s="79"/>
      <c r="D75" s="150" t="s">
        <v>72</v>
      </c>
      <c r="E75" s="79"/>
      <c r="F75" s="150" t="s">
        <v>73</v>
      </c>
      <c r="G75" s="150"/>
      <c r="H75" s="150"/>
      <c r="I75" s="269"/>
      <c r="J75" s="150"/>
      <c r="K75" s="150"/>
    </row>
    <row r="76" spans="1:11" x14ac:dyDescent="0.25">
      <c r="A76" s="150"/>
      <c r="B76" s="150"/>
      <c r="C76" s="150"/>
      <c r="D76" s="150"/>
      <c r="E76" s="150"/>
      <c r="F76" s="150"/>
      <c r="G76" s="150"/>
      <c r="H76" s="150"/>
      <c r="I76" s="269"/>
      <c r="J76" s="150"/>
      <c r="K76" s="150"/>
    </row>
    <row r="77" spans="1:11" x14ac:dyDescent="0.25">
      <c r="A77" s="150"/>
      <c r="B77" s="150" t="s">
        <v>379</v>
      </c>
      <c r="C77" s="150"/>
      <c r="D77" s="150" t="s">
        <v>135</v>
      </c>
      <c r="E77" s="150"/>
      <c r="F77" s="150" t="s">
        <v>130</v>
      </c>
      <c r="G77" s="150"/>
      <c r="H77" s="150"/>
      <c r="I77" s="269"/>
      <c r="J77" s="150"/>
      <c r="K77" s="150"/>
    </row>
    <row r="78" spans="1:11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43" workbookViewId="0">
      <selection activeCell="C80" sqref="C80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9.5703125" style="78" bestFit="1" customWidth="1"/>
    <col min="5" max="5" width="9.140625" style="78"/>
    <col min="6" max="6" width="12.28515625" style="78" customWidth="1"/>
    <col min="7" max="8" width="9.140625" style="78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6.5" customHeight="1" x14ac:dyDescent="0.25">
      <c r="A3" s="268"/>
      <c r="B3" s="150"/>
      <c r="C3" s="150"/>
      <c r="D3" s="5" t="s">
        <v>389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281</v>
      </c>
      <c r="C11" s="274" t="s">
        <v>30</v>
      </c>
      <c r="D11" s="275"/>
      <c r="E11" s="275"/>
      <c r="F11" s="275"/>
      <c r="G11" s="276">
        <f t="shared" si="0"/>
        <v>0</v>
      </c>
      <c r="H11" s="277"/>
      <c r="I11" s="273">
        <f t="shared" si="1"/>
        <v>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6000</v>
      </c>
      <c r="F22" s="281">
        <v>100</v>
      </c>
      <c r="G22" s="276">
        <f>D22+E22+F22</f>
        <v>6100</v>
      </c>
      <c r="H22" s="277">
        <v>6000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>
        <v>600</v>
      </c>
      <c r="E23" s="280">
        <v>3000</v>
      </c>
      <c r="F23" s="281">
        <v>100</v>
      </c>
      <c r="G23" s="276">
        <f>D23+E23+F23</f>
        <v>3700</v>
      </c>
      <c r="H23" s="277">
        <v>3600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64500</v>
      </c>
      <c r="F30" s="247">
        <f>SUM(F5:F29)</f>
        <v>2300</v>
      </c>
      <c r="G30" s="291"/>
      <c r="H30" s="296">
        <f>SUM(H5:H29)</f>
        <v>65100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ht="17.25" customHeight="1" x14ac:dyDescent="0.25">
      <c r="A33" s="83" t="s">
        <v>106</v>
      </c>
      <c r="B33" s="201" t="s">
        <v>360</v>
      </c>
      <c r="C33" s="89"/>
      <c r="D33" s="90"/>
      <c r="E33" s="261">
        <v>3000</v>
      </c>
      <c r="F33" s="252">
        <f>D33+E33</f>
        <v>3000</v>
      </c>
      <c r="G33" s="253">
        <v>3000</v>
      </c>
      <c r="H33" s="254">
        <f>F33-G33</f>
        <v>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86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ht="17.25" customHeight="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164">
        <v>500</v>
      </c>
      <c r="E36" s="263">
        <v>2500</v>
      </c>
      <c r="F36" s="252">
        <f t="shared" si="4"/>
        <v>3000</v>
      </c>
      <c r="G36" s="148">
        <v>2200</v>
      </c>
      <c r="H36" s="254">
        <f t="shared" si="5"/>
        <v>800</v>
      </c>
      <c r="I36" s="273"/>
      <c r="J36" s="150"/>
      <c r="K36" s="150"/>
    </row>
    <row r="37" spans="1:11" ht="17.25" customHeight="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>
        <v>2500</v>
      </c>
      <c r="H37" s="254">
        <f t="shared" si="5"/>
        <v>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164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ht="16.5" customHeight="1" x14ac:dyDescent="0.25">
      <c r="A39" s="83" t="s">
        <v>119</v>
      </c>
      <c r="B39" s="249" t="s">
        <v>120</v>
      </c>
      <c r="C39" s="85"/>
      <c r="D39" s="92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/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ht="16.5" customHeight="1" x14ac:dyDescent="0.25">
      <c r="A41" s="83" t="s">
        <v>123</v>
      </c>
      <c r="B41" s="200"/>
      <c r="C41" s="85"/>
      <c r="D41" s="246"/>
      <c r="E41" s="262"/>
      <c r="F41" s="252">
        <f t="shared" si="4"/>
        <v>0</v>
      </c>
      <c r="G41" s="257"/>
      <c r="H41" s="254">
        <f t="shared" si="5"/>
        <v>0</v>
      </c>
      <c r="I41" s="273"/>
      <c r="J41" s="150"/>
      <c r="K41" s="150"/>
    </row>
    <row r="42" spans="1:11" ht="15.75" customHeight="1" x14ac:dyDescent="0.25">
      <c r="A42" s="83" t="s">
        <v>125</v>
      </c>
      <c r="B42" s="200" t="s">
        <v>312</v>
      </c>
      <c r="C42" s="85"/>
      <c r="D42" s="86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206">
        <v>0</v>
      </c>
      <c r="E43" s="259">
        <f>SUM(E33:E42)</f>
        <v>19500</v>
      </c>
      <c r="F43" s="260">
        <f>SUM(F33:F42)</f>
        <v>20000</v>
      </c>
      <c r="G43" s="260">
        <f>SUM(G33:G42)</f>
        <v>19200</v>
      </c>
      <c r="H43" s="254">
        <f>F43-G43</f>
        <v>800</v>
      </c>
      <c r="I43" s="273"/>
      <c r="J43" s="150"/>
      <c r="K43" s="150"/>
    </row>
    <row r="44" spans="1:11" x14ac:dyDescent="0.25">
      <c r="A44" s="96"/>
      <c r="B44" s="84"/>
      <c r="C44" s="86"/>
      <c r="D44" s="92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387</v>
      </c>
      <c r="C48" s="85"/>
      <c r="D48" s="86"/>
      <c r="E48" s="231">
        <v>4000</v>
      </c>
      <c r="F48" s="232">
        <f>SUM(D48:E48)</f>
        <v>4000</v>
      </c>
      <c r="G48" s="232">
        <v>4000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8000</v>
      </c>
      <c r="F49" s="232">
        <f>D49+E49</f>
        <v>8000</v>
      </c>
      <c r="G49" s="232">
        <v>8000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3"/>
      <c r="C54" s="86"/>
      <c r="D54" s="92"/>
      <c r="E54" s="232"/>
      <c r="F54" s="232"/>
      <c r="G54" s="232"/>
      <c r="H54" s="301"/>
      <c r="I54" s="273"/>
      <c r="J54" s="150"/>
      <c r="K54" s="150"/>
    </row>
    <row r="55" spans="1:12" x14ac:dyDescent="0.25">
      <c r="A55" s="164"/>
      <c r="B55" s="174"/>
      <c r="C55" s="98"/>
      <c r="D55" s="98"/>
      <c r="E55" s="242">
        <f>SUM(E47:E54)</f>
        <v>27500</v>
      </c>
      <c r="F55" s="242"/>
      <c r="G55" s="242">
        <f>SUM(G47:G54)</f>
        <v>27500</v>
      </c>
      <c r="H55" s="301"/>
      <c r="I55" s="273"/>
      <c r="J55" s="150"/>
      <c r="K55" s="150"/>
    </row>
    <row r="56" spans="1:12" x14ac:dyDescent="0.25">
      <c r="A56" s="302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75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109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2" x14ac:dyDescent="0.25">
      <c r="A59" s="79"/>
      <c r="B59" s="79"/>
      <c r="C59" s="106"/>
      <c r="D59" s="107"/>
      <c r="E59" s="106"/>
      <c r="F59" s="108"/>
      <c r="G59" s="106"/>
      <c r="H59" s="150"/>
      <c r="I59" s="269"/>
      <c r="J59" s="150"/>
      <c r="K59" s="150"/>
    </row>
    <row r="60" spans="1:12" ht="21" x14ac:dyDescent="0.35">
      <c r="A60" s="303"/>
      <c r="B60" s="158" t="s">
        <v>204</v>
      </c>
      <c r="C60" s="158" t="s">
        <v>205</v>
      </c>
      <c r="D60" s="158" t="s">
        <v>207</v>
      </c>
      <c r="E60" s="158" t="s">
        <v>208</v>
      </c>
      <c r="F60" s="158" t="s">
        <v>204</v>
      </c>
      <c r="G60" s="158" t="s">
        <v>205</v>
      </c>
      <c r="H60" s="158" t="s">
        <v>207</v>
      </c>
      <c r="I60" s="222" t="s">
        <v>306</v>
      </c>
      <c r="J60" s="150"/>
      <c r="K60" s="150"/>
      <c r="L60" s="220"/>
    </row>
    <row r="61" spans="1:12" x14ac:dyDescent="0.25">
      <c r="A61" s="304"/>
      <c r="B61" s="211" t="s">
        <v>279</v>
      </c>
      <c r="C61" s="273">
        <f>E30+E43+E55</f>
        <v>111500</v>
      </c>
      <c r="D61" s="164"/>
      <c r="E61" s="164"/>
      <c r="F61" s="211" t="s">
        <v>279</v>
      </c>
      <c r="G61" s="273">
        <f>H30+G43+G55</f>
        <v>111800</v>
      </c>
      <c r="H61" s="164"/>
      <c r="I61" s="273"/>
      <c r="J61" s="150"/>
      <c r="K61" s="150"/>
      <c r="L61" s="220"/>
    </row>
    <row r="62" spans="1:12" x14ac:dyDescent="0.25">
      <c r="A62" s="304"/>
      <c r="B62" s="211" t="s">
        <v>209</v>
      </c>
      <c r="C62" s="307">
        <v>0.08</v>
      </c>
      <c r="D62" s="308">
        <f>C61*C62</f>
        <v>8920</v>
      </c>
      <c r="E62" s="211"/>
      <c r="F62" s="211" t="s">
        <v>209</v>
      </c>
      <c r="G62" s="307">
        <v>0.08</v>
      </c>
      <c r="H62" s="308">
        <f>D62</f>
        <v>8920</v>
      </c>
      <c r="I62" s="273"/>
      <c r="J62" s="150"/>
      <c r="K62" s="150"/>
    </row>
    <row r="63" spans="1:12" x14ac:dyDescent="0.25">
      <c r="A63" s="150"/>
      <c r="B63" s="309" t="s">
        <v>210</v>
      </c>
      <c r="C63" s="211">
        <v>3000</v>
      </c>
      <c r="D63" s="211"/>
      <c r="E63" s="211"/>
      <c r="F63" s="309" t="s">
        <v>210</v>
      </c>
      <c r="G63" s="211">
        <v>3000</v>
      </c>
      <c r="H63" s="211"/>
      <c r="I63" s="273"/>
      <c r="J63" s="150"/>
      <c r="K63" s="150"/>
    </row>
    <row r="64" spans="1:12" x14ac:dyDescent="0.25">
      <c r="A64" s="304"/>
      <c r="B64" s="309" t="s">
        <v>232</v>
      </c>
      <c r="C64" s="308">
        <f>F30</f>
        <v>2300</v>
      </c>
      <c r="D64" s="211"/>
      <c r="E64" s="211"/>
      <c r="F64" s="309" t="s">
        <v>232</v>
      </c>
      <c r="G64" s="308">
        <f>C64</f>
        <v>2300</v>
      </c>
      <c r="H64" s="211"/>
      <c r="I64" s="273"/>
      <c r="J64" s="150"/>
      <c r="K64" s="150"/>
    </row>
    <row r="65" spans="1:11" x14ac:dyDescent="0.25">
      <c r="A65" s="304"/>
      <c r="B65" s="309" t="s">
        <v>239</v>
      </c>
      <c r="C65" s="308">
        <f>SEPT!E73</f>
        <v>78873.342305280035</v>
      </c>
      <c r="D65" s="211"/>
      <c r="E65" s="211"/>
      <c r="F65" s="309" t="s">
        <v>239</v>
      </c>
      <c r="G65" s="308">
        <f>SEPT!I73</f>
        <v>86639.275200000033</v>
      </c>
      <c r="H65" s="211"/>
      <c r="I65" s="273"/>
      <c r="J65" s="150"/>
      <c r="K65" s="150"/>
    </row>
    <row r="66" spans="1:11" x14ac:dyDescent="0.25">
      <c r="A66" s="304"/>
      <c r="B66" s="309" t="s">
        <v>193</v>
      </c>
      <c r="C66" s="308">
        <f>C61+C63+C64+C65</f>
        <v>195673.34230528004</v>
      </c>
      <c r="D66" s="211"/>
      <c r="E66" s="211"/>
      <c r="F66" s="309" t="s">
        <v>193</v>
      </c>
      <c r="G66" s="308">
        <f>G61+G63+G64+G65</f>
        <v>203739.27520000003</v>
      </c>
      <c r="H66" s="211"/>
      <c r="I66" s="273"/>
      <c r="J66" s="150"/>
      <c r="K66" s="150"/>
    </row>
    <row r="67" spans="1:11" x14ac:dyDescent="0.25">
      <c r="A67" s="304"/>
      <c r="B67" s="212" t="s">
        <v>276</v>
      </c>
      <c r="C67" s="307"/>
      <c r="D67" s="214"/>
      <c r="E67" s="211"/>
      <c r="F67" s="212" t="s">
        <v>276</v>
      </c>
      <c r="G67" s="307"/>
      <c r="H67" s="214"/>
      <c r="I67" s="273"/>
      <c r="J67" s="150"/>
      <c r="K67" s="150"/>
    </row>
    <row r="68" spans="1:11" x14ac:dyDescent="0.25">
      <c r="A68" s="304"/>
      <c r="B68" s="309" t="s">
        <v>347</v>
      </c>
      <c r="C68" s="211"/>
      <c r="D68" s="310">
        <v>2100</v>
      </c>
      <c r="E68" s="211"/>
      <c r="F68" s="309" t="s">
        <v>347</v>
      </c>
      <c r="G68" s="211"/>
      <c r="H68" s="310">
        <v>2100</v>
      </c>
      <c r="I68" s="273"/>
      <c r="J68" s="150"/>
      <c r="K68" s="150"/>
    </row>
    <row r="69" spans="1:11" x14ac:dyDescent="0.25">
      <c r="A69" s="304"/>
      <c r="B69" s="311" t="s">
        <v>390</v>
      </c>
      <c r="C69" s="211"/>
      <c r="D69" s="211">
        <v>4000</v>
      </c>
      <c r="E69" s="211"/>
      <c r="F69" s="311" t="s">
        <v>390</v>
      </c>
      <c r="G69" s="211"/>
      <c r="H69" s="211">
        <v>4000</v>
      </c>
      <c r="I69" s="273"/>
      <c r="J69" s="150"/>
      <c r="K69" s="150"/>
    </row>
    <row r="70" spans="1:11" x14ac:dyDescent="0.25">
      <c r="A70" s="150"/>
      <c r="B70" s="219">
        <v>43389</v>
      </c>
      <c r="C70" s="164"/>
      <c r="D70" s="165">
        <v>100000</v>
      </c>
      <c r="E70" s="164"/>
      <c r="F70" s="219">
        <v>43389</v>
      </c>
      <c r="G70" s="164"/>
      <c r="H70" s="165">
        <v>100000</v>
      </c>
      <c r="I70" s="273"/>
      <c r="J70" s="150"/>
      <c r="K70" s="150"/>
    </row>
    <row r="71" spans="1:11" x14ac:dyDescent="0.25">
      <c r="A71" s="150"/>
      <c r="B71" s="164"/>
      <c r="C71" s="164"/>
      <c r="D71" s="164"/>
      <c r="E71" s="164"/>
      <c r="F71" s="164"/>
      <c r="G71" s="164"/>
      <c r="H71" s="164"/>
      <c r="I71" s="273"/>
      <c r="J71" s="150"/>
      <c r="K71" s="150"/>
    </row>
    <row r="72" spans="1:11" x14ac:dyDescent="0.25">
      <c r="A72" s="150"/>
      <c r="B72" s="219"/>
      <c r="C72" s="164"/>
      <c r="D72" s="165"/>
      <c r="E72" s="164"/>
      <c r="F72" s="219"/>
      <c r="G72" s="164"/>
      <c r="H72" s="165"/>
      <c r="I72" s="273"/>
      <c r="J72" s="150"/>
      <c r="K72" s="150"/>
    </row>
    <row r="73" spans="1:11" x14ac:dyDescent="0.25">
      <c r="A73" s="150"/>
      <c r="B73" s="166" t="s">
        <v>193</v>
      </c>
      <c r="C73" s="243">
        <f>C66</f>
        <v>195673.34230528004</v>
      </c>
      <c r="D73" s="273">
        <f>SUM(D62:D72)</f>
        <v>115020</v>
      </c>
      <c r="E73" s="273">
        <f>C73-D73</f>
        <v>80653.342305280035</v>
      </c>
      <c r="F73" s="166" t="s">
        <v>193</v>
      </c>
      <c r="G73" s="243">
        <f>G66</f>
        <v>203739.27520000003</v>
      </c>
      <c r="H73" s="273">
        <f>SUM(H62:H72)</f>
        <v>115020</v>
      </c>
      <c r="I73" s="273">
        <f>G73-H73</f>
        <v>88719.275200000033</v>
      </c>
      <c r="J73" s="150"/>
      <c r="K73" s="150"/>
    </row>
    <row r="74" spans="1:11" x14ac:dyDescent="0.25">
      <c r="A74" s="150"/>
      <c r="B74" s="150"/>
      <c r="C74" s="150"/>
      <c r="D74" s="150"/>
      <c r="E74" s="150"/>
      <c r="F74" s="150"/>
      <c r="G74" s="79"/>
      <c r="H74" s="150"/>
      <c r="I74" s="269"/>
      <c r="J74" s="150"/>
      <c r="K74" s="150"/>
    </row>
    <row r="75" spans="1:11" x14ac:dyDescent="0.25">
      <c r="A75" s="150"/>
      <c r="B75" s="150" t="s">
        <v>71</v>
      </c>
      <c r="C75" s="79"/>
      <c r="D75" s="150" t="s">
        <v>72</v>
      </c>
      <c r="E75" s="79"/>
      <c r="F75" s="150" t="s">
        <v>73</v>
      </c>
      <c r="G75" s="150"/>
      <c r="H75" s="150"/>
      <c r="I75" s="269"/>
      <c r="J75" s="150"/>
      <c r="K75" s="150"/>
    </row>
    <row r="76" spans="1:11" x14ac:dyDescent="0.25">
      <c r="A76" s="150"/>
      <c r="B76" s="150"/>
      <c r="C76" s="150"/>
      <c r="D76" s="150"/>
      <c r="E76" s="150"/>
      <c r="F76" s="150"/>
      <c r="G76" s="150"/>
      <c r="H76" s="150"/>
      <c r="I76" s="269"/>
      <c r="J76" s="150"/>
      <c r="K76" s="150"/>
    </row>
    <row r="77" spans="1:11" x14ac:dyDescent="0.25">
      <c r="A77" s="150"/>
      <c r="B77" s="150" t="s">
        <v>379</v>
      </c>
      <c r="C77" s="150"/>
      <c r="D77" s="150" t="s">
        <v>135</v>
      </c>
      <c r="E77" s="150"/>
      <c r="F77" s="150" t="s">
        <v>130</v>
      </c>
      <c r="G77" s="150"/>
      <c r="H77" s="150"/>
      <c r="I77" s="269"/>
      <c r="J77" s="150"/>
      <c r="K77" s="150"/>
    </row>
    <row r="78" spans="1:11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</sheetData>
  <mergeCells count="2">
    <mergeCell ref="B31:G31"/>
    <mergeCell ref="A45:H45"/>
  </mergeCells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13" workbookViewId="0">
      <selection activeCell="C64" sqref="C6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2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395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398</v>
      </c>
      <c r="C11" s="274" t="s">
        <v>30</v>
      </c>
      <c r="D11" s="275"/>
      <c r="E11" s="275">
        <v>3750</v>
      </c>
      <c r="F11" s="275">
        <v>50</v>
      </c>
      <c r="G11" s="276">
        <f t="shared" si="0"/>
        <v>3800</v>
      </c>
      <c r="H11" s="277">
        <v>3750</v>
      </c>
      <c r="I11" s="273">
        <f t="shared" si="1"/>
        <v>50</v>
      </c>
      <c r="J11" s="150"/>
      <c r="K11" s="150"/>
    </row>
    <row r="12" spans="1:11" x14ac:dyDescent="0.25">
      <c r="A12" s="110">
        <v>8</v>
      </c>
      <c r="B12" s="193" t="s">
        <v>220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350</v>
      </c>
      <c r="C14" s="274" t="s">
        <v>36</v>
      </c>
      <c r="D14" s="275"/>
      <c r="E14" s="275">
        <v>2500</v>
      </c>
      <c r="F14" s="275">
        <v>100</v>
      </c>
      <c r="G14" s="276">
        <f t="shared" si="2"/>
        <v>2600</v>
      </c>
      <c r="H14" s="277">
        <v>2500</v>
      </c>
      <c r="I14" s="273">
        <f t="shared" si="1"/>
        <v>100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1500</v>
      </c>
      <c r="F22" s="281">
        <v>100</v>
      </c>
      <c r="G22" s="276">
        <f>D22+E22+F22</f>
        <v>1600</v>
      </c>
      <c r="H22" s="277">
        <v>1500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42">
        <f>SUM(E5:E29)</f>
        <v>63750</v>
      </c>
      <c r="F30" s="247">
        <f>SUM(F5:F29)</f>
        <v>2350</v>
      </c>
      <c r="G30" s="291"/>
      <c r="H30" s="296">
        <f>SUM(H5:H29)</f>
        <v>63750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273"/>
      <c r="J32" s="150"/>
      <c r="K32" s="150"/>
    </row>
    <row r="33" spans="1:11" x14ac:dyDescent="0.25">
      <c r="A33" s="83" t="s">
        <v>106</v>
      </c>
      <c r="B33" s="201" t="s">
        <v>360</v>
      </c>
      <c r="C33" s="89"/>
      <c r="D33" s="312"/>
      <c r="E33" s="261">
        <v>3000</v>
      </c>
      <c r="F33" s="252">
        <f>D33+E33</f>
        <v>3000</v>
      </c>
      <c r="G33" s="253"/>
      <c r="H33" s="254">
        <f>F33-G33</f>
        <v>3000</v>
      </c>
      <c r="I33" s="273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/>
      <c r="E34" s="262"/>
      <c r="F34" s="252">
        <f t="shared" ref="F34:F42" si="4">D34+E34</f>
        <v>0</v>
      </c>
      <c r="G34" s="252"/>
      <c r="H34" s="254">
        <f t="shared" ref="H34:H42" si="5">F34-G34</f>
        <v>0</v>
      </c>
      <c r="I34" s="273">
        <f t="shared" si="1"/>
        <v>0</v>
      </c>
      <c r="J34" s="150"/>
      <c r="K34" s="150"/>
    </row>
    <row r="35" spans="1:11" x14ac:dyDescent="0.25">
      <c r="A35" s="83" t="s">
        <v>110</v>
      </c>
      <c r="B35" s="200" t="s">
        <v>376</v>
      </c>
      <c r="C35" s="85"/>
      <c r="D35" s="246"/>
      <c r="E35" s="262">
        <v>2500</v>
      </c>
      <c r="F35" s="252">
        <f t="shared" si="4"/>
        <v>2500</v>
      </c>
      <c r="G35" s="256">
        <v>2500</v>
      </c>
      <c r="H35" s="254">
        <f t="shared" si="5"/>
        <v>0</v>
      </c>
      <c r="I35" s="273"/>
      <c r="J35" s="150"/>
      <c r="K35" s="150"/>
    </row>
    <row r="36" spans="1:11" x14ac:dyDescent="0.25">
      <c r="A36" s="87" t="s">
        <v>112</v>
      </c>
      <c r="B36" s="200" t="s">
        <v>364</v>
      </c>
      <c r="C36" s="164"/>
      <c r="D36" s="273">
        <v>800</v>
      </c>
      <c r="E36" s="313">
        <v>2500</v>
      </c>
      <c r="F36" s="252">
        <f t="shared" si="4"/>
        <v>3300</v>
      </c>
      <c r="G36" s="314">
        <v>3000</v>
      </c>
      <c r="H36" s="254">
        <f t="shared" si="5"/>
        <v>300</v>
      </c>
      <c r="I36" s="273"/>
      <c r="J36" s="150"/>
      <c r="K36" s="150"/>
    </row>
    <row r="37" spans="1:11" x14ac:dyDescent="0.25">
      <c r="A37" s="99" t="s">
        <v>114</v>
      </c>
      <c r="B37" s="200" t="s">
        <v>353</v>
      </c>
      <c r="C37" s="86"/>
      <c r="D37" s="232"/>
      <c r="E37" s="267">
        <v>2500</v>
      </c>
      <c r="F37" s="252">
        <f t="shared" si="4"/>
        <v>2500</v>
      </c>
      <c r="G37" s="257"/>
      <c r="H37" s="254">
        <f t="shared" si="5"/>
        <v>2500</v>
      </c>
      <c r="I37" s="273"/>
      <c r="J37" s="150"/>
      <c r="K37" s="150"/>
    </row>
    <row r="38" spans="1:11" x14ac:dyDescent="0.25">
      <c r="A38" s="93" t="s">
        <v>116</v>
      </c>
      <c r="B38" s="249" t="s">
        <v>365</v>
      </c>
      <c r="C38" s="164"/>
      <c r="D38" s="273"/>
      <c r="E38" s="265">
        <v>2500</v>
      </c>
      <c r="F38" s="252">
        <f t="shared" si="4"/>
        <v>2500</v>
      </c>
      <c r="G38" s="258">
        <v>2500</v>
      </c>
      <c r="H38" s="254">
        <f t="shared" si="5"/>
        <v>0</v>
      </c>
      <c r="I38" s="273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46"/>
      <c r="E39" s="266">
        <v>2500</v>
      </c>
      <c r="F39" s="252">
        <f t="shared" si="4"/>
        <v>2500</v>
      </c>
      <c r="G39" s="257">
        <v>2500</v>
      </c>
      <c r="H39" s="254">
        <f t="shared" si="5"/>
        <v>0</v>
      </c>
      <c r="I39" s="273"/>
      <c r="J39" s="150"/>
      <c r="K39" s="150"/>
    </row>
    <row r="40" spans="1:11" x14ac:dyDescent="0.25">
      <c r="A40" s="83" t="s">
        <v>121</v>
      </c>
      <c r="B40" s="203" t="s">
        <v>383</v>
      </c>
      <c r="C40" s="85"/>
      <c r="D40" s="246"/>
      <c r="E40" s="262">
        <v>2500</v>
      </c>
      <c r="F40" s="252">
        <f t="shared" si="4"/>
        <v>2500</v>
      </c>
      <c r="G40" s="257">
        <v>2500</v>
      </c>
      <c r="H40" s="254">
        <f t="shared" si="5"/>
        <v>0</v>
      </c>
      <c r="I40" s="273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46"/>
      <c r="E41" s="262">
        <v>2500</v>
      </c>
      <c r="F41" s="252">
        <f t="shared" si="4"/>
        <v>2500</v>
      </c>
      <c r="G41" s="257">
        <v>2500</v>
      </c>
      <c r="H41" s="254">
        <f t="shared" si="5"/>
        <v>0</v>
      </c>
      <c r="I41" s="273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55">
        <v>1500</v>
      </c>
      <c r="F42" s="252">
        <f t="shared" si="4"/>
        <v>1500</v>
      </c>
      <c r="G42" s="257">
        <v>1500</v>
      </c>
      <c r="H42" s="254">
        <f t="shared" si="5"/>
        <v>0</v>
      </c>
      <c r="I42" s="273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15">
        <v>0</v>
      </c>
      <c r="E43" s="259">
        <f>SUM(E33:E42)</f>
        <v>22000</v>
      </c>
      <c r="F43" s="260">
        <f>SUM(F33:F42)</f>
        <v>22800</v>
      </c>
      <c r="G43" s="260">
        <f>SUM(G33:G42)</f>
        <v>17000</v>
      </c>
      <c r="H43" s="254">
        <f>F43-G43</f>
        <v>5800</v>
      </c>
      <c r="I43" s="273"/>
      <c r="J43" s="150"/>
      <c r="K43" s="150"/>
    </row>
    <row r="44" spans="1:11" x14ac:dyDescent="0.25">
      <c r="A44" s="96"/>
      <c r="B44" s="84"/>
      <c r="C44" s="86"/>
      <c r="D44" s="92"/>
      <c r="E44" s="98"/>
      <c r="F44" s="98"/>
      <c r="G44" s="86"/>
      <c r="H44" s="300"/>
      <c r="I44" s="273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399</v>
      </c>
      <c r="C48" s="85"/>
      <c r="D48" s="86"/>
      <c r="E48" s="231">
        <v>5400</v>
      </c>
      <c r="F48" s="232">
        <f>SUM(D48:E48)</f>
        <v>5400</v>
      </c>
      <c r="G48" s="232">
        <v>5400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284</v>
      </c>
      <c r="C50" s="86"/>
      <c r="D50" s="150"/>
      <c r="E50" s="231"/>
      <c r="F50" s="232">
        <f>D50+E50</f>
        <v>0</v>
      </c>
      <c r="G50" s="232"/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4"/>
      <c r="C54" s="98"/>
      <c r="D54" s="98"/>
      <c r="E54" s="242">
        <f>SUM(E47:E53)</f>
        <v>24900</v>
      </c>
      <c r="F54" s="242"/>
      <c r="G54" s="242">
        <f>SUM(G47:G53)</f>
        <v>24900</v>
      </c>
      <c r="H54" s="301"/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289</v>
      </c>
      <c r="C60" s="273">
        <f>E30+E43+E54</f>
        <v>110650</v>
      </c>
      <c r="D60" s="164"/>
      <c r="E60" s="164"/>
      <c r="F60" s="211" t="s">
        <v>289</v>
      </c>
      <c r="G60" s="273">
        <f>H30+G43+G54</f>
        <v>105650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8852</v>
      </c>
      <c r="F61" s="211" t="s">
        <v>209</v>
      </c>
      <c r="G61" s="307">
        <v>0.08</v>
      </c>
      <c r="H61" s="308">
        <f>D61</f>
        <v>8852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>
        <f>C60+C62+C63</f>
        <v>116000</v>
      </c>
    </row>
    <row r="63" spans="1:12" x14ac:dyDescent="0.25">
      <c r="A63" s="304"/>
      <c r="B63" s="309" t="s">
        <v>232</v>
      </c>
      <c r="C63" s="308">
        <f>F30</f>
        <v>2350</v>
      </c>
      <c r="D63" s="211"/>
      <c r="E63" s="211"/>
      <c r="F63" s="309" t="s">
        <v>232</v>
      </c>
      <c r="G63" s="308">
        <f>C63</f>
        <v>2350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OCT!E73</f>
        <v>80653.342305280035</v>
      </c>
      <c r="D64" s="211"/>
      <c r="E64" s="211"/>
      <c r="F64" s="309" t="s">
        <v>239</v>
      </c>
      <c r="G64" s="308">
        <f>OCT!I73</f>
        <v>88719.275200000033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196653.34230528004</v>
      </c>
      <c r="D65" s="211"/>
      <c r="E65" s="211"/>
      <c r="F65" s="309" t="s">
        <v>193</v>
      </c>
      <c r="G65" s="308">
        <f>G60+G62+G63+G64</f>
        <v>199719.27520000003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347</v>
      </c>
      <c r="C67" s="211"/>
      <c r="D67" s="310">
        <v>2100</v>
      </c>
      <c r="E67" s="211"/>
      <c r="F67" s="309" t="s">
        <v>347</v>
      </c>
      <c r="G67" s="211"/>
      <c r="H67" s="310">
        <v>2100</v>
      </c>
      <c r="I67" s="273"/>
      <c r="J67" s="150"/>
      <c r="K67" s="150"/>
    </row>
    <row r="68" spans="1:11" x14ac:dyDescent="0.25">
      <c r="A68" s="304"/>
      <c r="B68" s="311" t="s">
        <v>397</v>
      </c>
      <c r="C68" s="211"/>
      <c r="D68" s="211">
        <v>3000</v>
      </c>
      <c r="E68" s="211"/>
      <c r="F68" s="311" t="s">
        <v>397</v>
      </c>
      <c r="G68" s="211"/>
      <c r="H68" s="211">
        <v>3000</v>
      </c>
      <c r="I68" s="273"/>
      <c r="J68" s="150"/>
      <c r="K68" s="150"/>
    </row>
    <row r="69" spans="1:11" x14ac:dyDescent="0.25">
      <c r="A69" s="150"/>
      <c r="B69" s="219">
        <v>43420</v>
      </c>
      <c r="C69" s="164"/>
      <c r="D69" s="165">
        <v>100000</v>
      </c>
      <c r="E69" s="164"/>
      <c r="F69" s="219">
        <v>43420</v>
      </c>
      <c r="G69" s="164"/>
      <c r="H69" s="165">
        <v>100000</v>
      </c>
      <c r="I69" s="273"/>
      <c r="J69" s="150"/>
      <c r="K69" s="150"/>
    </row>
    <row r="70" spans="1:11" x14ac:dyDescent="0.25">
      <c r="A70" s="150"/>
      <c r="B70" s="219" t="s">
        <v>401</v>
      </c>
      <c r="C70" s="164"/>
      <c r="D70" s="165">
        <v>4000</v>
      </c>
      <c r="E70" s="164"/>
      <c r="F70" s="219" t="s">
        <v>401</v>
      </c>
      <c r="G70" s="164"/>
      <c r="H70" s="165">
        <v>4000</v>
      </c>
      <c r="I70" s="273"/>
      <c r="J70" s="150"/>
      <c r="K70" s="150"/>
    </row>
    <row r="71" spans="1:11" x14ac:dyDescent="0.25">
      <c r="A71" s="150"/>
      <c r="B71" s="219"/>
      <c r="C71" s="164"/>
      <c r="D71" s="165"/>
      <c r="E71" s="164"/>
      <c r="F71" s="219"/>
      <c r="G71" s="164"/>
      <c r="H71" s="165"/>
      <c r="I71" s="273"/>
      <c r="J71" s="150"/>
      <c r="K71" s="150"/>
    </row>
    <row r="72" spans="1:11" x14ac:dyDescent="0.25">
      <c r="A72" s="150"/>
      <c r="B72" s="164"/>
      <c r="C72" s="164"/>
      <c r="D72" s="164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C65-D61</f>
        <v>187801.34230528004</v>
      </c>
      <c r="D74" s="318">
        <f>SUM(D67:D73)</f>
        <v>109100</v>
      </c>
      <c r="E74" s="318">
        <f>C74-D74</f>
        <v>78701.342305280035</v>
      </c>
      <c r="F74" s="166" t="s">
        <v>193</v>
      </c>
      <c r="G74" s="317">
        <f>G65-H61</f>
        <v>190867.27520000003</v>
      </c>
      <c r="H74" s="318">
        <f>SUM(H67:H73)</f>
        <v>109100</v>
      </c>
      <c r="I74" s="318">
        <f>G74-H74</f>
        <v>81767.275200000033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D76" s="150" t="s">
        <v>72</v>
      </c>
      <c r="E76" s="79"/>
      <c r="F76" s="150" t="s">
        <v>73</v>
      </c>
      <c r="G76" s="150"/>
      <c r="H76" s="150"/>
      <c r="I76" s="269"/>
      <c r="J76" s="150"/>
      <c r="K76" s="150"/>
    </row>
    <row r="77" spans="1:11" x14ac:dyDescent="0.25">
      <c r="A77" s="150"/>
      <c r="B77" s="150"/>
      <c r="C77" s="150"/>
      <c r="D77" s="150"/>
      <c r="E77" s="150"/>
      <c r="F77" s="150"/>
      <c r="G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D78" s="150" t="s">
        <v>135</v>
      </c>
      <c r="E78" s="150"/>
      <c r="F78" s="150" t="s">
        <v>130</v>
      </c>
      <c r="G78" s="150"/>
      <c r="H78" s="150"/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0" workbookViewId="0">
      <selection activeCell="K69" sqref="K69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2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400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398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3"/>
      <c r="C12" s="274" t="s">
        <v>32</v>
      </c>
      <c r="D12" s="275"/>
      <c r="E12" s="275"/>
      <c r="F12" s="275"/>
      <c r="G12" s="276">
        <f t="shared" ref="G12:G17" si="2">D12+E12+F12</f>
        <v>0</v>
      </c>
      <c r="H12" s="277"/>
      <c r="I12" s="273">
        <f t="shared" si="1"/>
        <v>0</v>
      </c>
      <c r="J12" s="150"/>
      <c r="K12" s="150"/>
    </row>
    <row r="13" spans="1:11" x14ac:dyDescent="0.25">
      <c r="A13" s="110">
        <v>9</v>
      </c>
      <c r="B13" s="191" t="s">
        <v>366</v>
      </c>
      <c r="C13" s="274" t="s">
        <v>34</v>
      </c>
      <c r="D13" s="275"/>
      <c r="E13" s="275">
        <v>2500</v>
      </c>
      <c r="F13" s="275">
        <v>100</v>
      </c>
      <c r="G13" s="276">
        <f t="shared" si="2"/>
        <v>2600</v>
      </c>
      <c r="H13" s="277">
        <v>2500</v>
      </c>
      <c r="I13" s="273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281</v>
      </c>
      <c r="C14" s="274" t="s">
        <v>36</v>
      </c>
      <c r="D14" s="275"/>
      <c r="E14" s="275"/>
      <c r="F14" s="275"/>
      <c r="G14" s="276">
        <f t="shared" si="2"/>
        <v>0</v>
      </c>
      <c r="H14" s="277"/>
      <c r="I14" s="273">
        <f t="shared" si="1"/>
        <v>0</v>
      </c>
      <c r="J14" s="150"/>
      <c r="K14" s="150"/>
    </row>
    <row r="15" spans="1:11" x14ac:dyDescent="0.25">
      <c r="A15" s="110">
        <v>11</v>
      </c>
      <c r="B15" s="191" t="s">
        <v>222</v>
      </c>
      <c r="C15" s="274" t="s">
        <v>38</v>
      </c>
      <c r="D15" s="275"/>
      <c r="E15" s="275">
        <v>2500</v>
      </c>
      <c r="F15" s="275">
        <v>100</v>
      </c>
      <c r="G15" s="276">
        <f t="shared" si="2"/>
        <v>2600</v>
      </c>
      <c r="H15" s="277">
        <v>2500</v>
      </c>
      <c r="I15" s="273">
        <f t="shared" si="1"/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7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7">
        <v>2500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2500</v>
      </c>
      <c r="I18" s="273">
        <f t="shared" si="1"/>
        <v>100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 t="s">
        <v>328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>
        <v>3000</v>
      </c>
      <c r="I22" s="273">
        <f t="shared" si="1"/>
        <v>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/>
      <c r="I23" s="273">
        <f t="shared" si="1"/>
        <v>3100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208">
        <f>SUM(E5:E29)</f>
        <v>59000</v>
      </c>
      <c r="F30" s="240">
        <f>SUM(F5:F29)</f>
        <v>2200</v>
      </c>
      <c r="G30" s="289"/>
      <c r="H30" s="316">
        <f>SUM(H5:H29)</f>
        <v>56000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297" t="s">
        <v>3</v>
      </c>
      <c r="B32" s="297" t="s">
        <v>4</v>
      </c>
      <c r="C32" s="297" t="s">
        <v>104</v>
      </c>
      <c r="D32" s="297" t="s">
        <v>8</v>
      </c>
      <c r="E32" s="297" t="s">
        <v>9</v>
      </c>
      <c r="F32" s="298" t="s">
        <v>11</v>
      </c>
      <c r="G32" s="297" t="s">
        <v>12</v>
      </c>
      <c r="H32" s="299" t="s">
        <v>105</v>
      </c>
      <c r="I32" s="319"/>
      <c r="J32" s="150"/>
      <c r="K32" s="150"/>
    </row>
    <row r="33" spans="1:11" x14ac:dyDescent="0.25">
      <c r="A33" s="83" t="s">
        <v>106</v>
      </c>
      <c r="B33" s="249"/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>D34+E34</f>
        <v>0</v>
      </c>
      <c r="G34" s="232"/>
      <c r="H34" s="319">
        <f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>D35+E35</f>
        <v>2500</v>
      </c>
      <c r="G35" s="110">
        <v>2500</v>
      </c>
      <c r="H35" s="319">
        <f>F35-G35</f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800</v>
      </c>
      <c r="E36" s="321">
        <v>2500</v>
      </c>
      <c r="F36" s="232">
        <f t="shared" ref="F36:F42" si="4">D36+E36</f>
        <v>3300</v>
      </c>
      <c r="G36" s="319">
        <v>2800</v>
      </c>
      <c r="H36" s="319">
        <f t="shared" ref="H36:H41" si="5">F36-G36</f>
        <v>500</v>
      </c>
      <c r="I36" s="319"/>
      <c r="J36" s="150"/>
      <c r="K36" s="150"/>
    </row>
    <row r="37" spans="1:11" x14ac:dyDescent="0.25">
      <c r="A37" s="99" t="s">
        <v>114</v>
      </c>
      <c r="B37" s="200" t="s">
        <v>376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383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 t="s">
        <v>405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19000</v>
      </c>
      <c r="F43" s="240">
        <f>SUM(F33:F42)</f>
        <v>19800</v>
      </c>
      <c r="G43" s="240">
        <f>SUM(G33:G42)</f>
        <v>19300</v>
      </c>
      <c r="H43" s="323">
        <f>SUM(H33:H42)</f>
        <v>500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50"/>
      <c r="B46" s="150"/>
      <c r="C46" s="150"/>
      <c r="D46" s="150"/>
      <c r="E46" s="150" t="s">
        <v>9</v>
      </c>
      <c r="F46" s="150" t="s">
        <v>11</v>
      </c>
      <c r="G46" s="150" t="s">
        <v>12</v>
      </c>
      <c r="H46" s="150" t="s">
        <v>306</v>
      </c>
      <c r="I46" s="273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>SUM(D47:E47)</f>
        <v>3500</v>
      </c>
      <c r="G47" s="232">
        <v>3500</v>
      </c>
      <c r="H47" s="301">
        <f t="shared" ref="H47:H53" si="6">F47-G47</f>
        <v>0</v>
      </c>
      <c r="I47" s="273"/>
      <c r="J47" s="150"/>
      <c r="K47" s="150"/>
    </row>
    <row r="48" spans="1:11" x14ac:dyDescent="0.25">
      <c r="A48" s="83">
        <v>2</v>
      </c>
      <c r="B48" s="191" t="s">
        <v>399</v>
      </c>
      <c r="C48" s="85"/>
      <c r="D48" s="86"/>
      <c r="E48" s="231">
        <v>4000</v>
      </c>
      <c r="F48" s="232">
        <f>SUM(D48:E48)</f>
        <v>4000</v>
      </c>
      <c r="G48" s="232">
        <v>4000</v>
      </c>
      <c r="H48" s="301">
        <f t="shared" si="6"/>
        <v>0</v>
      </c>
      <c r="I48" s="273"/>
      <c r="J48" s="150"/>
      <c r="K48" s="150"/>
    </row>
    <row r="49" spans="1:12" x14ac:dyDescent="0.25">
      <c r="A49" s="83">
        <v>3</v>
      </c>
      <c r="B49" s="191" t="s">
        <v>391</v>
      </c>
      <c r="C49" s="85"/>
      <c r="D49" s="86"/>
      <c r="E49" s="231">
        <v>4000</v>
      </c>
      <c r="F49" s="232">
        <f>D49+E49</f>
        <v>4000</v>
      </c>
      <c r="G49" s="232">
        <v>4000</v>
      </c>
      <c r="H49" s="301">
        <f t="shared" si="6"/>
        <v>0</v>
      </c>
      <c r="I49" s="273"/>
      <c r="J49" s="150"/>
      <c r="K49" s="150"/>
    </row>
    <row r="50" spans="1:12" x14ac:dyDescent="0.25">
      <c r="A50" s="83">
        <v>4</v>
      </c>
      <c r="B50" s="191" t="s">
        <v>350</v>
      </c>
      <c r="C50" s="86"/>
      <c r="D50" s="150"/>
      <c r="E50" s="231">
        <v>5500</v>
      </c>
      <c r="F50" s="232">
        <f>D50+E50</f>
        <v>5500</v>
      </c>
      <c r="G50" s="232">
        <v>5500</v>
      </c>
      <c r="H50" s="301">
        <f t="shared" si="6"/>
        <v>0</v>
      </c>
      <c r="I50" s="273"/>
      <c r="J50" s="150"/>
      <c r="K50" s="150"/>
    </row>
    <row r="51" spans="1:12" x14ac:dyDescent="0.25">
      <c r="A51" s="99">
        <v>5</v>
      </c>
      <c r="B51" s="191" t="s">
        <v>314</v>
      </c>
      <c r="C51" s="85"/>
      <c r="D51" s="86"/>
      <c r="E51" s="231">
        <v>4000</v>
      </c>
      <c r="F51" s="232">
        <f>D51+E51</f>
        <v>4000</v>
      </c>
      <c r="G51" s="232">
        <v>4000</v>
      </c>
      <c r="H51" s="301">
        <f t="shared" si="6"/>
        <v>0</v>
      </c>
      <c r="I51" s="273"/>
      <c r="J51" s="150"/>
      <c r="K51" s="150"/>
    </row>
    <row r="52" spans="1:12" x14ac:dyDescent="0.25">
      <c r="A52" s="93">
        <v>6</v>
      </c>
      <c r="B52" s="191" t="s">
        <v>392</v>
      </c>
      <c r="C52" s="85"/>
      <c r="D52" s="86"/>
      <c r="E52" s="231">
        <v>4000</v>
      </c>
      <c r="F52" s="232">
        <f>D52+E52</f>
        <v>4000</v>
      </c>
      <c r="G52" s="232">
        <v>4000</v>
      </c>
      <c r="H52" s="301">
        <f t="shared" si="6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>D53+E53</f>
        <v>4000</v>
      </c>
      <c r="G53" s="232">
        <v>4000</v>
      </c>
      <c r="H53" s="301">
        <f t="shared" si="6"/>
        <v>0</v>
      </c>
      <c r="I53" s="273"/>
      <c r="J53" s="150"/>
      <c r="K53" s="150"/>
    </row>
    <row r="54" spans="1:12" x14ac:dyDescent="0.25">
      <c r="A54" s="164"/>
      <c r="B54" s="174"/>
      <c r="C54" s="98"/>
      <c r="D54" s="98"/>
      <c r="E54" s="242">
        <f>SUM(E47:E53)</f>
        <v>29000</v>
      </c>
      <c r="F54" s="242"/>
      <c r="G54" s="242">
        <f>SUM(G47:G53)</f>
        <v>29000</v>
      </c>
      <c r="H54" s="301"/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296</v>
      </c>
      <c r="C60" s="273">
        <f>E30+E43+E54</f>
        <v>107000</v>
      </c>
      <c r="D60" s="164"/>
      <c r="E60" s="164"/>
      <c r="F60" s="211" t="s">
        <v>296</v>
      </c>
      <c r="G60" s="273">
        <f>H30+G43+G54</f>
        <v>104300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8560</v>
      </c>
      <c r="E61" s="211"/>
      <c r="F61" s="211" t="s">
        <v>209</v>
      </c>
      <c r="G61" s="307">
        <v>0.08</v>
      </c>
      <c r="H61" s="308">
        <f>D61</f>
        <v>8560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>
        <f>C60+C62+C63</f>
        <v>112200</v>
      </c>
    </row>
    <row r="63" spans="1:12" x14ac:dyDescent="0.25">
      <c r="A63" s="304"/>
      <c r="B63" s="309" t="s">
        <v>232</v>
      </c>
      <c r="C63" s="308">
        <f>F30</f>
        <v>2200</v>
      </c>
      <c r="D63" s="211"/>
      <c r="E63" s="211"/>
      <c r="F63" s="309" t="s">
        <v>232</v>
      </c>
      <c r="G63" s="308">
        <f>C63</f>
        <v>2200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NOVE!E74</f>
        <v>78701.342305280035</v>
      </c>
      <c r="D64" s="211"/>
      <c r="E64" s="211"/>
      <c r="F64" s="309" t="s">
        <v>239</v>
      </c>
      <c r="G64" s="308">
        <f>NOVE!I74</f>
        <v>81767.275200000033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190901.34230528004</v>
      </c>
      <c r="D65" s="211"/>
      <c r="E65" s="211"/>
      <c r="F65" s="309" t="s">
        <v>193</v>
      </c>
      <c r="G65" s="308">
        <f>G60+G62+G63+G64</f>
        <v>191267.27520000003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347</v>
      </c>
      <c r="C67" s="211"/>
      <c r="D67" s="310">
        <v>1950</v>
      </c>
      <c r="E67" s="211"/>
      <c r="F67" s="309" t="s">
        <v>347</v>
      </c>
      <c r="G67" s="211"/>
      <c r="H67" s="310">
        <v>1950</v>
      </c>
      <c r="I67" s="273"/>
      <c r="J67" s="150"/>
      <c r="K67" s="150"/>
    </row>
    <row r="68" spans="1:11" x14ac:dyDescent="0.25">
      <c r="A68" s="304"/>
      <c r="B68" s="311" t="s">
        <v>403</v>
      </c>
      <c r="C68" s="211"/>
      <c r="D68" s="211">
        <v>3000</v>
      </c>
      <c r="E68" s="211"/>
      <c r="F68" s="311" t="s">
        <v>403</v>
      </c>
      <c r="G68" s="211"/>
      <c r="H68" s="211">
        <v>3000</v>
      </c>
      <c r="I68" s="273"/>
      <c r="J68" s="150"/>
      <c r="K68" s="150"/>
    </row>
    <row r="69" spans="1:11" x14ac:dyDescent="0.25">
      <c r="A69" s="150"/>
      <c r="B69" s="219" t="s">
        <v>404</v>
      </c>
      <c r="C69" s="164"/>
      <c r="D69" s="165">
        <v>2500</v>
      </c>
      <c r="E69" s="164"/>
      <c r="F69" s="219" t="s">
        <v>404</v>
      </c>
      <c r="G69" s="164"/>
      <c r="H69" s="165">
        <v>2500</v>
      </c>
      <c r="I69" s="273"/>
      <c r="J69" s="150"/>
      <c r="K69" s="150"/>
    </row>
    <row r="70" spans="1:11" x14ac:dyDescent="0.25">
      <c r="A70" s="150"/>
      <c r="B70" s="219">
        <v>43445</v>
      </c>
      <c r="C70" s="164"/>
      <c r="D70" s="165">
        <v>100000</v>
      </c>
      <c r="E70" s="164"/>
      <c r="F70" s="219">
        <v>43445</v>
      </c>
      <c r="G70" s="164"/>
      <c r="H70" s="165">
        <v>100000</v>
      </c>
      <c r="I70" s="273"/>
      <c r="J70" s="150"/>
      <c r="K70" s="150"/>
    </row>
    <row r="71" spans="1:11" x14ac:dyDescent="0.25">
      <c r="A71" s="150"/>
      <c r="B71" s="219"/>
      <c r="C71" s="164"/>
      <c r="D71" s="165"/>
      <c r="E71" s="164"/>
      <c r="F71" s="219"/>
      <c r="G71" s="164"/>
      <c r="H71" s="165"/>
      <c r="I71" s="273"/>
      <c r="J71" s="150"/>
      <c r="K71" s="150"/>
    </row>
    <row r="72" spans="1:11" x14ac:dyDescent="0.25">
      <c r="A72" s="150"/>
      <c r="B72" s="164"/>
      <c r="C72" s="164"/>
      <c r="D72" s="164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C60+C62+C63+C64-D61</f>
        <v>182341.34230528004</v>
      </c>
      <c r="D74" s="318">
        <f>SUM(D67:D73)</f>
        <v>107450</v>
      </c>
      <c r="E74" s="318">
        <f>C74-D74</f>
        <v>74891.342305280035</v>
      </c>
      <c r="F74" s="166" t="s">
        <v>193</v>
      </c>
      <c r="G74" s="317">
        <f>G60+G62+G63+G64-H61</f>
        <v>182707.27520000003</v>
      </c>
      <c r="H74" s="318">
        <f>SUM(H67:H73)</f>
        <v>107450</v>
      </c>
      <c r="I74" s="318">
        <f>G74-H74</f>
        <v>75257.275200000033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E76" s="150" t="s">
        <v>72</v>
      </c>
      <c r="H76" s="150" t="s">
        <v>73</v>
      </c>
      <c r="I76" s="269"/>
      <c r="J76" s="150"/>
      <c r="K76" s="150"/>
    </row>
    <row r="77" spans="1:11" x14ac:dyDescent="0.25">
      <c r="A77" s="150"/>
      <c r="B77" s="150"/>
      <c r="C77" s="150"/>
      <c r="E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E78" s="150" t="s">
        <v>135</v>
      </c>
      <c r="H78" s="150" t="s">
        <v>130</v>
      </c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13" workbookViewId="0">
      <selection activeCell="F64" sqref="F64"/>
    </sheetView>
  </sheetViews>
  <sheetFormatPr defaultRowHeight="15" x14ac:dyDescent="0.25"/>
  <cols>
    <col min="1" max="1" width="4.7109375" customWidth="1"/>
    <col min="2" max="2" width="13.7109375" customWidth="1"/>
    <col min="3" max="3" width="11.7109375" customWidth="1"/>
    <col min="4" max="4" width="13.140625" customWidth="1"/>
    <col min="7" max="7" width="10.57031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6.25" x14ac:dyDescent="0.25">
      <c r="A3" s="8"/>
      <c r="B3" s="9"/>
      <c r="C3" s="64" t="s">
        <v>146</v>
      </c>
      <c r="D3" s="11"/>
      <c r="E3" s="11"/>
      <c r="F3" s="11"/>
      <c r="G3" s="103"/>
      <c r="H3" s="103"/>
      <c r="I3" s="103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15" t="s">
        <v>14</v>
      </c>
      <c r="K4" s="15" t="s">
        <v>15</v>
      </c>
      <c r="L4" s="15" t="s">
        <v>16</v>
      </c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  <c r="J5" s="18"/>
      <c r="K5" s="18">
        <v>0</v>
      </c>
      <c r="L5" s="18">
        <f>G5-H5-I5</f>
        <v>0</v>
      </c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  <c r="J6" s="18"/>
      <c r="K6" s="18"/>
      <c r="L6" s="18">
        <f t="shared" ref="L6:L28" si="1">G6-H6-I6</f>
        <v>0</v>
      </c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  <c r="J7" s="68"/>
      <c r="K7" s="68"/>
      <c r="L7" s="18">
        <f t="shared" si="1"/>
        <v>0</v>
      </c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74"/>
      <c r="K8" s="75"/>
      <c r="L8" s="18">
        <f t="shared" si="1"/>
        <v>0</v>
      </c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  <c r="J10" s="74"/>
      <c r="K10" s="75"/>
      <c r="L10" s="18">
        <f t="shared" si="1"/>
        <v>-1500</v>
      </c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  <c r="J11" s="74"/>
      <c r="K11" s="76"/>
      <c r="L11" s="18">
        <f t="shared" si="1"/>
        <v>0</v>
      </c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  <c r="J12" s="113"/>
      <c r="K12" s="113"/>
      <c r="L12" s="18">
        <f t="shared" si="1"/>
        <v>-2600</v>
      </c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  <c r="J13" s="18">
        <v>0</v>
      </c>
      <c r="K13" s="18">
        <v>0</v>
      </c>
      <c r="L13" s="18">
        <f t="shared" si="1"/>
        <v>0</v>
      </c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/>
      <c r="K14" s="18">
        <v>0</v>
      </c>
      <c r="L14" s="18">
        <f t="shared" si="1"/>
        <v>0</v>
      </c>
    </row>
    <row r="15" spans="1:12" x14ac:dyDescent="0.25">
      <c r="A15" s="16">
        <v>11</v>
      </c>
      <c r="B15" s="116" t="s">
        <v>88</v>
      </c>
      <c r="C15" s="17" t="s">
        <v>38</v>
      </c>
      <c r="D15" s="18">
        <v>0</v>
      </c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>
        <v>0</v>
      </c>
      <c r="K15" s="18">
        <v>0</v>
      </c>
      <c r="L15" s="18">
        <f t="shared" si="1"/>
        <v>0</v>
      </c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/>
      <c r="K16" s="18">
        <v>0</v>
      </c>
      <c r="L16" s="18">
        <f t="shared" si="1"/>
        <v>0</v>
      </c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>
        <v>0</v>
      </c>
      <c r="K17" s="18">
        <v>0</v>
      </c>
      <c r="L17" s="18">
        <f t="shared" si="1"/>
        <v>0</v>
      </c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/>
      <c r="K18" s="18"/>
      <c r="L18" s="18">
        <f t="shared" si="1"/>
        <v>0</v>
      </c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>
        <v>0</v>
      </c>
      <c r="L19" s="18">
        <f t="shared" si="1"/>
        <v>0</v>
      </c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>
        <v>0</v>
      </c>
      <c r="K20" s="18">
        <v>0</v>
      </c>
      <c r="L20" s="18">
        <f t="shared" si="1"/>
        <v>0</v>
      </c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  <c r="J21" s="22"/>
      <c r="K21" s="113"/>
      <c r="L21" s="18">
        <f t="shared" si="1"/>
        <v>0</v>
      </c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  <c r="J25" s="22"/>
      <c r="K25" s="113"/>
      <c r="L25" s="18">
        <f t="shared" si="1"/>
        <v>-3000</v>
      </c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  <c r="J26" s="22"/>
      <c r="K26" s="113"/>
      <c r="L26" s="18">
        <f t="shared" si="1"/>
        <v>0</v>
      </c>
    </row>
    <row r="27" spans="1:12" x14ac:dyDescent="0.25">
      <c r="A27" s="21">
        <v>23</v>
      </c>
      <c r="B27" s="118" t="s">
        <v>61</v>
      </c>
      <c r="C27" s="17" t="s">
        <v>62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  <c r="J28" s="35"/>
      <c r="K28" s="36"/>
      <c r="L28" s="18">
        <f t="shared" si="1"/>
        <v>0</v>
      </c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18"/>
      <c r="K29" s="18"/>
      <c r="L29" s="18"/>
    </row>
    <row r="30" spans="1:12" x14ac:dyDescent="0.25">
      <c r="A30" s="38"/>
      <c r="B30" s="39" t="s">
        <v>65</v>
      </c>
      <c r="C30" s="38"/>
      <c r="D30" s="18">
        <v>0</v>
      </c>
      <c r="E30" s="40">
        <f>SUM(E5:E29)</f>
        <v>64000</v>
      </c>
      <c r="F30" s="42">
        <f>SUM(F5:F28)</f>
        <v>2300</v>
      </c>
      <c r="G30" s="18">
        <f>SUM(G5:G29)</f>
        <v>66300</v>
      </c>
      <c r="H30" s="40">
        <f>SUM(H5:H29)</f>
        <v>71300</v>
      </c>
      <c r="I30" s="40">
        <f>SUM(I5:I28)</f>
        <v>2100</v>
      </c>
      <c r="J30" s="41">
        <f>SUM(J5:J20)</f>
        <v>0</v>
      </c>
      <c r="K30" s="41">
        <f>SUM(K5:K20)</f>
        <v>0</v>
      </c>
      <c r="L30" s="42">
        <f>SUM(L5:L20)</f>
        <v>-4100</v>
      </c>
    </row>
    <row r="31" spans="1:12" x14ac:dyDescent="0.25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/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/>
      <c r="K34" s="78"/>
      <c r="L34" s="78"/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>
        <v>0</v>
      </c>
      <c r="D36" s="86">
        <v>0</v>
      </c>
      <c r="E36" s="85"/>
      <c r="F36" s="86"/>
      <c r="G36" s="86"/>
      <c r="H36" s="113"/>
      <c r="I36" s="78"/>
      <c r="J36" s="78"/>
      <c r="K36" s="78"/>
      <c r="L36" s="78"/>
    </row>
    <row r="37" spans="1:12" x14ac:dyDescent="0.25">
      <c r="A37" s="83" t="s">
        <v>110</v>
      </c>
      <c r="B37" s="121" t="s">
        <v>111</v>
      </c>
      <c r="C37" s="85">
        <v>0</v>
      </c>
      <c r="D37" s="86"/>
      <c r="E37" s="85"/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107</v>
      </c>
      <c r="C40" s="94"/>
      <c r="D40" s="92">
        <v>0</v>
      </c>
      <c r="E40" s="94"/>
      <c r="F40" s="95"/>
      <c r="G40" s="115"/>
      <c r="H40" s="113"/>
      <c r="I40" s="78"/>
      <c r="J40" s="78"/>
      <c r="K40" s="78"/>
      <c r="L40" s="78"/>
    </row>
    <row r="41" spans="1:12" x14ac:dyDescent="0.25">
      <c r="A41" s="83" t="s">
        <v>119</v>
      </c>
      <c r="B41" s="120" t="s">
        <v>120</v>
      </c>
      <c r="C41" s="85">
        <v>0</v>
      </c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122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126</v>
      </c>
      <c r="C44" s="85"/>
      <c r="D44" s="92">
        <v>0</v>
      </c>
      <c r="E44" s="85">
        <v>1500</v>
      </c>
      <c r="F44" s="86">
        <v>1500</v>
      </c>
      <c r="G44" s="98">
        <v>1500</v>
      </c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78"/>
      <c r="L46" s="78"/>
    </row>
    <row r="47" spans="1:12" x14ac:dyDescent="0.25">
      <c r="A47" s="97"/>
      <c r="B47" s="97"/>
      <c r="C47" s="98"/>
      <c r="D47" s="100"/>
      <c r="E47" s="98">
        <f>SUM(E35:E46)</f>
        <v>14500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/>
      <c r="D49" s="86">
        <v>4500</v>
      </c>
      <c r="E49" s="86">
        <v>4500</v>
      </c>
      <c r="F49" s="86">
        <v>4500</v>
      </c>
      <c r="G49" s="86">
        <v>4500</v>
      </c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>
        <v>4500</v>
      </c>
      <c r="E50" s="85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107</v>
      </c>
      <c r="C52" s="85"/>
      <c r="D52" s="86"/>
      <c r="E52" s="85"/>
      <c r="F52" s="86"/>
      <c r="G52" s="86"/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>
        <v>4500</v>
      </c>
      <c r="E53" s="85">
        <v>4500</v>
      </c>
      <c r="F53" s="86">
        <v>4500</v>
      </c>
      <c r="G53" s="86">
        <v>4500</v>
      </c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/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/>
    </row>
    <row r="57" spans="1:12" x14ac:dyDescent="0.25">
      <c r="A57" s="97"/>
      <c r="B57" s="97"/>
      <c r="C57" s="98"/>
      <c r="D57" s="98">
        <v>27000</v>
      </c>
      <c r="E57" s="98">
        <v>27000</v>
      </c>
      <c r="F57" s="98">
        <v>27000</v>
      </c>
      <c r="G57" s="98">
        <v>27000</v>
      </c>
      <c r="H57" s="78"/>
      <c r="I57" s="78"/>
      <c r="J57" s="78"/>
      <c r="K57" s="78"/>
      <c r="L57" s="78"/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x14ac:dyDescent="0.25">
      <c r="A60" s="50"/>
      <c r="B60" s="46" t="s">
        <v>67</v>
      </c>
      <c r="C60" s="50"/>
      <c r="D60" s="102">
        <f>E30+E47+E57</f>
        <v>105500</v>
      </c>
      <c r="E60" s="78"/>
      <c r="H60" s="78"/>
      <c r="I60" s="78"/>
      <c r="J60" s="79"/>
      <c r="K60" s="50"/>
      <c r="L60" s="78"/>
    </row>
    <row r="61" spans="1:12" x14ac:dyDescent="0.25">
      <c r="A61" s="50"/>
      <c r="B61" s="46" t="s">
        <v>10</v>
      </c>
      <c r="C61" s="78"/>
      <c r="D61" s="79">
        <v>2300</v>
      </c>
      <c r="E61" s="79"/>
      <c r="H61" s="54"/>
      <c r="I61" s="46"/>
      <c r="J61" s="55"/>
      <c r="K61" s="78"/>
      <c r="L61" s="78"/>
    </row>
    <row r="62" spans="1:12" x14ac:dyDescent="0.25">
      <c r="A62" s="78"/>
      <c r="B62" s="46" t="s">
        <v>69</v>
      </c>
      <c r="C62" s="78"/>
      <c r="D62" s="102">
        <f>D60</f>
        <v>105500</v>
      </c>
      <c r="E62" s="78"/>
      <c r="H62" s="78"/>
      <c r="I62" s="78"/>
      <c r="J62" s="78"/>
      <c r="K62" s="78"/>
      <c r="L62" s="78"/>
    </row>
    <row r="63" spans="1:12" x14ac:dyDescent="0.25">
      <c r="A63" s="50"/>
      <c r="B63" s="57" t="s">
        <v>70</v>
      </c>
      <c r="C63" s="46"/>
      <c r="D63" s="78"/>
      <c r="H63" s="79" t="s">
        <v>72</v>
      </c>
      <c r="I63" s="78"/>
      <c r="J63" s="78"/>
      <c r="K63" s="79" t="s">
        <v>73</v>
      </c>
      <c r="L63" s="78"/>
    </row>
    <row r="64" spans="1:12" x14ac:dyDescent="0.25">
      <c r="A64" s="50" t="s">
        <v>102</v>
      </c>
      <c r="B64" s="77">
        <v>0.08</v>
      </c>
      <c r="C64" s="46"/>
      <c r="D64" s="102">
        <f>D62*B64</f>
        <v>8440</v>
      </c>
      <c r="E64" s="79" t="s">
        <v>71</v>
      </c>
      <c r="F64" s="79"/>
      <c r="G64" s="102">
        <f>D73+I60</f>
        <v>15000</v>
      </c>
      <c r="H64" s="78"/>
      <c r="I64" s="79"/>
      <c r="J64" s="78"/>
      <c r="K64" s="78"/>
      <c r="L64" s="78"/>
    </row>
    <row r="65" spans="1:12" x14ac:dyDescent="0.25">
      <c r="A65" s="50"/>
      <c r="B65" s="50"/>
      <c r="C65" s="46"/>
      <c r="D65" s="126"/>
      <c r="E65" s="79" t="s">
        <v>134</v>
      </c>
      <c r="F65" s="79"/>
      <c r="G65" s="78"/>
      <c r="H65" s="79" t="s">
        <v>75</v>
      </c>
      <c r="I65" s="78"/>
      <c r="J65" s="78"/>
      <c r="K65" s="79" t="s">
        <v>76</v>
      </c>
      <c r="L65" s="78"/>
    </row>
    <row r="66" spans="1:12" x14ac:dyDescent="0.25">
      <c r="A66" s="50"/>
      <c r="B66" s="128" t="s">
        <v>142</v>
      </c>
      <c r="C66" s="46"/>
      <c r="D66" s="102"/>
      <c r="E66" s="59" t="s">
        <v>78</v>
      </c>
      <c r="F66" s="79"/>
      <c r="G66" s="78"/>
      <c r="H66" s="79" t="s">
        <v>79</v>
      </c>
      <c r="I66" s="79"/>
      <c r="J66" s="78"/>
      <c r="K66" s="79" t="s">
        <v>80</v>
      </c>
      <c r="L66" s="78"/>
    </row>
    <row r="67" spans="1:12" x14ac:dyDescent="0.25">
      <c r="A67" s="50"/>
      <c r="B67" s="78" t="s">
        <v>137</v>
      </c>
      <c r="C67" s="46"/>
      <c r="D67" s="102">
        <f>D62-D64</f>
        <v>97060</v>
      </c>
      <c r="E67" s="78"/>
      <c r="F67" s="78"/>
      <c r="G67" s="78"/>
      <c r="H67" s="78"/>
      <c r="I67" s="78"/>
      <c r="J67" s="78"/>
      <c r="K67" s="78"/>
      <c r="L67" s="78"/>
    </row>
    <row r="68" spans="1:12" x14ac:dyDescent="0.25">
      <c r="A68" s="50"/>
      <c r="B68" s="78" t="s">
        <v>10</v>
      </c>
      <c r="C68" s="46"/>
      <c r="D68" s="102">
        <v>2300</v>
      </c>
      <c r="E68" s="78"/>
      <c r="F68" s="78"/>
      <c r="G68" s="78"/>
      <c r="H68" s="78"/>
      <c r="I68" s="78"/>
      <c r="J68" s="78"/>
      <c r="K68" s="78"/>
      <c r="L68" s="78"/>
    </row>
    <row r="69" spans="1:12" s="78" customFormat="1" ht="17.25" x14ac:dyDescent="0.4">
      <c r="A69" s="50"/>
      <c r="B69" s="78" t="s">
        <v>141</v>
      </c>
      <c r="C69" s="46"/>
      <c r="D69" s="129">
        <v>3000</v>
      </c>
    </row>
    <row r="70" spans="1:12" ht="17.25" x14ac:dyDescent="0.4">
      <c r="A70" s="50"/>
      <c r="C70" s="46"/>
      <c r="D70" s="129">
        <f>SUM(D67:D69)</f>
        <v>102360</v>
      </c>
      <c r="E70" s="78"/>
      <c r="F70" s="78"/>
      <c r="G70" s="78"/>
      <c r="H70" s="78"/>
      <c r="I70" s="78"/>
      <c r="J70" s="78"/>
      <c r="K70" s="78"/>
      <c r="L70" s="78"/>
    </row>
    <row r="71" spans="1:12" s="78" customFormat="1" x14ac:dyDescent="0.25">
      <c r="A71" s="50"/>
      <c r="B71" s="78" t="s">
        <v>70</v>
      </c>
      <c r="C71" s="46"/>
      <c r="D71" s="102"/>
    </row>
    <row r="72" spans="1:12" x14ac:dyDescent="0.25">
      <c r="A72" s="78"/>
      <c r="B72" s="78" t="s">
        <v>136</v>
      </c>
      <c r="D72" s="51">
        <v>86000</v>
      </c>
      <c r="E72" s="79"/>
      <c r="F72" s="78"/>
      <c r="G72" s="78"/>
      <c r="H72" s="78"/>
      <c r="I72" s="78"/>
      <c r="J72" s="78"/>
      <c r="K72" s="78"/>
      <c r="L72" s="78"/>
    </row>
    <row r="73" spans="1:12" x14ac:dyDescent="0.25">
      <c r="A73" s="79" t="s">
        <v>131</v>
      </c>
      <c r="B73" s="78" t="s">
        <v>136</v>
      </c>
      <c r="D73" s="102">
        <v>15000</v>
      </c>
      <c r="E73" s="79"/>
      <c r="F73" s="79" t="s">
        <v>135</v>
      </c>
      <c r="G73" s="79"/>
      <c r="H73" s="79" t="s">
        <v>130</v>
      </c>
      <c r="I73" s="78"/>
      <c r="J73" s="78"/>
      <c r="K73" s="78"/>
      <c r="L73" s="78"/>
    </row>
    <row r="74" spans="1:12" x14ac:dyDescent="0.25">
      <c r="C74" s="102"/>
      <c r="D74" s="102">
        <f>SUM(D72:D73)</f>
        <v>101000</v>
      </c>
      <c r="E74" s="78"/>
      <c r="F74" s="79" t="s">
        <v>132</v>
      </c>
      <c r="G74" s="79"/>
      <c r="H74" s="79" t="s">
        <v>133</v>
      </c>
      <c r="I74" s="78"/>
      <c r="J74" s="78"/>
      <c r="K74" s="78"/>
      <c r="L74" s="78"/>
    </row>
    <row r="76" spans="1:12" x14ac:dyDescent="0.25">
      <c r="B76" s="78" t="s">
        <v>137</v>
      </c>
      <c r="D76" s="102">
        <f>D70-D74</f>
        <v>1360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52" workbookViewId="0">
      <selection activeCell="G61" sqref="G61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406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270" t="s">
        <v>3</v>
      </c>
      <c r="B4" s="270" t="s">
        <v>4</v>
      </c>
      <c r="C4" s="270" t="s">
        <v>5</v>
      </c>
      <c r="D4" s="270" t="s">
        <v>239</v>
      </c>
      <c r="E4" s="270" t="s">
        <v>9</v>
      </c>
      <c r="F4" s="271" t="s">
        <v>10</v>
      </c>
      <c r="G4" s="271" t="s">
        <v>11</v>
      </c>
      <c r="H4" s="272" t="s">
        <v>12</v>
      </c>
      <c r="I4" s="273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5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91" t="s">
        <v>348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218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409</v>
      </c>
      <c r="C11" s="274" t="s">
        <v>30</v>
      </c>
      <c r="D11" s="275"/>
      <c r="E11" s="275">
        <v>5000</v>
      </c>
      <c r="F11" s="275">
        <v>100</v>
      </c>
      <c r="G11" s="276">
        <f t="shared" si="0"/>
        <v>5100</v>
      </c>
      <c r="H11" s="277">
        <v>5000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5000</v>
      </c>
      <c r="F12" s="275">
        <v>100</v>
      </c>
      <c r="G12" s="276">
        <f t="shared" ref="G12:G17" si="2">D12+E12+F12</f>
        <v>5100</v>
      </c>
      <c r="H12" s="277">
        <v>5000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80">
        <v>5000</v>
      </c>
      <c r="F13" s="280">
        <v>100</v>
      </c>
      <c r="G13" s="329">
        <f t="shared" si="2"/>
        <v>5100</v>
      </c>
      <c r="H13" s="329">
        <v>5000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5000</v>
      </c>
      <c r="F14" s="275">
        <v>100</v>
      </c>
      <c r="G14" s="276">
        <f>D14+E14+F14</f>
        <v>5100</v>
      </c>
      <c r="H14" s="276">
        <v>5000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C15" s="328" t="s">
        <v>38</v>
      </c>
      <c r="D15" s="113"/>
      <c r="E15" s="113"/>
      <c r="F15" s="113"/>
      <c r="G15" s="276">
        <f>D15+E15+F15</f>
        <v>0</v>
      </c>
      <c r="H15" s="113"/>
      <c r="I15" s="273">
        <f>G15-H15</f>
        <v>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/>
      <c r="E17" s="275">
        <v>2500</v>
      </c>
      <c r="F17" s="275">
        <v>100</v>
      </c>
      <c r="G17" s="276">
        <f t="shared" si="2"/>
        <v>2600</v>
      </c>
      <c r="H17" s="276">
        <v>2000</v>
      </c>
      <c r="I17" s="273">
        <f t="shared" si="1"/>
        <v>600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>
        <v>1750</v>
      </c>
      <c r="I18" s="273">
        <f t="shared" si="1"/>
        <v>850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218"/>
      <c r="C20" s="274" t="s">
        <v>48</v>
      </c>
      <c r="D20" s="275"/>
      <c r="E20" s="275"/>
      <c r="F20" s="275"/>
      <c r="G20" s="276">
        <f t="shared" si="3"/>
        <v>0</v>
      </c>
      <c r="H20" s="277"/>
      <c r="I20" s="273">
        <f t="shared" si="1"/>
        <v>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/>
      <c r="E22" s="280">
        <v>3000</v>
      </c>
      <c r="F22" s="281">
        <v>100</v>
      </c>
      <c r="G22" s="276">
        <f>D22+E22+F22</f>
        <v>3100</v>
      </c>
      <c r="H22" s="277"/>
      <c r="I22" s="273">
        <f t="shared" si="1"/>
        <v>3100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>
        <v>3000</v>
      </c>
      <c r="E23" s="280">
        <v>3000</v>
      </c>
      <c r="F23" s="281">
        <v>100</v>
      </c>
      <c r="G23" s="276">
        <f>D23+E23+F23</f>
        <v>6100</v>
      </c>
      <c r="H23" s="277">
        <v>6000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65</v>
      </c>
      <c r="C30" s="293"/>
      <c r="D30" s="295"/>
      <c r="E30" s="208">
        <f>SUM(E5:E29)</f>
        <v>69000</v>
      </c>
      <c r="F30" s="240">
        <f>SUM(F5:F29)</f>
        <v>2200</v>
      </c>
      <c r="G30" s="289"/>
      <c r="H30" s="316">
        <f>SUM(H5:H29)</f>
        <v>67750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53" t="s">
        <v>3</v>
      </c>
      <c r="B32" s="353" t="s">
        <v>4</v>
      </c>
      <c r="C32" s="353" t="s">
        <v>104</v>
      </c>
      <c r="D32" s="353" t="s">
        <v>8</v>
      </c>
      <c r="E32" s="353" t="s">
        <v>9</v>
      </c>
      <c r="F32" s="354" t="s">
        <v>11</v>
      </c>
      <c r="G32" s="353" t="s">
        <v>12</v>
      </c>
      <c r="H32" s="355" t="s">
        <v>105</v>
      </c>
      <c r="I32" s="319"/>
      <c r="J32" s="150"/>
      <c r="K32" s="150"/>
    </row>
    <row r="33" spans="1:11" x14ac:dyDescent="0.25">
      <c r="A33" s="83" t="s">
        <v>106</v>
      </c>
      <c r="B33" s="249"/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2500</v>
      </c>
      <c r="H35" s="319">
        <f t="shared" si="5"/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500</v>
      </c>
      <c r="E36" s="321">
        <v>2500</v>
      </c>
      <c r="F36" s="232">
        <f t="shared" si="4"/>
        <v>3000</v>
      </c>
      <c r="G36" s="319">
        <v>2300</v>
      </c>
      <c r="H36" s="319">
        <f t="shared" si="5"/>
        <v>700</v>
      </c>
      <c r="I36" s="319"/>
      <c r="J36" s="150"/>
      <c r="K36" s="150"/>
    </row>
    <row r="37" spans="1:11" x14ac:dyDescent="0.25">
      <c r="A37" s="99" t="s">
        <v>114</v>
      </c>
      <c r="B37" s="200" t="s">
        <v>376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383</v>
      </c>
      <c r="C40" s="85"/>
      <c r="D40" s="232"/>
      <c r="E40" s="320"/>
      <c r="F40" s="232"/>
      <c r="G40" s="234"/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16500</v>
      </c>
      <c r="F43" s="240">
        <f>SUM(F33:F42)</f>
        <v>17000</v>
      </c>
      <c r="G43" s="240">
        <f>SUM(G33:G42)</f>
        <v>16300</v>
      </c>
      <c r="H43" s="323">
        <f>SUM(H33:H42)</f>
        <v>700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ht="18.75" x14ac:dyDescent="0.25">
      <c r="A45" s="562" t="s">
        <v>247</v>
      </c>
      <c r="B45" s="563"/>
      <c r="C45" s="563"/>
      <c r="D45" s="563"/>
      <c r="E45" s="563"/>
      <c r="F45" s="563"/>
      <c r="G45" s="563"/>
      <c r="H45" s="563"/>
      <c r="I45" s="273">
        <f t="shared" si="1"/>
        <v>0</v>
      </c>
      <c r="J45" s="150"/>
      <c r="K45" s="150"/>
    </row>
    <row r="46" spans="1:11" x14ac:dyDescent="0.25">
      <c r="A46" s="166"/>
      <c r="B46" s="166"/>
      <c r="C46" s="166"/>
      <c r="D46" s="166"/>
      <c r="E46" s="166" t="s">
        <v>9</v>
      </c>
      <c r="F46" s="166" t="s">
        <v>11</v>
      </c>
      <c r="G46" s="166" t="s">
        <v>12</v>
      </c>
      <c r="H46" s="166" t="s">
        <v>306</v>
      </c>
      <c r="I46" s="318"/>
      <c r="J46" s="150"/>
      <c r="K46" s="150"/>
    </row>
    <row r="47" spans="1:11" x14ac:dyDescent="0.25">
      <c r="A47" s="83">
        <v>1</v>
      </c>
      <c r="B47" s="191" t="s">
        <v>313</v>
      </c>
      <c r="C47" s="85"/>
      <c r="D47" s="86"/>
      <c r="E47" s="232">
        <v>3500</v>
      </c>
      <c r="F47" s="232">
        <f t="shared" ref="F47:F53" si="6">SUM(D47:E47)</f>
        <v>3500</v>
      </c>
      <c r="G47" s="232">
        <v>3500</v>
      </c>
      <c r="H47" s="273">
        <f>F47-G47</f>
        <v>0</v>
      </c>
      <c r="I47" s="273"/>
      <c r="J47" s="150"/>
      <c r="K47" s="150"/>
    </row>
    <row r="48" spans="1:11" x14ac:dyDescent="0.25">
      <c r="A48" s="83">
        <v>2</v>
      </c>
      <c r="B48" s="110" t="s">
        <v>399</v>
      </c>
      <c r="C48" s="113"/>
      <c r="D48" s="113"/>
      <c r="E48" s="110">
        <v>4000</v>
      </c>
      <c r="F48" s="232">
        <f t="shared" si="6"/>
        <v>4000</v>
      </c>
      <c r="G48" s="110">
        <v>4000</v>
      </c>
      <c r="H48" s="273">
        <f t="shared" ref="H48:H53" si="7">F48-G48</f>
        <v>0</v>
      </c>
      <c r="I48" s="273"/>
      <c r="J48" s="150"/>
      <c r="K48" s="150"/>
    </row>
    <row r="49" spans="1:12" x14ac:dyDescent="0.25">
      <c r="A49" s="83">
        <v>3</v>
      </c>
      <c r="B49" s="191" t="s">
        <v>411</v>
      </c>
      <c r="C49" s="85"/>
      <c r="D49" s="86"/>
      <c r="E49" s="231">
        <v>8000</v>
      </c>
      <c r="F49" s="232">
        <f t="shared" si="6"/>
        <v>8000</v>
      </c>
      <c r="G49" s="232">
        <v>8000</v>
      </c>
      <c r="H49" s="273">
        <f t="shared" si="7"/>
        <v>0</v>
      </c>
      <c r="I49" s="273"/>
      <c r="J49" s="150"/>
      <c r="K49" s="150"/>
    </row>
    <row r="50" spans="1:12" x14ac:dyDescent="0.25">
      <c r="A50" s="83">
        <v>4</v>
      </c>
      <c r="B50" s="191" t="s">
        <v>350</v>
      </c>
      <c r="C50" s="86"/>
      <c r="D50" s="150"/>
      <c r="E50" s="231">
        <v>4000</v>
      </c>
      <c r="F50" s="232">
        <f t="shared" si="6"/>
        <v>4000</v>
      </c>
      <c r="G50" s="232">
        <v>4000</v>
      </c>
      <c r="H50" s="273">
        <f t="shared" si="7"/>
        <v>0</v>
      </c>
      <c r="I50" s="273"/>
      <c r="J50" s="150"/>
      <c r="K50" s="150"/>
    </row>
    <row r="51" spans="1:12" x14ac:dyDescent="0.25">
      <c r="A51" s="99">
        <v>5</v>
      </c>
      <c r="B51" s="191" t="s">
        <v>392</v>
      </c>
      <c r="C51" s="85"/>
      <c r="D51" s="86"/>
      <c r="E51" s="231">
        <v>4000</v>
      </c>
      <c r="F51" s="232">
        <f t="shared" si="6"/>
        <v>4000</v>
      </c>
      <c r="G51" s="232">
        <v>4000</v>
      </c>
      <c r="H51" s="273">
        <f t="shared" si="7"/>
        <v>0</v>
      </c>
      <c r="I51" s="273"/>
      <c r="J51" s="150"/>
      <c r="K51" s="150"/>
    </row>
    <row r="52" spans="1:12" x14ac:dyDescent="0.25">
      <c r="A52" s="93">
        <v>6</v>
      </c>
      <c r="B52" s="218" t="s">
        <v>391</v>
      </c>
      <c r="C52" s="85"/>
      <c r="D52" s="86"/>
      <c r="E52" s="231">
        <v>4000</v>
      </c>
      <c r="F52" s="232">
        <f t="shared" si="6"/>
        <v>4000</v>
      </c>
      <c r="G52" s="232">
        <v>4000</v>
      </c>
      <c r="H52" s="273">
        <f t="shared" si="7"/>
        <v>0</v>
      </c>
      <c r="I52" s="273"/>
      <c r="J52" s="150"/>
      <c r="K52" s="150"/>
    </row>
    <row r="53" spans="1:12" x14ac:dyDescent="0.25">
      <c r="A53" s="83">
        <v>7</v>
      </c>
      <c r="B53" s="210" t="s">
        <v>354</v>
      </c>
      <c r="C53" s="85">
        <v>0</v>
      </c>
      <c r="D53" s="92">
        <v>0</v>
      </c>
      <c r="E53" s="231">
        <v>4000</v>
      </c>
      <c r="F53" s="232">
        <f t="shared" si="6"/>
        <v>4000</v>
      </c>
      <c r="G53" s="232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164"/>
      <c r="B54" s="327"/>
      <c r="C54" s="42"/>
      <c r="D54" s="42"/>
      <c r="E54" s="240">
        <f>SUM(E47:E53)</f>
        <v>31500</v>
      </c>
      <c r="F54" s="322">
        <f>SUM(F47:F53)</f>
        <v>31500</v>
      </c>
      <c r="G54" s="240">
        <f>SUM(G47:G53)</f>
        <v>31500</v>
      </c>
      <c r="H54" s="241">
        <f>SUM(H47:H53)</f>
        <v>0</v>
      </c>
      <c r="I54" s="273"/>
      <c r="J54" s="150"/>
      <c r="K54" s="150"/>
    </row>
    <row r="55" spans="1:12" x14ac:dyDescent="0.25">
      <c r="A55" s="302"/>
      <c r="B55" s="150"/>
      <c r="C55" s="150"/>
      <c r="D55" s="150"/>
      <c r="E55" s="150"/>
      <c r="F55" s="150"/>
      <c r="G55" s="150"/>
      <c r="H55" s="150"/>
      <c r="I55" s="269"/>
      <c r="J55" s="150"/>
      <c r="K55" s="150"/>
    </row>
    <row r="56" spans="1:12" x14ac:dyDescent="0.25">
      <c r="A56" s="175"/>
      <c r="B56" s="150"/>
      <c r="C56" s="150"/>
      <c r="D56" s="150"/>
      <c r="E56" s="150"/>
      <c r="F56" s="150"/>
      <c r="G56" s="150"/>
      <c r="H56" s="150"/>
      <c r="I56" s="269"/>
      <c r="J56" s="150"/>
      <c r="K56" s="150"/>
    </row>
    <row r="57" spans="1:12" x14ac:dyDescent="0.25">
      <c r="A57" s="109"/>
      <c r="B57" s="150"/>
      <c r="C57" s="150"/>
      <c r="D57" s="150"/>
      <c r="E57" s="150"/>
      <c r="F57" s="150"/>
      <c r="G57" s="150"/>
      <c r="H57" s="150"/>
      <c r="I57" s="269"/>
      <c r="J57" s="150"/>
      <c r="K57" s="150"/>
    </row>
    <row r="58" spans="1:12" x14ac:dyDescent="0.25">
      <c r="A58" s="79"/>
      <c r="B58" s="79"/>
      <c r="C58" s="106"/>
      <c r="D58" s="107"/>
      <c r="E58" s="106"/>
      <c r="F58" s="108"/>
      <c r="G58" s="106"/>
      <c r="H58" s="150"/>
      <c r="I58" s="269"/>
      <c r="J58" s="150"/>
      <c r="K58" s="150"/>
    </row>
    <row r="59" spans="1:12" ht="21" x14ac:dyDescent="0.35">
      <c r="A59" s="303"/>
      <c r="B59" s="158" t="s">
        <v>204</v>
      </c>
      <c r="C59" s="158" t="s">
        <v>205</v>
      </c>
      <c r="D59" s="158" t="s">
        <v>207</v>
      </c>
      <c r="E59" s="158" t="s">
        <v>208</v>
      </c>
      <c r="F59" s="158" t="s">
        <v>204</v>
      </c>
      <c r="G59" s="158" t="s">
        <v>205</v>
      </c>
      <c r="H59" s="158" t="s">
        <v>207</v>
      </c>
      <c r="I59" s="222" t="s">
        <v>306</v>
      </c>
      <c r="J59" s="150"/>
      <c r="K59" s="150"/>
      <c r="L59" s="220"/>
    </row>
    <row r="60" spans="1:12" x14ac:dyDescent="0.25">
      <c r="A60" s="304"/>
      <c r="B60" s="211" t="s">
        <v>321</v>
      </c>
      <c r="C60" s="273">
        <f>E30+E43+E54</f>
        <v>117000</v>
      </c>
      <c r="D60" s="164"/>
      <c r="E60" s="164"/>
      <c r="F60" s="211" t="s">
        <v>321</v>
      </c>
      <c r="G60" s="273">
        <f>H30+G43+G54</f>
        <v>115550</v>
      </c>
      <c r="H60" s="164"/>
      <c r="I60" s="273"/>
      <c r="J60" s="150"/>
      <c r="K60" s="150"/>
      <c r="L60" s="220"/>
    </row>
    <row r="61" spans="1:12" x14ac:dyDescent="0.25">
      <c r="A61" s="304"/>
      <c r="B61" s="211" t="s">
        <v>209</v>
      </c>
      <c r="C61" s="307">
        <v>0.08</v>
      </c>
      <c r="D61" s="308">
        <f>C60*C61</f>
        <v>9360</v>
      </c>
      <c r="E61" s="211"/>
      <c r="F61" s="211" t="s">
        <v>209</v>
      </c>
      <c r="G61" s="307">
        <v>0.08</v>
      </c>
      <c r="H61" s="308">
        <f>D61</f>
        <v>9360</v>
      </c>
      <c r="I61" s="273"/>
      <c r="J61" s="150"/>
      <c r="K61" s="150"/>
    </row>
    <row r="62" spans="1:12" x14ac:dyDescent="0.25">
      <c r="A62" s="150"/>
      <c r="B62" s="309" t="s">
        <v>210</v>
      </c>
      <c r="C62" s="211">
        <v>3000</v>
      </c>
      <c r="D62" s="211"/>
      <c r="E62" s="211"/>
      <c r="F62" s="309" t="s">
        <v>210</v>
      </c>
      <c r="G62" s="211">
        <v>3000</v>
      </c>
      <c r="H62" s="211"/>
      <c r="I62" s="273"/>
      <c r="J62" s="150"/>
      <c r="K62" s="150"/>
      <c r="L62" s="220"/>
    </row>
    <row r="63" spans="1:12" x14ac:dyDescent="0.25">
      <c r="A63" s="304"/>
      <c r="B63" s="309" t="s">
        <v>232</v>
      </c>
      <c r="C63" s="308">
        <f>F30</f>
        <v>2200</v>
      </c>
      <c r="D63" s="211"/>
      <c r="E63" s="211"/>
      <c r="F63" s="309" t="s">
        <v>232</v>
      </c>
      <c r="G63" s="308">
        <f>C63</f>
        <v>2200</v>
      </c>
      <c r="H63" s="211"/>
      <c r="I63" s="273"/>
      <c r="J63" s="150"/>
      <c r="K63" s="150"/>
    </row>
    <row r="64" spans="1:12" x14ac:dyDescent="0.25">
      <c r="A64" s="304"/>
      <c r="B64" s="309" t="s">
        <v>239</v>
      </c>
      <c r="C64" s="308">
        <f>NOVE!E74</f>
        <v>78701.342305280035</v>
      </c>
      <c r="D64" s="211"/>
      <c r="E64" s="211"/>
      <c r="F64" s="309" t="s">
        <v>239</v>
      </c>
      <c r="G64" s="308">
        <f>DECEM!I74</f>
        <v>75257.275200000033</v>
      </c>
      <c r="H64" s="211"/>
      <c r="I64" s="273"/>
      <c r="J64" s="150"/>
      <c r="K64" s="150"/>
    </row>
    <row r="65" spans="1:11" x14ac:dyDescent="0.25">
      <c r="A65" s="304"/>
      <c r="B65" s="309" t="s">
        <v>193</v>
      </c>
      <c r="C65" s="308">
        <f>C60+C62+C63+C64</f>
        <v>200901.34230528004</v>
      </c>
      <c r="D65" s="211"/>
      <c r="E65" s="211"/>
      <c r="F65" s="309" t="s">
        <v>193</v>
      </c>
      <c r="G65" s="308">
        <f>G60+G62+G63+G64</f>
        <v>196007.27520000003</v>
      </c>
      <c r="H65" s="211"/>
      <c r="I65" s="273"/>
      <c r="J65" s="150"/>
      <c r="K65" s="150"/>
    </row>
    <row r="66" spans="1:11" x14ac:dyDescent="0.25">
      <c r="A66" s="304"/>
      <c r="B66" s="212" t="s">
        <v>276</v>
      </c>
      <c r="C66" s="307"/>
      <c r="D66" s="214"/>
      <c r="E66" s="211"/>
      <c r="F66" s="212" t="s">
        <v>276</v>
      </c>
      <c r="G66" s="307"/>
      <c r="H66" s="214"/>
      <c r="I66" s="273"/>
      <c r="J66" s="150"/>
      <c r="K66" s="150"/>
    </row>
    <row r="67" spans="1:11" x14ac:dyDescent="0.25">
      <c r="A67" s="304"/>
      <c r="B67" s="309" t="s">
        <v>408</v>
      </c>
      <c r="C67" s="211"/>
      <c r="D67" s="310">
        <v>8400</v>
      </c>
      <c r="E67" s="211"/>
      <c r="F67" s="309" t="s">
        <v>408</v>
      </c>
      <c r="G67" s="211"/>
      <c r="H67" s="310">
        <f>D67</f>
        <v>8400</v>
      </c>
      <c r="I67" s="273"/>
      <c r="J67" s="150"/>
      <c r="K67" s="150"/>
    </row>
    <row r="68" spans="1:11" x14ac:dyDescent="0.25">
      <c r="A68" s="304"/>
      <c r="B68" s="219" t="s">
        <v>413</v>
      </c>
      <c r="C68" s="164"/>
      <c r="D68" s="165">
        <v>2500</v>
      </c>
      <c r="E68" s="211"/>
      <c r="F68" s="219" t="s">
        <v>413</v>
      </c>
      <c r="G68" s="164"/>
      <c r="H68" s="165">
        <v>2500</v>
      </c>
      <c r="I68" s="273"/>
      <c r="J68" s="150"/>
      <c r="K68" s="150"/>
    </row>
    <row r="69" spans="1:11" x14ac:dyDescent="0.25">
      <c r="A69" s="150"/>
      <c r="B69" s="219" t="s">
        <v>414</v>
      </c>
      <c r="C69" s="164"/>
      <c r="D69" s="165">
        <v>2500</v>
      </c>
      <c r="E69" s="164"/>
      <c r="F69" s="219" t="s">
        <v>414</v>
      </c>
      <c r="G69" s="164"/>
      <c r="H69" s="165">
        <v>2500</v>
      </c>
      <c r="I69" s="273"/>
      <c r="J69" s="150"/>
      <c r="K69" s="150"/>
    </row>
    <row r="70" spans="1:11" x14ac:dyDescent="0.25">
      <c r="A70" s="150"/>
      <c r="B70" s="219" t="s">
        <v>415</v>
      </c>
      <c r="C70" s="164"/>
      <c r="D70" s="165">
        <v>110000</v>
      </c>
      <c r="E70" s="164"/>
      <c r="F70" s="219" t="s">
        <v>415</v>
      </c>
      <c r="G70" s="164"/>
      <c r="H70" s="165">
        <v>110000</v>
      </c>
      <c r="I70" s="273"/>
      <c r="J70" s="150"/>
      <c r="K70" s="150"/>
    </row>
    <row r="71" spans="1:11" x14ac:dyDescent="0.25">
      <c r="A71" s="150"/>
      <c r="B71" s="164" t="s">
        <v>416</v>
      </c>
      <c r="C71" s="164"/>
      <c r="D71" s="164">
        <v>20000</v>
      </c>
      <c r="E71" s="164"/>
      <c r="F71" s="164" t="s">
        <v>416</v>
      </c>
      <c r="G71" s="164"/>
      <c r="H71" s="164">
        <v>20000</v>
      </c>
      <c r="I71" s="273"/>
      <c r="J71" s="150"/>
      <c r="K71" s="150"/>
    </row>
    <row r="72" spans="1:11" x14ac:dyDescent="0.25">
      <c r="A72" s="150"/>
      <c r="B72" s="113"/>
      <c r="C72" s="113"/>
      <c r="D72" s="113"/>
      <c r="E72" s="164"/>
      <c r="F72" s="164"/>
      <c r="G72" s="164"/>
      <c r="H72" s="164"/>
      <c r="I72" s="273"/>
      <c r="J72" s="150"/>
      <c r="K72" s="150"/>
    </row>
    <row r="73" spans="1:11" x14ac:dyDescent="0.25">
      <c r="A73" s="150"/>
      <c r="B73" s="219"/>
      <c r="C73" s="164"/>
      <c r="D73" s="165"/>
      <c r="E73" s="164"/>
      <c r="F73" s="219"/>
      <c r="G73" s="164"/>
      <c r="H73" s="165"/>
      <c r="I73" s="273"/>
      <c r="J73" s="150"/>
      <c r="K73" s="150"/>
    </row>
    <row r="74" spans="1:11" x14ac:dyDescent="0.25">
      <c r="A74" s="150"/>
      <c r="B74" s="166" t="s">
        <v>193</v>
      </c>
      <c r="C74" s="317">
        <f>C60+C62+C63+C64-D61</f>
        <v>191541.34230528004</v>
      </c>
      <c r="D74" s="318">
        <f>SUM(D67:D73)</f>
        <v>143400</v>
      </c>
      <c r="E74" s="318">
        <f>C74-D74</f>
        <v>48141.342305280035</v>
      </c>
      <c r="F74" s="166" t="s">
        <v>193</v>
      </c>
      <c r="G74" s="317">
        <f>G60+G62+G63+G64-H61</f>
        <v>186647.27520000003</v>
      </c>
      <c r="H74" s="318">
        <f>SUM(H67:H73)</f>
        <v>143400</v>
      </c>
      <c r="I74" s="318">
        <f>G74-H74</f>
        <v>43247.275200000033</v>
      </c>
      <c r="J74" s="150"/>
      <c r="K74" s="150"/>
    </row>
    <row r="75" spans="1:11" x14ac:dyDescent="0.25">
      <c r="A75" s="150"/>
      <c r="B75" s="150"/>
      <c r="C75" s="150"/>
      <c r="D75" s="150"/>
      <c r="E75" s="150"/>
      <c r="F75" s="150"/>
      <c r="G75" s="79"/>
      <c r="H75" s="150"/>
      <c r="I75" s="269"/>
      <c r="J75" s="150"/>
      <c r="K75" s="150"/>
    </row>
    <row r="76" spans="1:11" x14ac:dyDescent="0.25">
      <c r="A76" s="150"/>
      <c r="B76" s="150" t="s">
        <v>71</v>
      </c>
      <c r="C76" s="79"/>
      <c r="E76" s="150" t="s">
        <v>72</v>
      </c>
      <c r="H76" s="150" t="s">
        <v>73</v>
      </c>
      <c r="I76" s="269"/>
      <c r="J76" s="150"/>
      <c r="K76" s="150"/>
    </row>
    <row r="77" spans="1:11" x14ac:dyDescent="0.25">
      <c r="A77" s="150"/>
      <c r="B77" s="150"/>
      <c r="C77" s="150"/>
      <c r="E77" s="150"/>
      <c r="H77" s="150"/>
      <c r="I77" s="269"/>
      <c r="J77" s="150"/>
      <c r="K77" s="150"/>
    </row>
    <row r="78" spans="1:11" x14ac:dyDescent="0.25">
      <c r="A78" s="150"/>
      <c r="B78" s="150" t="s">
        <v>379</v>
      </c>
      <c r="C78" s="150"/>
      <c r="E78" s="150" t="s">
        <v>135</v>
      </c>
      <c r="H78" s="150" t="s">
        <v>130</v>
      </c>
      <c r="I78" s="269"/>
      <c r="J78" s="150"/>
      <c r="K78" s="150"/>
    </row>
    <row r="79" spans="1:11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</row>
  </sheetData>
  <mergeCells count="2">
    <mergeCell ref="B31:G31"/>
    <mergeCell ref="A45:H45"/>
  </mergeCells>
  <pageMargins left="0.25" right="0.25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16" workbookViewId="0">
      <selection activeCell="I57" sqref="I57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417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332" t="s">
        <v>3</v>
      </c>
      <c r="B4" s="332" t="s">
        <v>4</v>
      </c>
      <c r="C4" s="332" t="s">
        <v>5</v>
      </c>
      <c r="D4" s="332" t="s">
        <v>239</v>
      </c>
      <c r="E4" s="332" t="s">
        <v>9</v>
      </c>
      <c r="F4" s="333" t="s">
        <v>10</v>
      </c>
      <c r="G4" s="333" t="s">
        <v>11</v>
      </c>
      <c r="H4" s="334" t="s">
        <v>12</v>
      </c>
      <c r="I4" s="318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4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10" t="s">
        <v>409</v>
      </c>
      <c r="C8" s="274" t="s">
        <v>24</v>
      </c>
      <c r="D8" s="275">
        <v>0</v>
      </c>
      <c r="E8" s="275">
        <v>2500</v>
      </c>
      <c r="F8" s="275">
        <v>100</v>
      </c>
      <c r="G8" s="276">
        <f t="shared" si="0"/>
        <v>2600</v>
      </c>
      <c r="H8" s="277">
        <v>2500</v>
      </c>
      <c r="I8" s="273">
        <f t="shared" si="1"/>
        <v>100</v>
      </c>
      <c r="J8" s="150"/>
      <c r="K8" s="150"/>
    </row>
    <row r="9" spans="1:11" x14ac:dyDescent="0.25">
      <c r="A9" s="110">
        <v>5</v>
      </c>
      <c r="B9" s="331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16">
        <v>6</v>
      </c>
      <c r="B10" s="191" t="s">
        <v>349</v>
      </c>
      <c r="C10" s="278" t="s">
        <v>28</v>
      </c>
      <c r="D10" s="276"/>
      <c r="E10" s="276">
        <v>2500</v>
      </c>
      <c r="F10" s="276">
        <v>100</v>
      </c>
      <c r="G10" s="276">
        <f t="shared" si="0"/>
        <v>2600</v>
      </c>
      <c r="H10" s="277">
        <v>2500</v>
      </c>
      <c r="I10" s="273">
        <f t="shared" si="1"/>
        <v>100</v>
      </c>
      <c r="J10" s="150"/>
      <c r="K10" s="150"/>
    </row>
    <row r="11" spans="1:11" x14ac:dyDescent="0.25">
      <c r="A11" s="110">
        <v>7</v>
      </c>
      <c r="B11" s="191" t="s">
        <v>409</v>
      </c>
      <c r="C11" s="274" t="s">
        <v>30</v>
      </c>
      <c r="D11" s="275"/>
      <c r="E11" s="275">
        <v>2500</v>
      </c>
      <c r="F11" s="275">
        <v>100</v>
      </c>
      <c r="G11" s="276">
        <f t="shared" si="0"/>
        <v>2600</v>
      </c>
      <c r="H11" s="277">
        <v>2500</v>
      </c>
      <c r="I11" s="273">
        <f t="shared" si="1"/>
        <v>100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75">
        <v>2500</v>
      </c>
      <c r="F13" s="280">
        <v>100</v>
      </c>
      <c r="G13" s="329">
        <f t="shared" si="2"/>
        <v>2600</v>
      </c>
      <c r="H13" s="329">
        <v>2500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2500</v>
      </c>
      <c r="F14" s="275">
        <v>100</v>
      </c>
      <c r="G14" s="276">
        <f>D14+E14+F14</f>
        <v>2600</v>
      </c>
      <c r="H14" s="276">
        <v>2500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B15" s="218" t="s">
        <v>418</v>
      </c>
      <c r="C15" s="328" t="s">
        <v>38</v>
      </c>
      <c r="D15" s="113"/>
      <c r="E15" s="113">
        <v>5000</v>
      </c>
      <c r="F15" s="113">
        <v>100</v>
      </c>
      <c r="G15" s="276">
        <f>D15+E15+F15</f>
        <v>5100</v>
      </c>
      <c r="H15" s="113">
        <v>5000</v>
      </c>
      <c r="I15" s="273">
        <f>G15-H15</f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>
        <v>2500</v>
      </c>
      <c r="I16" s="273">
        <f t="shared" si="1"/>
        <v>100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>
        <v>850</v>
      </c>
      <c r="E17" s="275">
        <v>2500</v>
      </c>
      <c r="F17" s="275">
        <v>100</v>
      </c>
      <c r="G17" s="276">
        <f t="shared" si="2"/>
        <v>3450</v>
      </c>
      <c r="H17" s="276">
        <v>2850</v>
      </c>
      <c r="I17" s="273">
        <f t="shared" si="1"/>
        <v>600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/>
      <c r="E18" s="275">
        <v>2500</v>
      </c>
      <c r="F18" s="275">
        <v>100</v>
      </c>
      <c r="G18" s="276">
        <f>D18+E18+F18</f>
        <v>2600</v>
      </c>
      <c r="H18" s="277"/>
      <c r="I18" s="273">
        <f t="shared" si="1"/>
        <v>2600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191" t="s">
        <v>348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 t="s">
        <v>394</v>
      </c>
      <c r="C22" s="274" t="s">
        <v>52</v>
      </c>
      <c r="D22" s="275">
        <v>3100</v>
      </c>
      <c r="E22" s="280">
        <v>3000</v>
      </c>
      <c r="F22" s="281">
        <v>100</v>
      </c>
      <c r="G22" s="276">
        <f>D22+E22+F22</f>
        <v>6200</v>
      </c>
      <c r="H22" s="277">
        <v>6000</v>
      </c>
      <c r="I22" s="273">
        <f t="shared" si="1"/>
        <v>200</v>
      </c>
      <c r="J22" s="150" t="s">
        <v>425</v>
      </c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8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193</v>
      </c>
      <c r="C30" s="293"/>
      <c r="D30" s="295"/>
      <c r="E30" s="208">
        <f>SUM(E5:E29)</f>
        <v>66500</v>
      </c>
      <c r="F30" s="240">
        <f>SUM(F5:F29)</f>
        <v>2400</v>
      </c>
      <c r="G30" s="289"/>
      <c r="H30" s="316">
        <f>SUM(H5:H29)</f>
        <v>67350</v>
      </c>
      <c r="I30" s="273"/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35" t="s">
        <v>3</v>
      </c>
      <c r="B32" s="335" t="s">
        <v>4</v>
      </c>
      <c r="C32" s="335" t="s">
        <v>104</v>
      </c>
      <c r="D32" s="335" t="s">
        <v>8</v>
      </c>
      <c r="E32" s="335" t="s">
        <v>9</v>
      </c>
      <c r="F32" s="336" t="s">
        <v>11</v>
      </c>
      <c r="G32" s="335" t="s">
        <v>12</v>
      </c>
      <c r="H32" s="337" t="s">
        <v>105</v>
      </c>
      <c r="I32" s="338"/>
      <c r="J32" s="150"/>
      <c r="K32" s="150"/>
    </row>
    <row r="33" spans="1:11" x14ac:dyDescent="0.25">
      <c r="A33" s="83" t="s">
        <v>106</v>
      </c>
      <c r="B33" s="249" t="s">
        <v>428</v>
      </c>
      <c r="C33" s="85"/>
      <c r="D33" s="232"/>
      <c r="E33" s="320"/>
      <c r="F33" s="232">
        <f>D33+E33</f>
        <v>0</v>
      </c>
      <c r="G33" s="234"/>
      <c r="H33" s="319">
        <f>F33-G33</f>
        <v>0</v>
      </c>
      <c r="I33" s="319"/>
      <c r="J33" s="150"/>
      <c r="K33" s="150"/>
    </row>
    <row r="34" spans="1:11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1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2500</v>
      </c>
      <c r="H35" s="319">
        <f t="shared" si="5"/>
        <v>0</v>
      </c>
      <c r="I35" s="319"/>
      <c r="J35" s="150"/>
      <c r="K35" s="150"/>
    </row>
    <row r="36" spans="1:11" x14ac:dyDescent="0.25">
      <c r="A36" s="87" t="s">
        <v>112</v>
      </c>
      <c r="B36" s="200" t="s">
        <v>364</v>
      </c>
      <c r="C36" s="110"/>
      <c r="D36" s="319">
        <v>700</v>
      </c>
      <c r="E36" s="321">
        <v>2500</v>
      </c>
      <c r="F36" s="232">
        <f t="shared" si="4"/>
        <v>3200</v>
      </c>
      <c r="G36" s="319">
        <v>2000</v>
      </c>
      <c r="H36" s="319">
        <f t="shared" si="5"/>
        <v>1200</v>
      </c>
      <c r="I36" s="319"/>
      <c r="J36" s="150"/>
      <c r="K36" s="150"/>
    </row>
    <row r="37" spans="1:11" x14ac:dyDescent="0.25">
      <c r="A37" s="99" t="s">
        <v>114</v>
      </c>
      <c r="B37" s="200"/>
      <c r="C37" s="85"/>
      <c r="D37" s="232"/>
      <c r="E37" s="320"/>
      <c r="F37" s="232">
        <f>D37+E37</f>
        <v>0</v>
      </c>
      <c r="G37" s="234"/>
      <c r="H37" s="319">
        <f>F37-G37</f>
        <v>0</v>
      </c>
      <c r="I37" s="319"/>
      <c r="J37" s="150"/>
      <c r="K37" s="150"/>
    </row>
    <row r="38" spans="1:11" x14ac:dyDescent="0.25">
      <c r="A38" s="93" t="s">
        <v>116</v>
      </c>
      <c r="B38" s="249" t="s">
        <v>365</v>
      </c>
      <c r="C38" s="110"/>
      <c r="D38" s="319"/>
      <c r="E38" s="325">
        <v>2500</v>
      </c>
      <c r="F38" s="232">
        <f t="shared" si="4"/>
        <v>2500</v>
      </c>
      <c r="G38" s="326">
        <v>2500</v>
      </c>
      <c r="H38" s="319">
        <f t="shared" si="5"/>
        <v>0</v>
      </c>
      <c r="I38" s="319"/>
      <c r="J38" s="150"/>
      <c r="K38" s="150"/>
    </row>
    <row r="39" spans="1:11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1" x14ac:dyDescent="0.25">
      <c r="A40" s="83" t="s">
        <v>121</v>
      </c>
      <c r="B40" s="249" t="s">
        <v>420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1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1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1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16500</v>
      </c>
      <c r="F43" s="240">
        <f>SUM(F33:F42)</f>
        <v>17200</v>
      </c>
      <c r="G43" s="240">
        <f>SUM(G33:G42)</f>
        <v>16000</v>
      </c>
      <c r="H43" s="323">
        <f>SUM(H33:H42)</f>
        <v>1200</v>
      </c>
      <c r="I43" s="319"/>
      <c r="J43" s="150"/>
      <c r="K43" s="150"/>
    </row>
    <row r="44" spans="1:11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1" x14ac:dyDescent="0.25">
      <c r="J45" s="150"/>
      <c r="K45" s="150"/>
    </row>
    <row r="46" spans="1:11" x14ac:dyDescent="0.25">
      <c r="J46" s="150"/>
      <c r="K46" s="150"/>
    </row>
    <row r="47" spans="1:11" x14ac:dyDescent="0.25">
      <c r="J47" s="150"/>
      <c r="K47" s="150"/>
    </row>
    <row r="48" spans="1:11" x14ac:dyDescent="0.25">
      <c r="J48" s="150"/>
      <c r="K48" s="150"/>
    </row>
    <row r="49" spans="1:12" ht="18.75" x14ac:dyDescent="0.25">
      <c r="A49" s="562" t="s">
        <v>247</v>
      </c>
      <c r="B49" s="563"/>
      <c r="C49" s="563"/>
      <c r="D49" s="563"/>
      <c r="E49" s="563"/>
      <c r="F49" s="563"/>
      <c r="G49" s="563"/>
      <c r="H49" s="563"/>
      <c r="I49" s="273">
        <f>G49-H49</f>
        <v>0</v>
      </c>
      <c r="J49" s="150"/>
      <c r="K49" s="150"/>
    </row>
    <row r="50" spans="1:12" x14ac:dyDescent="0.25">
      <c r="A50" s="166"/>
      <c r="B50" s="166"/>
      <c r="C50" s="166"/>
      <c r="D50" s="166"/>
      <c r="E50" s="166" t="s">
        <v>9</v>
      </c>
      <c r="F50" s="166" t="s">
        <v>11</v>
      </c>
      <c r="G50" s="166" t="s">
        <v>12</v>
      </c>
      <c r="H50" s="166" t="s">
        <v>306</v>
      </c>
      <c r="I50" s="318"/>
      <c r="J50" s="150"/>
      <c r="K50" s="150"/>
    </row>
    <row r="51" spans="1:12" x14ac:dyDescent="0.25">
      <c r="A51" s="83">
        <v>1</v>
      </c>
      <c r="B51" s="191" t="s">
        <v>313</v>
      </c>
      <c r="C51" s="85"/>
      <c r="D51" s="86"/>
      <c r="E51" s="232">
        <v>3500</v>
      </c>
      <c r="F51" s="232">
        <f t="shared" ref="F51:F57" si="6">SUM(D51:E51)</f>
        <v>3500</v>
      </c>
      <c r="G51" s="232">
        <v>3500</v>
      </c>
      <c r="H51" s="273">
        <f>F51-G51</f>
        <v>0</v>
      </c>
      <c r="I51" s="273"/>
      <c r="J51" s="150"/>
      <c r="K51" s="150"/>
    </row>
    <row r="52" spans="1:12" x14ac:dyDescent="0.25">
      <c r="A52" s="83">
        <v>2</v>
      </c>
      <c r="B52" s="110" t="s">
        <v>399</v>
      </c>
      <c r="C52" s="113"/>
      <c r="D52" s="113"/>
      <c r="E52" s="110">
        <v>4000</v>
      </c>
      <c r="F52" s="232">
        <f t="shared" si="6"/>
        <v>4000</v>
      </c>
      <c r="G52" s="110">
        <v>4000</v>
      </c>
      <c r="H52" s="273">
        <f t="shared" ref="H52:H57" si="7">F52-G52</f>
        <v>0</v>
      </c>
      <c r="I52" s="273"/>
      <c r="J52" s="150"/>
      <c r="K52" s="150"/>
    </row>
    <row r="53" spans="1:12" x14ac:dyDescent="0.25">
      <c r="A53" s="83">
        <v>3</v>
      </c>
      <c r="B53" s="191" t="s">
        <v>411</v>
      </c>
      <c r="C53" s="85"/>
      <c r="D53" s="86"/>
      <c r="E53" s="231">
        <v>4000</v>
      </c>
      <c r="F53" s="232">
        <f t="shared" si="6"/>
        <v>4000</v>
      </c>
      <c r="G53" s="232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83">
        <v>4</v>
      </c>
      <c r="B54" s="191" t="s">
        <v>350</v>
      </c>
      <c r="C54" s="86"/>
      <c r="D54" s="150"/>
      <c r="E54" s="231">
        <v>4000</v>
      </c>
      <c r="F54" s="232">
        <f t="shared" si="6"/>
        <v>4000</v>
      </c>
      <c r="G54" s="232">
        <v>4000</v>
      </c>
      <c r="H54" s="273">
        <f t="shared" si="7"/>
        <v>0</v>
      </c>
      <c r="I54" s="273"/>
      <c r="J54" s="150"/>
      <c r="K54" s="150"/>
    </row>
    <row r="55" spans="1:12" x14ac:dyDescent="0.25">
      <c r="A55" s="99">
        <v>5</v>
      </c>
      <c r="B55" s="191" t="s">
        <v>392</v>
      </c>
      <c r="C55" s="85"/>
      <c r="D55" s="86"/>
      <c r="E55" s="231">
        <v>4000</v>
      </c>
      <c r="F55" s="232">
        <f t="shared" si="6"/>
        <v>4000</v>
      </c>
      <c r="G55" s="232">
        <v>4000</v>
      </c>
      <c r="H55" s="273">
        <f t="shared" si="7"/>
        <v>0</v>
      </c>
      <c r="I55" s="273"/>
      <c r="J55" s="150"/>
      <c r="K55" s="150"/>
    </row>
    <row r="56" spans="1:12" x14ac:dyDescent="0.25">
      <c r="A56" s="93">
        <v>6</v>
      </c>
      <c r="B56" s="218" t="s">
        <v>391</v>
      </c>
      <c r="C56" s="85"/>
      <c r="D56" s="86"/>
      <c r="E56" s="231">
        <v>4000</v>
      </c>
      <c r="F56" s="232">
        <f t="shared" si="6"/>
        <v>4000</v>
      </c>
      <c r="G56" s="232">
        <v>4000</v>
      </c>
      <c r="H56" s="273">
        <f t="shared" si="7"/>
        <v>0</v>
      </c>
      <c r="I56" s="273"/>
      <c r="J56" s="150"/>
      <c r="K56" s="150"/>
    </row>
    <row r="57" spans="1:12" x14ac:dyDescent="0.25">
      <c r="A57" s="83">
        <v>7</v>
      </c>
      <c r="B57" s="210" t="s">
        <v>354</v>
      </c>
      <c r="C57" s="85">
        <v>0</v>
      </c>
      <c r="D57" s="92">
        <v>0</v>
      </c>
      <c r="E57" s="231">
        <v>4000</v>
      </c>
      <c r="F57" s="232">
        <f t="shared" si="6"/>
        <v>4000</v>
      </c>
      <c r="G57" s="232">
        <v>4000</v>
      </c>
      <c r="H57" s="273">
        <f t="shared" si="7"/>
        <v>0</v>
      </c>
      <c r="I57" s="273"/>
      <c r="J57" s="150"/>
      <c r="K57" s="150"/>
    </row>
    <row r="58" spans="1:12" x14ac:dyDescent="0.25">
      <c r="A58" s="164"/>
      <c r="B58" s="339" t="s">
        <v>193</v>
      </c>
      <c r="C58" s="42"/>
      <c r="D58" s="42"/>
      <c r="E58" s="240">
        <f>SUM(E51:E57)</f>
        <v>27500</v>
      </c>
      <c r="F58" s="322">
        <f>SUM(F51:F57)</f>
        <v>27500</v>
      </c>
      <c r="G58" s="240">
        <f>SUM(G51:G57)</f>
        <v>27500</v>
      </c>
      <c r="H58" s="241">
        <f>SUM(H51:H57)</f>
        <v>0</v>
      </c>
      <c r="I58" s="273"/>
      <c r="J58" s="150"/>
      <c r="K58" s="150"/>
    </row>
    <row r="59" spans="1:12" x14ac:dyDescent="0.25">
      <c r="A59" s="302"/>
      <c r="B59" s="150"/>
      <c r="C59" s="150"/>
      <c r="D59" s="150"/>
      <c r="E59" s="150"/>
      <c r="F59" s="150"/>
      <c r="G59" s="150"/>
      <c r="H59" s="150"/>
      <c r="I59" s="269"/>
      <c r="J59" s="150"/>
      <c r="K59" s="150"/>
      <c r="L59" s="220"/>
    </row>
    <row r="60" spans="1:12" x14ac:dyDescent="0.25">
      <c r="A60" s="175"/>
      <c r="B60" s="150"/>
      <c r="C60" s="150"/>
      <c r="D60" s="150"/>
      <c r="E60" s="150"/>
      <c r="F60" s="150"/>
      <c r="G60" s="150"/>
      <c r="H60" s="150"/>
      <c r="I60" s="269"/>
      <c r="J60" s="150"/>
      <c r="K60" s="150"/>
      <c r="L60" s="220"/>
    </row>
    <row r="61" spans="1:12" x14ac:dyDescent="0.25">
      <c r="A61" s="109"/>
      <c r="B61" s="150"/>
      <c r="C61" s="150"/>
      <c r="D61" s="150"/>
      <c r="E61" s="150"/>
      <c r="F61" s="150"/>
      <c r="G61" s="150"/>
      <c r="H61" s="150"/>
      <c r="I61" s="269"/>
      <c r="J61" s="150"/>
      <c r="K61" s="150"/>
    </row>
    <row r="62" spans="1:12" x14ac:dyDescent="0.25">
      <c r="A62" s="79"/>
      <c r="B62" s="79"/>
      <c r="C62" s="106"/>
      <c r="D62" s="107"/>
      <c r="E62" s="106"/>
      <c r="F62" s="108"/>
      <c r="G62" s="106"/>
      <c r="H62" s="150"/>
      <c r="I62" s="269"/>
      <c r="J62" s="150"/>
      <c r="K62" s="150"/>
      <c r="L62" s="220"/>
    </row>
    <row r="63" spans="1:12" ht="21" x14ac:dyDescent="0.35">
      <c r="A63" s="303"/>
      <c r="B63" s="158" t="s">
        <v>204</v>
      </c>
      <c r="C63" s="158" t="s">
        <v>205</v>
      </c>
      <c r="D63" s="158" t="s">
        <v>207</v>
      </c>
      <c r="E63" s="158" t="s">
        <v>208</v>
      </c>
      <c r="F63" s="158" t="s">
        <v>204</v>
      </c>
      <c r="G63" s="158" t="s">
        <v>205</v>
      </c>
      <c r="H63" s="158" t="s">
        <v>207</v>
      </c>
      <c r="I63" s="222" t="s">
        <v>306</v>
      </c>
      <c r="J63" s="150"/>
      <c r="K63" s="150"/>
    </row>
    <row r="64" spans="1:12" x14ac:dyDescent="0.25">
      <c r="A64" s="304"/>
      <c r="B64" s="211" t="s">
        <v>319</v>
      </c>
      <c r="C64" s="273">
        <f>E30+E43+E58</f>
        <v>110500</v>
      </c>
      <c r="D64" s="164"/>
      <c r="E64" s="164"/>
      <c r="F64" s="211" t="s">
        <v>319</v>
      </c>
      <c r="G64" s="273">
        <f>H30+G43+G58</f>
        <v>110850</v>
      </c>
      <c r="H64" s="164"/>
      <c r="I64" s="273"/>
      <c r="J64" s="150"/>
      <c r="K64" s="150"/>
    </row>
    <row r="65" spans="1:11" x14ac:dyDescent="0.25">
      <c r="A65" s="304"/>
      <c r="B65" s="211" t="s">
        <v>209</v>
      </c>
      <c r="C65" s="307">
        <v>0.08</v>
      </c>
      <c r="D65" s="308">
        <f>C64*C65</f>
        <v>8840</v>
      </c>
      <c r="E65" s="211"/>
      <c r="F65" s="211" t="s">
        <v>209</v>
      </c>
      <c r="G65" s="307">
        <v>0.08</v>
      </c>
      <c r="H65" s="308">
        <f>D65</f>
        <v>8840</v>
      </c>
      <c r="I65" s="273"/>
      <c r="J65" s="150"/>
      <c r="K65" s="150"/>
    </row>
    <row r="66" spans="1:11" x14ac:dyDescent="0.25">
      <c r="A66" s="150"/>
      <c r="B66" s="309" t="s">
        <v>210</v>
      </c>
      <c r="C66" s="211">
        <v>3000</v>
      </c>
      <c r="D66" s="211"/>
      <c r="E66" s="211"/>
      <c r="F66" s="309" t="s">
        <v>210</v>
      </c>
      <c r="G66" s="211">
        <v>3000</v>
      </c>
      <c r="H66" s="211"/>
      <c r="I66" s="273"/>
      <c r="J66" s="150"/>
      <c r="K66" s="150"/>
    </row>
    <row r="67" spans="1:11" x14ac:dyDescent="0.25">
      <c r="A67" s="304"/>
      <c r="B67" s="309" t="s">
        <v>232</v>
      </c>
      <c r="C67" s="308">
        <f>F30</f>
        <v>2400</v>
      </c>
      <c r="D67" s="211"/>
      <c r="E67" s="211"/>
      <c r="F67" s="309" t="s">
        <v>232</v>
      </c>
      <c r="G67" s="308">
        <f>C67</f>
        <v>2400</v>
      </c>
      <c r="H67" s="211"/>
      <c r="I67" s="273"/>
      <c r="J67" s="150"/>
      <c r="K67" s="150"/>
    </row>
    <row r="68" spans="1:11" x14ac:dyDescent="0.25">
      <c r="A68" s="304"/>
      <c r="B68" s="309" t="s">
        <v>239</v>
      </c>
      <c r="C68" s="308">
        <f>JANUARY!E74</f>
        <v>48141.342305280035</v>
      </c>
      <c r="D68" s="211"/>
      <c r="E68" s="211"/>
      <c r="F68" s="309" t="s">
        <v>239</v>
      </c>
      <c r="G68" s="308">
        <f>JANUARY!I74</f>
        <v>43247.275200000033</v>
      </c>
      <c r="H68" s="211"/>
      <c r="I68" s="273"/>
      <c r="J68" s="150"/>
      <c r="K68" s="150"/>
    </row>
    <row r="69" spans="1:11" x14ac:dyDescent="0.25">
      <c r="A69" s="304"/>
      <c r="B69" s="309" t="s">
        <v>193</v>
      </c>
      <c r="C69" s="308">
        <f>C64+C66+C67+C68</f>
        <v>164041.34230528004</v>
      </c>
      <c r="D69" s="211"/>
      <c r="E69" s="211"/>
      <c r="F69" s="309" t="s">
        <v>193</v>
      </c>
      <c r="G69" s="308">
        <f>G64+G66+G67+G68</f>
        <v>159497.27520000003</v>
      </c>
      <c r="H69" s="211"/>
      <c r="I69" s="273"/>
      <c r="J69" s="150"/>
      <c r="K69" s="150"/>
    </row>
    <row r="70" spans="1:11" x14ac:dyDescent="0.25">
      <c r="A70" s="304"/>
      <c r="B70" s="212" t="s">
        <v>276</v>
      </c>
      <c r="C70" s="307"/>
      <c r="D70" s="214"/>
      <c r="E70" s="211"/>
      <c r="F70" s="212" t="s">
        <v>276</v>
      </c>
      <c r="G70" s="307"/>
      <c r="H70" s="214"/>
      <c r="I70" s="273"/>
      <c r="J70" s="150"/>
      <c r="K70" s="150"/>
    </row>
    <row r="71" spans="1:11" x14ac:dyDescent="0.25">
      <c r="A71" s="304"/>
      <c r="B71" s="309" t="s">
        <v>408</v>
      </c>
      <c r="C71" s="211"/>
      <c r="D71" s="310">
        <v>1500</v>
      </c>
      <c r="E71" s="211"/>
      <c r="F71" s="309" t="s">
        <v>408</v>
      </c>
      <c r="G71" s="211"/>
      <c r="H71" s="310">
        <f>D71</f>
        <v>1500</v>
      </c>
      <c r="I71" s="273"/>
      <c r="J71" s="150"/>
      <c r="K71" s="150"/>
    </row>
    <row r="72" spans="1:11" x14ac:dyDescent="0.25">
      <c r="A72" s="304"/>
      <c r="B72" s="311" t="s">
        <v>419</v>
      </c>
      <c r="C72" s="211"/>
      <c r="D72" s="211">
        <v>4000</v>
      </c>
      <c r="E72" s="211"/>
      <c r="F72" s="311" t="s">
        <v>419</v>
      </c>
      <c r="G72" s="211"/>
      <c r="H72" s="211">
        <v>4000</v>
      </c>
      <c r="I72" s="273"/>
      <c r="J72" s="150"/>
      <c r="K72" s="150"/>
    </row>
    <row r="73" spans="1:11" x14ac:dyDescent="0.25">
      <c r="A73" s="150"/>
      <c r="B73" s="219" t="s">
        <v>421</v>
      </c>
      <c r="C73" s="164"/>
      <c r="D73" s="165">
        <v>100000</v>
      </c>
      <c r="E73" s="164"/>
      <c r="F73" s="219" t="s">
        <v>421</v>
      </c>
      <c r="G73" s="164"/>
      <c r="H73" s="165">
        <v>100000</v>
      </c>
      <c r="I73" s="273"/>
      <c r="J73" s="150"/>
      <c r="K73" s="150"/>
    </row>
    <row r="74" spans="1:11" x14ac:dyDescent="0.25">
      <c r="A74" s="150"/>
      <c r="B74" s="219" t="s">
        <v>422</v>
      </c>
      <c r="C74" s="164"/>
      <c r="D74" s="165">
        <v>6200</v>
      </c>
      <c r="E74" s="164"/>
      <c r="F74" s="219" t="s">
        <v>422</v>
      </c>
      <c r="G74" s="164"/>
      <c r="H74" s="165">
        <v>6200</v>
      </c>
      <c r="I74" s="273"/>
      <c r="J74" s="150"/>
      <c r="K74" s="150"/>
    </row>
    <row r="75" spans="1:11" x14ac:dyDescent="0.25">
      <c r="A75" s="150"/>
      <c r="B75" s="164" t="s">
        <v>423</v>
      </c>
      <c r="C75" s="164"/>
      <c r="D75" s="164">
        <v>2500</v>
      </c>
      <c r="E75" s="164"/>
      <c r="F75" s="164" t="s">
        <v>423</v>
      </c>
      <c r="G75" s="164"/>
      <c r="H75" s="164">
        <v>2500</v>
      </c>
      <c r="I75" s="273"/>
      <c r="J75" s="150"/>
      <c r="K75" s="150"/>
    </row>
    <row r="76" spans="1:11" x14ac:dyDescent="0.25">
      <c r="A76" s="150"/>
      <c r="B76" s="219" t="s">
        <v>424</v>
      </c>
      <c r="C76" s="164"/>
      <c r="D76" s="165">
        <v>2500</v>
      </c>
      <c r="E76" s="164"/>
      <c r="F76" s="219" t="s">
        <v>424</v>
      </c>
      <c r="G76" s="164"/>
      <c r="H76" s="165">
        <v>2500</v>
      </c>
      <c r="I76" s="273"/>
      <c r="J76" s="150"/>
      <c r="K76" s="150"/>
    </row>
    <row r="77" spans="1:11" x14ac:dyDescent="0.25">
      <c r="A77" s="150"/>
      <c r="B77" s="113"/>
      <c r="C77" s="113"/>
      <c r="D77" s="113"/>
      <c r="E77" s="164"/>
      <c r="F77" s="219"/>
      <c r="G77" s="164"/>
      <c r="H77" s="165"/>
      <c r="I77" s="273"/>
      <c r="J77" s="150"/>
      <c r="K77" s="150"/>
    </row>
    <row r="78" spans="1:11" x14ac:dyDescent="0.25">
      <c r="A78" s="150"/>
      <c r="B78" s="219"/>
      <c r="C78" s="164"/>
      <c r="D78" s="165"/>
      <c r="E78" s="164"/>
      <c r="F78" s="219"/>
      <c r="G78" s="164"/>
      <c r="H78" s="165"/>
      <c r="I78" s="273"/>
      <c r="J78" s="150"/>
      <c r="K78" s="150"/>
    </row>
    <row r="79" spans="1:11" x14ac:dyDescent="0.25">
      <c r="A79" s="150"/>
      <c r="B79" s="219"/>
      <c r="C79" s="164"/>
      <c r="D79" s="165"/>
      <c r="E79" s="164"/>
      <c r="F79" s="219"/>
      <c r="G79" s="164"/>
      <c r="H79" s="165"/>
      <c r="I79" s="273"/>
      <c r="J79" s="150"/>
      <c r="K79" s="150"/>
    </row>
    <row r="80" spans="1:11" x14ac:dyDescent="0.25">
      <c r="A80" s="150"/>
      <c r="B80" s="166" t="s">
        <v>193</v>
      </c>
      <c r="C80" s="317">
        <f>C64+C66+C67+C68-D65</f>
        <v>155201.34230528004</v>
      </c>
      <c r="D80" s="318">
        <f>SUM(D71:D79)</f>
        <v>116700</v>
      </c>
      <c r="E80" s="318">
        <f>C80-D80</f>
        <v>38501.342305280035</v>
      </c>
      <c r="F80" s="166" t="s">
        <v>193</v>
      </c>
      <c r="G80" s="317">
        <f>G64+G66+G67+G68-H65</f>
        <v>150657.27520000003</v>
      </c>
      <c r="H80" s="318">
        <f>SUM(H71:H79)</f>
        <v>116700</v>
      </c>
      <c r="I80" s="318">
        <f>G80-H80</f>
        <v>33957.275200000033</v>
      </c>
      <c r="J80" s="150"/>
      <c r="K80" s="150"/>
    </row>
    <row r="81" spans="1:11" x14ac:dyDescent="0.25">
      <c r="A81" s="150"/>
      <c r="B81" s="150"/>
      <c r="C81" s="150"/>
      <c r="D81" s="150"/>
      <c r="E81" s="150"/>
      <c r="F81" s="150"/>
      <c r="G81" s="79"/>
      <c r="H81" s="150"/>
      <c r="I81" s="269"/>
      <c r="J81" s="150"/>
      <c r="K81" s="150"/>
    </row>
    <row r="82" spans="1:11" x14ac:dyDescent="0.25">
      <c r="A82" s="150"/>
      <c r="B82" s="150" t="s">
        <v>71</v>
      </c>
      <c r="C82" s="79"/>
      <c r="E82" s="150" t="s">
        <v>72</v>
      </c>
      <c r="H82" s="150" t="s">
        <v>73</v>
      </c>
      <c r="I82" s="269"/>
      <c r="J82" s="150"/>
      <c r="K82" s="150"/>
    </row>
    <row r="83" spans="1:11" x14ac:dyDescent="0.25">
      <c r="A83" s="150"/>
      <c r="B83" s="150"/>
      <c r="C83" s="150"/>
      <c r="E83" s="150"/>
      <c r="H83" s="150"/>
      <c r="I83" s="269"/>
    </row>
    <row r="84" spans="1:11" x14ac:dyDescent="0.25">
      <c r="A84" s="150"/>
      <c r="B84" s="150" t="s">
        <v>379</v>
      </c>
      <c r="C84" s="150"/>
      <c r="E84" s="150" t="s">
        <v>135</v>
      </c>
      <c r="H84" s="150" t="s">
        <v>130</v>
      </c>
      <c r="I84" s="269"/>
    </row>
    <row r="85" spans="1:11" x14ac:dyDescent="0.25">
      <c r="A85" s="150"/>
      <c r="B85" s="150"/>
      <c r="C85" s="150"/>
      <c r="D85" s="150"/>
      <c r="E85" s="150"/>
      <c r="F85" s="150"/>
      <c r="G85" s="150"/>
      <c r="H85" s="150"/>
      <c r="I85" s="150"/>
    </row>
  </sheetData>
  <mergeCells count="2">
    <mergeCell ref="B31:G31"/>
    <mergeCell ref="A49:H49"/>
  </mergeCells>
  <pageMargins left="0.25" right="0.25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0" workbookViewId="0">
      <selection activeCell="K74" sqref="K74"/>
    </sheetView>
  </sheetViews>
  <sheetFormatPr defaultRowHeight="15" x14ac:dyDescent="0.25"/>
  <cols>
    <col min="1" max="1" width="3.85546875" style="78" customWidth="1"/>
    <col min="2" max="2" width="17.570312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285156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426</v>
      </c>
      <c r="E3" s="250"/>
      <c r="F3" s="103"/>
      <c r="G3" s="103"/>
      <c r="H3" s="103"/>
      <c r="I3" s="269"/>
      <c r="J3" s="150"/>
      <c r="K3" s="150"/>
    </row>
    <row r="4" spans="1:11" x14ac:dyDescent="0.25">
      <c r="A4" s="332" t="s">
        <v>3</v>
      </c>
      <c r="B4" s="332" t="s">
        <v>4</v>
      </c>
      <c r="C4" s="332" t="s">
        <v>5</v>
      </c>
      <c r="D4" s="332" t="s">
        <v>239</v>
      </c>
      <c r="E4" s="332" t="s">
        <v>9</v>
      </c>
      <c r="F4" s="333" t="s">
        <v>10</v>
      </c>
      <c r="G4" s="333" t="s">
        <v>11</v>
      </c>
      <c r="H4" s="334" t="s">
        <v>12</v>
      </c>
      <c r="I4" s="318" t="s">
        <v>306</v>
      </c>
      <c r="J4" s="150"/>
      <c r="K4" s="150"/>
    </row>
    <row r="5" spans="1:11" x14ac:dyDescent="0.25">
      <c r="A5" s="110">
        <v>1</v>
      </c>
      <c r="B5" s="191" t="s">
        <v>257</v>
      </c>
      <c r="C5" s="274" t="s">
        <v>18</v>
      </c>
      <c r="D5" s="275"/>
      <c r="E5" s="275">
        <v>2500</v>
      </c>
      <c r="F5" s="275">
        <v>100</v>
      </c>
      <c r="G5" s="276">
        <f t="shared" ref="G5:G11" si="0">D5+E5+F5</f>
        <v>2600</v>
      </c>
      <c r="H5" s="277">
        <v>2500</v>
      </c>
      <c r="I5" s="273">
        <f>G5-H5</f>
        <v>100</v>
      </c>
      <c r="J5" s="150"/>
      <c r="K5" s="150"/>
    </row>
    <row r="6" spans="1:11" x14ac:dyDescent="0.25">
      <c r="A6" s="110">
        <v>2</v>
      </c>
      <c r="B6" s="191" t="s">
        <v>345</v>
      </c>
      <c r="C6" s="274" t="s">
        <v>20</v>
      </c>
      <c r="D6" s="275"/>
      <c r="E6" s="275">
        <v>2500</v>
      </c>
      <c r="F6" s="275">
        <v>100</v>
      </c>
      <c r="G6" s="276">
        <f t="shared" si="0"/>
        <v>2600</v>
      </c>
      <c r="H6" s="277">
        <v>2500</v>
      </c>
      <c r="I6" s="273">
        <f t="shared" ref="I6:I44" si="1">G6-H6</f>
        <v>100</v>
      </c>
      <c r="J6" s="150"/>
      <c r="K6" s="150"/>
    </row>
    <row r="7" spans="1:11" x14ac:dyDescent="0.25">
      <c r="A7" s="110">
        <v>3</v>
      </c>
      <c r="B7" s="191" t="s">
        <v>370</v>
      </c>
      <c r="C7" s="274" t="s">
        <v>22</v>
      </c>
      <c r="D7" s="275"/>
      <c r="E7" s="275">
        <v>2500</v>
      </c>
      <c r="F7" s="275">
        <v>100</v>
      </c>
      <c r="G7" s="276">
        <f t="shared" si="0"/>
        <v>2600</v>
      </c>
      <c r="H7" s="277">
        <v>2500</v>
      </c>
      <c r="I7" s="273">
        <f t="shared" si="1"/>
        <v>100</v>
      </c>
      <c r="J7" s="150"/>
      <c r="K7" s="150"/>
    </row>
    <row r="8" spans="1:11" x14ac:dyDescent="0.25">
      <c r="A8" s="110">
        <v>4</v>
      </c>
      <c r="B8" s="110"/>
      <c r="C8" s="274" t="s">
        <v>24</v>
      </c>
      <c r="D8" s="275">
        <v>0</v>
      </c>
      <c r="E8" s="275"/>
      <c r="F8" s="275"/>
      <c r="G8" s="276">
        <f t="shared" si="0"/>
        <v>0</v>
      </c>
      <c r="H8" s="277"/>
      <c r="I8" s="273">
        <f t="shared" si="1"/>
        <v>0</v>
      </c>
      <c r="J8" s="150"/>
      <c r="K8" s="150"/>
    </row>
    <row r="9" spans="1:11" x14ac:dyDescent="0.25">
      <c r="A9" s="110">
        <v>5</v>
      </c>
      <c r="B9" s="331" t="s">
        <v>327</v>
      </c>
      <c r="C9" s="274" t="s">
        <v>26</v>
      </c>
      <c r="D9" s="275"/>
      <c r="E9" s="275">
        <v>2500</v>
      </c>
      <c r="F9" s="275">
        <v>100</v>
      </c>
      <c r="G9" s="276">
        <f t="shared" si="0"/>
        <v>2600</v>
      </c>
      <c r="H9" s="277">
        <v>2500</v>
      </c>
      <c r="I9" s="273">
        <f t="shared" si="1"/>
        <v>100</v>
      </c>
      <c r="J9" s="150"/>
      <c r="K9" s="150"/>
    </row>
    <row r="10" spans="1:11" x14ac:dyDescent="0.25">
      <c r="A10" s="191">
        <v>6</v>
      </c>
      <c r="B10" s="191"/>
      <c r="C10" s="278" t="s">
        <v>28</v>
      </c>
      <c r="D10" s="276"/>
      <c r="E10" s="276"/>
      <c r="F10" s="276"/>
      <c r="G10" s="276">
        <f t="shared" si="0"/>
        <v>0</v>
      </c>
      <c r="H10" s="277"/>
      <c r="I10" s="273">
        <f t="shared" si="1"/>
        <v>0</v>
      </c>
      <c r="J10" s="150"/>
      <c r="K10" s="150"/>
    </row>
    <row r="11" spans="1:11" x14ac:dyDescent="0.25">
      <c r="A11" s="110">
        <v>7</v>
      </c>
      <c r="B11" s="191" t="s">
        <v>429</v>
      </c>
      <c r="C11" s="274" t="s">
        <v>30</v>
      </c>
      <c r="D11" s="275"/>
      <c r="E11" s="275">
        <v>5000</v>
      </c>
      <c r="F11" s="275"/>
      <c r="G11" s="276">
        <f t="shared" si="0"/>
        <v>5000</v>
      </c>
      <c r="H11" s="277">
        <v>5000</v>
      </c>
      <c r="I11" s="273">
        <f t="shared" si="1"/>
        <v>0</v>
      </c>
      <c r="J11" s="150"/>
      <c r="K11" s="150"/>
    </row>
    <row r="12" spans="1:11" x14ac:dyDescent="0.25">
      <c r="A12" s="110">
        <v>8</v>
      </c>
      <c r="B12" s="191" t="s">
        <v>407</v>
      </c>
      <c r="C12" s="274" t="s">
        <v>32</v>
      </c>
      <c r="D12" s="275"/>
      <c r="E12" s="275">
        <v>2500</v>
      </c>
      <c r="F12" s="275">
        <v>100</v>
      </c>
      <c r="G12" s="276">
        <f t="shared" ref="G12:G17" si="2">D12+E12+F12</f>
        <v>2600</v>
      </c>
      <c r="H12" s="277">
        <v>2500</v>
      </c>
      <c r="I12" s="273">
        <f t="shared" si="1"/>
        <v>100</v>
      </c>
      <c r="J12" s="150"/>
      <c r="K12" s="150"/>
    </row>
    <row r="13" spans="1:11" x14ac:dyDescent="0.25">
      <c r="A13" s="110">
        <v>9</v>
      </c>
      <c r="B13" s="218" t="s">
        <v>412</v>
      </c>
      <c r="C13" s="328" t="s">
        <v>34</v>
      </c>
      <c r="D13" s="113"/>
      <c r="E13" s="275">
        <v>2500</v>
      </c>
      <c r="F13" s="280">
        <v>100</v>
      </c>
      <c r="G13" s="329">
        <f t="shared" si="2"/>
        <v>2600</v>
      </c>
      <c r="H13" s="329">
        <v>2500</v>
      </c>
      <c r="I13" s="330">
        <f t="shared" si="1"/>
        <v>100</v>
      </c>
      <c r="J13" s="150"/>
      <c r="K13" s="150"/>
    </row>
    <row r="14" spans="1:11" x14ac:dyDescent="0.25">
      <c r="A14" s="110">
        <v>10</v>
      </c>
      <c r="B14" s="191" t="s">
        <v>410</v>
      </c>
      <c r="C14" s="274" t="s">
        <v>36</v>
      </c>
      <c r="D14" s="275"/>
      <c r="E14" s="275">
        <v>2500</v>
      </c>
      <c r="F14" s="275">
        <v>100</v>
      </c>
      <c r="G14" s="276">
        <f>D14+E14+F14</f>
        <v>2600</v>
      </c>
      <c r="H14" s="276">
        <v>2500</v>
      </c>
      <c r="I14" s="273">
        <f>G14-H14</f>
        <v>100</v>
      </c>
      <c r="J14" s="150"/>
      <c r="K14" s="150"/>
    </row>
    <row r="15" spans="1:11" x14ac:dyDescent="0.25">
      <c r="A15" s="110">
        <v>11</v>
      </c>
      <c r="B15" s="218" t="s">
        <v>418</v>
      </c>
      <c r="C15" s="328" t="s">
        <v>38</v>
      </c>
      <c r="D15" s="113"/>
      <c r="E15" s="113">
        <v>2500</v>
      </c>
      <c r="F15" s="113">
        <v>100</v>
      </c>
      <c r="G15" s="276">
        <f>D15+E15+F15</f>
        <v>2600</v>
      </c>
      <c r="H15" s="113">
        <v>2500</v>
      </c>
      <c r="I15" s="273">
        <f>G15-H15</f>
        <v>100</v>
      </c>
      <c r="J15" s="150"/>
      <c r="K15" s="150"/>
    </row>
    <row r="16" spans="1:11" x14ac:dyDescent="0.25">
      <c r="A16" s="110">
        <v>12</v>
      </c>
      <c r="B16" s="191" t="s">
        <v>252</v>
      </c>
      <c r="C16" s="274" t="s">
        <v>40</v>
      </c>
      <c r="D16" s="275"/>
      <c r="E16" s="275">
        <v>2500</v>
      </c>
      <c r="F16" s="275">
        <v>100</v>
      </c>
      <c r="G16" s="276">
        <f t="shared" si="2"/>
        <v>2600</v>
      </c>
      <c r="H16" s="276"/>
      <c r="I16" s="273">
        <f t="shared" si="1"/>
        <v>2600</v>
      </c>
      <c r="J16" s="150"/>
      <c r="K16" s="150"/>
    </row>
    <row r="17" spans="1:11" x14ac:dyDescent="0.25">
      <c r="A17" s="110">
        <v>13</v>
      </c>
      <c r="B17" s="191" t="s">
        <v>258</v>
      </c>
      <c r="C17" s="274" t="s">
        <v>42</v>
      </c>
      <c r="D17" s="275">
        <v>600</v>
      </c>
      <c r="E17" s="275">
        <v>2500</v>
      </c>
      <c r="F17" s="275">
        <v>100</v>
      </c>
      <c r="G17" s="276">
        <f t="shared" si="2"/>
        <v>3200</v>
      </c>
      <c r="H17" s="276">
        <v>3100</v>
      </c>
      <c r="I17" s="273">
        <f t="shared" si="1"/>
        <v>100</v>
      </c>
      <c r="J17" s="150"/>
      <c r="K17" s="150"/>
    </row>
    <row r="18" spans="1:11" x14ac:dyDescent="0.25">
      <c r="A18" s="110">
        <v>14</v>
      </c>
      <c r="B18" s="191" t="s">
        <v>282</v>
      </c>
      <c r="C18" s="274" t="s">
        <v>44</v>
      </c>
      <c r="D18" s="275">
        <v>2600</v>
      </c>
      <c r="E18" s="275">
        <v>2500</v>
      </c>
      <c r="F18" s="275">
        <v>100</v>
      </c>
      <c r="G18" s="276">
        <f>D18+E18+F18</f>
        <v>5200</v>
      </c>
      <c r="H18" s="277">
        <v>4000</v>
      </c>
      <c r="I18" s="273">
        <f t="shared" si="1"/>
        <v>1200</v>
      </c>
      <c r="J18" s="150"/>
      <c r="K18" s="150"/>
    </row>
    <row r="19" spans="1:11" x14ac:dyDescent="0.25">
      <c r="A19" s="110">
        <v>15</v>
      </c>
      <c r="B19" s="191" t="s">
        <v>225</v>
      </c>
      <c r="C19" s="274" t="s">
        <v>46</v>
      </c>
      <c r="D19" s="275"/>
      <c r="E19" s="275">
        <v>2500</v>
      </c>
      <c r="F19" s="275">
        <v>100</v>
      </c>
      <c r="G19" s="276">
        <f t="shared" ref="G19:G29" si="3">D19+E19+F19</f>
        <v>2600</v>
      </c>
      <c r="H19" s="277">
        <v>2500</v>
      </c>
      <c r="I19" s="273">
        <f t="shared" si="1"/>
        <v>100</v>
      </c>
      <c r="J19" s="150"/>
      <c r="K19" s="150"/>
    </row>
    <row r="20" spans="1:11" x14ac:dyDescent="0.25">
      <c r="A20" s="110">
        <v>16</v>
      </c>
      <c r="B20" s="191" t="s">
        <v>348</v>
      </c>
      <c r="C20" s="274" t="s">
        <v>48</v>
      </c>
      <c r="D20" s="275"/>
      <c r="E20" s="275">
        <v>2500</v>
      </c>
      <c r="F20" s="275">
        <v>100</v>
      </c>
      <c r="G20" s="276">
        <f t="shared" si="3"/>
        <v>2600</v>
      </c>
      <c r="H20" s="277">
        <v>2500</v>
      </c>
      <c r="I20" s="273">
        <f t="shared" si="1"/>
        <v>100</v>
      </c>
      <c r="J20" s="150"/>
      <c r="K20" s="150"/>
    </row>
    <row r="21" spans="1:11" x14ac:dyDescent="0.25">
      <c r="A21" s="279">
        <v>17</v>
      </c>
      <c r="B21" s="196" t="s">
        <v>352</v>
      </c>
      <c r="C21" s="274" t="s">
        <v>50</v>
      </c>
      <c r="D21" s="275"/>
      <c r="E21" s="280">
        <v>3000</v>
      </c>
      <c r="F21" s="281">
        <v>100</v>
      </c>
      <c r="G21" s="276">
        <f t="shared" si="3"/>
        <v>3100</v>
      </c>
      <c r="H21" s="277">
        <v>3000</v>
      </c>
      <c r="I21" s="273">
        <f t="shared" si="1"/>
        <v>100</v>
      </c>
      <c r="J21" s="150"/>
      <c r="K21" s="150"/>
    </row>
    <row r="22" spans="1:11" x14ac:dyDescent="0.25">
      <c r="A22" s="279">
        <v>18</v>
      </c>
      <c r="B22" s="196"/>
      <c r="C22" s="274" t="s">
        <v>52</v>
      </c>
      <c r="D22" s="275"/>
      <c r="E22" s="280"/>
      <c r="F22" s="281"/>
      <c r="G22" s="276"/>
      <c r="H22" s="277"/>
      <c r="I22" s="273">
        <f t="shared" si="1"/>
        <v>0</v>
      </c>
      <c r="J22" s="150"/>
      <c r="K22" s="150"/>
    </row>
    <row r="23" spans="1:11" x14ac:dyDescent="0.25">
      <c r="A23" s="279">
        <v>19</v>
      </c>
      <c r="B23" s="282" t="s">
        <v>393</v>
      </c>
      <c r="C23" s="274" t="s">
        <v>54</v>
      </c>
      <c r="D23" s="275"/>
      <c r="E23" s="280">
        <v>3000</v>
      </c>
      <c r="F23" s="281">
        <v>100</v>
      </c>
      <c r="G23" s="276">
        <f>D23+E23+F23</f>
        <v>3100</v>
      </c>
      <c r="H23" s="277">
        <v>3000</v>
      </c>
      <c r="I23" s="273">
        <f t="shared" si="1"/>
        <v>100</v>
      </c>
      <c r="J23" s="150"/>
      <c r="K23" s="150"/>
    </row>
    <row r="24" spans="1:11" x14ac:dyDescent="0.25">
      <c r="A24" s="279">
        <v>20</v>
      </c>
      <c r="B24" s="196" t="s">
        <v>228</v>
      </c>
      <c r="C24" s="274" t="s">
        <v>56</v>
      </c>
      <c r="D24" s="275"/>
      <c r="E24" s="280">
        <v>3000</v>
      </c>
      <c r="F24" s="281">
        <v>100</v>
      </c>
      <c r="G24" s="276">
        <f>D24+E24+F24</f>
        <v>3100</v>
      </c>
      <c r="H24" s="277">
        <v>3000</v>
      </c>
      <c r="I24" s="273">
        <f t="shared" si="1"/>
        <v>100</v>
      </c>
      <c r="J24" s="150"/>
      <c r="K24" s="150"/>
    </row>
    <row r="25" spans="1:11" x14ac:dyDescent="0.25">
      <c r="A25" s="279">
        <v>21</v>
      </c>
      <c r="B25" s="282" t="s">
        <v>291</v>
      </c>
      <c r="C25" s="274" t="s">
        <v>58</v>
      </c>
      <c r="D25" s="275">
        <v>0</v>
      </c>
      <c r="E25" s="280">
        <v>3000</v>
      </c>
      <c r="F25" s="281">
        <v>100</v>
      </c>
      <c r="G25" s="276">
        <f t="shared" si="3"/>
        <v>3100</v>
      </c>
      <c r="H25" s="277">
        <v>3000</v>
      </c>
      <c r="I25" s="273">
        <f t="shared" si="1"/>
        <v>100</v>
      </c>
      <c r="J25" s="150"/>
      <c r="K25" s="150"/>
    </row>
    <row r="26" spans="1:11" x14ac:dyDescent="0.25">
      <c r="A26" s="279">
        <v>22</v>
      </c>
      <c r="B26" s="282" t="s">
        <v>283</v>
      </c>
      <c r="C26" s="274" t="s">
        <v>60</v>
      </c>
      <c r="D26" s="275">
        <v>0</v>
      </c>
      <c r="E26" s="280">
        <v>3000</v>
      </c>
      <c r="F26" s="281">
        <v>100</v>
      </c>
      <c r="G26" s="276">
        <f t="shared" si="3"/>
        <v>3100</v>
      </c>
      <c r="H26" s="277">
        <v>3000</v>
      </c>
      <c r="I26" s="273">
        <f t="shared" si="1"/>
        <v>100</v>
      </c>
      <c r="J26" s="150"/>
      <c r="K26" s="150"/>
    </row>
    <row r="27" spans="1:11" x14ac:dyDescent="0.25">
      <c r="A27" s="279">
        <v>23</v>
      </c>
      <c r="B27" s="282" t="s">
        <v>310</v>
      </c>
      <c r="C27" s="274" t="s">
        <v>62</v>
      </c>
      <c r="D27" s="275"/>
      <c r="E27" s="280">
        <v>3000</v>
      </c>
      <c r="F27" s="281">
        <v>100</v>
      </c>
      <c r="G27" s="276">
        <f t="shared" si="3"/>
        <v>3100</v>
      </c>
      <c r="H27" s="277">
        <v>3000</v>
      </c>
      <c r="I27" s="273">
        <f t="shared" si="1"/>
        <v>100</v>
      </c>
      <c r="J27" s="150"/>
      <c r="K27" s="150"/>
    </row>
    <row r="28" spans="1:11" x14ac:dyDescent="0.25">
      <c r="A28" s="283">
        <v>24</v>
      </c>
      <c r="B28" s="196" t="s">
        <v>384</v>
      </c>
      <c r="C28" s="284" t="s">
        <v>64</v>
      </c>
      <c r="D28" s="275">
        <v>0</v>
      </c>
      <c r="E28" s="285">
        <v>3000</v>
      </c>
      <c r="F28" s="286">
        <v>100</v>
      </c>
      <c r="G28" s="276">
        <f t="shared" si="3"/>
        <v>3100</v>
      </c>
      <c r="H28" s="277">
        <v>3000</v>
      </c>
      <c r="I28" s="273">
        <f t="shared" si="1"/>
        <v>100</v>
      </c>
      <c r="J28" s="150"/>
      <c r="K28" s="150"/>
    </row>
    <row r="29" spans="1:11" x14ac:dyDescent="0.25">
      <c r="A29" s="288"/>
      <c r="B29" s="289"/>
      <c r="C29" s="290"/>
      <c r="D29" s="290">
        <v>0</v>
      </c>
      <c r="E29" s="291"/>
      <c r="F29" s="291"/>
      <c r="G29" s="289">
        <f t="shared" si="3"/>
        <v>0</v>
      </c>
      <c r="H29" s="292"/>
      <c r="I29" s="273">
        <f t="shared" si="1"/>
        <v>0</v>
      </c>
      <c r="J29" s="150"/>
      <c r="K29" s="150"/>
    </row>
    <row r="30" spans="1:11" x14ac:dyDescent="0.25">
      <c r="A30" s="293"/>
      <c r="B30" s="294" t="s">
        <v>193</v>
      </c>
      <c r="C30" s="293"/>
      <c r="D30" s="295"/>
      <c r="E30" s="208">
        <f>SUM(E5:E29)</f>
        <v>58500</v>
      </c>
      <c r="F30" s="240">
        <f>SUM(F5:F29)</f>
        <v>2000</v>
      </c>
      <c r="G30" s="289"/>
      <c r="H30" s="316">
        <f>SUM(H5:H29)</f>
        <v>58100</v>
      </c>
      <c r="I30" s="273">
        <f>SUM(I5:I29)</f>
        <v>5600</v>
      </c>
      <c r="J30" s="150"/>
      <c r="K30" s="150"/>
    </row>
    <row r="31" spans="1:11" x14ac:dyDescent="0.25">
      <c r="A31" s="150"/>
      <c r="B31" s="561" t="s">
        <v>346</v>
      </c>
      <c r="C31" s="561"/>
      <c r="D31" s="561"/>
      <c r="E31" s="561"/>
      <c r="F31" s="561"/>
      <c r="G31" s="561"/>
      <c r="H31" s="150"/>
      <c r="I31" s="273">
        <f>G31-H31</f>
        <v>0</v>
      </c>
      <c r="J31" s="150"/>
      <c r="K31" s="150"/>
    </row>
    <row r="32" spans="1:11" x14ac:dyDescent="0.25">
      <c r="A32" s="335" t="s">
        <v>3</v>
      </c>
      <c r="B32" s="335" t="s">
        <v>4</v>
      </c>
      <c r="C32" s="335" t="s">
        <v>104</v>
      </c>
      <c r="D32" s="335" t="s">
        <v>8</v>
      </c>
      <c r="E32" s="335" t="s">
        <v>9</v>
      </c>
      <c r="F32" s="336" t="s">
        <v>11</v>
      </c>
      <c r="G32" s="335" t="s">
        <v>12</v>
      </c>
      <c r="H32" s="337" t="s">
        <v>105</v>
      </c>
      <c r="I32" s="338"/>
      <c r="J32" s="150"/>
      <c r="K32" s="150"/>
    </row>
    <row r="33" spans="1:12" x14ac:dyDescent="0.25">
      <c r="A33" s="83" t="s">
        <v>106</v>
      </c>
      <c r="B33" s="249" t="s">
        <v>365</v>
      </c>
      <c r="C33" s="85"/>
      <c r="D33" s="232"/>
      <c r="E33" s="320">
        <v>3000</v>
      </c>
      <c r="F33" s="232">
        <f>D33+E33</f>
        <v>3000</v>
      </c>
      <c r="G33" s="234">
        <v>3000</v>
      </c>
      <c r="H33" s="319">
        <f>F33-G33</f>
        <v>0</v>
      </c>
      <c r="I33" s="319"/>
      <c r="J33" s="150"/>
      <c r="K33" s="150"/>
    </row>
    <row r="34" spans="1:12" x14ac:dyDescent="0.25">
      <c r="A34" s="83" t="s">
        <v>108</v>
      </c>
      <c r="B34" s="200" t="s">
        <v>284</v>
      </c>
      <c r="C34" s="85"/>
      <c r="D34" s="232">
        <v>0</v>
      </c>
      <c r="E34" s="320"/>
      <c r="F34" s="232">
        <f t="shared" ref="F34:F42" si="4">D34+E34</f>
        <v>0</v>
      </c>
      <c r="G34" s="232"/>
      <c r="H34" s="319">
        <f t="shared" ref="H34:H42" si="5">F34-G34</f>
        <v>0</v>
      </c>
      <c r="I34" s="319">
        <f t="shared" si="1"/>
        <v>0</v>
      </c>
      <c r="J34" s="150"/>
      <c r="K34" s="150"/>
    </row>
    <row r="35" spans="1:12" x14ac:dyDescent="0.25">
      <c r="A35" s="83" t="s">
        <v>110</v>
      </c>
      <c r="B35" s="110" t="s">
        <v>284</v>
      </c>
      <c r="C35" s="110"/>
      <c r="D35" s="110"/>
      <c r="E35" s="110">
        <v>2500</v>
      </c>
      <c r="F35" s="232">
        <f t="shared" si="4"/>
        <v>2500</v>
      </c>
      <c r="G35" s="110">
        <v>2000</v>
      </c>
      <c r="H35" s="319">
        <f t="shared" si="5"/>
        <v>500</v>
      </c>
      <c r="I35" s="319"/>
      <c r="J35" s="150"/>
      <c r="K35" s="150"/>
    </row>
    <row r="36" spans="1:12" x14ac:dyDescent="0.25">
      <c r="A36" s="87" t="s">
        <v>112</v>
      </c>
      <c r="B36" s="200" t="s">
        <v>364</v>
      </c>
      <c r="C36" s="110"/>
      <c r="D36" s="319">
        <v>1200</v>
      </c>
      <c r="E36" s="321">
        <v>2500</v>
      </c>
      <c r="F36" s="232">
        <f t="shared" si="4"/>
        <v>3700</v>
      </c>
      <c r="G36" s="319">
        <v>2500</v>
      </c>
      <c r="H36" s="319">
        <f t="shared" si="5"/>
        <v>1200</v>
      </c>
      <c r="I36" s="319"/>
      <c r="J36" s="150"/>
      <c r="K36" s="150"/>
    </row>
    <row r="37" spans="1:12" x14ac:dyDescent="0.25">
      <c r="A37" s="99" t="s">
        <v>114</v>
      </c>
      <c r="B37" s="200" t="s">
        <v>427</v>
      </c>
      <c r="C37" s="85"/>
      <c r="D37" s="232"/>
      <c r="E37" s="320">
        <v>2500</v>
      </c>
      <c r="F37" s="232">
        <f>D37+E37</f>
        <v>2500</v>
      </c>
      <c r="G37" s="234">
        <v>2500</v>
      </c>
      <c r="H37" s="319">
        <f>F37-G37</f>
        <v>0</v>
      </c>
      <c r="I37" s="319"/>
      <c r="J37" s="150"/>
      <c r="K37" s="150"/>
    </row>
    <row r="38" spans="1:12" x14ac:dyDescent="0.25">
      <c r="A38" s="93" t="s">
        <v>116</v>
      </c>
      <c r="B38" s="249"/>
      <c r="C38" s="110"/>
      <c r="D38" s="319"/>
      <c r="E38" s="325"/>
      <c r="F38" s="232">
        <f t="shared" si="4"/>
        <v>0</v>
      </c>
      <c r="G38" s="326"/>
      <c r="H38" s="319">
        <f t="shared" si="5"/>
        <v>0</v>
      </c>
      <c r="I38" s="319"/>
      <c r="J38" s="150"/>
      <c r="K38" s="150"/>
    </row>
    <row r="39" spans="1:12" x14ac:dyDescent="0.25">
      <c r="A39" s="83" t="s">
        <v>119</v>
      </c>
      <c r="B39" s="249" t="s">
        <v>120</v>
      </c>
      <c r="C39" s="85"/>
      <c r="D39" s="232"/>
      <c r="E39" s="320">
        <v>2500</v>
      </c>
      <c r="F39" s="232">
        <f t="shared" si="4"/>
        <v>2500</v>
      </c>
      <c r="G39" s="234">
        <v>2500</v>
      </c>
      <c r="H39" s="319">
        <f t="shared" si="5"/>
        <v>0</v>
      </c>
      <c r="I39" s="319"/>
      <c r="J39" s="150"/>
      <c r="K39" s="150"/>
    </row>
    <row r="40" spans="1:12" x14ac:dyDescent="0.25">
      <c r="A40" s="83" t="s">
        <v>121</v>
      </c>
      <c r="B40" s="249" t="s">
        <v>420</v>
      </c>
      <c r="C40" s="85"/>
      <c r="D40" s="232"/>
      <c r="E40" s="320">
        <v>2500</v>
      </c>
      <c r="F40" s="232">
        <f t="shared" si="4"/>
        <v>2500</v>
      </c>
      <c r="G40" s="234">
        <v>2500</v>
      </c>
      <c r="H40" s="319">
        <f t="shared" si="5"/>
        <v>0</v>
      </c>
      <c r="I40" s="319"/>
      <c r="J40" s="150"/>
      <c r="K40" s="150"/>
    </row>
    <row r="41" spans="1:12" x14ac:dyDescent="0.25">
      <c r="A41" s="83" t="s">
        <v>123</v>
      </c>
      <c r="B41" s="200" t="s">
        <v>396</v>
      </c>
      <c r="C41" s="85"/>
      <c r="D41" s="232"/>
      <c r="E41" s="320">
        <v>2500</v>
      </c>
      <c r="F41" s="232">
        <f>D41+E41</f>
        <v>2500</v>
      </c>
      <c r="G41" s="234">
        <v>2500</v>
      </c>
      <c r="H41" s="319">
        <f t="shared" si="5"/>
        <v>0</v>
      </c>
      <c r="I41" s="319"/>
      <c r="J41" s="150"/>
      <c r="K41" s="150"/>
    </row>
    <row r="42" spans="1:12" x14ac:dyDescent="0.25">
      <c r="A42" s="83" t="s">
        <v>125</v>
      </c>
      <c r="B42" s="200" t="s">
        <v>312</v>
      </c>
      <c r="C42" s="85"/>
      <c r="D42" s="232"/>
      <c r="E42" s="231">
        <v>1500</v>
      </c>
      <c r="F42" s="232">
        <f t="shared" si="4"/>
        <v>1500</v>
      </c>
      <c r="G42" s="234">
        <v>1500</v>
      </c>
      <c r="H42" s="319">
        <f t="shared" si="5"/>
        <v>0</v>
      </c>
      <c r="I42" s="319"/>
      <c r="J42" s="150"/>
      <c r="K42" s="150"/>
    </row>
    <row r="43" spans="1:12" x14ac:dyDescent="0.25">
      <c r="A43" s="83"/>
      <c r="B43" s="204" t="s">
        <v>193</v>
      </c>
      <c r="C43" s="205">
        <v>0</v>
      </c>
      <c r="D43" s="322">
        <v>0</v>
      </c>
      <c r="E43" s="239">
        <f>SUM(E33:E42)</f>
        <v>19500</v>
      </c>
      <c r="F43" s="240">
        <f>SUM(F33:F42)</f>
        <v>20700</v>
      </c>
      <c r="G43" s="240">
        <f>SUM(G33:G42)</f>
        <v>19000</v>
      </c>
      <c r="H43" s="323">
        <f>SUM(H33:H42)</f>
        <v>1700</v>
      </c>
      <c r="I43" s="319"/>
      <c r="J43" s="150"/>
      <c r="K43" s="150"/>
    </row>
    <row r="44" spans="1:12" x14ac:dyDescent="0.25">
      <c r="A44" s="96"/>
      <c r="B44" s="84"/>
      <c r="C44" s="86"/>
      <c r="D44" s="86"/>
      <c r="E44" s="98"/>
      <c r="F44" s="98"/>
      <c r="G44" s="86"/>
      <c r="H44" s="324"/>
      <c r="I44" s="319">
        <f t="shared" si="1"/>
        <v>0</v>
      </c>
      <c r="J44" s="150"/>
      <c r="K44" s="150"/>
    </row>
    <row r="45" spans="1:12" x14ac:dyDescent="0.25">
      <c r="J45" s="150"/>
      <c r="K45" s="150"/>
      <c r="L45" s="220">
        <f>H43+I30</f>
        <v>7300</v>
      </c>
    </row>
    <row r="46" spans="1:12" x14ac:dyDescent="0.25">
      <c r="J46" s="150"/>
      <c r="K46" s="150"/>
    </row>
    <row r="47" spans="1:12" x14ac:dyDescent="0.25">
      <c r="J47" s="150"/>
      <c r="K47" s="150"/>
    </row>
    <row r="48" spans="1:12" ht="18.75" x14ac:dyDescent="0.25">
      <c r="A48" s="562" t="s">
        <v>247</v>
      </c>
      <c r="B48" s="563"/>
      <c r="C48" s="563"/>
      <c r="D48" s="563"/>
      <c r="E48" s="563"/>
      <c r="F48" s="563"/>
      <c r="G48" s="563"/>
      <c r="H48" s="563"/>
      <c r="I48" s="273">
        <f>G48-H48</f>
        <v>0</v>
      </c>
      <c r="J48" s="150"/>
      <c r="K48" s="150"/>
    </row>
    <row r="49" spans="1:12" x14ac:dyDescent="0.25">
      <c r="A49" s="166"/>
      <c r="B49" s="166"/>
      <c r="C49" s="166"/>
      <c r="D49" s="166"/>
      <c r="E49" s="166" t="s">
        <v>9</v>
      </c>
      <c r="F49" s="166" t="s">
        <v>11</v>
      </c>
      <c r="G49" s="166" t="s">
        <v>12</v>
      </c>
      <c r="H49" s="166" t="s">
        <v>306</v>
      </c>
      <c r="I49" s="318"/>
      <c r="J49" s="150"/>
      <c r="K49" s="150"/>
    </row>
    <row r="50" spans="1:12" x14ac:dyDescent="0.25">
      <c r="A50" s="83">
        <v>1</v>
      </c>
      <c r="B50" s="191" t="s">
        <v>313</v>
      </c>
      <c r="C50" s="85"/>
      <c r="D50" s="86"/>
      <c r="E50" s="232">
        <v>3500</v>
      </c>
      <c r="F50" s="232">
        <f t="shared" ref="F50:F56" si="6">SUM(D50:E50)</f>
        <v>3500</v>
      </c>
      <c r="G50" s="232">
        <v>3500</v>
      </c>
      <c r="H50" s="273">
        <f>F50-G50</f>
        <v>0</v>
      </c>
      <c r="I50" s="273"/>
      <c r="J50" s="150"/>
      <c r="K50" s="150"/>
    </row>
    <row r="51" spans="1:12" x14ac:dyDescent="0.25">
      <c r="A51" s="83">
        <v>2</v>
      </c>
      <c r="B51" s="110" t="s">
        <v>399</v>
      </c>
      <c r="C51" s="113"/>
      <c r="D51" s="113"/>
      <c r="E51" s="110">
        <v>4000</v>
      </c>
      <c r="F51" s="232">
        <f t="shared" si="6"/>
        <v>4000</v>
      </c>
      <c r="G51" s="110">
        <v>4000</v>
      </c>
      <c r="H51" s="273">
        <f t="shared" ref="H51:H56" si="7">F51-G51</f>
        <v>0</v>
      </c>
      <c r="I51" s="273"/>
      <c r="J51" s="150"/>
      <c r="K51" s="150"/>
    </row>
    <row r="52" spans="1:12" x14ac:dyDescent="0.25">
      <c r="A52" s="83">
        <v>3</v>
      </c>
      <c r="B52" s="191" t="s">
        <v>411</v>
      </c>
      <c r="C52" s="85"/>
      <c r="D52" s="86"/>
      <c r="E52" s="231">
        <v>4000</v>
      </c>
      <c r="F52" s="232">
        <f t="shared" si="6"/>
        <v>4000</v>
      </c>
      <c r="G52" s="110">
        <v>4000</v>
      </c>
      <c r="H52" s="273">
        <f t="shared" si="7"/>
        <v>0</v>
      </c>
      <c r="I52" s="273"/>
      <c r="J52" s="150"/>
      <c r="K52" s="150"/>
    </row>
    <row r="53" spans="1:12" x14ac:dyDescent="0.25">
      <c r="A53" s="83">
        <v>4</v>
      </c>
      <c r="B53" s="191" t="s">
        <v>350</v>
      </c>
      <c r="C53" s="86"/>
      <c r="D53" s="150"/>
      <c r="E53" s="231">
        <v>4000</v>
      </c>
      <c r="F53" s="232">
        <f t="shared" si="6"/>
        <v>4000</v>
      </c>
      <c r="G53" s="110">
        <v>4000</v>
      </c>
      <c r="H53" s="273">
        <f t="shared" si="7"/>
        <v>0</v>
      </c>
      <c r="I53" s="273"/>
      <c r="J53" s="150"/>
      <c r="K53" s="150"/>
    </row>
    <row r="54" spans="1:12" x14ac:dyDescent="0.25">
      <c r="A54" s="99">
        <v>5</v>
      </c>
      <c r="B54" s="191" t="s">
        <v>392</v>
      </c>
      <c r="C54" s="85"/>
      <c r="D54" s="86"/>
      <c r="E54" s="231">
        <v>4000</v>
      </c>
      <c r="F54" s="232">
        <f t="shared" si="6"/>
        <v>4000</v>
      </c>
      <c r="G54" s="110">
        <v>4000</v>
      </c>
      <c r="H54" s="273">
        <f t="shared" si="7"/>
        <v>0</v>
      </c>
      <c r="I54" s="273"/>
      <c r="J54" s="150"/>
      <c r="K54" s="150"/>
    </row>
    <row r="55" spans="1:12" x14ac:dyDescent="0.25">
      <c r="A55" s="93">
        <v>6</v>
      </c>
      <c r="B55" s="218" t="s">
        <v>391</v>
      </c>
      <c r="C55" s="85"/>
      <c r="D55" s="86"/>
      <c r="E55" s="231">
        <v>4000</v>
      </c>
      <c r="F55" s="232">
        <f t="shared" si="6"/>
        <v>4000</v>
      </c>
      <c r="G55" s="110">
        <v>4000</v>
      </c>
      <c r="H55" s="273">
        <f t="shared" si="7"/>
        <v>0</v>
      </c>
      <c r="I55" s="273"/>
      <c r="J55" s="150"/>
      <c r="K55" s="150"/>
    </row>
    <row r="56" spans="1:12" x14ac:dyDescent="0.25">
      <c r="A56" s="83">
        <v>7</v>
      </c>
      <c r="B56" s="210" t="s">
        <v>354</v>
      </c>
      <c r="C56" s="85">
        <v>0</v>
      </c>
      <c r="D56" s="92">
        <v>0</v>
      </c>
      <c r="E56" s="231">
        <v>4000</v>
      </c>
      <c r="F56" s="232">
        <f t="shared" si="6"/>
        <v>4000</v>
      </c>
      <c r="G56" s="110">
        <v>4000</v>
      </c>
      <c r="H56" s="273">
        <f t="shared" si="7"/>
        <v>0</v>
      </c>
      <c r="I56" s="273"/>
      <c r="J56" s="150"/>
      <c r="K56" s="150"/>
    </row>
    <row r="57" spans="1:12" x14ac:dyDescent="0.25">
      <c r="A57" s="164"/>
      <c r="B57" s="339" t="s">
        <v>193</v>
      </c>
      <c r="C57" s="42"/>
      <c r="D57" s="42"/>
      <c r="E57" s="240">
        <f>SUM(E50:E56)</f>
        <v>27500</v>
      </c>
      <c r="F57" s="322">
        <f>SUM(F50:F56)</f>
        <v>27500</v>
      </c>
      <c r="G57" s="240">
        <f>SUM(G50:G56)</f>
        <v>27500</v>
      </c>
      <c r="H57" s="241">
        <f>SUM(H50:H56)</f>
        <v>0</v>
      </c>
      <c r="I57" s="273"/>
      <c r="J57" s="150"/>
      <c r="K57" s="150"/>
    </row>
    <row r="58" spans="1:12" x14ac:dyDescent="0.25">
      <c r="A58" s="302"/>
      <c r="B58" s="150"/>
      <c r="C58" s="150"/>
      <c r="D58" s="150"/>
      <c r="E58" s="150"/>
      <c r="F58" s="150"/>
      <c r="G58" s="150"/>
      <c r="H58" s="150"/>
      <c r="I58" s="269"/>
      <c r="J58" s="150"/>
      <c r="K58" s="150"/>
    </row>
    <row r="59" spans="1:12" x14ac:dyDescent="0.25">
      <c r="A59" s="175"/>
      <c r="B59" s="150"/>
      <c r="C59" s="150"/>
      <c r="D59" s="150"/>
      <c r="E59" s="150"/>
      <c r="F59" s="150"/>
      <c r="G59" s="150"/>
      <c r="H59" s="150"/>
      <c r="I59" s="269"/>
      <c r="J59" s="150"/>
      <c r="K59" s="150"/>
      <c r="L59" s="220"/>
    </row>
    <row r="60" spans="1:12" x14ac:dyDescent="0.25">
      <c r="A60" s="109"/>
      <c r="B60" s="150"/>
      <c r="C60" s="150"/>
      <c r="D60" s="150"/>
      <c r="E60" s="150"/>
      <c r="F60" s="150"/>
      <c r="G60" s="150"/>
      <c r="H60" s="150"/>
      <c r="I60" s="269"/>
      <c r="J60" s="150"/>
      <c r="K60" s="150"/>
      <c r="L60" s="220"/>
    </row>
    <row r="61" spans="1:12" x14ac:dyDescent="0.25">
      <c r="A61" s="79"/>
      <c r="B61" s="79"/>
      <c r="C61" s="106"/>
      <c r="D61" s="107"/>
      <c r="E61" s="106"/>
      <c r="F61" s="108"/>
      <c r="G61" s="106"/>
      <c r="H61" s="150"/>
      <c r="I61" s="269"/>
      <c r="J61" s="150"/>
      <c r="K61" s="150"/>
    </row>
    <row r="62" spans="1:12" ht="21" x14ac:dyDescent="0.35">
      <c r="A62" s="303"/>
      <c r="B62" s="158" t="s">
        <v>204</v>
      </c>
      <c r="C62" s="158" t="s">
        <v>205</v>
      </c>
      <c r="D62" s="158" t="s">
        <v>207</v>
      </c>
      <c r="E62" s="158" t="s">
        <v>208</v>
      </c>
      <c r="F62" s="158" t="s">
        <v>204</v>
      </c>
      <c r="G62" s="158" t="s">
        <v>205</v>
      </c>
      <c r="H62" s="158" t="s">
        <v>207</v>
      </c>
      <c r="I62" s="222" t="s">
        <v>306</v>
      </c>
      <c r="J62" s="150"/>
      <c r="K62" s="150"/>
      <c r="L62" s="220">
        <f>C63+C65+C66</f>
        <v>108500</v>
      </c>
    </row>
    <row r="63" spans="1:12" x14ac:dyDescent="0.25">
      <c r="A63" s="304"/>
      <c r="B63" s="211" t="s">
        <v>432</v>
      </c>
      <c r="C63" s="273">
        <f>E30+E43+E57</f>
        <v>105500</v>
      </c>
      <c r="D63" s="164"/>
      <c r="E63" s="164"/>
      <c r="F63" s="211" t="s">
        <v>432</v>
      </c>
      <c r="G63" s="273">
        <f>H30+G43+G57</f>
        <v>104600</v>
      </c>
      <c r="H63" s="164"/>
      <c r="I63" s="273"/>
      <c r="J63" s="150"/>
      <c r="K63" s="150"/>
    </row>
    <row r="64" spans="1:12" x14ac:dyDescent="0.25">
      <c r="A64" s="304"/>
      <c r="B64" s="211" t="s">
        <v>209</v>
      </c>
      <c r="C64" s="307">
        <v>0.08</v>
      </c>
      <c r="D64" s="308">
        <f>C63*C64</f>
        <v>8440</v>
      </c>
      <c r="E64" s="211"/>
      <c r="F64" s="211" t="s">
        <v>209</v>
      </c>
      <c r="G64" s="307">
        <v>0.08</v>
      </c>
      <c r="H64" s="308">
        <f>D64</f>
        <v>8440</v>
      </c>
      <c r="I64" s="273"/>
      <c r="J64" s="150"/>
      <c r="K64" s="150"/>
    </row>
    <row r="65" spans="1:11" x14ac:dyDescent="0.25">
      <c r="A65" s="150"/>
      <c r="B65" s="309" t="s">
        <v>210</v>
      </c>
      <c r="C65" s="211">
        <v>3000</v>
      </c>
      <c r="D65" s="211"/>
      <c r="E65" s="211"/>
      <c r="F65" s="309" t="s">
        <v>210</v>
      </c>
      <c r="G65" s="211">
        <v>3000</v>
      </c>
      <c r="H65" s="211"/>
      <c r="I65" s="273"/>
      <c r="J65" s="150"/>
      <c r="K65" s="150"/>
    </row>
    <row r="66" spans="1:11" x14ac:dyDescent="0.25">
      <c r="A66" s="304"/>
      <c r="B66" s="309"/>
      <c r="C66" s="308"/>
      <c r="D66" s="211"/>
      <c r="E66" s="211"/>
      <c r="F66" s="309" t="s">
        <v>232</v>
      </c>
      <c r="G66" s="308">
        <v>2000</v>
      </c>
      <c r="H66" s="211"/>
      <c r="I66" s="273"/>
      <c r="J66" s="150"/>
      <c r="K66" s="150"/>
    </row>
    <row r="67" spans="1:11" x14ac:dyDescent="0.25">
      <c r="A67" s="304"/>
      <c r="B67" s="309" t="s">
        <v>239</v>
      </c>
      <c r="C67" s="308">
        <f>FEBRUARY!E80</f>
        <v>38501.342305280035</v>
      </c>
      <c r="D67" s="211"/>
      <c r="E67" s="211"/>
      <c r="F67" s="309" t="s">
        <v>239</v>
      </c>
      <c r="G67" s="308">
        <f>FEBRUARY!I80</f>
        <v>33957.275200000033</v>
      </c>
      <c r="H67" s="211"/>
      <c r="I67" s="273"/>
      <c r="J67" s="150"/>
      <c r="K67" s="150"/>
    </row>
    <row r="68" spans="1:11" x14ac:dyDescent="0.25">
      <c r="A68" s="304"/>
      <c r="B68" s="309" t="s">
        <v>193</v>
      </c>
      <c r="C68" s="308">
        <f>C63+C65+C66+C67</f>
        <v>147001.34230528004</v>
      </c>
      <c r="D68" s="211"/>
      <c r="E68" s="211"/>
      <c r="F68" s="309" t="s">
        <v>193</v>
      </c>
      <c r="G68" s="308">
        <f>G63+G65+G66+G67</f>
        <v>143557.27520000003</v>
      </c>
      <c r="H68" s="211"/>
      <c r="I68" s="273"/>
      <c r="J68" s="150"/>
      <c r="K68" s="150"/>
    </row>
    <row r="69" spans="1:11" x14ac:dyDescent="0.25">
      <c r="A69" s="304"/>
      <c r="B69" s="212" t="s">
        <v>276</v>
      </c>
      <c r="C69" s="307"/>
      <c r="D69" s="214"/>
      <c r="E69" s="211"/>
      <c r="F69" s="212" t="s">
        <v>276</v>
      </c>
      <c r="G69" s="307"/>
      <c r="H69" s="214"/>
      <c r="I69" s="273"/>
      <c r="J69" s="150"/>
      <c r="K69" s="150"/>
    </row>
    <row r="70" spans="1:11" x14ac:dyDescent="0.25">
      <c r="A70" s="304"/>
      <c r="B70" s="309" t="s">
        <v>408</v>
      </c>
      <c r="C70" s="211"/>
      <c r="D70" s="310">
        <v>1500</v>
      </c>
      <c r="E70" s="211"/>
      <c r="F70" s="309" t="s">
        <v>408</v>
      </c>
      <c r="G70" s="211"/>
      <c r="H70" s="310">
        <f>D70</f>
        <v>1500</v>
      </c>
      <c r="I70" s="273"/>
      <c r="J70" s="150"/>
      <c r="K70" s="150"/>
    </row>
    <row r="71" spans="1:11" x14ac:dyDescent="0.25">
      <c r="A71" s="304"/>
      <c r="B71" s="219" t="s">
        <v>430</v>
      </c>
      <c r="C71" s="164"/>
      <c r="D71" s="165">
        <v>2500</v>
      </c>
      <c r="E71" s="164"/>
      <c r="F71" s="219" t="s">
        <v>430</v>
      </c>
      <c r="G71" s="164"/>
      <c r="H71" s="165">
        <v>2500</v>
      </c>
      <c r="I71" s="273"/>
      <c r="J71" s="150"/>
      <c r="K71" s="150"/>
    </row>
    <row r="72" spans="1:11" x14ac:dyDescent="0.25">
      <c r="A72" s="150"/>
      <c r="B72" s="219" t="s">
        <v>431</v>
      </c>
      <c r="C72" s="164"/>
      <c r="D72" s="165">
        <v>100000</v>
      </c>
      <c r="E72" s="164"/>
      <c r="F72" s="219" t="s">
        <v>431</v>
      </c>
      <c r="G72" s="164"/>
      <c r="H72" s="165">
        <v>100000</v>
      </c>
      <c r="I72" s="273"/>
      <c r="J72" s="150"/>
      <c r="K72" s="150"/>
    </row>
    <row r="73" spans="1:11" x14ac:dyDescent="0.25">
      <c r="A73" s="150"/>
      <c r="B73" s="113" t="s">
        <v>447</v>
      </c>
      <c r="C73" s="113"/>
      <c r="D73" s="113">
        <v>2600</v>
      </c>
      <c r="E73" s="113"/>
      <c r="F73" s="113" t="s">
        <v>447</v>
      </c>
      <c r="G73" s="113"/>
      <c r="H73" s="113">
        <v>2600</v>
      </c>
      <c r="I73" s="273"/>
      <c r="J73" s="150"/>
      <c r="K73" s="150"/>
    </row>
    <row r="74" spans="1:11" x14ac:dyDescent="0.25">
      <c r="A74" s="150"/>
      <c r="B74" s="164" t="s">
        <v>448</v>
      </c>
      <c r="C74" s="164"/>
      <c r="D74" s="164">
        <v>1200</v>
      </c>
      <c r="E74" s="164"/>
      <c r="F74" s="164" t="s">
        <v>448</v>
      </c>
      <c r="G74" s="164"/>
      <c r="H74" s="164">
        <v>1200</v>
      </c>
      <c r="I74" s="273"/>
      <c r="J74" s="150"/>
      <c r="K74" s="150"/>
    </row>
    <row r="75" spans="1:11" x14ac:dyDescent="0.25">
      <c r="A75" s="150"/>
      <c r="B75" s="164"/>
      <c r="C75" s="164"/>
      <c r="D75" s="164"/>
      <c r="E75" s="164"/>
      <c r="F75" s="219"/>
      <c r="G75" s="164"/>
      <c r="H75" s="165"/>
      <c r="I75" s="273"/>
      <c r="J75" s="150"/>
      <c r="K75" s="150"/>
    </row>
    <row r="76" spans="1:11" x14ac:dyDescent="0.25">
      <c r="A76" s="150"/>
      <c r="B76" s="219"/>
      <c r="C76" s="164"/>
      <c r="D76" s="165"/>
      <c r="E76" s="164"/>
      <c r="F76" s="219"/>
      <c r="G76" s="164"/>
      <c r="H76" s="165"/>
      <c r="I76" s="273"/>
      <c r="J76" s="150"/>
      <c r="K76" s="150"/>
    </row>
    <row r="77" spans="1:11" x14ac:dyDescent="0.25">
      <c r="A77" s="150"/>
      <c r="B77" s="219"/>
      <c r="C77" s="164"/>
      <c r="D77" s="165"/>
      <c r="E77" s="164"/>
      <c r="F77" s="219"/>
      <c r="G77" s="164"/>
      <c r="H77" s="165"/>
      <c r="I77" s="273"/>
      <c r="J77" s="150"/>
      <c r="K77" s="150"/>
    </row>
    <row r="78" spans="1:11" x14ac:dyDescent="0.25">
      <c r="A78" s="150"/>
      <c r="B78" s="219"/>
      <c r="C78" s="164"/>
      <c r="D78" s="165"/>
      <c r="E78" s="164"/>
      <c r="F78" s="219"/>
      <c r="G78" s="164"/>
      <c r="H78" s="165"/>
      <c r="I78" s="273"/>
      <c r="J78" s="150"/>
      <c r="K78" s="150"/>
    </row>
    <row r="79" spans="1:11" x14ac:dyDescent="0.25">
      <c r="A79" s="150"/>
      <c r="B79" s="166" t="s">
        <v>193</v>
      </c>
      <c r="C79" s="317">
        <f>C63+C65+C66+C67-D64</f>
        <v>138561.34230528004</v>
      </c>
      <c r="D79" s="318">
        <f>SUM(D70:D78)</f>
        <v>107800</v>
      </c>
      <c r="E79" s="318">
        <f>C79-D79</f>
        <v>30761.342305280035</v>
      </c>
      <c r="F79" s="166" t="s">
        <v>193</v>
      </c>
      <c r="G79" s="317">
        <f>G63+G65+G66+G67-H64</f>
        <v>135117.27520000003</v>
      </c>
      <c r="H79" s="318">
        <f>SUM(H70:H78)</f>
        <v>107800</v>
      </c>
      <c r="I79" s="318">
        <f>G79-H79</f>
        <v>27317.275200000033</v>
      </c>
      <c r="J79" s="150"/>
      <c r="K79" s="150"/>
    </row>
    <row r="80" spans="1:11" x14ac:dyDescent="0.25">
      <c r="A80" s="150"/>
      <c r="B80" s="150"/>
      <c r="C80" s="150"/>
      <c r="D80" s="150"/>
      <c r="E80" s="150"/>
      <c r="F80" s="150"/>
      <c r="G80" s="79"/>
      <c r="H80" s="150"/>
      <c r="I80" s="269"/>
      <c r="J80" s="150"/>
      <c r="K80" s="150"/>
    </row>
    <row r="81" spans="1:11" x14ac:dyDescent="0.25">
      <c r="A81" s="150"/>
      <c r="B81" s="150" t="s">
        <v>71</v>
      </c>
      <c r="C81" s="79"/>
      <c r="E81" s="150" t="s">
        <v>72</v>
      </c>
      <c r="H81" s="150" t="s">
        <v>73</v>
      </c>
      <c r="I81" s="269"/>
      <c r="J81" s="150"/>
      <c r="K81" s="150"/>
    </row>
    <row r="82" spans="1:11" x14ac:dyDescent="0.25">
      <c r="A82" s="150"/>
      <c r="B82" s="150"/>
      <c r="C82" s="150"/>
      <c r="E82" s="150"/>
      <c r="H82" s="150"/>
      <c r="I82" s="269"/>
      <c r="J82" s="150"/>
      <c r="K82" s="150"/>
    </row>
    <row r="83" spans="1:11" x14ac:dyDescent="0.25">
      <c r="A83" s="150"/>
      <c r="B83" s="150" t="s">
        <v>379</v>
      </c>
      <c r="C83" s="150"/>
      <c r="E83" s="150" t="s">
        <v>135</v>
      </c>
      <c r="H83" s="150" t="s">
        <v>130</v>
      </c>
      <c r="I83" s="269"/>
    </row>
    <row r="84" spans="1:11" x14ac:dyDescent="0.25">
      <c r="A84" s="150"/>
      <c r="B84" s="150"/>
      <c r="C84" s="150"/>
      <c r="D84" s="150"/>
      <c r="E84" s="150"/>
      <c r="F84" s="150"/>
      <c r="G84" s="150"/>
      <c r="H84" s="150"/>
      <c r="I84" s="150"/>
    </row>
    <row r="85" spans="1:11" x14ac:dyDescent="0.25">
      <c r="A85" s="150"/>
      <c r="B85" s="150"/>
      <c r="C85" s="150"/>
      <c r="D85" s="150"/>
      <c r="E85" s="269"/>
      <c r="F85" s="150"/>
      <c r="G85" s="150"/>
      <c r="H85" s="150"/>
      <c r="I85" s="150"/>
    </row>
  </sheetData>
  <mergeCells count="2">
    <mergeCell ref="B31:G31"/>
    <mergeCell ref="A48:H48"/>
  </mergeCells>
  <pageMargins left="0.25" right="0.25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workbookViewId="0">
      <selection activeCell="K26" sqref="K26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7" width="8.7109375" style="78" bestFit="1" customWidth="1"/>
    <col min="8" max="8" width="8.7109375" style="78" customWidth="1"/>
    <col min="9" max="9" width="9.7109375" style="78" bestFit="1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5" customHeight="1" x14ac:dyDescent="0.25">
      <c r="A3" s="268"/>
      <c r="B3" s="150"/>
      <c r="C3" s="150"/>
      <c r="D3" s="5" t="s">
        <v>439</v>
      </c>
      <c r="E3" s="250"/>
      <c r="F3" s="103"/>
      <c r="G3" s="103"/>
      <c r="H3" s="103"/>
      <c r="I3" s="269"/>
      <c r="J3" s="150"/>
      <c r="K3" s="150"/>
    </row>
    <row r="4" spans="1:11" ht="15.7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4" si="0">D6+E6+F6</f>
        <v>3100</v>
      </c>
      <c r="H6" s="277">
        <v>3000</v>
      </c>
      <c r="I6" s="273">
        <f t="shared" ref="I6:I30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 t="s">
        <v>393</v>
      </c>
      <c r="C8" s="274" t="s">
        <v>54</v>
      </c>
      <c r="D8" s="275"/>
      <c r="E8" s="280">
        <v>3000</v>
      </c>
      <c r="F8" s="281">
        <v>100</v>
      </c>
      <c r="G8" s="276">
        <f>D8+E8+F8</f>
        <v>3100</v>
      </c>
      <c r="H8" s="277">
        <v>3000</v>
      </c>
      <c r="I8" s="273">
        <f t="shared" si="1"/>
        <v>100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 t="shared" si="0"/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8"/>
      <c r="B14" s="289"/>
      <c r="C14" s="290"/>
      <c r="D14" s="290">
        <v>0</v>
      </c>
      <c r="E14" s="291"/>
      <c r="F14" s="291"/>
      <c r="G14" s="289">
        <f t="shared" si="0"/>
        <v>0</v>
      </c>
      <c r="H14" s="292"/>
      <c r="I14" s="273">
        <f t="shared" si="1"/>
        <v>0</v>
      </c>
      <c r="J14" s="150"/>
      <c r="K14" s="150"/>
    </row>
    <row r="15" spans="1:11" x14ac:dyDescent="0.25">
      <c r="A15" s="293"/>
      <c r="B15" s="294" t="s">
        <v>193</v>
      </c>
      <c r="C15" s="293"/>
      <c r="D15" s="295"/>
      <c r="E15" s="208">
        <f>SUM(E6:E14)</f>
        <v>24000</v>
      </c>
      <c r="F15" s="240">
        <f>SUM(F6:F14)</f>
        <v>800</v>
      </c>
      <c r="G15" s="289"/>
      <c r="H15" s="316">
        <f>SUM(H6:H14)</f>
        <v>24000</v>
      </c>
      <c r="I15" s="273"/>
      <c r="J15" s="150"/>
      <c r="K15" s="150"/>
    </row>
    <row r="16" spans="1:11" x14ac:dyDescent="0.25">
      <c r="A16" s="150"/>
      <c r="B16" s="340"/>
      <c r="C16" s="340"/>
      <c r="D16" s="340"/>
      <c r="E16" s="340" t="s">
        <v>436</v>
      </c>
      <c r="F16" s="340"/>
      <c r="G16" s="340"/>
      <c r="H16" s="150"/>
      <c r="I16" s="273">
        <f>G16-H16</f>
        <v>0</v>
      </c>
      <c r="J16" s="150"/>
      <c r="K16" s="150"/>
    </row>
    <row r="17" spans="1:11" x14ac:dyDescent="0.25">
      <c r="A17" s="335" t="s">
        <v>3</v>
      </c>
      <c r="B17" s="335" t="s">
        <v>4</v>
      </c>
      <c r="C17" s="335" t="s">
        <v>104</v>
      </c>
      <c r="D17" s="335" t="s">
        <v>8</v>
      </c>
      <c r="E17" s="335" t="s">
        <v>9</v>
      </c>
      <c r="F17" s="336" t="s">
        <v>11</v>
      </c>
      <c r="G17" s="335" t="s">
        <v>12</v>
      </c>
      <c r="H17" s="337" t="s">
        <v>105</v>
      </c>
      <c r="I17" s="338"/>
      <c r="J17" s="150"/>
      <c r="K17" s="150"/>
    </row>
    <row r="18" spans="1:11" x14ac:dyDescent="0.25">
      <c r="A18" s="83" t="s">
        <v>106</v>
      </c>
      <c r="B18" s="249" t="s">
        <v>365</v>
      </c>
      <c r="C18" s="85"/>
      <c r="D18" s="232"/>
      <c r="E18" s="320">
        <v>3000</v>
      </c>
      <c r="F18" s="232">
        <f>D18+E18</f>
        <v>3000</v>
      </c>
      <c r="G18" s="234">
        <v>3000</v>
      </c>
      <c r="H18" s="319">
        <f>F18-G18</f>
        <v>0</v>
      </c>
      <c r="I18" s="319"/>
      <c r="J18" s="150"/>
      <c r="K18" s="150"/>
    </row>
    <row r="19" spans="1:11" x14ac:dyDescent="0.25">
      <c r="A19" s="83" t="s">
        <v>108</v>
      </c>
      <c r="B19" s="200" t="s">
        <v>284</v>
      </c>
      <c r="C19" s="85"/>
      <c r="D19" s="232">
        <v>0</v>
      </c>
      <c r="E19" s="320"/>
      <c r="F19" s="232">
        <f t="shared" ref="F19:F27" si="2">D19+E19</f>
        <v>0</v>
      </c>
      <c r="G19" s="232"/>
      <c r="H19" s="319">
        <f t="shared" ref="H19:H27" si="3">F19-G19</f>
        <v>0</v>
      </c>
      <c r="I19" s="319">
        <f t="shared" si="1"/>
        <v>0</v>
      </c>
      <c r="J19" s="150"/>
      <c r="K19" s="150"/>
    </row>
    <row r="20" spans="1:11" x14ac:dyDescent="0.25">
      <c r="A20" s="83" t="s">
        <v>110</v>
      </c>
      <c r="B20" s="110" t="s">
        <v>284</v>
      </c>
      <c r="C20" s="110"/>
      <c r="D20" s="110">
        <v>500</v>
      </c>
      <c r="E20" s="110">
        <v>2500</v>
      </c>
      <c r="F20" s="232">
        <f t="shared" si="2"/>
        <v>3000</v>
      </c>
      <c r="G20" s="110">
        <v>3000</v>
      </c>
      <c r="H20" s="319">
        <f t="shared" si="3"/>
        <v>0</v>
      </c>
      <c r="I20" s="319"/>
      <c r="J20" s="150"/>
      <c r="K20" s="150"/>
    </row>
    <row r="21" spans="1:11" x14ac:dyDescent="0.25">
      <c r="A21" s="87" t="s">
        <v>112</v>
      </c>
      <c r="B21" s="200" t="s">
        <v>364</v>
      </c>
      <c r="C21" s="110"/>
      <c r="D21" s="319">
        <v>1200</v>
      </c>
      <c r="E21" s="321"/>
      <c r="F21" s="232">
        <f t="shared" si="2"/>
        <v>1200</v>
      </c>
      <c r="G21" s="319"/>
      <c r="H21" s="319">
        <f t="shared" si="3"/>
        <v>1200</v>
      </c>
      <c r="I21" s="319"/>
      <c r="J21" s="150"/>
      <c r="K21" s="150"/>
    </row>
    <row r="22" spans="1:11" x14ac:dyDescent="0.25">
      <c r="A22" s="99" t="s">
        <v>114</v>
      </c>
      <c r="B22" s="200" t="s">
        <v>427</v>
      </c>
      <c r="C22" s="85"/>
      <c r="D22" s="232"/>
      <c r="E22" s="320">
        <v>2500</v>
      </c>
      <c r="F22" s="232">
        <f>D22+E22</f>
        <v>2500</v>
      </c>
      <c r="G22" s="234">
        <v>2500</v>
      </c>
      <c r="H22" s="319">
        <f>F22-G22</f>
        <v>0</v>
      </c>
      <c r="I22" s="319"/>
      <c r="J22" s="150"/>
      <c r="K22" s="150"/>
    </row>
    <row r="23" spans="1:11" x14ac:dyDescent="0.25">
      <c r="A23" s="93" t="s">
        <v>116</v>
      </c>
      <c r="B23" s="249" t="s">
        <v>437</v>
      </c>
      <c r="C23" s="110"/>
      <c r="D23" s="319"/>
      <c r="E23" s="325">
        <v>2500</v>
      </c>
      <c r="F23" s="232">
        <f t="shared" si="2"/>
        <v>2500</v>
      </c>
      <c r="G23" s="326">
        <v>2500</v>
      </c>
      <c r="H23" s="319">
        <f t="shared" si="3"/>
        <v>0</v>
      </c>
      <c r="I23" s="319"/>
      <c r="J23" s="150"/>
      <c r="K23" s="150"/>
    </row>
    <row r="24" spans="1:11" x14ac:dyDescent="0.25">
      <c r="A24" s="83" t="s">
        <v>119</v>
      </c>
      <c r="B24" s="249" t="s">
        <v>120</v>
      </c>
      <c r="C24" s="85"/>
      <c r="D24" s="232"/>
      <c r="E24" s="320">
        <v>2500</v>
      </c>
      <c r="F24" s="232">
        <f t="shared" si="2"/>
        <v>2500</v>
      </c>
      <c r="G24" s="234">
        <v>2500</v>
      </c>
      <c r="H24" s="319">
        <f t="shared" si="3"/>
        <v>0</v>
      </c>
      <c r="I24" s="319"/>
      <c r="J24" s="150"/>
      <c r="K24" s="150"/>
    </row>
    <row r="25" spans="1:11" x14ac:dyDescent="0.25">
      <c r="A25" s="83" t="s">
        <v>121</v>
      </c>
      <c r="B25" s="249" t="s">
        <v>420</v>
      </c>
      <c r="C25" s="85"/>
      <c r="D25" s="232"/>
      <c r="E25" s="320">
        <v>2500</v>
      </c>
      <c r="F25" s="232">
        <f t="shared" si="2"/>
        <v>2500</v>
      </c>
      <c r="G25" s="234">
        <v>2500</v>
      </c>
      <c r="H25" s="319">
        <f t="shared" si="3"/>
        <v>0</v>
      </c>
      <c r="I25" s="319"/>
      <c r="J25" s="150"/>
      <c r="K25" s="150"/>
    </row>
    <row r="26" spans="1:11" x14ac:dyDescent="0.25">
      <c r="A26" s="83" t="s">
        <v>123</v>
      </c>
      <c r="B26" s="200" t="s">
        <v>396</v>
      </c>
      <c r="C26" s="85"/>
      <c r="D26" s="232"/>
      <c r="E26" s="320">
        <v>2500</v>
      </c>
      <c r="F26" s="232">
        <f>D26+E26</f>
        <v>2500</v>
      </c>
      <c r="G26" s="234">
        <v>2500</v>
      </c>
      <c r="H26" s="319">
        <f t="shared" si="3"/>
        <v>0</v>
      </c>
      <c r="I26" s="319"/>
      <c r="J26" s="150"/>
      <c r="K26" s="150"/>
    </row>
    <row r="27" spans="1:11" x14ac:dyDescent="0.25">
      <c r="A27" s="83" t="s">
        <v>125</v>
      </c>
      <c r="B27" s="200" t="s">
        <v>312</v>
      </c>
      <c r="C27" s="85"/>
      <c r="D27" s="232"/>
      <c r="E27" s="231">
        <v>1500</v>
      </c>
      <c r="F27" s="232">
        <f t="shared" si="2"/>
        <v>1500</v>
      </c>
      <c r="G27" s="234">
        <v>1500</v>
      </c>
      <c r="H27" s="319">
        <f t="shared" si="3"/>
        <v>0</v>
      </c>
      <c r="I27" s="319"/>
      <c r="J27" s="150"/>
      <c r="K27" s="150"/>
    </row>
    <row r="28" spans="1:11" x14ac:dyDescent="0.25">
      <c r="A28" s="83"/>
      <c r="B28" s="204" t="s">
        <v>193</v>
      </c>
      <c r="C28" s="205">
        <v>0</v>
      </c>
      <c r="D28" s="322">
        <v>0</v>
      </c>
      <c r="E28" s="239">
        <f>SUM(E18:E27)</f>
        <v>19500</v>
      </c>
      <c r="F28" s="240">
        <f>SUM(F18:F27)</f>
        <v>21200</v>
      </c>
      <c r="G28" s="240">
        <f>SUM(G18:G27)</f>
        <v>20000</v>
      </c>
      <c r="H28" s="323">
        <f>SUM(H18:H27)</f>
        <v>1200</v>
      </c>
      <c r="I28" s="319"/>
      <c r="J28" s="150"/>
      <c r="K28" s="150"/>
    </row>
    <row r="29" spans="1:11" x14ac:dyDescent="0.25">
      <c r="A29" s="96"/>
      <c r="B29" s="84"/>
      <c r="C29" s="86"/>
      <c r="D29" s="86"/>
      <c r="E29" s="98"/>
      <c r="F29" s="98"/>
      <c r="G29" s="86"/>
      <c r="H29" s="324"/>
      <c r="I29" s="319">
        <f t="shared" si="1"/>
        <v>0</v>
      </c>
      <c r="J29" s="150"/>
      <c r="K29" s="150"/>
    </row>
    <row r="30" spans="1:11" ht="18.75" x14ac:dyDescent="0.25">
      <c r="A30" s="341"/>
      <c r="B30" s="342"/>
      <c r="C30" s="342"/>
      <c r="D30" s="342"/>
      <c r="E30" s="345" t="s">
        <v>247</v>
      </c>
      <c r="F30" s="342"/>
      <c r="G30" s="342"/>
      <c r="H30" s="344"/>
      <c r="I30" s="273">
        <f t="shared" si="1"/>
        <v>0</v>
      </c>
      <c r="J30" s="150"/>
      <c r="K30" s="150"/>
    </row>
    <row r="31" spans="1:11" x14ac:dyDescent="0.25">
      <c r="A31" s="166"/>
      <c r="B31" s="166"/>
      <c r="C31" s="166"/>
      <c r="D31" s="166"/>
      <c r="E31" s="166" t="s">
        <v>9</v>
      </c>
      <c r="F31" s="166" t="s">
        <v>11</v>
      </c>
      <c r="G31" s="166" t="s">
        <v>12</v>
      </c>
      <c r="H31" s="166" t="s">
        <v>306</v>
      </c>
      <c r="I31" s="318"/>
      <c r="J31" s="150"/>
      <c r="K31" s="150"/>
    </row>
    <row r="32" spans="1:11" x14ac:dyDescent="0.25">
      <c r="A32" s="83">
        <v>1</v>
      </c>
      <c r="B32" s="191" t="s">
        <v>313</v>
      </c>
      <c r="C32" s="85"/>
      <c r="D32" s="86"/>
      <c r="E32" s="232">
        <v>3500</v>
      </c>
      <c r="F32" s="232">
        <f>SUM(D32:E32)</f>
        <v>3500</v>
      </c>
      <c r="G32" s="232">
        <v>3500</v>
      </c>
      <c r="H32" s="273">
        <f>F32-G32</f>
        <v>0</v>
      </c>
      <c r="I32" s="273"/>
      <c r="J32" s="150"/>
      <c r="K32" s="150"/>
    </row>
    <row r="33" spans="1:12" x14ac:dyDescent="0.25">
      <c r="A33" s="83">
        <v>2</v>
      </c>
      <c r="B33" s="110" t="s">
        <v>399</v>
      </c>
      <c r="C33" s="113"/>
      <c r="D33" s="113"/>
      <c r="E33" s="110">
        <v>4000</v>
      </c>
      <c r="F33" s="232">
        <f t="shared" ref="F33:F38" si="4">SUM(D33:E33)</f>
        <v>4000</v>
      </c>
      <c r="G33" s="110">
        <v>4000</v>
      </c>
      <c r="H33" s="273">
        <f t="shared" ref="H33:H39" si="5">F33-G33</f>
        <v>0</v>
      </c>
      <c r="I33" s="273"/>
      <c r="J33" s="150"/>
      <c r="K33" s="150"/>
    </row>
    <row r="34" spans="1:12" x14ac:dyDescent="0.25">
      <c r="A34" s="83">
        <v>3</v>
      </c>
      <c r="B34" s="191" t="s">
        <v>411</v>
      </c>
      <c r="C34" s="85"/>
      <c r="D34" s="86"/>
      <c r="E34" s="231">
        <v>4000</v>
      </c>
      <c r="F34" s="232">
        <f t="shared" si="4"/>
        <v>4000</v>
      </c>
      <c r="G34" s="110">
        <v>4000</v>
      </c>
      <c r="H34" s="273">
        <f t="shared" si="5"/>
        <v>0</v>
      </c>
      <c r="I34" s="273"/>
      <c r="J34" s="150"/>
      <c r="K34" s="150"/>
    </row>
    <row r="35" spans="1:12" x14ac:dyDescent="0.25">
      <c r="A35" s="83">
        <v>4</v>
      </c>
      <c r="B35" s="191" t="s">
        <v>350</v>
      </c>
      <c r="C35" s="86"/>
      <c r="D35" s="150"/>
      <c r="E35" s="231">
        <v>4000</v>
      </c>
      <c r="F35" s="232">
        <f t="shared" si="4"/>
        <v>4000</v>
      </c>
      <c r="G35" s="110">
        <v>4000</v>
      </c>
      <c r="H35" s="273">
        <f t="shared" si="5"/>
        <v>0</v>
      </c>
      <c r="I35" s="273"/>
      <c r="J35" s="150"/>
      <c r="K35" s="150"/>
    </row>
    <row r="36" spans="1:12" x14ac:dyDescent="0.25">
      <c r="A36" s="99">
        <v>5</v>
      </c>
      <c r="B36" s="191" t="s">
        <v>392</v>
      </c>
      <c r="C36" s="85"/>
      <c r="D36" s="86"/>
      <c r="E36" s="231">
        <v>4000</v>
      </c>
      <c r="F36" s="232">
        <f t="shared" si="4"/>
        <v>4000</v>
      </c>
      <c r="G36" s="110">
        <v>4000</v>
      </c>
      <c r="H36" s="273">
        <f t="shared" si="5"/>
        <v>0</v>
      </c>
      <c r="I36" s="273"/>
      <c r="J36" s="150"/>
      <c r="K36" s="150"/>
    </row>
    <row r="37" spans="1:12" x14ac:dyDescent="0.25">
      <c r="A37" s="93">
        <v>6</v>
      </c>
      <c r="B37" s="218" t="s">
        <v>391</v>
      </c>
      <c r="C37" s="85"/>
      <c r="D37" s="86"/>
      <c r="E37" s="231">
        <v>4000</v>
      </c>
      <c r="F37" s="232">
        <f t="shared" si="4"/>
        <v>4000</v>
      </c>
      <c r="G37" s="110">
        <v>4000</v>
      </c>
      <c r="H37" s="273">
        <f t="shared" si="5"/>
        <v>0</v>
      </c>
      <c r="I37" s="273"/>
      <c r="J37" s="150"/>
      <c r="K37" s="150"/>
    </row>
    <row r="38" spans="1:12" x14ac:dyDescent="0.25">
      <c r="A38" s="83">
        <v>7</v>
      </c>
      <c r="B38" s="210" t="s">
        <v>354</v>
      </c>
      <c r="C38" s="85">
        <v>0</v>
      </c>
      <c r="D38" s="92">
        <v>0</v>
      </c>
      <c r="E38" s="231">
        <v>4000</v>
      </c>
      <c r="F38" s="232">
        <f t="shared" si="4"/>
        <v>4000</v>
      </c>
      <c r="G38" s="110">
        <v>4000</v>
      </c>
      <c r="H38" s="273">
        <f t="shared" si="5"/>
        <v>0</v>
      </c>
      <c r="I38" s="273"/>
      <c r="J38" s="150"/>
      <c r="K38" s="150"/>
    </row>
    <row r="39" spans="1:12" x14ac:dyDescent="0.25">
      <c r="A39" s="164"/>
      <c r="B39" s="339" t="s">
        <v>193</v>
      </c>
      <c r="C39" s="42"/>
      <c r="D39" s="42"/>
      <c r="E39" s="240">
        <f>SUM(E32:E38)</f>
        <v>27500</v>
      </c>
      <c r="F39" s="322">
        <f>SUM(F32:F38)</f>
        <v>27500</v>
      </c>
      <c r="G39" s="240">
        <f>SUM(G32:G38)</f>
        <v>27500</v>
      </c>
      <c r="H39" s="273">
        <f t="shared" si="5"/>
        <v>0</v>
      </c>
      <c r="I39" s="273"/>
      <c r="J39" s="150"/>
      <c r="K39" s="150"/>
    </row>
    <row r="40" spans="1:12" x14ac:dyDescent="0.25">
      <c r="A40" s="302"/>
      <c r="B40" s="150"/>
      <c r="C40" s="150"/>
      <c r="D40" s="150"/>
      <c r="E40" s="150"/>
      <c r="F40" s="150"/>
      <c r="G40" s="150"/>
      <c r="H40" s="150"/>
      <c r="I40" s="269"/>
      <c r="J40" s="150"/>
      <c r="K40" s="150"/>
    </row>
    <row r="41" spans="1:12" x14ac:dyDescent="0.25">
      <c r="A41" s="175"/>
      <c r="B41" s="150"/>
      <c r="C41" s="150"/>
      <c r="D41" s="150"/>
      <c r="E41" s="150"/>
      <c r="F41" s="150"/>
      <c r="G41" s="150"/>
      <c r="H41" s="150"/>
      <c r="I41" s="269"/>
      <c r="J41" s="150"/>
      <c r="K41" s="150"/>
    </row>
    <row r="42" spans="1:12" x14ac:dyDescent="0.25">
      <c r="A42" s="109"/>
      <c r="B42" s="150"/>
      <c r="C42" s="150"/>
      <c r="D42" s="150"/>
      <c r="E42" s="150"/>
      <c r="F42" s="150"/>
      <c r="G42" s="150"/>
      <c r="H42" s="150"/>
      <c r="I42" s="269"/>
      <c r="J42" s="150"/>
      <c r="K42" s="150"/>
    </row>
    <row r="43" spans="1:12" x14ac:dyDescent="0.25">
      <c r="A43" s="79"/>
      <c r="B43" s="79"/>
      <c r="C43" s="106"/>
      <c r="D43" s="107"/>
      <c r="E43" s="106"/>
      <c r="F43" s="108"/>
      <c r="G43" s="106"/>
      <c r="H43" s="150"/>
      <c r="I43" s="269"/>
      <c r="J43" s="150"/>
      <c r="K43" s="150"/>
    </row>
    <row r="44" spans="1:12" x14ac:dyDescent="0.25">
      <c r="A44" s="303"/>
      <c r="J44" s="150"/>
      <c r="K44" s="150"/>
      <c r="L44" s="220"/>
    </row>
    <row r="45" spans="1:12" x14ac:dyDescent="0.25">
      <c r="A45" s="304"/>
      <c r="J45" s="150"/>
      <c r="K45" s="150"/>
      <c r="L45" s="220"/>
    </row>
    <row r="46" spans="1:12" x14ac:dyDescent="0.25">
      <c r="A46" s="304"/>
      <c r="J46" s="150"/>
      <c r="K46" s="150"/>
    </row>
    <row r="47" spans="1:12" x14ac:dyDescent="0.25">
      <c r="A47" s="150"/>
      <c r="J47" s="150"/>
      <c r="K47" s="150"/>
      <c r="L47" s="220">
        <f>C49+C51+C52</f>
        <v>74800</v>
      </c>
    </row>
    <row r="48" spans="1:12" ht="21" x14ac:dyDescent="0.35">
      <c r="A48" s="304"/>
      <c r="B48" s="158" t="s">
        <v>204</v>
      </c>
      <c r="C48" s="158" t="s">
        <v>205</v>
      </c>
      <c r="D48" s="158" t="s">
        <v>207</v>
      </c>
      <c r="E48" s="158" t="s">
        <v>208</v>
      </c>
      <c r="F48" s="158" t="s">
        <v>204</v>
      </c>
      <c r="G48" s="158" t="s">
        <v>205</v>
      </c>
      <c r="H48" s="158" t="s">
        <v>207</v>
      </c>
      <c r="I48" s="222" t="s">
        <v>306</v>
      </c>
      <c r="J48" s="150"/>
      <c r="K48" s="150"/>
    </row>
    <row r="49" spans="1:11" x14ac:dyDescent="0.25">
      <c r="A49" s="304"/>
      <c r="B49" s="211" t="s">
        <v>338</v>
      </c>
      <c r="C49" s="273">
        <f>E15+E28+E39</f>
        <v>71000</v>
      </c>
      <c r="D49" s="164"/>
      <c r="E49" s="164"/>
      <c r="F49" s="211" t="s">
        <v>434</v>
      </c>
      <c r="G49" s="273">
        <f>H15+G28+G39</f>
        <v>71500</v>
      </c>
      <c r="H49" s="164"/>
      <c r="I49" s="273"/>
      <c r="J49" s="150"/>
      <c r="K49" s="150"/>
    </row>
    <row r="50" spans="1:11" x14ac:dyDescent="0.25">
      <c r="A50" s="304"/>
      <c r="B50" s="211" t="s">
        <v>209</v>
      </c>
      <c r="C50" s="307">
        <v>0.08</v>
      </c>
      <c r="D50" s="308">
        <f>C49*C50</f>
        <v>5680</v>
      </c>
      <c r="E50" s="211"/>
      <c r="F50" s="211" t="s">
        <v>209</v>
      </c>
      <c r="G50" s="307">
        <v>0.08</v>
      </c>
      <c r="H50" s="308">
        <f>D50</f>
        <v>5680</v>
      </c>
      <c r="I50" s="273"/>
      <c r="J50" s="150"/>
      <c r="K50" s="150"/>
    </row>
    <row r="51" spans="1:11" x14ac:dyDescent="0.25">
      <c r="A51" s="304"/>
      <c r="B51" s="309" t="s">
        <v>210</v>
      </c>
      <c r="C51" s="211">
        <v>3000</v>
      </c>
      <c r="D51" s="211"/>
      <c r="E51" s="211"/>
      <c r="F51" s="309" t="s">
        <v>210</v>
      </c>
      <c r="G51" s="211">
        <v>3000</v>
      </c>
      <c r="H51" s="211"/>
      <c r="I51" s="273"/>
      <c r="J51" s="150"/>
      <c r="K51" s="150"/>
    </row>
    <row r="52" spans="1:11" x14ac:dyDescent="0.25">
      <c r="A52" s="304"/>
      <c r="B52" s="309" t="s">
        <v>232</v>
      </c>
      <c r="C52" s="308">
        <f>F15</f>
        <v>800</v>
      </c>
      <c r="D52" s="211"/>
      <c r="E52" s="211"/>
      <c r="F52" s="309" t="s">
        <v>232</v>
      </c>
      <c r="G52" s="308">
        <v>800</v>
      </c>
      <c r="H52" s="211"/>
      <c r="I52" s="273"/>
      <c r="J52" s="150"/>
      <c r="K52" s="150"/>
    </row>
    <row r="53" spans="1:11" x14ac:dyDescent="0.25">
      <c r="A53" s="304"/>
      <c r="B53" s="309" t="s">
        <v>239</v>
      </c>
      <c r="C53" s="308">
        <f>'MARCH 19'!E79</f>
        <v>30761.342305280035</v>
      </c>
      <c r="D53" s="211"/>
      <c r="E53" s="211"/>
      <c r="F53" s="309" t="s">
        <v>239</v>
      </c>
      <c r="G53" s="308">
        <f>'MARCH 19'!I79</f>
        <v>27317.275200000033</v>
      </c>
      <c r="H53" s="211"/>
      <c r="I53" s="273"/>
      <c r="J53" s="150"/>
      <c r="K53" s="150"/>
    </row>
    <row r="54" spans="1:11" x14ac:dyDescent="0.25">
      <c r="A54" s="150"/>
      <c r="B54" s="309" t="s">
        <v>193</v>
      </c>
      <c r="C54" s="308">
        <f>C49+C51+C52+C53</f>
        <v>105561.34230528004</v>
      </c>
      <c r="D54" s="211"/>
      <c r="E54" s="211"/>
      <c r="F54" s="309" t="s">
        <v>193</v>
      </c>
      <c r="G54" s="308">
        <f>G49+G51+G52+G53</f>
        <v>102617.27520000003</v>
      </c>
      <c r="H54" s="211"/>
      <c r="I54" s="273"/>
      <c r="J54" s="150"/>
      <c r="K54" s="150"/>
    </row>
    <row r="55" spans="1:11" x14ac:dyDescent="0.25">
      <c r="A55" s="150"/>
      <c r="B55" s="212" t="s">
        <v>276</v>
      </c>
      <c r="C55" s="307"/>
      <c r="D55" s="214"/>
      <c r="E55" s="211"/>
      <c r="F55" s="212" t="s">
        <v>276</v>
      </c>
      <c r="G55" s="307"/>
      <c r="H55" s="214"/>
      <c r="I55" s="273"/>
      <c r="J55" s="150"/>
      <c r="K55" s="150"/>
    </row>
    <row r="56" spans="1:11" x14ac:dyDescent="0.25">
      <c r="A56" s="150"/>
      <c r="B56" s="309" t="s">
        <v>364</v>
      </c>
      <c r="C56" s="211"/>
      <c r="D56" s="310">
        <v>1200</v>
      </c>
      <c r="E56" s="211"/>
      <c r="F56" s="309" t="s">
        <v>364</v>
      </c>
      <c r="G56" s="211"/>
      <c r="H56" s="310">
        <v>1200</v>
      </c>
      <c r="I56" s="273"/>
      <c r="J56" s="150"/>
      <c r="K56" s="150"/>
    </row>
    <row r="57" spans="1:11" x14ac:dyDescent="0.25">
      <c r="A57" s="150"/>
      <c r="B57" s="309" t="s">
        <v>81</v>
      </c>
      <c r="C57" s="211"/>
      <c r="D57" s="310">
        <v>32500</v>
      </c>
      <c r="E57" s="211"/>
      <c r="F57" s="309" t="s">
        <v>81</v>
      </c>
      <c r="G57" s="211"/>
      <c r="H57" s="310">
        <v>32500</v>
      </c>
      <c r="I57" s="273"/>
      <c r="J57" s="150"/>
      <c r="K57" s="150"/>
    </row>
    <row r="58" spans="1:11" x14ac:dyDescent="0.25">
      <c r="A58" s="150"/>
      <c r="B58" s="219" t="s">
        <v>438</v>
      </c>
      <c r="C58" s="164"/>
      <c r="D58" s="165">
        <v>83000</v>
      </c>
      <c r="E58" s="164"/>
      <c r="F58" s="219" t="s">
        <v>438</v>
      </c>
      <c r="G58" s="164"/>
      <c r="H58" s="165">
        <v>83000</v>
      </c>
      <c r="I58" s="273"/>
      <c r="J58" s="150"/>
      <c r="K58" s="150"/>
    </row>
    <row r="59" spans="1:11" x14ac:dyDescent="0.25">
      <c r="A59" s="150"/>
      <c r="B59" s="219"/>
      <c r="C59" s="164"/>
      <c r="D59" s="165"/>
      <c r="E59" s="164"/>
      <c r="F59" s="219"/>
      <c r="G59" s="164"/>
      <c r="H59" s="165"/>
      <c r="I59" s="273"/>
      <c r="J59" s="150"/>
      <c r="K59" s="150"/>
    </row>
    <row r="60" spans="1:11" x14ac:dyDescent="0.25">
      <c r="A60" s="150"/>
      <c r="B60" s="164"/>
      <c r="C60" s="164"/>
      <c r="D60" s="164"/>
      <c r="E60" s="164"/>
      <c r="F60" s="164"/>
      <c r="G60" s="164"/>
      <c r="H60" s="164"/>
      <c r="I60" s="273"/>
      <c r="J60" s="150"/>
      <c r="K60" s="150"/>
    </row>
    <row r="61" spans="1:11" x14ac:dyDescent="0.25">
      <c r="A61" s="150"/>
      <c r="B61" s="164"/>
      <c r="C61" s="164"/>
      <c r="D61" s="164"/>
      <c r="E61" s="164"/>
      <c r="F61" s="219"/>
      <c r="G61" s="164"/>
      <c r="H61" s="165"/>
      <c r="I61" s="273"/>
      <c r="J61" s="150"/>
      <c r="K61" s="150"/>
    </row>
    <row r="62" spans="1:11" x14ac:dyDescent="0.25">
      <c r="A62" s="150"/>
      <c r="B62" s="219"/>
      <c r="C62" s="164"/>
      <c r="D62" s="165"/>
      <c r="E62" s="164"/>
      <c r="F62" s="219"/>
      <c r="G62" s="164"/>
      <c r="H62" s="165"/>
      <c r="I62" s="273"/>
      <c r="J62" s="150"/>
      <c r="K62" s="150"/>
    </row>
    <row r="63" spans="1:11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1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1" x14ac:dyDescent="0.25">
      <c r="A65" s="150"/>
      <c r="B65" s="166" t="s">
        <v>193</v>
      </c>
      <c r="C65" s="317">
        <f>C49+C51+C52+C53-D50</f>
        <v>99881.342305280035</v>
      </c>
      <c r="D65" s="318">
        <f>SUM(D56:D64)</f>
        <v>116700</v>
      </c>
      <c r="E65" s="318">
        <f>C65-D65</f>
        <v>-16818.657694719965</v>
      </c>
      <c r="F65" s="166" t="s">
        <v>193</v>
      </c>
      <c r="G65" s="317">
        <f>G49+G51+G52+G53-H50</f>
        <v>96937.275200000033</v>
      </c>
      <c r="H65" s="318">
        <f>SUM(H56:H64)</f>
        <v>116700</v>
      </c>
      <c r="I65" s="318">
        <f>G65-H65</f>
        <v>-19762.724799999967</v>
      </c>
      <c r="J65" s="150"/>
      <c r="K65" s="150"/>
    </row>
    <row r="66" spans="1:11" x14ac:dyDescent="0.25">
      <c r="A66" s="150"/>
      <c r="B66" s="150"/>
      <c r="C66" s="150"/>
      <c r="D66" s="150"/>
      <c r="E66" s="150"/>
      <c r="F66" s="150"/>
      <c r="G66" s="79"/>
      <c r="H66" s="150"/>
      <c r="I66" s="269"/>
      <c r="J66" s="150"/>
      <c r="K66" s="150"/>
    </row>
    <row r="67" spans="1:11" x14ac:dyDescent="0.25">
      <c r="A67" s="150"/>
      <c r="B67" s="150" t="s">
        <v>71</v>
      </c>
      <c r="C67" s="79"/>
      <c r="E67" s="150" t="s">
        <v>72</v>
      </c>
      <c r="H67" s="150" t="s">
        <v>73</v>
      </c>
      <c r="I67" s="269"/>
      <c r="J67" s="150"/>
      <c r="K67" s="150"/>
    </row>
    <row r="68" spans="1:11" x14ac:dyDescent="0.25">
      <c r="B68" s="150"/>
      <c r="C68" s="150"/>
      <c r="E68" s="150"/>
      <c r="H68" s="150"/>
      <c r="I68" s="269"/>
    </row>
    <row r="69" spans="1:11" x14ac:dyDescent="0.25">
      <c r="B69" s="150" t="s">
        <v>379</v>
      </c>
      <c r="C69" s="150"/>
      <c r="E69" s="150" t="s">
        <v>135</v>
      </c>
      <c r="H69" s="150" t="s">
        <v>130</v>
      </c>
      <c r="I69" s="269"/>
    </row>
    <row r="70" spans="1:11" x14ac:dyDescent="0.25">
      <c r="B70" s="150"/>
      <c r="C70" s="150"/>
      <c r="D70" s="150"/>
      <c r="E70" s="150"/>
      <c r="F70" s="150"/>
      <c r="G70" s="150"/>
      <c r="H70" s="150"/>
      <c r="I70" s="150"/>
    </row>
  </sheetData>
  <pageMargins left="0.25" right="0.25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K60" sqref="K60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7" width="10.7109375" style="78" customWidth="1"/>
    <col min="8" max="8" width="10.7109375" style="78" bestFit="1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15.75" customHeight="1" x14ac:dyDescent="0.25">
      <c r="A3" s="268"/>
      <c r="B3" s="150"/>
      <c r="C3" s="150"/>
      <c r="D3" s="5" t="s">
        <v>440</v>
      </c>
      <c r="E3" s="250"/>
      <c r="F3" s="103"/>
      <c r="G3" s="103"/>
      <c r="H3" s="103"/>
      <c r="I3" s="269"/>
      <c r="J3" s="150"/>
      <c r="K3" s="150"/>
    </row>
    <row r="4" spans="1:11" ht="12.7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3000</v>
      </c>
      <c r="I6" s="273">
        <f t="shared" ref="I6:I35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 t="shared" si="0"/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3">
        <v>9</v>
      </c>
      <c r="B14" s="196" t="s">
        <v>446</v>
      </c>
      <c r="C14" s="284" t="s">
        <v>18</v>
      </c>
      <c r="D14" s="275"/>
      <c r="E14" s="285">
        <v>4500</v>
      </c>
      <c r="F14" s="286"/>
      <c r="G14" s="276">
        <f t="shared" si="0"/>
        <v>4500</v>
      </c>
      <c r="H14" s="277">
        <v>4500</v>
      </c>
      <c r="I14" s="273">
        <f t="shared" si="1"/>
        <v>0</v>
      </c>
      <c r="J14" s="150"/>
      <c r="K14" s="150"/>
    </row>
    <row r="15" spans="1:11" x14ac:dyDescent="0.25">
      <c r="A15" s="283">
        <v>10</v>
      </c>
      <c r="B15" s="196" t="s">
        <v>442</v>
      </c>
      <c r="C15" s="284" t="s">
        <v>20</v>
      </c>
      <c r="D15" s="275"/>
      <c r="E15" s="285">
        <v>6000</v>
      </c>
      <c r="F15" s="286">
        <v>0</v>
      </c>
      <c r="G15" s="276">
        <f t="shared" si="0"/>
        <v>6000</v>
      </c>
      <c r="H15" s="277">
        <v>6000</v>
      </c>
      <c r="I15" s="273">
        <f t="shared" si="1"/>
        <v>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3800</v>
      </c>
      <c r="F16" s="286">
        <v>0</v>
      </c>
      <c r="G16" s="276">
        <f t="shared" si="0"/>
        <v>3800</v>
      </c>
      <c r="H16" s="277">
        <v>3800</v>
      </c>
      <c r="I16" s="273">
        <f t="shared" si="1"/>
        <v>0</v>
      </c>
      <c r="J16" s="150"/>
      <c r="K16" s="150"/>
    </row>
    <row r="17" spans="1:11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1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1" x14ac:dyDescent="0.25">
      <c r="A19" s="288">
        <v>14</v>
      </c>
      <c r="B19" s="196" t="s">
        <v>348</v>
      </c>
      <c r="C19" s="349" t="s">
        <v>28</v>
      </c>
      <c r="D19" s="290">
        <v>0</v>
      </c>
      <c r="E19" s="276">
        <v>3000</v>
      </c>
      <c r="F19" s="291"/>
      <c r="G19" s="276">
        <f>D19+E19+F19</f>
        <v>3000</v>
      </c>
      <c r="H19" s="277">
        <v>3000</v>
      </c>
      <c r="I19" s="273">
        <f t="shared" si="1"/>
        <v>0</v>
      </c>
      <c r="J19" s="150"/>
      <c r="K19" s="150"/>
    </row>
    <row r="20" spans="1:11" x14ac:dyDescent="0.25">
      <c r="A20" s="293"/>
      <c r="B20" s="294" t="s">
        <v>193</v>
      </c>
      <c r="C20" s="293"/>
      <c r="D20" s="295"/>
      <c r="E20" s="208">
        <f>SUM(E6:E19)</f>
        <v>38300</v>
      </c>
      <c r="F20" s="240">
        <f>SUM(F6:F19)</f>
        <v>700</v>
      </c>
      <c r="G20" s="289"/>
      <c r="H20" s="316">
        <f>SUM(H6:H19)</f>
        <v>38300</v>
      </c>
      <c r="I20" s="273"/>
      <c r="J20" s="150"/>
      <c r="K20" s="150"/>
    </row>
    <row r="21" spans="1:11" x14ac:dyDescent="0.25">
      <c r="A21" s="150"/>
      <c r="B21" s="346"/>
      <c r="C21" s="346"/>
      <c r="D21" s="346"/>
      <c r="E21" s="346" t="s">
        <v>436</v>
      </c>
      <c r="F21" s="346"/>
      <c r="G21" s="346"/>
      <c r="H21" s="150"/>
      <c r="I21" s="273">
        <f>G21-H21</f>
        <v>0</v>
      </c>
      <c r="J21" s="150"/>
      <c r="K21" s="150"/>
    </row>
    <row r="22" spans="1:11" x14ac:dyDescent="0.25">
      <c r="A22" s="335" t="s">
        <v>3</v>
      </c>
      <c r="B22" s="335" t="s">
        <v>4</v>
      </c>
      <c r="C22" s="335" t="s">
        <v>104</v>
      </c>
      <c r="D22" s="335" t="s">
        <v>8</v>
      </c>
      <c r="E22" s="335" t="s">
        <v>9</v>
      </c>
      <c r="F22" s="336" t="s">
        <v>11</v>
      </c>
      <c r="G22" s="335" t="s">
        <v>12</v>
      </c>
      <c r="H22" s="337" t="s">
        <v>105</v>
      </c>
      <c r="I22" s="338"/>
      <c r="J22" s="150"/>
      <c r="K22" s="150"/>
    </row>
    <row r="23" spans="1:11" x14ac:dyDescent="0.25">
      <c r="A23" s="83" t="s">
        <v>106</v>
      </c>
      <c r="B23" s="249" t="s">
        <v>365</v>
      </c>
      <c r="C23" s="85"/>
      <c r="D23" s="232"/>
      <c r="E23" s="320">
        <v>3000</v>
      </c>
      <c r="F23" s="232">
        <f t="shared" ref="F23:F32" si="2">D23+E23</f>
        <v>3000</v>
      </c>
      <c r="G23" s="234">
        <v>3000</v>
      </c>
      <c r="H23" s="319">
        <f t="shared" ref="H23:H32" si="3">F23-G23</f>
        <v>0</v>
      </c>
      <c r="I23" s="319"/>
      <c r="J23" s="150"/>
      <c r="K23" s="150"/>
    </row>
    <row r="24" spans="1:11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si="2"/>
        <v>0</v>
      </c>
      <c r="G24" s="232"/>
      <c r="H24" s="319">
        <f t="shared" si="3"/>
        <v>0</v>
      </c>
      <c r="I24" s="319">
        <f t="shared" si="1"/>
        <v>0</v>
      </c>
      <c r="J24" s="150"/>
      <c r="K24" s="150"/>
    </row>
    <row r="25" spans="1:11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2"/>
        <v>2500</v>
      </c>
      <c r="G25" s="110">
        <v>2500</v>
      </c>
      <c r="H25" s="319">
        <f t="shared" si="3"/>
        <v>0</v>
      </c>
      <c r="I25" s="319"/>
      <c r="J25" s="150"/>
      <c r="K25" s="150"/>
    </row>
    <row r="26" spans="1:11" x14ac:dyDescent="0.25">
      <c r="A26" s="87" t="s">
        <v>112</v>
      </c>
      <c r="B26" s="200" t="s">
        <v>443</v>
      </c>
      <c r="C26" s="110"/>
      <c r="D26" s="319"/>
      <c r="E26" s="321">
        <v>3000</v>
      </c>
      <c r="F26" s="232">
        <f t="shared" si="2"/>
        <v>3000</v>
      </c>
      <c r="G26" s="319">
        <v>3000</v>
      </c>
      <c r="H26" s="319">
        <f t="shared" si="3"/>
        <v>0</v>
      </c>
      <c r="I26" s="319"/>
      <c r="J26" s="150"/>
      <c r="K26" s="150"/>
    </row>
    <row r="27" spans="1:11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2"/>
        <v>2500</v>
      </c>
      <c r="G27" s="234">
        <v>2500</v>
      </c>
      <c r="H27" s="319">
        <f t="shared" si="3"/>
        <v>0</v>
      </c>
      <c r="I27" s="319"/>
      <c r="J27" s="150"/>
      <c r="K27" s="150"/>
    </row>
    <row r="28" spans="1:11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2"/>
        <v>2500</v>
      </c>
      <c r="G28" s="326">
        <v>2500</v>
      </c>
      <c r="H28" s="319">
        <f t="shared" si="3"/>
        <v>0</v>
      </c>
      <c r="I28" s="319"/>
      <c r="J28" s="150"/>
      <c r="K28" s="150"/>
    </row>
    <row r="29" spans="1:11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2"/>
        <v>2500</v>
      </c>
      <c r="G29" s="234">
        <v>2500</v>
      </c>
      <c r="H29" s="319">
        <f t="shared" si="3"/>
        <v>0</v>
      </c>
      <c r="I29" s="319"/>
      <c r="J29" s="150"/>
      <c r="K29" s="150"/>
    </row>
    <row r="30" spans="1:11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2"/>
        <v>2500</v>
      </c>
      <c r="G30" s="234">
        <v>2500</v>
      </c>
      <c r="H30" s="319">
        <f t="shared" si="3"/>
        <v>0</v>
      </c>
      <c r="I30" s="319"/>
      <c r="J30" s="150"/>
      <c r="K30" s="150"/>
    </row>
    <row r="31" spans="1:11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 t="shared" si="2"/>
        <v>2500</v>
      </c>
      <c r="G31" s="234">
        <v>2500</v>
      </c>
      <c r="H31" s="319">
        <f t="shared" si="3"/>
        <v>0</v>
      </c>
      <c r="I31" s="319"/>
      <c r="J31" s="150"/>
      <c r="K31" s="150"/>
    </row>
    <row r="32" spans="1:11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2"/>
        <v>1500</v>
      </c>
      <c r="G32" s="234">
        <v>1500</v>
      </c>
      <c r="H32" s="319">
        <f t="shared" si="3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22500</v>
      </c>
      <c r="F33" s="240">
        <f>SUM(F23:F32)</f>
        <v>22500</v>
      </c>
      <c r="G33" s="240">
        <f>SUM(G23:G32)</f>
        <v>22500</v>
      </c>
      <c r="H33" s="323">
        <f>SUM(H23:H32)</f>
        <v>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47"/>
      <c r="B35" s="348"/>
      <c r="C35" s="348"/>
      <c r="D35" s="348"/>
      <c r="E35" s="345" t="s">
        <v>247</v>
      </c>
      <c r="F35" s="348"/>
      <c r="G35" s="348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 t="shared" ref="F37:F43" si="4">SUM(D37:E37)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399</v>
      </c>
      <c r="C38" s="113"/>
      <c r="D38" s="113"/>
      <c r="E38" s="110">
        <v>4000</v>
      </c>
      <c r="F38" s="232">
        <f t="shared" si="4"/>
        <v>4000</v>
      </c>
      <c r="G38" s="110">
        <v>4000</v>
      </c>
      <c r="H38" s="273">
        <f t="shared" ref="H38:H44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354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27500</v>
      </c>
      <c r="G44" s="240">
        <f>SUM(G37:G43)</f>
        <v>27500</v>
      </c>
      <c r="H44" s="273">
        <f t="shared" si="5"/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</row>
    <row r="49" spans="1:13" ht="21" x14ac:dyDescent="0.35">
      <c r="A49" s="303"/>
      <c r="B49" s="158" t="s">
        <v>204</v>
      </c>
      <c r="C49" s="158" t="s">
        <v>205</v>
      </c>
      <c r="D49" s="158" t="s">
        <v>207</v>
      </c>
      <c r="E49" s="158" t="s">
        <v>208</v>
      </c>
      <c r="F49" s="158" t="s">
        <v>204</v>
      </c>
      <c r="G49" s="158" t="s">
        <v>205</v>
      </c>
      <c r="H49" s="158" t="s">
        <v>207</v>
      </c>
      <c r="I49" s="222" t="s">
        <v>306</v>
      </c>
      <c r="J49" s="150"/>
      <c r="K49" s="150"/>
      <c r="L49" s="220"/>
    </row>
    <row r="50" spans="1:13" x14ac:dyDescent="0.25">
      <c r="A50" s="304"/>
      <c r="B50" s="211" t="s">
        <v>339</v>
      </c>
      <c r="C50" s="273">
        <f>E20+E33+E44</f>
        <v>88300</v>
      </c>
      <c r="D50" s="164"/>
      <c r="E50" s="164"/>
      <c r="F50" s="211" t="s">
        <v>339</v>
      </c>
      <c r="G50" s="273">
        <f>H20+G33+G44</f>
        <v>88300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7064</v>
      </c>
      <c r="E51" s="211"/>
      <c r="F51" s="211" t="s">
        <v>209</v>
      </c>
      <c r="G51" s="307">
        <v>0.08</v>
      </c>
      <c r="H51" s="308">
        <f>D51</f>
        <v>7064</v>
      </c>
      <c r="I51" s="273"/>
      <c r="J51" s="150"/>
      <c r="K51" s="150"/>
    </row>
    <row r="52" spans="1:13" x14ac:dyDescent="0.25">
      <c r="A52" s="150"/>
      <c r="B52" s="309" t="s">
        <v>210</v>
      </c>
      <c r="C52" s="211">
        <v>3000</v>
      </c>
      <c r="D52" s="211"/>
      <c r="E52" s="211"/>
      <c r="F52" s="309" t="s">
        <v>210</v>
      </c>
      <c r="G52" s="211">
        <v>3000</v>
      </c>
      <c r="H52" s="211"/>
      <c r="I52" s="273"/>
      <c r="J52" s="150"/>
      <c r="K52" s="269">
        <f>C50+C52+C53</f>
        <v>92000</v>
      </c>
      <c r="L52" s="220"/>
    </row>
    <row r="53" spans="1:13" x14ac:dyDescent="0.25">
      <c r="A53" s="304"/>
      <c r="B53" s="309" t="s">
        <v>232</v>
      </c>
      <c r="C53" s="308">
        <f>F20</f>
        <v>700</v>
      </c>
      <c r="D53" s="211"/>
      <c r="E53" s="211"/>
      <c r="F53" s="309" t="s">
        <v>232</v>
      </c>
      <c r="G53" s="308">
        <f>C53</f>
        <v>700</v>
      </c>
      <c r="H53" s="211"/>
      <c r="I53" s="273"/>
      <c r="J53" s="150"/>
      <c r="K53" s="150"/>
      <c r="L53" s="220"/>
    </row>
    <row r="54" spans="1:13" x14ac:dyDescent="0.25">
      <c r="A54" s="304"/>
      <c r="B54" s="309" t="s">
        <v>239</v>
      </c>
      <c r="C54" s="308">
        <f>'APRIL '!E65</f>
        <v>-16818.657694719965</v>
      </c>
      <c r="D54" s="211"/>
      <c r="E54" s="211"/>
      <c r="F54" s="309" t="s">
        <v>239</v>
      </c>
      <c r="G54" s="308">
        <f>'APRIL '!I65</f>
        <v>-19762.724799999967</v>
      </c>
      <c r="H54" s="211"/>
      <c r="I54" s="273"/>
      <c r="J54" s="150"/>
      <c r="K54" s="150"/>
      <c r="L54" s="125"/>
      <c r="M54" s="220"/>
    </row>
    <row r="55" spans="1:13" x14ac:dyDescent="0.25">
      <c r="A55" s="304"/>
      <c r="B55" s="309" t="s">
        <v>193</v>
      </c>
      <c r="C55" s="308">
        <f>C50+C52+C53+C54</f>
        <v>75181.342305280035</v>
      </c>
      <c r="D55" s="211"/>
      <c r="E55" s="211"/>
      <c r="F55" s="309" t="s">
        <v>193</v>
      </c>
      <c r="G55" s="308">
        <f>G50+G52+G53+G54</f>
        <v>72237.275200000033</v>
      </c>
      <c r="H55" s="211"/>
      <c r="I55" s="273"/>
      <c r="J55" s="150"/>
      <c r="K55" s="150"/>
    </row>
    <row r="56" spans="1:13" x14ac:dyDescent="0.25">
      <c r="A56" s="304"/>
      <c r="B56" s="212" t="s">
        <v>276</v>
      </c>
      <c r="C56" s="307"/>
      <c r="D56" s="214"/>
      <c r="E56" s="211"/>
      <c r="F56" s="212" t="s">
        <v>276</v>
      </c>
      <c r="G56" s="307"/>
      <c r="H56" s="214"/>
      <c r="I56" s="273"/>
      <c r="J56" s="150"/>
      <c r="K56" s="150"/>
    </row>
    <row r="57" spans="1:13" x14ac:dyDescent="0.25">
      <c r="A57" s="304"/>
      <c r="B57" s="309" t="s">
        <v>408</v>
      </c>
      <c r="C57" s="211"/>
      <c r="D57" s="310">
        <v>5550</v>
      </c>
      <c r="E57" s="211"/>
      <c r="F57" s="309" t="s">
        <v>408</v>
      </c>
      <c r="G57" s="211"/>
      <c r="H57" s="310">
        <v>5550</v>
      </c>
      <c r="I57" s="273"/>
      <c r="J57" s="150"/>
      <c r="K57" s="150"/>
    </row>
    <row r="58" spans="1:13" x14ac:dyDescent="0.25">
      <c r="A58" s="304"/>
      <c r="B58" s="309" t="s">
        <v>445</v>
      </c>
      <c r="C58" s="211"/>
      <c r="D58" s="310">
        <v>45900</v>
      </c>
      <c r="E58" s="211"/>
      <c r="F58" s="309" t="s">
        <v>445</v>
      </c>
      <c r="G58" s="211"/>
      <c r="H58" s="310">
        <v>45900</v>
      </c>
      <c r="I58" s="273"/>
      <c r="J58" s="150"/>
      <c r="K58" s="150"/>
    </row>
    <row r="59" spans="1:13" x14ac:dyDescent="0.25">
      <c r="A59" s="150"/>
      <c r="B59" s="219" t="s">
        <v>441</v>
      </c>
      <c r="C59" s="164"/>
      <c r="D59" s="165">
        <v>3000</v>
      </c>
      <c r="E59" s="164"/>
      <c r="F59" s="219" t="s">
        <v>441</v>
      </c>
      <c r="G59" s="164"/>
      <c r="H59" s="165">
        <v>3000</v>
      </c>
      <c r="I59" s="273"/>
      <c r="J59" s="150"/>
      <c r="K59" s="150"/>
    </row>
    <row r="60" spans="1:13" x14ac:dyDescent="0.25">
      <c r="A60" s="150"/>
      <c r="B60" s="219"/>
      <c r="C60" s="164"/>
      <c r="D60" s="165"/>
      <c r="E60" s="164"/>
      <c r="F60" s="219"/>
      <c r="G60" s="164"/>
      <c r="H60" s="165"/>
      <c r="I60" s="273"/>
      <c r="J60" s="150"/>
      <c r="K60" s="150"/>
    </row>
    <row r="61" spans="1:13" x14ac:dyDescent="0.25">
      <c r="A61" s="150"/>
      <c r="B61" s="164"/>
      <c r="C61" s="164"/>
      <c r="D61" s="164"/>
      <c r="E61" s="164"/>
      <c r="F61" s="164"/>
      <c r="G61" s="164"/>
      <c r="H61" s="164"/>
      <c r="I61" s="273"/>
      <c r="J61" s="150"/>
      <c r="K61" s="150"/>
    </row>
    <row r="62" spans="1:13" x14ac:dyDescent="0.25">
      <c r="A62" s="150"/>
      <c r="B62" s="164"/>
      <c r="C62" s="164"/>
      <c r="D62" s="164"/>
      <c r="E62" s="164"/>
      <c r="F62" s="219"/>
      <c r="G62" s="164"/>
      <c r="H62" s="165"/>
      <c r="I62" s="273"/>
      <c r="J62" s="150"/>
      <c r="K62" s="150"/>
    </row>
    <row r="63" spans="1:13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3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1" x14ac:dyDescent="0.25">
      <c r="A65" s="150"/>
      <c r="B65" s="219"/>
      <c r="C65" s="164"/>
      <c r="D65" s="165"/>
      <c r="E65" s="164"/>
      <c r="F65" s="219"/>
      <c r="G65" s="164"/>
      <c r="H65" s="165"/>
      <c r="I65" s="273"/>
      <c r="J65" s="150"/>
      <c r="K65" s="150"/>
    </row>
    <row r="66" spans="1:11" x14ac:dyDescent="0.25">
      <c r="A66" s="150"/>
      <c r="B66" s="166" t="s">
        <v>193</v>
      </c>
      <c r="C66" s="317">
        <f>C50+C52+C53+C54-D51</f>
        <v>68117.342305280035</v>
      </c>
      <c r="D66" s="318">
        <f>SUM(D57:D65)</f>
        <v>54450</v>
      </c>
      <c r="E66" s="318">
        <f>C66-D66</f>
        <v>13667.342305280035</v>
      </c>
      <c r="F66" s="166" t="s">
        <v>193</v>
      </c>
      <c r="G66" s="317">
        <f>G50+G52+G53+G54-H51</f>
        <v>65173.275200000033</v>
      </c>
      <c r="H66" s="318">
        <f>SUM(H57:H65)</f>
        <v>54450</v>
      </c>
      <c r="I66" s="318">
        <f>G66-H66</f>
        <v>10723.275200000033</v>
      </c>
      <c r="J66" s="150"/>
      <c r="K66" s="150"/>
    </row>
    <row r="67" spans="1:11" x14ac:dyDescent="0.25">
      <c r="A67" s="150"/>
      <c r="B67" s="150"/>
      <c r="C67" s="150"/>
      <c r="D67" s="150"/>
      <c r="E67" s="150"/>
      <c r="F67" s="150"/>
      <c r="G67" s="79"/>
      <c r="H67" s="150"/>
      <c r="I67" s="269"/>
      <c r="J67" s="150"/>
      <c r="K67" s="150"/>
    </row>
    <row r="68" spans="1:11" x14ac:dyDescent="0.25">
      <c r="A68" s="150"/>
      <c r="B68" s="150" t="s">
        <v>71</v>
      </c>
      <c r="C68" s="79"/>
      <c r="E68" s="150" t="s">
        <v>72</v>
      </c>
      <c r="H68" s="150" t="s">
        <v>73</v>
      </c>
      <c r="I68" s="269"/>
      <c r="J68" s="150"/>
      <c r="K68" s="150"/>
    </row>
    <row r="69" spans="1:11" x14ac:dyDescent="0.25">
      <c r="A69" s="150"/>
      <c r="B69" s="150"/>
      <c r="C69" s="150"/>
      <c r="E69" s="150"/>
      <c r="H69" s="150"/>
      <c r="I69" s="269"/>
      <c r="J69" s="150"/>
      <c r="K69" s="150"/>
    </row>
    <row r="70" spans="1:11" x14ac:dyDescent="0.25">
      <c r="A70" s="150"/>
      <c r="B70" s="150" t="s">
        <v>379</v>
      </c>
      <c r="C70" s="150"/>
      <c r="E70" s="150" t="s">
        <v>135</v>
      </c>
      <c r="H70" s="150" t="s">
        <v>130</v>
      </c>
      <c r="I70" s="269"/>
      <c r="J70" s="150"/>
      <c r="K70" s="150"/>
    </row>
    <row r="71" spans="1:11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  <row r="72" spans="1:11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</row>
  </sheetData>
  <pageMargins left="0.25" right="0.25" top="0.75" bottom="0.75" header="0.3" footer="0.3"/>
  <pageSetup orientation="portrait" horizontalDpi="0" verticalDpi="0" r:id="rId1"/>
  <ignoredErrors>
    <ignoredError sqref="F43" formulaRange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K57" sqref="K57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8" width="10.7109375" style="78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449</v>
      </c>
      <c r="E3" s="250"/>
      <c r="F3" s="103"/>
      <c r="G3" s="103"/>
      <c r="H3" s="103"/>
      <c r="I3" s="269"/>
      <c r="J3" s="150"/>
      <c r="K3" s="150"/>
    </row>
    <row r="4" spans="1:11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3000</v>
      </c>
      <c r="I6" s="273">
        <f t="shared" ref="I6:I35" si="1">G6-H6</f>
        <v>100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3000</v>
      </c>
      <c r="I9" s="273">
        <f t="shared" si="1"/>
        <v>100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3000</v>
      </c>
      <c r="I10" s="273">
        <f t="shared" si="1"/>
        <v>100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3000</v>
      </c>
      <c r="I11" s="273">
        <f t="shared" si="1"/>
        <v>100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3000</v>
      </c>
      <c r="I12" s="273">
        <f t="shared" si="1"/>
        <v>100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>D13+E13+F13</f>
        <v>3100</v>
      </c>
      <c r="H13" s="277">
        <v>3000</v>
      </c>
      <c r="I13" s="273">
        <f t="shared" si="1"/>
        <v>100</v>
      </c>
      <c r="J13" s="150"/>
      <c r="K13" s="150"/>
    </row>
    <row r="14" spans="1:11" x14ac:dyDescent="0.25">
      <c r="A14" s="283">
        <v>9</v>
      </c>
      <c r="B14" s="196" t="s">
        <v>453</v>
      </c>
      <c r="C14" s="284" t="s">
        <v>18</v>
      </c>
      <c r="D14" s="275"/>
      <c r="E14" s="285">
        <v>500</v>
      </c>
      <c r="F14" s="286"/>
      <c r="G14" s="276">
        <f t="shared" si="0"/>
        <v>500</v>
      </c>
      <c r="H14" s="277">
        <v>500</v>
      </c>
      <c r="I14" s="273">
        <f t="shared" si="1"/>
        <v>0</v>
      </c>
      <c r="J14" s="150" t="s">
        <v>454</v>
      </c>
      <c r="K14" s="150"/>
    </row>
    <row r="15" spans="1:11" x14ac:dyDescent="0.25">
      <c r="A15" s="283">
        <v>10</v>
      </c>
      <c r="B15" s="196" t="s">
        <v>442</v>
      </c>
      <c r="C15" s="284" t="s">
        <v>20</v>
      </c>
      <c r="D15" s="275"/>
      <c r="E15" s="285">
        <v>3000</v>
      </c>
      <c r="F15" s="286">
        <v>100</v>
      </c>
      <c r="G15" s="276">
        <f t="shared" si="0"/>
        <v>3100</v>
      </c>
      <c r="H15" s="277">
        <v>3000</v>
      </c>
      <c r="I15" s="273">
        <f t="shared" si="1"/>
        <v>100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3000</v>
      </c>
      <c r="F16" s="286">
        <v>100</v>
      </c>
      <c r="G16" s="276">
        <f>D16+E16+F16</f>
        <v>3100</v>
      </c>
      <c r="H16" s="277">
        <v>3000</v>
      </c>
      <c r="I16" s="273">
        <f t="shared" si="1"/>
        <v>100</v>
      </c>
      <c r="J16" s="150"/>
      <c r="K16" s="150"/>
    </row>
    <row r="17" spans="1:11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1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1" x14ac:dyDescent="0.25">
      <c r="A19" s="288">
        <v>14</v>
      </c>
      <c r="B19" s="196" t="s">
        <v>348</v>
      </c>
      <c r="C19" s="349" t="s">
        <v>28</v>
      </c>
      <c r="D19" s="275"/>
      <c r="E19" s="276">
        <v>3000</v>
      </c>
      <c r="F19" s="289">
        <v>100</v>
      </c>
      <c r="G19" s="276">
        <f>D19+E19+F19</f>
        <v>3100</v>
      </c>
      <c r="H19" s="356">
        <v>3000</v>
      </c>
      <c r="I19" s="273">
        <f t="shared" si="1"/>
        <v>100</v>
      </c>
      <c r="J19" s="150"/>
      <c r="K19" s="150"/>
    </row>
    <row r="20" spans="1:11" x14ac:dyDescent="0.25">
      <c r="A20" s="293"/>
      <c r="B20" s="294" t="s">
        <v>193</v>
      </c>
      <c r="C20" s="293"/>
      <c r="D20" s="295"/>
      <c r="E20" s="240">
        <f>SUM(E6:E19)</f>
        <v>30500</v>
      </c>
      <c r="F20" s="240">
        <f>SUM(F6:F19)</f>
        <v>1000</v>
      </c>
      <c r="G20" s="276">
        <f>SUM(G6:G19)</f>
        <v>31500</v>
      </c>
      <c r="H20" s="361">
        <f>SUM(H6:H19)</f>
        <v>30500</v>
      </c>
      <c r="I20" s="273">
        <f>SUM(I6:I19)</f>
        <v>1000</v>
      </c>
      <c r="J20" s="150"/>
      <c r="K20" s="150"/>
    </row>
    <row r="21" spans="1:11" x14ac:dyDescent="0.25">
      <c r="A21" s="150"/>
      <c r="B21" s="350"/>
      <c r="C21" s="350"/>
      <c r="D21" s="350"/>
      <c r="E21" s="350" t="s">
        <v>436</v>
      </c>
      <c r="F21" s="350"/>
      <c r="G21" s="350"/>
      <c r="H21" s="150"/>
      <c r="I21" s="273">
        <f>G21-H21</f>
        <v>0</v>
      </c>
      <c r="J21" s="150"/>
      <c r="K21" s="150"/>
    </row>
    <row r="22" spans="1:11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</row>
    <row r="23" spans="1:11" x14ac:dyDescent="0.25">
      <c r="A23" s="83" t="s">
        <v>106</v>
      </c>
      <c r="B23" s="249" t="s">
        <v>365</v>
      </c>
      <c r="C23" s="85"/>
      <c r="D23" s="232"/>
      <c r="E23" s="320">
        <v>3000</v>
      </c>
      <c r="F23" s="232">
        <f>D23+E23</f>
        <v>3000</v>
      </c>
      <c r="G23" s="234">
        <v>2500</v>
      </c>
      <c r="H23" s="319">
        <f t="shared" ref="H23:H32" si="2">F23-G23</f>
        <v>500</v>
      </c>
      <c r="I23" s="319"/>
      <c r="J23" s="150"/>
      <c r="K23" s="150"/>
    </row>
    <row r="24" spans="1:11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2" si="3">D24+E24</f>
        <v>0</v>
      </c>
      <c r="G24" s="232"/>
      <c r="H24" s="319">
        <f t="shared" si="2"/>
        <v>0</v>
      </c>
      <c r="I24" s="319">
        <f t="shared" si="1"/>
        <v>0</v>
      </c>
      <c r="J24" s="150"/>
      <c r="K24" s="150"/>
    </row>
    <row r="25" spans="1:11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3"/>
        <v>2500</v>
      </c>
      <c r="G25" s="110">
        <v>2500</v>
      </c>
      <c r="H25" s="319">
        <f t="shared" si="2"/>
        <v>0</v>
      </c>
      <c r="I25" s="319"/>
      <c r="J25" s="150"/>
      <c r="K25" s="150"/>
    </row>
    <row r="26" spans="1:11" x14ac:dyDescent="0.25">
      <c r="A26" s="87" t="s">
        <v>112</v>
      </c>
      <c r="B26" s="200" t="s">
        <v>443</v>
      </c>
      <c r="C26" s="110"/>
      <c r="D26" s="319"/>
      <c r="E26" s="321">
        <v>2500</v>
      </c>
      <c r="F26" s="232">
        <f t="shared" si="3"/>
        <v>2500</v>
      </c>
      <c r="G26" s="319">
        <v>2000</v>
      </c>
      <c r="H26" s="319">
        <f t="shared" si="2"/>
        <v>500</v>
      </c>
      <c r="I26" s="319"/>
      <c r="J26" s="150"/>
      <c r="K26" s="150"/>
    </row>
    <row r="27" spans="1:11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</row>
    <row r="28" spans="1:11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3"/>
        <v>2500</v>
      </c>
      <c r="G28" s="326">
        <v>2500</v>
      </c>
      <c r="H28" s="319">
        <f t="shared" si="2"/>
        <v>0</v>
      </c>
      <c r="I28" s="319"/>
      <c r="J28" s="150"/>
      <c r="K28" s="150"/>
    </row>
    <row r="29" spans="1:11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</row>
    <row r="30" spans="1:11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</row>
    <row r="31" spans="1:11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>D31+E31</f>
        <v>2500</v>
      </c>
      <c r="G31" s="234">
        <v>2500</v>
      </c>
      <c r="H31" s="319">
        <f t="shared" si="2"/>
        <v>0</v>
      </c>
      <c r="I31" s="319"/>
      <c r="J31" s="150"/>
      <c r="K31" s="150"/>
    </row>
    <row r="32" spans="1:11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40">
        <f>SUM(F23:F32)</f>
        <v>22000</v>
      </c>
      <c r="G33" s="240">
        <f>SUM(G23:G32)</f>
        <v>21000</v>
      </c>
      <c r="H33" s="323">
        <f>SUM(H23:H32)</f>
        <v>1000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51"/>
      <c r="B35" s="352"/>
      <c r="C35" s="352"/>
      <c r="D35" s="352"/>
      <c r="E35" s="345" t="s">
        <v>247</v>
      </c>
      <c r="F35" s="352"/>
      <c r="G35" s="352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451</v>
      </c>
      <c r="C38" s="113">
        <v>4000</v>
      </c>
      <c r="D38" s="113"/>
      <c r="E38" s="110">
        <v>4000</v>
      </c>
      <c r="F38" s="232">
        <f t="shared" ref="F38:F43" si="4">C38+E38</f>
        <v>8000</v>
      </c>
      <c r="G38" s="110">
        <v>8000</v>
      </c>
      <c r="H38" s="273">
        <f t="shared" ref="H38:H43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354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31500</v>
      </c>
      <c r="G44" s="240">
        <f>SUM(G37:G43)</f>
        <v>31500</v>
      </c>
      <c r="H44" s="273">
        <f>F44-G44</f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269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</row>
    <row r="49" spans="1:13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150"/>
      <c r="L49" s="220"/>
    </row>
    <row r="50" spans="1:13" x14ac:dyDescent="0.25">
      <c r="A50" s="304"/>
      <c r="B50" s="211" t="s">
        <v>342</v>
      </c>
      <c r="C50" s="273">
        <f>E20+E33+E44</f>
        <v>80000</v>
      </c>
      <c r="D50" s="164"/>
      <c r="E50" s="164"/>
      <c r="F50" s="211" t="s">
        <v>450</v>
      </c>
      <c r="G50" s="273">
        <f>H20+G33+G44</f>
        <v>83000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6400</v>
      </c>
      <c r="E51" s="211"/>
      <c r="F51" s="211" t="s">
        <v>209</v>
      </c>
      <c r="G51" s="307">
        <v>0.08</v>
      </c>
      <c r="H51" s="308">
        <f>D51</f>
        <v>6400</v>
      </c>
      <c r="I51" s="273"/>
      <c r="J51" s="150"/>
      <c r="K51" s="150"/>
    </row>
    <row r="52" spans="1:13" x14ac:dyDescent="0.25">
      <c r="A52" s="150"/>
      <c r="B52" s="309" t="s">
        <v>210</v>
      </c>
      <c r="C52" s="211">
        <v>3000</v>
      </c>
      <c r="D52" s="211"/>
      <c r="E52" s="211"/>
      <c r="F52" s="309" t="s">
        <v>210</v>
      </c>
      <c r="G52" s="211">
        <v>3000</v>
      </c>
      <c r="H52" s="211"/>
      <c r="I52" s="273"/>
      <c r="J52" s="150"/>
      <c r="K52" s="150"/>
      <c r="L52" s="220"/>
    </row>
    <row r="53" spans="1:13" x14ac:dyDescent="0.25">
      <c r="A53" s="304"/>
      <c r="B53" s="309" t="s">
        <v>232</v>
      </c>
      <c r="C53" s="308">
        <f>F20</f>
        <v>1000</v>
      </c>
      <c r="D53" s="211"/>
      <c r="E53" s="211"/>
      <c r="F53" s="309" t="s">
        <v>232</v>
      </c>
      <c r="G53" s="308"/>
      <c r="H53" s="211"/>
      <c r="I53" s="273"/>
      <c r="J53" s="150"/>
      <c r="K53" s="150"/>
      <c r="L53" s="220"/>
    </row>
    <row r="54" spans="1:13" x14ac:dyDescent="0.25">
      <c r="A54" s="304"/>
      <c r="B54" s="309" t="s">
        <v>239</v>
      </c>
      <c r="C54" s="308">
        <f>'MAY '!E66</f>
        <v>13667.342305280035</v>
      </c>
      <c r="D54" s="211"/>
      <c r="E54" s="211"/>
      <c r="F54" s="309" t="s">
        <v>239</v>
      </c>
      <c r="G54" s="308">
        <f>'MAY '!I66</f>
        <v>10723.275200000033</v>
      </c>
      <c r="H54" s="211"/>
      <c r="I54" s="273"/>
      <c r="J54" s="150"/>
      <c r="K54" s="150"/>
      <c r="L54" s="125"/>
      <c r="M54" s="220"/>
    </row>
    <row r="55" spans="1:13" x14ac:dyDescent="0.25">
      <c r="A55" s="304"/>
      <c r="B55" s="309" t="s">
        <v>193</v>
      </c>
      <c r="C55" s="308">
        <f>C50+C52+C53+C54</f>
        <v>97667.342305280035</v>
      </c>
      <c r="D55" s="211"/>
      <c r="E55" s="211"/>
      <c r="F55" s="309" t="s">
        <v>193</v>
      </c>
      <c r="G55" s="308">
        <f>G50+G52+G53+G54</f>
        <v>96723.275200000033</v>
      </c>
      <c r="H55" s="211"/>
      <c r="I55" s="273"/>
      <c r="J55" s="150"/>
      <c r="K55" s="150"/>
    </row>
    <row r="56" spans="1:13" x14ac:dyDescent="0.25">
      <c r="A56" s="304"/>
      <c r="B56" s="212" t="s">
        <v>276</v>
      </c>
      <c r="C56" s="307"/>
      <c r="D56" s="214"/>
      <c r="E56" s="211"/>
      <c r="F56" s="212" t="s">
        <v>276</v>
      </c>
      <c r="G56" s="307"/>
      <c r="H56" s="214"/>
      <c r="I56" s="273"/>
      <c r="J56" s="150"/>
      <c r="K56" s="150"/>
    </row>
    <row r="57" spans="1:13" x14ac:dyDescent="0.25">
      <c r="A57" s="304"/>
      <c r="B57" s="309" t="s">
        <v>408</v>
      </c>
      <c r="C57" s="211"/>
      <c r="D57" s="310">
        <v>2400</v>
      </c>
      <c r="E57" s="211"/>
      <c r="F57" s="309" t="s">
        <v>408</v>
      </c>
      <c r="G57" s="211"/>
      <c r="H57" s="310">
        <v>2400</v>
      </c>
      <c r="I57" s="273"/>
      <c r="J57" s="150"/>
      <c r="K57" s="150"/>
    </row>
    <row r="58" spans="1:13" x14ac:dyDescent="0.25">
      <c r="A58" s="304"/>
      <c r="B58" s="309" t="s">
        <v>452</v>
      </c>
      <c r="C58" s="211"/>
      <c r="D58" s="310">
        <v>84000</v>
      </c>
      <c r="E58" s="211"/>
      <c r="F58" s="309" t="s">
        <v>452</v>
      </c>
      <c r="G58" s="211"/>
      <c r="H58" s="310">
        <v>84000</v>
      </c>
      <c r="I58" s="273"/>
      <c r="J58" s="150"/>
      <c r="K58" s="150"/>
    </row>
    <row r="59" spans="1:13" x14ac:dyDescent="0.25">
      <c r="A59" s="150"/>
      <c r="B59" s="219"/>
      <c r="C59" s="164"/>
      <c r="D59" s="165"/>
      <c r="E59" s="164"/>
      <c r="F59" s="219"/>
      <c r="G59" s="164"/>
      <c r="H59" s="165"/>
      <c r="I59" s="273"/>
      <c r="J59" s="150"/>
      <c r="K59" s="150"/>
    </row>
    <row r="60" spans="1:13" x14ac:dyDescent="0.25">
      <c r="A60" s="150"/>
      <c r="B60" s="219"/>
      <c r="C60" s="164"/>
      <c r="D60" s="165"/>
      <c r="E60" s="164"/>
      <c r="F60" s="219"/>
      <c r="G60" s="164"/>
      <c r="H60" s="165"/>
      <c r="I60" s="273"/>
      <c r="J60" s="150"/>
      <c r="K60" s="150"/>
    </row>
    <row r="61" spans="1:13" x14ac:dyDescent="0.25">
      <c r="A61" s="150"/>
      <c r="B61" s="164"/>
      <c r="C61" s="164"/>
      <c r="D61" s="164"/>
      <c r="E61" s="164"/>
      <c r="F61" s="164"/>
      <c r="G61" s="164"/>
      <c r="H61" s="164"/>
      <c r="I61" s="273"/>
      <c r="J61" s="150"/>
      <c r="K61" s="150"/>
    </row>
    <row r="62" spans="1:13" x14ac:dyDescent="0.25">
      <c r="A62" s="150"/>
      <c r="B62" s="164"/>
      <c r="C62" s="164"/>
      <c r="D62" s="164"/>
      <c r="E62" s="164"/>
      <c r="F62" s="219"/>
      <c r="G62" s="164"/>
      <c r="H62" s="165"/>
      <c r="I62" s="273"/>
      <c r="J62" s="150"/>
      <c r="K62" s="150"/>
    </row>
    <row r="63" spans="1:13" x14ac:dyDescent="0.25">
      <c r="A63" s="150"/>
      <c r="B63" s="219"/>
      <c r="C63" s="164"/>
      <c r="D63" s="165"/>
      <c r="E63" s="164"/>
      <c r="F63" s="219"/>
      <c r="G63" s="164"/>
      <c r="H63" s="165"/>
      <c r="I63" s="273"/>
      <c r="J63" s="150"/>
      <c r="K63" s="150"/>
    </row>
    <row r="64" spans="1:13" x14ac:dyDescent="0.25">
      <c r="A64" s="150"/>
      <c r="B64" s="219"/>
      <c r="C64" s="164"/>
      <c r="D64" s="165"/>
      <c r="E64" s="164"/>
      <c r="F64" s="219"/>
      <c r="G64" s="164"/>
      <c r="H64" s="165"/>
      <c r="I64" s="273"/>
      <c r="J64" s="150"/>
      <c r="K64" s="150"/>
    </row>
    <row r="65" spans="1:12" x14ac:dyDescent="0.25">
      <c r="A65" s="150"/>
      <c r="B65" s="219"/>
      <c r="C65" s="164"/>
      <c r="D65" s="165"/>
      <c r="E65" s="164"/>
      <c r="F65" s="219"/>
      <c r="G65" s="164"/>
      <c r="H65" s="165"/>
      <c r="I65" s="273"/>
      <c r="J65" s="150"/>
      <c r="K65" s="150"/>
    </row>
    <row r="66" spans="1:12" x14ac:dyDescent="0.25">
      <c r="A66" s="150"/>
      <c r="B66" s="166" t="s">
        <v>193</v>
      </c>
      <c r="C66" s="317">
        <f>C50+C52+C53+C54-D51</f>
        <v>91267.342305280035</v>
      </c>
      <c r="D66" s="318">
        <f>SUM(D57:D65)</f>
        <v>86400</v>
      </c>
      <c r="E66" s="318">
        <f>C66-D66</f>
        <v>4867.3423052800354</v>
      </c>
      <c r="F66" s="166" t="s">
        <v>193</v>
      </c>
      <c r="G66" s="317">
        <f>G50+G52+G53+G54-H51</f>
        <v>90323.275200000033</v>
      </c>
      <c r="H66" s="318">
        <f>SUM(H57:H65)</f>
        <v>86400</v>
      </c>
      <c r="I66" s="318">
        <f>G66-H66</f>
        <v>3923.2752000000328</v>
      </c>
      <c r="J66" s="150"/>
      <c r="K66" s="150"/>
      <c r="L66" s="220"/>
    </row>
    <row r="67" spans="1:12" x14ac:dyDescent="0.25">
      <c r="A67" s="150"/>
      <c r="B67" s="150"/>
      <c r="C67" s="150"/>
      <c r="D67" s="150"/>
      <c r="E67" s="150"/>
      <c r="F67" s="150"/>
      <c r="G67" s="79"/>
      <c r="H67" s="150"/>
      <c r="I67" s="269"/>
      <c r="J67" s="150"/>
      <c r="K67" s="150"/>
    </row>
    <row r="68" spans="1:12" x14ac:dyDescent="0.25">
      <c r="A68" s="150"/>
      <c r="B68" s="150" t="s">
        <v>71</v>
      </c>
      <c r="C68" s="79"/>
      <c r="E68" s="150" t="s">
        <v>72</v>
      </c>
      <c r="H68" s="150" t="s">
        <v>73</v>
      </c>
      <c r="I68" s="269"/>
      <c r="J68" s="150"/>
      <c r="K68" s="150"/>
    </row>
    <row r="69" spans="1:12" x14ac:dyDescent="0.25">
      <c r="A69" s="150"/>
      <c r="B69" s="150"/>
      <c r="C69" s="150"/>
      <c r="E69" s="150"/>
      <c r="H69" s="150"/>
      <c r="I69" s="269"/>
      <c r="J69" s="150"/>
      <c r="K69" s="150"/>
    </row>
    <row r="70" spans="1:12" x14ac:dyDescent="0.25">
      <c r="A70" s="150"/>
      <c r="B70" s="150" t="s">
        <v>379</v>
      </c>
      <c r="C70" s="150"/>
      <c r="E70" s="150" t="s">
        <v>135</v>
      </c>
      <c r="H70" s="150" t="s">
        <v>130</v>
      </c>
      <c r="I70" s="269"/>
      <c r="J70" s="150"/>
      <c r="K70" s="150"/>
    </row>
    <row r="71" spans="1:12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  <row r="72" spans="1:12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</row>
  </sheetData>
  <pageMargins left="0.25" right="0.25" top="0.75" bottom="0.75" header="0.3" footer="0.3"/>
  <pageSetup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2" workbookViewId="0">
      <selection activeCell="B15" sqref="B15"/>
    </sheetView>
  </sheetViews>
  <sheetFormatPr defaultRowHeight="15" x14ac:dyDescent="0.25"/>
  <cols>
    <col min="1" max="1" width="3.85546875" style="78" customWidth="1"/>
    <col min="2" max="2" width="15.85546875" style="78" customWidth="1"/>
    <col min="3" max="3" width="9.140625" style="78"/>
    <col min="4" max="4" width="11.5703125" style="78" bestFit="1" customWidth="1"/>
    <col min="5" max="5" width="10.42578125" style="78" bestFit="1" customWidth="1"/>
    <col min="6" max="6" width="15.5703125" style="78" customWidth="1"/>
    <col min="7" max="8" width="10.7109375" style="78" customWidth="1"/>
    <col min="9" max="9" width="9.140625" style="78" customWidth="1"/>
    <col min="10" max="16384" width="9.140625" style="78"/>
  </cols>
  <sheetData>
    <row r="1" spans="1:11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</row>
    <row r="2" spans="1:1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</row>
    <row r="3" spans="1:11" ht="21" x14ac:dyDescent="0.25">
      <c r="A3" s="268"/>
      <c r="B3" s="150"/>
      <c r="C3" s="150"/>
      <c r="D3" s="5" t="s">
        <v>455</v>
      </c>
      <c r="E3" s="250"/>
      <c r="F3" s="103"/>
      <c r="G3" s="103"/>
      <c r="H3" s="103"/>
      <c r="I3" s="269"/>
      <c r="J3" s="150"/>
      <c r="K3" s="150"/>
    </row>
    <row r="4" spans="1:11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</row>
    <row r="5" spans="1:11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</row>
    <row r="6" spans="1:11" x14ac:dyDescent="0.25">
      <c r="A6" s="279">
        <v>1</v>
      </c>
      <c r="B6" s="196" t="s">
        <v>352</v>
      </c>
      <c r="C6" s="274" t="s">
        <v>50</v>
      </c>
      <c r="D6" s="275"/>
      <c r="E6" s="280">
        <v>3000</v>
      </c>
      <c r="F6" s="281">
        <v>100</v>
      </c>
      <c r="G6" s="276">
        <f t="shared" ref="G6:G18" si="0">D6+E6+F6</f>
        <v>3100</v>
      </c>
      <c r="H6" s="277">
        <v>3100</v>
      </c>
      <c r="I6" s="273">
        <f t="shared" ref="I6:I35" si="1">G6-H6</f>
        <v>0</v>
      </c>
      <c r="J6" s="150"/>
      <c r="K6" s="150"/>
    </row>
    <row r="7" spans="1:11" x14ac:dyDescent="0.25">
      <c r="A7" s="279">
        <v>2</v>
      </c>
      <c r="B7" s="196" t="s">
        <v>433</v>
      </c>
      <c r="C7" s="274" t="s">
        <v>52</v>
      </c>
      <c r="D7" s="275"/>
      <c r="E7" s="280">
        <v>3000</v>
      </c>
      <c r="F7" s="281">
        <v>100</v>
      </c>
      <c r="G7" s="276">
        <f t="shared" si="0"/>
        <v>3100</v>
      </c>
      <c r="H7" s="277">
        <v>3000</v>
      </c>
      <c r="I7" s="273">
        <f t="shared" si="1"/>
        <v>100</v>
      </c>
      <c r="J7" s="150"/>
      <c r="K7" s="150"/>
    </row>
    <row r="8" spans="1:11" x14ac:dyDescent="0.25">
      <c r="A8" s="279">
        <v>3</v>
      </c>
      <c r="B8" s="282"/>
      <c r="C8" s="274" t="s">
        <v>54</v>
      </c>
      <c r="D8" s="275"/>
      <c r="E8" s="280"/>
      <c r="F8" s="281"/>
      <c r="G8" s="276">
        <f>D8+E8+F8</f>
        <v>0</v>
      </c>
      <c r="H8" s="277"/>
      <c r="I8" s="273">
        <f t="shared" si="1"/>
        <v>0</v>
      </c>
      <c r="J8" s="150"/>
      <c r="K8" s="150"/>
    </row>
    <row r="9" spans="1:11" x14ac:dyDescent="0.25">
      <c r="A9" s="279">
        <v>4</v>
      </c>
      <c r="B9" s="196" t="s">
        <v>228</v>
      </c>
      <c r="C9" s="274" t="s">
        <v>56</v>
      </c>
      <c r="D9" s="275"/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1"/>
        <v>0</v>
      </c>
      <c r="J9" s="150"/>
      <c r="K9" s="150"/>
    </row>
    <row r="10" spans="1:11" x14ac:dyDescent="0.25">
      <c r="A10" s="279">
        <v>5</v>
      </c>
      <c r="B10" s="282" t="s">
        <v>291</v>
      </c>
      <c r="C10" s="274" t="s">
        <v>58</v>
      </c>
      <c r="D10" s="275"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150"/>
      <c r="K10" s="150"/>
    </row>
    <row r="11" spans="1:11" x14ac:dyDescent="0.25">
      <c r="A11" s="279">
        <v>6</v>
      </c>
      <c r="B11" s="282" t="s">
        <v>283</v>
      </c>
      <c r="C11" s="274" t="s">
        <v>60</v>
      </c>
      <c r="D11" s="275"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150"/>
    </row>
    <row r="12" spans="1:11" x14ac:dyDescent="0.25">
      <c r="A12" s="279">
        <v>7</v>
      </c>
      <c r="B12" s="282" t="s">
        <v>310</v>
      </c>
      <c r="C12" s="274" t="s">
        <v>62</v>
      </c>
      <c r="D12" s="275"/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150"/>
      <c r="K12" s="150"/>
    </row>
    <row r="13" spans="1:11" x14ac:dyDescent="0.25">
      <c r="A13" s="283">
        <v>8</v>
      </c>
      <c r="B13" s="196" t="s">
        <v>384</v>
      </c>
      <c r="C13" s="284" t="s">
        <v>64</v>
      </c>
      <c r="D13" s="275"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1"/>
        <v>0</v>
      </c>
      <c r="J13" s="150"/>
      <c r="K13" s="150"/>
    </row>
    <row r="14" spans="1:11" x14ac:dyDescent="0.25">
      <c r="A14" s="283">
        <v>9</v>
      </c>
      <c r="B14" s="196" t="s">
        <v>453</v>
      </c>
      <c r="C14" s="284" t="s">
        <v>18</v>
      </c>
      <c r="D14" s="275"/>
      <c r="E14" s="285">
        <v>3000</v>
      </c>
      <c r="F14" s="286">
        <v>100</v>
      </c>
      <c r="G14" s="276">
        <f t="shared" si="0"/>
        <v>3100</v>
      </c>
      <c r="H14" s="277">
        <v>3000</v>
      </c>
      <c r="I14" s="273">
        <f t="shared" si="1"/>
        <v>100</v>
      </c>
      <c r="J14" s="150"/>
      <c r="K14" s="150"/>
    </row>
    <row r="15" spans="1:11" x14ac:dyDescent="0.25">
      <c r="A15" s="283">
        <v>10</v>
      </c>
      <c r="B15" s="196" t="s">
        <v>460</v>
      </c>
      <c r="C15" s="284" t="s">
        <v>20</v>
      </c>
      <c r="D15" s="275"/>
      <c r="E15" s="285">
        <v>3000</v>
      </c>
      <c r="F15" s="286">
        <v>100</v>
      </c>
      <c r="G15" s="276">
        <f>D15+E15+F15</f>
        <v>3100</v>
      </c>
      <c r="H15" s="277">
        <v>2500</v>
      </c>
      <c r="I15" s="273">
        <f t="shared" si="1"/>
        <v>600</v>
      </c>
      <c r="J15" s="150"/>
      <c r="K15" s="150"/>
    </row>
    <row r="16" spans="1:11" x14ac:dyDescent="0.25">
      <c r="A16" s="283">
        <v>11</v>
      </c>
      <c r="B16" s="196" t="s">
        <v>444</v>
      </c>
      <c r="C16" s="284" t="s">
        <v>22</v>
      </c>
      <c r="D16" s="275"/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150"/>
      <c r="K16" s="150"/>
    </row>
    <row r="17" spans="1:12" x14ac:dyDescent="0.25">
      <c r="A17" s="283">
        <v>12</v>
      </c>
      <c r="C17" s="284" t="s">
        <v>24</v>
      </c>
      <c r="D17" s="275"/>
      <c r="E17" s="285"/>
      <c r="F17" s="286"/>
      <c r="G17" s="276">
        <f>D17+E17+F17</f>
        <v>0</v>
      </c>
      <c r="H17" s="277"/>
      <c r="I17" s="273">
        <f t="shared" si="1"/>
        <v>0</v>
      </c>
      <c r="J17" s="150"/>
      <c r="K17" s="150"/>
    </row>
    <row r="18" spans="1:12" x14ac:dyDescent="0.25">
      <c r="A18" s="283">
        <v>13</v>
      </c>
      <c r="B18" s="196"/>
      <c r="C18" s="284" t="s">
        <v>26</v>
      </c>
      <c r="D18" s="275"/>
      <c r="E18" s="285"/>
      <c r="F18" s="286"/>
      <c r="G18" s="276">
        <f t="shared" si="0"/>
        <v>0</v>
      </c>
      <c r="H18" s="277"/>
      <c r="I18" s="273">
        <f t="shared" si="1"/>
        <v>0</v>
      </c>
      <c r="J18" s="150"/>
      <c r="K18" s="150"/>
    </row>
    <row r="19" spans="1:12" x14ac:dyDescent="0.25">
      <c r="A19" s="288">
        <v>14</v>
      </c>
      <c r="B19" s="196" t="s">
        <v>461</v>
      </c>
      <c r="C19" s="349" t="s">
        <v>28</v>
      </c>
      <c r="D19" s="275"/>
      <c r="E19" s="276">
        <v>6000</v>
      </c>
      <c r="F19" s="289"/>
      <c r="G19" s="276">
        <f>D19+E19+F19</f>
        <v>6000</v>
      </c>
      <c r="H19" s="277">
        <v>6000</v>
      </c>
      <c r="I19" s="273">
        <f t="shared" si="1"/>
        <v>0</v>
      </c>
      <c r="J19" s="150"/>
      <c r="K19" s="150"/>
      <c r="L19" s="220">
        <f>I20+H33+H44</f>
        <v>1300</v>
      </c>
    </row>
    <row r="20" spans="1:12" x14ac:dyDescent="0.25">
      <c r="A20" s="293"/>
      <c r="B20" s="294" t="s">
        <v>193</v>
      </c>
      <c r="C20" s="293"/>
      <c r="D20" s="295"/>
      <c r="E20" s="240">
        <f>SUM(E6:E19)</f>
        <v>36000</v>
      </c>
      <c r="F20" s="240">
        <f>SUM(F6:F19)</f>
        <v>1000</v>
      </c>
      <c r="G20" s="372">
        <f>SUM(G6:G19)</f>
        <v>37000</v>
      </c>
      <c r="H20" s="361">
        <f>SUM(H6:H19)</f>
        <v>36200</v>
      </c>
      <c r="I20" s="273">
        <f>SUM(I6:I19)</f>
        <v>800</v>
      </c>
      <c r="J20" s="150"/>
      <c r="K20" s="150"/>
    </row>
    <row r="21" spans="1:12" x14ac:dyDescent="0.25">
      <c r="A21" s="150"/>
      <c r="B21" s="362"/>
      <c r="C21" s="362"/>
      <c r="D21" s="362"/>
      <c r="E21" s="362" t="s">
        <v>436</v>
      </c>
      <c r="F21" s="362"/>
      <c r="G21" s="362"/>
      <c r="H21" s="150"/>
      <c r="I21" s="273">
        <f>G21-H21</f>
        <v>0</v>
      </c>
      <c r="J21" s="150"/>
      <c r="K21" s="150"/>
    </row>
    <row r="22" spans="1:12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</row>
    <row r="23" spans="1:12" x14ac:dyDescent="0.25">
      <c r="A23" s="83" t="s">
        <v>106</v>
      </c>
      <c r="B23" s="249" t="s">
        <v>365</v>
      </c>
      <c r="C23" s="85"/>
      <c r="D23" s="232">
        <v>500</v>
      </c>
      <c r="E23" s="320">
        <v>3000</v>
      </c>
      <c r="F23" s="232">
        <f>D23+E23</f>
        <v>3500</v>
      </c>
      <c r="G23" s="234">
        <v>3000</v>
      </c>
      <c r="H23" s="319">
        <f t="shared" ref="H23:H32" si="2">F23-G23</f>
        <v>500</v>
      </c>
      <c r="I23" s="319"/>
      <c r="J23" s="150"/>
      <c r="K23" s="150"/>
    </row>
    <row r="24" spans="1:12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2" si="3">D24+E24</f>
        <v>0</v>
      </c>
      <c r="G24" s="232"/>
      <c r="H24" s="319">
        <f t="shared" si="2"/>
        <v>0</v>
      </c>
      <c r="I24" s="319">
        <f t="shared" si="1"/>
        <v>0</v>
      </c>
      <c r="J24" s="150"/>
      <c r="K24" s="150"/>
    </row>
    <row r="25" spans="1:12" x14ac:dyDescent="0.25">
      <c r="A25" s="83" t="s">
        <v>110</v>
      </c>
      <c r="B25" s="110" t="s">
        <v>284</v>
      </c>
      <c r="C25" s="110"/>
      <c r="D25" s="110"/>
      <c r="E25" s="110">
        <v>2500</v>
      </c>
      <c r="F25" s="232">
        <f t="shared" si="3"/>
        <v>2500</v>
      </c>
      <c r="G25" s="110">
        <v>2500</v>
      </c>
      <c r="H25" s="319">
        <f t="shared" si="2"/>
        <v>0</v>
      </c>
      <c r="I25" s="319"/>
      <c r="J25" s="150"/>
      <c r="K25" s="150"/>
    </row>
    <row r="26" spans="1:12" x14ac:dyDescent="0.25">
      <c r="A26" s="87" t="s">
        <v>112</v>
      </c>
      <c r="B26" s="200" t="s">
        <v>443</v>
      </c>
      <c r="C26" s="110"/>
      <c r="D26" s="319">
        <v>500</v>
      </c>
      <c r="E26" s="321">
        <v>2500</v>
      </c>
      <c r="F26" s="232">
        <f t="shared" si="3"/>
        <v>3000</v>
      </c>
      <c r="G26" s="319">
        <v>3000</v>
      </c>
      <c r="H26" s="319">
        <f t="shared" si="2"/>
        <v>0</v>
      </c>
      <c r="I26" s="319"/>
      <c r="J26" s="150"/>
      <c r="K26" s="150"/>
    </row>
    <row r="27" spans="1:12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</row>
    <row r="28" spans="1:12" x14ac:dyDescent="0.25">
      <c r="A28" s="93" t="s">
        <v>116</v>
      </c>
      <c r="B28" s="249" t="s">
        <v>437</v>
      </c>
      <c r="C28" s="110"/>
      <c r="D28" s="319"/>
      <c r="E28" s="325">
        <v>2500</v>
      </c>
      <c r="F28" s="232">
        <f t="shared" si="3"/>
        <v>2500</v>
      </c>
      <c r="G28" s="326">
        <v>2500</v>
      </c>
      <c r="H28" s="319">
        <f t="shared" si="2"/>
        <v>0</v>
      </c>
      <c r="I28" s="319"/>
      <c r="J28" s="150"/>
      <c r="K28" s="150"/>
    </row>
    <row r="29" spans="1:12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</row>
    <row r="30" spans="1:12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</row>
    <row r="31" spans="1:12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>D31+E31</f>
        <v>2500</v>
      </c>
      <c r="G31" s="234">
        <v>2500</v>
      </c>
      <c r="H31" s="319">
        <f t="shared" si="2"/>
        <v>0</v>
      </c>
      <c r="I31" s="319"/>
      <c r="J31" s="150"/>
      <c r="K31" s="150"/>
    </row>
    <row r="32" spans="1:12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</row>
    <row r="33" spans="1:11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40">
        <f>SUM(F23:F32)</f>
        <v>23000</v>
      </c>
      <c r="G33" s="240">
        <f>SUM(G23:G32)</f>
        <v>22500</v>
      </c>
      <c r="H33" s="323">
        <f>SUM(H23:H32)</f>
        <v>500</v>
      </c>
      <c r="I33" s="319"/>
      <c r="J33" s="150"/>
      <c r="K33" s="150"/>
    </row>
    <row r="34" spans="1:11" x14ac:dyDescent="0.25">
      <c r="A34" s="96"/>
      <c r="B34" s="84"/>
      <c r="C34" s="86"/>
      <c r="D34" s="86"/>
      <c r="E34" s="98"/>
      <c r="F34" s="98"/>
      <c r="G34" s="86"/>
      <c r="H34" s="324"/>
      <c r="I34" s="319">
        <f t="shared" si="1"/>
        <v>0</v>
      </c>
      <c r="J34" s="150"/>
      <c r="K34" s="150"/>
    </row>
    <row r="35" spans="1:11" ht="18.75" x14ac:dyDescent="0.25">
      <c r="A35" s="363"/>
      <c r="B35" s="364"/>
      <c r="C35" s="364"/>
      <c r="D35" s="364"/>
      <c r="E35" s="345" t="s">
        <v>247</v>
      </c>
      <c r="F35" s="364"/>
      <c r="G35" s="364"/>
      <c r="H35" s="344"/>
      <c r="I35" s="273">
        <f t="shared" si="1"/>
        <v>0</v>
      </c>
      <c r="J35" s="150"/>
      <c r="K35" s="150"/>
    </row>
    <row r="36" spans="1:11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</row>
    <row r="37" spans="1:11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</row>
    <row r="38" spans="1:11" x14ac:dyDescent="0.25">
      <c r="A38" s="83">
        <v>2</v>
      </c>
      <c r="B38" s="110" t="s">
        <v>451</v>
      </c>
      <c r="C38" s="113"/>
      <c r="D38" s="113"/>
      <c r="E38" s="110">
        <v>4000</v>
      </c>
      <c r="F38" s="232">
        <f t="shared" ref="F38:F43" si="4">C38+E38</f>
        <v>4000</v>
      </c>
      <c r="G38" s="110">
        <v>4000</v>
      </c>
      <c r="H38" s="273">
        <f t="shared" ref="H38:H43" si="5">F38-G38</f>
        <v>0</v>
      </c>
      <c r="I38" s="273"/>
      <c r="J38" s="150"/>
      <c r="K38" s="150"/>
    </row>
    <row r="39" spans="1:11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</row>
    <row r="40" spans="1:11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</row>
    <row r="41" spans="1:11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</row>
    <row r="42" spans="1:11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</row>
    <row r="43" spans="1:11" x14ac:dyDescent="0.25">
      <c r="A43" s="83">
        <v>7</v>
      </c>
      <c r="B43" s="210" t="s">
        <v>456</v>
      </c>
      <c r="C43" s="85">
        <v>0</v>
      </c>
      <c r="D43" s="92">
        <v>0</v>
      </c>
      <c r="E43" s="231">
        <v>8000</v>
      </c>
      <c r="F43" s="232">
        <f t="shared" si="4"/>
        <v>8000</v>
      </c>
      <c r="G43" s="110">
        <v>8000</v>
      </c>
      <c r="H43" s="273">
        <f t="shared" si="5"/>
        <v>0</v>
      </c>
      <c r="I43" s="273"/>
      <c r="J43" s="150"/>
      <c r="K43" s="150"/>
    </row>
    <row r="44" spans="1:11" x14ac:dyDescent="0.25">
      <c r="A44" s="164"/>
      <c r="B44" s="339" t="s">
        <v>193</v>
      </c>
      <c r="C44" s="42"/>
      <c r="D44" s="42"/>
      <c r="E44" s="240">
        <f>SUM(E37:E43)</f>
        <v>31500</v>
      </c>
      <c r="F44" s="322">
        <f>SUM(F37:F43)</f>
        <v>31500</v>
      </c>
      <c r="G44" s="240">
        <f>SUM(G37:G43)</f>
        <v>31500</v>
      </c>
      <c r="H44" s="273">
        <f>F44-G44</f>
        <v>0</v>
      </c>
      <c r="I44" s="273"/>
      <c r="J44" s="150"/>
      <c r="K44" s="150"/>
    </row>
    <row r="45" spans="1:11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</row>
    <row r="46" spans="1:11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</row>
    <row r="47" spans="1:11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</row>
    <row r="48" spans="1:11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269">
        <f>C50-4000-3000</f>
        <v>82500</v>
      </c>
    </row>
    <row r="49" spans="1:13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269">
        <f>C51*K48</f>
        <v>6600</v>
      </c>
      <c r="L49" s="220"/>
    </row>
    <row r="50" spans="1:13" x14ac:dyDescent="0.25">
      <c r="A50" s="304"/>
      <c r="B50" s="211" t="s">
        <v>355</v>
      </c>
      <c r="C50" s="273">
        <f>E20+E33+E44</f>
        <v>89500</v>
      </c>
      <c r="D50" s="164"/>
      <c r="E50" s="164"/>
      <c r="F50" s="211" t="s">
        <v>355</v>
      </c>
      <c r="G50" s="273">
        <f>H20+G33+G44</f>
        <v>90200</v>
      </c>
      <c r="H50" s="164"/>
      <c r="I50" s="273"/>
      <c r="J50" s="150"/>
      <c r="K50" s="150"/>
      <c r="L50" s="220"/>
    </row>
    <row r="51" spans="1:13" x14ac:dyDescent="0.25">
      <c r="A51" s="304"/>
      <c r="B51" s="211" t="s">
        <v>209</v>
      </c>
      <c r="C51" s="307">
        <v>0.08</v>
      </c>
      <c r="D51" s="308">
        <f>C50*C51</f>
        <v>7160</v>
      </c>
      <c r="E51" s="211"/>
      <c r="F51" s="211" t="s">
        <v>209</v>
      </c>
      <c r="G51" s="307">
        <v>0.08</v>
      </c>
      <c r="H51" s="308">
        <f>D51</f>
        <v>7160</v>
      </c>
      <c r="I51" s="273"/>
      <c r="J51" s="150"/>
      <c r="K51" s="150"/>
    </row>
    <row r="52" spans="1:13" x14ac:dyDescent="0.25">
      <c r="A52" s="304"/>
      <c r="B52" s="309" t="s">
        <v>232</v>
      </c>
      <c r="C52" s="308">
        <f>F20</f>
        <v>1000</v>
      </c>
      <c r="D52" s="211"/>
      <c r="E52" s="211"/>
      <c r="F52" s="309" t="s">
        <v>232</v>
      </c>
      <c r="G52" s="308"/>
      <c r="H52" s="211"/>
      <c r="I52" s="273"/>
      <c r="J52" s="150"/>
      <c r="K52" s="150"/>
      <c r="L52" s="220"/>
    </row>
    <row r="53" spans="1:13" x14ac:dyDescent="0.25">
      <c r="A53" s="304"/>
      <c r="B53" s="309" t="s">
        <v>239</v>
      </c>
      <c r="C53" s="308">
        <f>JUNEE!E66</f>
        <v>4867.3423052800354</v>
      </c>
      <c r="D53" s="211"/>
      <c r="E53" s="211"/>
      <c r="F53" s="309" t="s">
        <v>239</v>
      </c>
      <c r="G53" s="308">
        <f>JUNEE!I66</f>
        <v>3923.2752000000328</v>
      </c>
      <c r="H53" s="211"/>
      <c r="I53" s="273"/>
      <c r="J53" s="150"/>
      <c r="K53" s="150"/>
      <c r="L53" s="125"/>
      <c r="M53" s="220"/>
    </row>
    <row r="54" spans="1:13" x14ac:dyDescent="0.25">
      <c r="A54" s="304"/>
      <c r="B54" s="309" t="s">
        <v>193</v>
      </c>
      <c r="C54" s="308">
        <f>C50+C52+C53</f>
        <v>95367.342305280035</v>
      </c>
      <c r="D54" s="211"/>
      <c r="E54" s="211"/>
      <c r="F54" s="309" t="s">
        <v>193</v>
      </c>
      <c r="G54" s="308">
        <f>G50+G52+G53</f>
        <v>94123.275200000033</v>
      </c>
      <c r="H54" s="211"/>
      <c r="I54" s="273"/>
      <c r="J54" s="150"/>
      <c r="K54" s="150"/>
    </row>
    <row r="55" spans="1:13" x14ac:dyDescent="0.25">
      <c r="A55" s="304"/>
      <c r="B55" s="212" t="s">
        <v>276</v>
      </c>
      <c r="C55" s="307"/>
      <c r="D55" s="214"/>
      <c r="E55" s="211"/>
      <c r="F55" s="212" t="s">
        <v>276</v>
      </c>
      <c r="G55" s="307"/>
      <c r="H55" s="214"/>
      <c r="I55" s="273"/>
      <c r="J55" s="150"/>
      <c r="K55" s="150"/>
    </row>
    <row r="56" spans="1:13" x14ac:dyDescent="0.25">
      <c r="A56" s="304"/>
      <c r="B56" s="365" t="s">
        <v>347</v>
      </c>
      <c r="C56" s="366"/>
      <c r="D56" s="367">
        <v>1800</v>
      </c>
      <c r="E56" s="366"/>
      <c r="F56" s="365" t="s">
        <v>347</v>
      </c>
      <c r="G56" s="366"/>
      <c r="H56" s="367">
        <v>1800</v>
      </c>
      <c r="I56" s="368"/>
      <c r="J56" s="150"/>
      <c r="K56" s="150"/>
    </row>
    <row r="57" spans="1:13" x14ac:dyDescent="0.25">
      <c r="A57" s="304"/>
      <c r="B57" s="365" t="s">
        <v>457</v>
      </c>
      <c r="C57" s="366"/>
      <c r="D57" s="367">
        <v>3000</v>
      </c>
      <c r="E57" s="366"/>
      <c r="F57" s="365" t="s">
        <v>457</v>
      </c>
      <c r="G57" s="366"/>
      <c r="H57" s="367">
        <v>3000</v>
      </c>
      <c r="I57" s="368"/>
      <c r="J57" s="150"/>
      <c r="K57" s="150"/>
    </row>
    <row r="58" spans="1:13" x14ac:dyDescent="0.25">
      <c r="A58" s="150"/>
      <c r="B58" s="369" t="s">
        <v>458</v>
      </c>
      <c r="C58" s="370"/>
      <c r="D58" s="371">
        <v>4000</v>
      </c>
      <c r="E58" s="370"/>
      <c r="F58" s="369" t="s">
        <v>458</v>
      </c>
      <c r="G58" s="370"/>
      <c r="H58" s="371">
        <v>4000</v>
      </c>
      <c r="I58" s="368"/>
      <c r="J58" s="150"/>
      <c r="K58" s="150"/>
    </row>
    <row r="59" spans="1:13" x14ac:dyDescent="0.25">
      <c r="A59" s="150"/>
      <c r="B59" s="369" t="s">
        <v>459</v>
      </c>
      <c r="C59" s="370"/>
      <c r="D59" s="371">
        <v>2000</v>
      </c>
      <c r="E59" s="370"/>
      <c r="F59" s="369" t="s">
        <v>459</v>
      </c>
      <c r="G59" s="370"/>
      <c r="H59" s="371">
        <v>2000</v>
      </c>
      <c r="I59" s="368"/>
      <c r="J59" s="150"/>
      <c r="K59" s="150"/>
    </row>
    <row r="60" spans="1:13" x14ac:dyDescent="0.25">
      <c r="A60" s="150"/>
      <c r="B60" s="370" t="s">
        <v>462</v>
      </c>
      <c r="C60" s="370"/>
      <c r="D60" s="370">
        <v>65000</v>
      </c>
      <c r="E60" s="370"/>
      <c r="F60" s="370" t="s">
        <v>462</v>
      </c>
      <c r="G60" s="370"/>
      <c r="H60" s="370">
        <v>65000</v>
      </c>
      <c r="I60" s="368"/>
      <c r="J60" s="150"/>
      <c r="K60" s="150"/>
    </row>
    <row r="61" spans="1:13" x14ac:dyDescent="0.25">
      <c r="A61" s="150"/>
      <c r="B61" s="370"/>
      <c r="C61" s="370"/>
      <c r="D61" s="370"/>
      <c r="E61" s="370"/>
      <c r="F61" s="369"/>
      <c r="G61" s="370"/>
      <c r="H61" s="371"/>
      <c r="I61" s="368"/>
      <c r="J61" s="150"/>
      <c r="K61" s="150"/>
    </row>
    <row r="62" spans="1:13" x14ac:dyDescent="0.25">
      <c r="A62" s="150"/>
      <c r="B62" s="369"/>
      <c r="C62" s="370"/>
      <c r="D62" s="371"/>
      <c r="E62" s="370"/>
      <c r="F62" s="369"/>
      <c r="G62" s="370"/>
      <c r="H62" s="371"/>
      <c r="I62" s="368"/>
      <c r="J62" s="150"/>
      <c r="K62" s="150"/>
    </row>
    <row r="63" spans="1:13" x14ac:dyDescent="0.25">
      <c r="A63" s="150"/>
      <c r="B63" s="369"/>
      <c r="C63" s="370"/>
      <c r="D63" s="371"/>
      <c r="E63" s="370"/>
      <c r="F63" s="369"/>
      <c r="G63" s="370"/>
      <c r="H63" s="371"/>
      <c r="I63" s="368"/>
      <c r="J63" s="150"/>
      <c r="K63" s="150"/>
    </row>
    <row r="64" spans="1:13" x14ac:dyDescent="0.25">
      <c r="A64" s="150"/>
      <c r="B64" s="369"/>
      <c r="C64" s="370"/>
      <c r="D64" s="371"/>
      <c r="E64" s="370"/>
      <c r="F64" s="369"/>
      <c r="G64" s="370"/>
      <c r="H64" s="371"/>
      <c r="I64" s="368"/>
      <c r="J64" s="150"/>
      <c r="K64" s="150"/>
    </row>
    <row r="65" spans="1:12" x14ac:dyDescent="0.25">
      <c r="A65" s="150"/>
      <c r="B65" s="166" t="s">
        <v>193</v>
      </c>
      <c r="C65" s="317">
        <f>C50+C52+C53-D51</f>
        <v>88207.342305280035</v>
      </c>
      <c r="D65" s="318">
        <f>SUM(D56:D64)</f>
        <v>75800</v>
      </c>
      <c r="E65" s="318">
        <f>C65-D65</f>
        <v>12407.342305280035</v>
      </c>
      <c r="F65" s="166" t="s">
        <v>193</v>
      </c>
      <c r="G65" s="317">
        <f>G50+G52+G53-H51</f>
        <v>86963.275200000033</v>
      </c>
      <c r="H65" s="318">
        <f>SUM(H56:H64)</f>
        <v>75800</v>
      </c>
      <c r="I65" s="318">
        <f>G65-H65</f>
        <v>11163.275200000033</v>
      </c>
      <c r="J65" s="150"/>
      <c r="K65" s="150"/>
      <c r="L65" s="220"/>
    </row>
    <row r="66" spans="1:12" x14ac:dyDescent="0.25">
      <c r="A66" s="150"/>
      <c r="B66" s="150"/>
      <c r="C66" s="150"/>
      <c r="D66" s="150"/>
      <c r="E66" s="150"/>
      <c r="F66" s="150"/>
      <c r="G66" s="79"/>
      <c r="H66" s="150"/>
      <c r="I66" s="269"/>
      <c r="J66" s="150"/>
      <c r="K66" s="150"/>
    </row>
    <row r="67" spans="1:12" x14ac:dyDescent="0.25">
      <c r="A67" s="150"/>
      <c r="B67" s="150" t="s">
        <v>71</v>
      </c>
      <c r="C67" s="79"/>
      <c r="E67" s="150" t="s">
        <v>72</v>
      </c>
      <c r="H67" s="150" t="s">
        <v>73</v>
      </c>
      <c r="I67" s="269"/>
      <c r="J67" s="150"/>
      <c r="K67" s="150"/>
    </row>
    <row r="68" spans="1:12" x14ac:dyDescent="0.25">
      <c r="A68" s="150"/>
      <c r="B68" s="150"/>
      <c r="C68" s="150"/>
      <c r="E68" s="150"/>
      <c r="H68" s="150"/>
      <c r="I68" s="269"/>
      <c r="J68" s="150"/>
      <c r="K68" s="150"/>
    </row>
    <row r="69" spans="1:12" x14ac:dyDescent="0.25">
      <c r="A69" s="150"/>
      <c r="B69" s="150" t="s">
        <v>379</v>
      </c>
      <c r="C69" s="150"/>
      <c r="E69" s="150" t="s">
        <v>135</v>
      </c>
      <c r="H69" s="150" t="s">
        <v>130</v>
      </c>
      <c r="I69" s="269"/>
      <c r="J69" s="150"/>
      <c r="K69" s="150"/>
    </row>
    <row r="70" spans="1:12" x14ac:dyDescent="0.25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</row>
    <row r="71" spans="1:12" x14ac:dyDescent="0.25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</row>
  </sheetData>
  <pageMargins left="0.25" right="0.25" top="0.75" bottom="0.75" header="0.3" footer="0.3"/>
  <pageSetup orientation="portrait" horizontalDpi="0" verticalDpi="0" r:id="rId1"/>
  <ignoredErrors>
    <ignoredError sqref="I20" formula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topLeftCell="A28" workbookViewId="0">
      <selection activeCell="K59" sqref="K59"/>
    </sheetView>
  </sheetViews>
  <sheetFormatPr defaultRowHeight="15" x14ac:dyDescent="0.25"/>
  <cols>
    <col min="2" max="2" width="12.42578125" customWidth="1"/>
  </cols>
  <sheetData>
    <row r="1" spans="1:14" ht="15.75" x14ac:dyDescent="0.25">
      <c r="A1" s="150"/>
      <c r="B1" s="150"/>
      <c r="C1" s="150"/>
      <c r="D1" s="251" t="s">
        <v>356</v>
      </c>
      <c r="E1" s="150"/>
      <c r="F1" s="150"/>
      <c r="G1" s="150"/>
      <c r="H1" s="150"/>
      <c r="I1" s="150"/>
      <c r="J1" s="150"/>
      <c r="K1" s="150"/>
      <c r="L1" s="78"/>
      <c r="M1" s="78"/>
      <c r="N1" s="78"/>
    </row>
    <row r="2" spans="1:14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150"/>
      <c r="L2" s="78"/>
      <c r="M2" s="78"/>
      <c r="N2" s="78"/>
    </row>
    <row r="3" spans="1:14" ht="21" x14ac:dyDescent="0.25">
      <c r="A3" s="268"/>
      <c r="B3" s="150"/>
      <c r="C3" s="150"/>
      <c r="D3" s="5" t="s">
        <v>464</v>
      </c>
      <c r="E3" s="250"/>
      <c r="F3" s="103"/>
      <c r="G3" s="103"/>
      <c r="H3" s="103"/>
      <c r="I3" s="269"/>
      <c r="J3" s="150"/>
      <c r="K3" s="150"/>
      <c r="L3" s="78"/>
      <c r="M3" s="78"/>
      <c r="N3" s="78"/>
    </row>
    <row r="4" spans="1:14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150"/>
      <c r="L4" s="78"/>
      <c r="M4" s="78"/>
      <c r="N4" s="78"/>
    </row>
    <row r="5" spans="1:14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150"/>
      <c r="L5" s="78"/>
      <c r="M5" s="78"/>
      <c r="N5" s="78"/>
    </row>
    <row r="6" spans="1:14" x14ac:dyDescent="0.25">
      <c r="A6" s="279">
        <v>1</v>
      </c>
      <c r="B6" s="196" t="s">
        <v>352</v>
      </c>
      <c r="C6" s="274" t="s">
        <v>50</v>
      </c>
      <c r="D6" s="275">
        <f>'JULY '!I6:I20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35" si="0">G6-H6</f>
        <v>0</v>
      </c>
      <c r="J6" s="150"/>
      <c r="K6" s="150"/>
      <c r="L6" s="78"/>
      <c r="M6" s="78"/>
      <c r="N6" s="78"/>
    </row>
    <row r="7" spans="1:14" x14ac:dyDescent="0.25">
      <c r="A7" s="279">
        <v>2</v>
      </c>
      <c r="B7" s="196" t="s">
        <v>433</v>
      </c>
      <c r="C7" s="274" t="s">
        <v>52</v>
      </c>
      <c r="D7" s="275">
        <f>'JULY '!I7:I21</f>
        <v>100</v>
      </c>
      <c r="E7" s="280">
        <v>3000</v>
      </c>
      <c r="F7" s="281">
        <v>100</v>
      </c>
      <c r="G7" s="276">
        <f t="shared" ref="G7:G18" si="1">D7+E7+F7</f>
        <v>3200</v>
      </c>
      <c r="H7" s="277">
        <v>3200</v>
      </c>
      <c r="I7" s="273">
        <f t="shared" si="0"/>
        <v>0</v>
      </c>
      <c r="J7" s="150"/>
      <c r="K7" s="150"/>
      <c r="L7" s="78"/>
      <c r="M7" s="78"/>
      <c r="N7" s="78"/>
    </row>
    <row r="8" spans="1:14" x14ac:dyDescent="0.25">
      <c r="A8" s="279">
        <v>3</v>
      </c>
      <c r="B8" s="282" t="s">
        <v>465</v>
      </c>
      <c r="C8" s="274" t="s">
        <v>54</v>
      </c>
      <c r="D8" s="275">
        <v>700</v>
      </c>
      <c r="E8" s="280">
        <v>3000</v>
      </c>
      <c r="F8" s="281">
        <v>100</v>
      </c>
      <c r="G8" s="276">
        <f>D8+E8+F8</f>
        <v>3800</v>
      </c>
      <c r="H8" s="277">
        <v>3800</v>
      </c>
      <c r="I8" s="273">
        <f t="shared" si="0"/>
        <v>0</v>
      </c>
      <c r="J8" s="150"/>
      <c r="K8" s="150"/>
      <c r="L8" s="78"/>
      <c r="M8" s="78"/>
      <c r="N8" s="78"/>
    </row>
    <row r="9" spans="1:14" x14ac:dyDescent="0.25">
      <c r="A9" s="279">
        <v>4</v>
      </c>
      <c r="B9" s="196" t="s">
        <v>228</v>
      </c>
      <c r="C9" s="274" t="s">
        <v>56</v>
      </c>
      <c r="D9" s="275">
        <f>'JULY '!I9:I23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150"/>
      <c r="L9" s="78"/>
      <c r="M9" s="78"/>
      <c r="N9" s="78"/>
    </row>
    <row r="10" spans="1:14" x14ac:dyDescent="0.25">
      <c r="A10" s="279">
        <v>5</v>
      </c>
      <c r="B10" s="282" t="s">
        <v>291</v>
      </c>
      <c r="C10" s="274" t="s">
        <v>58</v>
      </c>
      <c r="D10" s="275">
        <f>'JULY '!I10:I24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150"/>
      <c r="L10" s="78"/>
      <c r="M10" s="78"/>
      <c r="N10" s="78"/>
    </row>
    <row r="11" spans="1:14" x14ac:dyDescent="0.25">
      <c r="A11" s="279">
        <v>6</v>
      </c>
      <c r="B11" s="282" t="s">
        <v>283</v>
      </c>
      <c r="C11" s="274" t="s">
        <v>60</v>
      </c>
      <c r="D11" s="275">
        <f>'JULY '!I11:I25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150"/>
      <c r="L11" s="78"/>
      <c r="M11" s="78"/>
      <c r="N11" s="78"/>
    </row>
    <row r="12" spans="1:14" x14ac:dyDescent="0.25">
      <c r="A12" s="279">
        <v>7</v>
      </c>
      <c r="B12" s="282" t="s">
        <v>310</v>
      </c>
      <c r="C12" s="274" t="s">
        <v>62</v>
      </c>
      <c r="D12" s="275">
        <f>'JULY '!I12:I26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150"/>
      <c r="L12" s="78"/>
      <c r="M12" s="78"/>
      <c r="N12" s="78"/>
    </row>
    <row r="13" spans="1:14" x14ac:dyDescent="0.25">
      <c r="A13" s="283">
        <v>8</v>
      </c>
      <c r="B13" s="196" t="s">
        <v>384</v>
      </c>
      <c r="C13" s="284" t="s">
        <v>64</v>
      </c>
      <c r="D13" s="275">
        <f>'JULY '!I13:I27</f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0"/>
        <v>0</v>
      </c>
      <c r="J13" s="150"/>
      <c r="K13" s="150"/>
      <c r="L13" s="78"/>
      <c r="M13" s="78"/>
      <c r="N13" s="78"/>
    </row>
    <row r="14" spans="1:14" x14ac:dyDescent="0.25">
      <c r="A14" s="283">
        <v>9</v>
      </c>
      <c r="B14" s="196" t="s">
        <v>453</v>
      </c>
      <c r="C14" s="284" t="s">
        <v>18</v>
      </c>
      <c r="D14" s="275">
        <f>'JULY '!I14:I28</f>
        <v>100</v>
      </c>
      <c r="E14" s="285">
        <v>3000</v>
      </c>
      <c r="F14" s="286">
        <v>100</v>
      </c>
      <c r="G14" s="276">
        <f t="shared" si="1"/>
        <v>3200</v>
      </c>
      <c r="H14" s="277"/>
      <c r="I14" s="273">
        <f t="shared" si="0"/>
        <v>3200</v>
      </c>
      <c r="J14" s="150"/>
      <c r="K14" s="150"/>
      <c r="L14" s="78"/>
      <c r="M14" s="78"/>
      <c r="N14" s="78"/>
    </row>
    <row r="15" spans="1:14" x14ac:dyDescent="0.25">
      <c r="A15" s="283">
        <v>10</v>
      </c>
      <c r="B15" s="196" t="s">
        <v>460</v>
      </c>
      <c r="C15" s="284" t="s">
        <v>20</v>
      </c>
      <c r="D15" s="275">
        <f>'JULY '!I15:I29</f>
        <v>600</v>
      </c>
      <c r="E15" s="285">
        <v>3000</v>
      </c>
      <c r="F15" s="286">
        <v>100</v>
      </c>
      <c r="G15" s="276">
        <f>D15+E15+F15</f>
        <v>3700</v>
      </c>
      <c r="H15" s="277">
        <v>3050</v>
      </c>
      <c r="I15" s="273">
        <f t="shared" si="0"/>
        <v>650</v>
      </c>
      <c r="J15" s="150"/>
      <c r="K15" s="150"/>
      <c r="L15" s="78"/>
      <c r="M15" s="78"/>
      <c r="N15" s="78"/>
    </row>
    <row r="16" spans="1:14" x14ac:dyDescent="0.25">
      <c r="A16" s="283">
        <v>11</v>
      </c>
      <c r="B16" s="196" t="s">
        <v>444</v>
      </c>
      <c r="C16" s="284" t="s">
        <v>22</v>
      </c>
      <c r="D16" s="275">
        <f>'JULY '!I16:I30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150"/>
      <c r="L16" s="78"/>
      <c r="M16" s="78"/>
      <c r="N16" s="78"/>
    </row>
    <row r="17" spans="1:14" x14ac:dyDescent="0.25">
      <c r="A17" s="283">
        <v>12</v>
      </c>
      <c r="B17" s="78"/>
      <c r="C17" s="284" t="s">
        <v>24</v>
      </c>
      <c r="D17" s="275">
        <f>'JULY '!I17:I31</f>
        <v>0</v>
      </c>
      <c r="E17" s="285"/>
      <c r="F17" s="286"/>
      <c r="G17" s="276">
        <f>D17+E17+F17</f>
        <v>0</v>
      </c>
      <c r="H17" s="277"/>
      <c r="I17" s="273">
        <f t="shared" si="0"/>
        <v>0</v>
      </c>
      <c r="J17" s="150"/>
      <c r="K17" s="150"/>
      <c r="L17" s="78"/>
      <c r="M17" s="78"/>
      <c r="N17" s="78"/>
    </row>
    <row r="18" spans="1:14" x14ac:dyDescent="0.25">
      <c r="A18" s="283">
        <v>13</v>
      </c>
      <c r="B18" s="196"/>
      <c r="C18" s="284" t="s">
        <v>26</v>
      </c>
      <c r="D18" s="275">
        <f>'JULY '!I18:I32</f>
        <v>0</v>
      </c>
      <c r="E18" s="285"/>
      <c r="F18" s="286"/>
      <c r="G18" s="276">
        <f t="shared" si="1"/>
        <v>0</v>
      </c>
      <c r="H18" s="277"/>
      <c r="I18" s="273">
        <f t="shared" si="0"/>
        <v>0</v>
      </c>
      <c r="J18" s="150"/>
      <c r="K18" s="150"/>
      <c r="L18" s="220">
        <f>I20+H33+H44</f>
        <v>10450</v>
      </c>
      <c r="M18" s="78"/>
      <c r="N18" s="78"/>
    </row>
    <row r="19" spans="1:14" x14ac:dyDescent="0.25">
      <c r="A19" s="288">
        <v>14</v>
      </c>
      <c r="B19" s="196" t="s">
        <v>461</v>
      </c>
      <c r="C19" s="349" t="s">
        <v>28</v>
      </c>
      <c r="D19" s="275">
        <f>'JULY '!I19:I33</f>
        <v>0</v>
      </c>
      <c r="E19" s="276">
        <v>3000</v>
      </c>
      <c r="F19" s="289">
        <v>100</v>
      </c>
      <c r="G19" s="276">
        <f>D19+E19+F19</f>
        <v>3100</v>
      </c>
      <c r="H19" s="277"/>
      <c r="I19" s="273">
        <f t="shared" si="0"/>
        <v>3100</v>
      </c>
      <c r="J19" s="150"/>
      <c r="K19" s="150"/>
      <c r="L19" s="78"/>
      <c r="M19" s="78"/>
      <c r="N19" s="78"/>
    </row>
    <row r="20" spans="1:14" x14ac:dyDescent="0.25">
      <c r="A20" s="293"/>
      <c r="B20" s="294" t="s">
        <v>193</v>
      </c>
      <c r="C20" s="293"/>
      <c r="D20" s="275">
        <f>'JULY '!I20:I34</f>
        <v>800</v>
      </c>
      <c r="E20" s="240">
        <f>SUM(E6:E19)</f>
        <v>36000</v>
      </c>
      <c r="F20" s="240">
        <f>SUM(F6:F19)</f>
        <v>1200</v>
      </c>
      <c r="G20" s="372">
        <f>SUM(G6:G19)</f>
        <v>38700</v>
      </c>
      <c r="H20" s="361">
        <f>SUM(H6:H19)</f>
        <v>31750</v>
      </c>
      <c r="I20" s="273">
        <f>SUM(I6:I19)</f>
        <v>6950</v>
      </c>
      <c r="J20" s="150"/>
      <c r="K20" s="150"/>
      <c r="L20" s="78"/>
      <c r="M20" s="78"/>
      <c r="N20" s="78"/>
    </row>
    <row r="21" spans="1:14" x14ac:dyDescent="0.25">
      <c r="A21" s="150"/>
      <c r="B21" s="373"/>
      <c r="C21" s="373"/>
      <c r="D21" s="373"/>
      <c r="E21" s="373"/>
      <c r="F21" s="373"/>
      <c r="G21" s="373"/>
      <c r="H21" s="150"/>
      <c r="I21" s="273">
        <f>G21-H21</f>
        <v>0</v>
      </c>
      <c r="J21" s="150"/>
      <c r="K21" s="150"/>
      <c r="L21" s="78"/>
      <c r="M21" s="78"/>
      <c r="N21" s="78"/>
    </row>
    <row r="22" spans="1:14" x14ac:dyDescent="0.25">
      <c r="A22" s="353" t="s">
        <v>3</v>
      </c>
      <c r="B22" s="353" t="s">
        <v>4</v>
      </c>
      <c r="C22" s="353" t="s">
        <v>104</v>
      </c>
      <c r="D22" s="353" t="s">
        <v>8</v>
      </c>
      <c r="E22" s="353" t="s">
        <v>9</v>
      </c>
      <c r="F22" s="354" t="s">
        <v>11</v>
      </c>
      <c r="G22" s="353" t="s">
        <v>12</v>
      </c>
      <c r="H22" s="355" t="s">
        <v>105</v>
      </c>
      <c r="I22" s="338"/>
      <c r="J22" s="150"/>
      <c r="K22" s="150"/>
      <c r="L22" s="78"/>
      <c r="M22" s="78"/>
      <c r="N22" s="78"/>
    </row>
    <row r="23" spans="1:14" x14ac:dyDescent="0.25">
      <c r="A23" s="83" t="s">
        <v>106</v>
      </c>
      <c r="B23" s="249" t="s">
        <v>365</v>
      </c>
      <c r="C23" s="85"/>
      <c r="D23" s="232">
        <v>500</v>
      </c>
      <c r="E23" s="320">
        <v>3000</v>
      </c>
      <c r="F23" s="232">
        <f>C23+D23+E23</f>
        <v>3500</v>
      </c>
      <c r="G23" s="234">
        <v>3000</v>
      </c>
      <c r="H23" s="319">
        <f t="shared" ref="H23:H32" si="2">F23-G23</f>
        <v>500</v>
      </c>
      <c r="I23" s="319"/>
      <c r="J23" s="150"/>
      <c r="K23" s="150"/>
      <c r="L23" s="78"/>
      <c r="M23" s="78"/>
      <c r="N23" s="78"/>
    </row>
    <row r="24" spans="1:14" x14ac:dyDescent="0.25">
      <c r="A24" s="83" t="s">
        <v>108</v>
      </c>
      <c r="B24" s="200" t="s">
        <v>284</v>
      </c>
      <c r="C24" s="85"/>
      <c r="D24" s="232">
        <v>0</v>
      </c>
      <c r="E24" s="320"/>
      <c r="F24" s="232">
        <f t="shared" ref="F24:F33" si="3">C24+D24+E24</f>
        <v>0</v>
      </c>
      <c r="G24" s="232"/>
      <c r="H24" s="319">
        <f t="shared" si="2"/>
        <v>0</v>
      </c>
      <c r="I24" s="319">
        <f t="shared" si="0"/>
        <v>0</v>
      </c>
      <c r="J24" s="150"/>
      <c r="K24" s="150"/>
      <c r="L24" s="78"/>
      <c r="M24" s="78"/>
      <c r="N24" s="78"/>
    </row>
    <row r="25" spans="1:14" x14ac:dyDescent="0.25">
      <c r="A25" s="83" t="s">
        <v>110</v>
      </c>
      <c r="B25" s="110" t="s">
        <v>467</v>
      </c>
      <c r="C25" s="110"/>
      <c r="D25" s="110"/>
      <c r="E25" s="110">
        <v>2500</v>
      </c>
      <c r="F25" s="232">
        <f t="shared" si="3"/>
        <v>2500</v>
      </c>
      <c r="G25" s="110">
        <f>2250+250</f>
        <v>2500</v>
      </c>
      <c r="H25" s="319">
        <f t="shared" si="2"/>
        <v>0</v>
      </c>
      <c r="I25" s="319"/>
      <c r="J25" s="150"/>
      <c r="K25" s="150"/>
      <c r="L25" s="78"/>
      <c r="M25" s="78"/>
      <c r="N25" s="78"/>
    </row>
    <row r="26" spans="1:14" x14ac:dyDescent="0.25">
      <c r="A26" s="87" t="s">
        <v>112</v>
      </c>
      <c r="B26" s="200" t="s">
        <v>443</v>
      </c>
      <c r="C26" s="110"/>
      <c r="D26" s="319"/>
      <c r="E26" s="321">
        <v>2500</v>
      </c>
      <c r="F26" s="232">
        <f t="shared" si="3"/>
        <v>2500</v>
      </c>
      <c r="G26" s="319">
        <v>1500</v>
      </c>
      <c r="H26" s="319">
        <f t="shared" si="2"/>
        <v>1000</v>
      </c>
      <c r="I26" s="319"/>
      <c r="J26" s="150"/>
      <c r="K26" s="150"/>
      <c r="L26" s="78"/>
      <c r="M26" s="78"/>
      <c r="N26" s="78"/>
    </row>
    <row r="27" spans="1:14" x14ac:dyDescent="0.25">
      <c r="A27" s="99" t="s">
        <v>114</v>
      </c>
      <c r="B27" s="200" t="s">
        <v>427</v>
      </c>
      <c r="C27" s="85"/>
      <c r="D27" s="232"/>
      <c r="E27" s="320">
        <v>2500</v>
      </c>
      <c r="F27" s="232">
        <f t="shared" si="3"/>
        <v>2500</v>
      </c>
      <c r="G27" s="234">
        <v>2500</v>
      </c>
      <c r="H27" s="319">
        <f t="shared" si="2"/>
        <v>0</v>
      </c>
      <c r="I27" s="319"/>
      <c r="J27" s="150"/>
      <c r="K27" s="150"/>
      <c r="L27" s="78"/>
      <c r="M27" s="78"/>
      <c r="N27" s="78"/>
    </row>
    <row r="28" spans="1:14" ht="22.5" x14ac:dyDescent="0.25">
      <c r="A28" s="93" t="s">
        <v>116</v>
      </c>
      <c r="B28" s="249" t="s">
        <v>437</v>
      </c>
      <c r="C28" s="110">
        <v>2000</v>
      </c>
      <c r="D28" s="319"/>
      <c r="E28" s="325">
        <v>2500</v>
      </c>
      <c r="F28" s="232">
        <f t="shared" si="3"/>
        <v>4500</v>
      </c>
      <c r="G28" s="326">
        <v>3000</v>
      </c>
      <c r="H28" s="319">
        <f t="shared" si="2"/>
        <v>1500</v>
      </c>
      <c r="I28" s="319"/>
      <c r="J28" s="150"/>
      <c r="K28" s="150"/>
      <c r="L28" s="78"/>
      <c r="M28" s="78"/>
      <c r="N28" s="78"/>
    </row>
    <row r="29" spans="1:14" x14ac:dyDescent="0.25">
      <c r="A29" s="83" t="s">
        <v>119</v>
      </c>
      <c r="B29" s="249" t="s">
        <v>120</v>
      </c>
      <c r="C29" s="85"/>
      <c r="D29" s="232"/>
      <c r="E29" s="320">
        <v>2500</v>
      </c>
      <c r="F29" s="232">
        <f t="shared" si="3"/>
        <v>2500</v>
      </c>
      <c r="G29" s="234">
        <v>2500</v>
      </c>
      <c r="H29" s="319">
        <f t="shared" si="2"/>
        <v>0</v>
      </c>
      <c r="I29" s="319"/>
      <c r="J29" s="150"/>
      <c r="K29" s="150"/>
      <c r="L29" s="78"/>
      <c r="M29" s="78"/>
      <c r="N29" s="78"/>
    </row>
    <row r="30" spans="1:14" x14ac:dyDescent="0.25">
      <c r="A30" s="83" t="s">
        <v>121</v>
      </c>
      <c r="B30" s="249" t="s">
        <v>420</v>
      </c>
      <c r="C30" s="85"/>
      <c r="D30" s="232"/>
      <c r="E30" s="320">
        <v>2500</v>
      </c>
      <c r="F30" s="232">
        <f t="shared" si="3"/>
        <v>2500</v>
      </c>
      <c r="G30" s="234">
        <v>2500</v>
      </c>
      <c r="H30" s="319">
        <f t="shared" si="2"/>
        <v>0</v>
      </c>
      <c r="I30" s="319"/>
      <c r="J30" s="150"/>
      <c r="K30" s="150"/>
      <c r="L30" s="78"/>
      <c r="M30" s="78"/>
      <c r="N30" s="78"/>
    </row>
    <row r="31" spans="1:14" x14ac:dyDescent="0.25">
      <c r="A31" s="83" t="s">
        <v>123</v>
      </c>
      <c r="B31" s="200" t="s">
        <v>396</v>
      </c>
      <c r="C31" s="85"/>
      <c r="D31" s="232"/>
      <c r="E31" s="320">
        <v>2500</v>
      </c>
      <c r="F31" s="232">
        <f t="shared" si="3"/>
        <v>2500</v>
      </c>
      <c r="G31" s="234">
        <v>2000</v>
      </c>
      <c r="H31" s="319">
        <f t="shared" si="2"/>
        <v>500</v>
      </c>
      <c r="I31" s="319"/>
      <c r="J31" s="150"/>
      <c r="K31" s="269">
        <v>52300</v>
      </c>
      <c r="L31" s="78"/>
      <c r="M31" s="78"/>
      <c r="N31" s="78"/>
    </row>
    <row r="32" spans="1:14" x14ac:dyDescent="0.25">
      <c r="A32" s="83" t="s">
        <v>125</v>
      </c>
      <c r="B32" s="200" t="s">
        <v>312</v>
      </c>
      <c r="C32" s="85"/>
      <c r="D32" s="232"/>
      <c r="E32" s="231">
        <v>1500</v>
      </c>
      <c r="F32" s="232">
        <f t="shared" si="3"/>
        <v>1500</v>
      </c>
      <c r="G32" s="234">
        <v>1500</v>
      </c>
      <c r="H32" s="319">
        <f t="shared" si="2"/>
        <v>0</v>
      </c>
      <c r="I32" s="319"/>
      <c r="J32" s="150"/>
      <c r="K32" s="150"/>
      <c r="L32" s="78"/>
      <c r="M32" s="78"/>
      <c r="N32" s="78"/>
    </row>
    <row r="33" spans="1:14" x14ac:dyDescent="0.25">
      <c r="A33" s="83"/>
      <c r="B33" s="204" t="s">
        <v>193</v>
      </c>
      <c r="C33" s="205">
        <v>0</v>
      </c>
      <c r="D33" s="322">
        <v>0</v>
      </c>
      <c r="E33" s="239">
        <f>SUM(E23:E32)</f>
        <v>22000</v>
      </c>
      <c r="F33" s="232">
        <f t="shared" si="3"/>
        <v>22000</v>
      </c>
      <c r="G33" s="240">
        <f>SUM(G23:G32)</f>
        <v>21000</v>
      </c>
      <c r="H33" s="323">
        <f>SUM(H23:H32)</f>
        <v>3500</v>
      </c>
      <c r="I33" s="319"/>
      <c r="J33" s="150"/>
      <c r="K33" s="150"/>
      <c r="L33" s="78"/>
      <c r="M33" s="78"/>
      <c r="N33" s="78"/>
    </row>
    <row r="34" spans="1:14" x14ac:dyDescent="0.25">
      <c r="A34" s="96"/>
      <c r="B34" s="84"/>
      <c r="C34" s="86">
        <f>SUM(C23:C33)</f>
        <v>2000</v>
      </c>
      <c r="D34" s="86"/>
      <c r="E34" s="98"/>
      <c r="F34" s="98"/>
      <c r="G34" s="86"/>
      <c r="H34" s="324"/>
      <c r="I34" s="319">
        <f t="shared" si="0"/>
        <v>0</v>
      </c>
      <c r="J34" s="150"/>
      <c r="K34" s="150"/>
      <c r="L34" s="78"/>
      <c r="M34" s="78"/>
      <c r="N34" s="78"/>
    </row>
    <row r="35" spans="1:14" ht="18.75" x14ac:dyDescent="0.25">
      <c r="A35" s="374"/>
      <c r="B35" s="375"/>
      <c r="C35" s="375"/>
      <c r="D35" s="375"/>
      <c r="E35" s="345" t="s">
        <v>247</v>
      </c>
      <c r="F35" s="375"/>
      <c r="G35" s="375"/>
      <c r="H35" s="344"/>
      <c r="I35" s="273">
        <f t="shared" si="0"/>
        <v>0</v>
      </c>
      <c r="J35" s="150"/>
      <c r="K35" s="150"/>
      <c r="L35" s="78"/>
      <c r="M35" s="78"/>
      <c r="N35" s="78"/>
    </row>
    <row r="36" spans="1:14" x14ac:dyDescent="0.25">
      <c r="A36" s="166"/>
      <c r="B36" s="166"/>
      <c r="C36" s="166"/>
      <c r="D36" s="166"/>
      <c r="E36" s="166" t="s">
        <v>9</v>
      </c>
      <c r="F36" s="166" t="s">
        <v>11</v>
      </c>
      <c r="G36" s="166" t="s">
        <v>12</v>
      </c>
      <c r="H36" s="166" t="s">
        <v>306</v>
      </c>
      <c r="I36" s="318"/>
      <c r="J36" s="150"/>
      <c r="K36" s="150"/>
      <c r="L36" s="78"/>
      <c r="M36" s="78"/>
      <c r="N36" s="78"/>
    </row>
    <row r="37" spans="1:14" x14ac:dyDescent="0.25">
      <c r="A37" s="83">
        <v>1</v>
      </c>
      <c r="B37" s="191" t="s">
        <v>313</v>
      </c>
      <c r="C37" s="85"/>
      <c r="D37" s="86"/>
      <c r="E37" s="232">
        <v>3500</v>
      </c>
      <c r="F37" s="232">
        <f>C37+E37</f>
        <v>3500</v>
      </c>
      <c r="G37" s="232">
        <v>3500</v>
      </c>
      <c r="H37" s="273">
        <f>F37-G37</f>
        <v>0</v>
      </c>
      <c r="I37" s="273"/>
      <c r="J37" s="150"/>
      <c r="K37" s="150"/>
      <c r="L37" s="78"/>
      <c r="M37" s="78"/>
      <c r="N37" s="78"/>
    </row>
    <row r="38" spans="1:14" x14ac:dyDescent="0.25">
      <c r="A38" s="83">
        <v>2</v>
      </c>
      <c r="B38" s="110" t="s">
        <v>451</v>
      </c>
      <c r="C38" s="113"/>
      <c r="D38" s="113"/>
      <c r="E38" s="110">
        <v>4000</v>
      </c>
      <c r="F38" s="232">
        <f t="shared" ref="F38:F43" si="4">C38+E38</f>
        <v>4000</v>
      </c>
      <c r="G38" s="110">
        <v>4000</v>
      </c>
      <c r="H38" s="273">
        <f t="shared" ref="H38:H43" si="5">F38-G38</f>
        <v>0</v>
      </c>
      <c r="I38" s="273"/>
      <c r="J38" s="150"/>
      <c r="K38" s="150"/>
      <c r="L38" s="78"/>
      <c r="M38" s="78"/>
      <c r="N38" s="78"/>
    </row>
    <row r="39" spans="1:14" x14ac:dyDescent="0.25">
      <c r="A39" s="83">
        <v>3</v>
      </c>
      <c r="B39" s="191" t="s">
        <v>411</v>
      </c>
      <c r="C39" s="85"/>
      <c r="D39" s="86"/>
      <c r="E39" s="231">
        <v>4000</v>
      </c>
      <c r="F39" s="232">
        <f t="shared" si="4"/>
        <v>4000</v>
      </c>
      <c r="G39" s="110">
        <v>4000</v>
      </c>
      <c r="H39" s="273">
        <f t="shared" si="5"/>
        <v>0</v>
      </c>
      <c r="I39" s="273"/>
      <c r="J39" s="150"/>
      <c r="K39" s="150"/>
      <c r="L39" s="78"/>
      <c r="M39" s="78"/>
      <c r="N39" s="78"/>
    </row>
    <row r="40" spans="1:14" x14ac:dyDescent="0.25">
      <c r="A40" s="83">
        <v>4</v>
      </c>
      <c r="B40" s="191" t="s">
        <v>350</v>
      </c>
      <c r="C40" s="86"/>
      <c r="D40" s="150"/>
      <c r="E40" s="231">
        <v>4000</v>
      </c>
      <c r="F40" s="232">
        <f t="shared" si="4"/>
        <v>4000</v>
      </c>
      <c r="G40" s="110">
        <v>4000</v>
      </c>
      <c r="H40" s="273">
        <f t="shared" si="5"/>
        <v>0</v>
      </c>
      <c r="I40" s="273"/>
      <c r="J40" s="150"/>
      <c r="K40" s="150"/>
      <c r="L40" s="78"/>
      <c r="M40" s="78"/>
      <c r="N40" s="78"/>
    </row>
    <row r="41" spans="1:14" x14ac:dyDescent="0.25">
      <c r="A41" s="99">
        <v>5</v>
      </c>
      <c r="B41" s="191" t="s">
        <v>392</v>
      </c>
      <c r="C41" s="85"/>
      <c r="D41" s="86"/>
      <c r="E41" s="231">
        <v>4000</v>
      </c>
      <c r="F41" s="232">
        <f t="shared" si="4"/>
        <v>4000</v>
      </c>
      <c r="G41" s="110">
        <v>4000</v>
      </c>
      <c r="H41" s="273">
        <f t="shared" si="5"/>
        <v>0</v>
      </c>
      <c r="I41" s="273"/>
      <c r="J41" s="150"/>
      <c r="K41" s="150"/>
      <c r="L41" s="78"/>
      <c r="M41" s="78"/>
      <c r="N41" s="78"/>
    </row>
    <row r="42" spans="1:14" x14ac:dyDescent="0.25">
      <c r="A42" s="93">
        <v>6</v>
      </c>
      <c r="B42" s="218" t="s">
        <v>391</v>
      </c>
      <c r="C42" s="85"/>
      <c r="D42" s="86"/>
      <c r="E42" s="231">
        <v>4000</v>
      </c>
      <c r="F42" s="232">
        <f t="shared" si="4"/>
        <v>4000</v>
      </c>
      <c r="G42" s="110">
        <v>4000</v>
      </c>
      <c r="H42" s="273">
        <f t="shared" si="5"/>
        <v>0</v>
      </c>
      <c r="I42" s="273"/>
      <c r="J42" s="150"/>
      <c r="K42" s="150"/>
      <c r="L42" s="78"/>
      <c r="M42" s="78"/>
      <c r="N42" s="78"/>
    </row>
    <row r="43" spans="1:14" ht="22.5" x14ac:dyDescent="0.25">
      <c r="A43" s="83">
        <v>7</v>
      </c>
      <c r="B43" s="210" t="s">
        <v>456</v>
      </c>
      <c r="C43" s="85">
        <v>0</v>
      </c>
      <c r="D43" s="92">
        <v>0</v>
      </c>
      <c r="E43" s="231">
        <v>4000</v>
      </c>
      <c r="F43" s="232">
        <f t="shared" si="4"/>
        <v>4000</v>
      </c>
      <c r="G43" s="110">
        <v>4000</v>
      </c>
      <c r="H43" s="273">
        <f t="shared" si="5"/>
        <v>0</v>
      </c>
      <c r="I43" s="273"/>
      <c r="J43" s="150"/>
      <c r="K43" s="150"/>
      <c r="L43" s="78"/>
      <c r="M43" s="78"/>
      <c r="N43" s="78"/>
    </row>
    <row r="44" spans="1:14" x14ac:dyDescent="0.25">
      <c r="A44" s="164"/>
      <c r="B44" s="339" t="s">
        <v>193</v>
      </c>
      <c r="C44" s="42"/>
      <c r="D44" s="42"/>
      <c r="E44" s="240">
        <f>SUM(E37:E43)</f>
        <v>27500</v>
      </c>
      <c r="F44" s="322">
        <f>SUM(F37:F43)</f>
        <v>27500</v>
      </c>
      <c r="G44" s="240">
        <f>SUM(G37:G43)</f>
        <v>27500</v>
      </c>
      <c r="H44" s="273">
        <f>F44-G44</f>
        <v>0</v>
      </c>
      <c r="I44" s="273"/>
      <c r="J44" s="150"/>
      <c r="K44" s="150"/>
      <c r="L44" s="78"/>
      <c r="M44" s="78"/>
      <c r="N44" s="78"/>
    </row>
    <row r="45" spans="1:14" x14ac:dyDescent="0.25">
      <c r="A45" s="302"/>
      <c r="B45" s="150"/>
      <c r="C45" s="150"/>
      <c r="D45" s="150"/>
      <c r="E45" s="150"/>
      <c r="F45" s="150"/>
      <c r="G45" s="150"/>
      <c r="H45" s="150"/>
      <c r="I45" s="269"/>
      <c r="J45" s="150"/>
      <c r="K45" s="150"/>
      <c r="L45" s="78"/>
      <c r="M45" s="78"/>
      <c r="N45" s="78"/>
    </row>
    <row r="46" spans="1:14" x14ac:dyDescent="0.25">
      <c r="A46" s="175"/>
      <c r="B46" s="150"/>
      <c r="C46" s="150"/>
      <c r="D46" s="150"/>
      <c r="E46" s="150"/>
      <c r="F46" s="150"/>
      <c r="G46" s="150"/>
      <c r="H46" s="150"/>
      <c r="I46" s="269"/>
      <c r="J46" s="150"/>
      <c r="K46" s="150"/>
      <c r="L46" s="78"/>
      <c r="M46" s="78"/>
      <c r="N46" s="78"/>
    </row>
    <row r="47" spans="1:14" x14ac:dyDescent="0.25">
      <c r="A47" s="109"/>
      <c r="B47" s="150"/>
      <c r="C47" s="150"/>
      <c r="D47" s="150"/>
      <c r="E47" s="150"/>
      <c r="F47" s="150"/>
      <c r="G47" s="150"/>
      <c r="H47" s="150"/>
      <c r="I47" s="269"/>
      <c r="J47" s="150"/>
      <c r="K47" s="150"/>
      <c r="L47" s="78"/>
      <c r="M47" s="78"/>
      <c r="N47" s="78"/>
    </row>
    <row r="48" spans="1:14" x14ac:dyDescent="0.25">
      <c r="A48" s="79"/>
      <c r="B48" s="79"/>
      <c r="C48" s="106"/>
      <c r="D48" s="107"/>
      <c r="E48" s="106"/>
      <c r="F48" s="108"/>
      <c r="G48" s="106"/>
      <c r="H48" s="150"/>
      <c r="I48" s="269"/>
      <c r="J48" s="150"/>
      <c r="K48" s="150"/>
      <c r="L48" s="78"/>
      <c r="M48" s="78"/>
      <c r="N48" s="78"/>
    </row>
    <row r="49" spans="1:14" x14ac:dyDescent="0.25">
      <c r="A49" s="303"/>
      <c r="B49" s="359" t="s">
        <v>204</v>
      </c>
      <c r="C49" s="359" t="s">
        <v>205</v>
      </c>
      <c r="D49" s="359" t="s">
        <v>207</v>
      </c>
      <c r="E49" s="359" t="s">
        <v>208</v>
      </c>
      <c r="F49" s="359" t="s">
        <v>204</v>
      </c>
      <c r="G49" s="359" t="s">
        <v>205</v>
      </c>
      <c r="H49" s="359" t="s">
        <v>207</v>
      </c>
      <c r="I49" s="360" t="s">
        <v>306</v>
      </c>
      <c r="J49" s="150"/>
      <c r="K49" s="150"/>
      <c r="L49" s="220"/>
      <c r="M49" s="78"/>
      <c r="N49" s="78"/>
    </row>
    <row r="50" spans="1:14" x14ac:dyDescent="0.25">
      <c r="A50" s="304"/>
      <c r="B50" s="211" t="s">
        <v>463</v>
      </c>
      <c r="C50" s="273">
        <f>E20+E33+E44</f>
        <v>85500</v>
      </c>
      <c r="D50" s="164"/>
      <c r="E50" s="164"/>
      <c r="F50" s="211" t="s">
        <v>463</v>
      </c>
      <c r="G50" s="273">
        <f>H20+G33+G44</f>
        <v>80250</v>
      </c>
      <c r="H50" s="164"/>
      <c r="I50" s="273"/>
      <c r="J50" s="150"/>
      <c r="K50" s="150"/>
      <c r="L50" s="220"/>
      <c r="M50" s="78"/>
      <c r="N50" s="78"/>
    </row>
    <row r="51" spans="1:14" x14ac:dyDescent="0.25">
      <c r="A51" s="304"/>
      <c r="B51" s="211" t="s">
        <v>209</v>
      </c>
      <c r="C51" s="307">
        <v>0.08</v>
      </c>
      <c r="D51" s="308">
        <f>C50*C51</f>
        <v>6840</v>
      </c>
      <c r="E51" s="211"/>
      <c r="F51" s="211" t="s">
        <v>209</v>
      </c>
      <c r="G51" s="307">
        <v>0.08</v>
      </c>
      <c r="H51" s="308">
        <f>D51</f>
        <v>6840</v>
      </c>
      <c r="I51" s="273"/>
      <c r="J51" s="150"/>
      <c r="K51" s="150"/>
      <c r="L51" s="78"/>
      <c r="M51" s="78"/>
      <c r="N51" s="78"/>
    </row>
    <row r="52" spans="1:14" x14ac:dyDescent="0.25">
      <c r="A52" s="304"/>
      <c r="B52" s="309" t="s">
        <v>232</v>
      </c>
      <c r="C52" s="308">
        <f>F20</f>
        <v>1200</v>
      </c>
      <c r="D52" s="211"/>
      <c r="E52" s="211"/>
      <c r="F52" s="309" t="s">
        <v>232</v>
      </c>
      <c r="G52" s="308"/>
      <c r="H52" s="211"/>
      <c r="I52" s="273"/>
      <c r="J52" s="150"/>
      <c r="K52" s="150"/>
      <c r="L52" s="220"/>
      <c r="M52" s="78"/>
      <c r="N52" s="78"/>
    </row>
    <row r="53" spans="1:14" s="78" customFormat="1" x14ac:dyDescent="0.25">
      <c r="A53" s="304"/>
      <c r="B53" s="309" t="s">
        <v>468</v>
      </c>
      <c r="C53" s="308">
        <v>6000</v>
      </c>
      <c r="D53" s="211"/>
      <c r="E53" s="211"/>
      <c r="F53" s="309" t="s">
        <v>468</v>
      </c>
      <c r="G53" s="308">
        <v>6000</v>
      </c>
      <c r="H53" s="211"/>
      <c r="I53" s="273"/>
      <c r="J53" s="150"/>
      <c r="K53" s="150"/>
      <c r="L53" s="220"/>
    </row>
    <row r="54" spans="1:14" s="78" customFormat="1" x14ac:dyDescent="0.25">
      <c r="A54" s="304"/>
      <c r="B54" s="309" t="s">
        <v>470</v>
      </c>
      <c r="C54" s="308">
        <v>500</v>
      </c>
      <c r="D54" s="211"/>
      <c r="E54" s="211"/>
      <c r="F54" s="309"/>
      <c r="G54" s="308"/>
      <c r="H54" s="211"/>
      <c r="I54" s="273"/>
      <c r="J54" s="150"/>
      <c r="K54" s="150"/>
      <c r="L54" s="220"/>
    </row>
    <row r="55" spans="1:14" x14ac:dyDescent="0.25">
      <c r="A55" s="304"/>
      <c r="B55" s="309" t="s">
        <v>239</v>
      </c>
      <c r="C55" s="308">
        <f>'JULY '!E65</f>
        <v>12407.342305280035</v>
      </c>
      <c r="D55" s="211"/>
      <c r="E55" s="211"/>
      <c r="F55" s="309" t="s">
        <v>239</v>
      </c>
      <c r="G55" s="308">
        <f>'JULY '!I65</f>
        <v>11163.275200000033</v>
      </c>
      <c r="H55" s="211"/>
      <c r="I55" s="273"/>
      <c r="J55" s="150"/>
      <c r="K55" s="150"/>
      <c r="L55" s="125"/>
      <c r="M55" s="220"/>
      <c r="N55" s="78"/>
    </row>
    <row r="56" spans="1:14" x14ac:dyDescent="0.25">
      <c r="A56" s="304"/>
      <c r="B56" s="309" t="s">
        <v>193</v>
      </c>
      <c r="C56" s="308">
        <f>C50+C52+C55+C53</f>
        <v>105107.34230528004</v>
      </c>
      <c r="D56" s="211"/>
      <c r="E56" s="211"/>
      <c r="F56" s="309" t="s">
        <v>193</v>
      </c>
      <c r="G56" s="308">
        <f>G50+G52+G55+G53</f>
        <v>97413.275200000033</v>
      </c>
      <c r="H56" s="211"/>
      <c r="I56" s="273"/>
      <c r="J56" s="150"/>
      <c r="K56" s="150"/>
      <c r="L56" s="78"/>
      <c r="M56" s="78"/>
      <c r="N56" s="78"/>
    </row>
    <row r="57" spans="1:14" x14ac:dyDescent="0.25">
      <c r="A57" s="304"/>
      <c r="B57" s="212" t="s">
        <v>276</v>
      </c>
      <c r="C57" s="307"/>
      <c r="D57" s="214"/>
      <c r="E57" s="211"/>
      <c r="F57" s="212" t="s">
        <v>276</v>
      </c>
      <c r="G57" s="307"/>
      <c r="H57" s="214"/>
      <c r="I57" s="273"/>
      <c r="J57" s="150"/>
      <c r="K57" s="150"/>
      <c r="L57" s="78"/>
      <c r="M57" s="78"/>
      <c r="N57" s="78"/>
    </row>
    <row r="58" spans="1:14" x14ac:dyDescent="0.25">
      <c r="A58" s="304"/>
      <c r="B58" s="365" t="s">
        <v>347</v>
      </c>
      <c r="C58" s="366"/>
      <c r="D58" s="367"/>
      <c r="E58" s="366"/>
      <c r="F58" s="309"/>
      <c r="G58" s="308"/>
      <c r="H58" s="367"/>
      <c r="I58" s="368"/>
      <c r="J58" s="150"/>
      <c r="K58" s="150"/>
      <c r="L58" s="78"/>
      <c r="M58" s="78"/>
      <c r="N58" s="78"/>
    </row>
    <row r="59" spans="1:14" x14ac:dyDescent="0.25">
      <c r="A59" s="304"/>
      <c r="B59" s="365" t="s">
        <v>81</v>
      </c>
      <c r="C59" s="366"/>
      <c r="D59" s="367">
        <v>2400</v>
      </c>
      <c r="E59" s="366"/>
      <c r="F59" s="365" t="s">
        <v>81</v>
      </c>
      <c r="G59" s="366"/>
      <c r="H59" s="367">
        <v>2400</v>
      </c>
      <c r="I59" s="368"/>
      <c r="J59" s="150"/>
      <c r="K59" s="269"/>
      <c r="L59" s="78"/>
      <c r="M59" s="78"/>
      <c r="N59" s="78"/>
    </row>
    <row r="60" spans="1:14" x14ac:dyDescent="0.25">
      <c r="A60" s="150"/>
      <c r="B60" s="369" t="s">
        <v>466</v>
      </c>
      <c r="C60" s="370"/>
      <c r="D60" s="371">
        <v>68000</v>
      </c>
      <c r="E60" s="370"/>
      <c r="F60" s="369" t="s">
        <v>466</v>
      </c>
      <c r="G60" s="370"/>
      <c r="H60" s="371">
        <v>68000</v>
      </c>
      <c r="I60" s="368"/>
      <c r="J60" s="150"/>
      <c r="K60" s="150"/>
      <c r="L60" s="78"/>
      <c r="M60" s="78"/>
      <c r="N60" s="78"/>
    </row>
    <row r="61" spans="1:14" x14ac:dyDescent="0.25">
      <c r="A61" s="150"/>
      <c r="B61" s="369" t="s">
        <v>468</v>
      </c>
      <c r="C61" s="370"/>
      <c r="D61" s="371">
        <v>6000</v>
      </c>
      <c r="E61" s="370"/>
      <c r="F61" s="369" t="s">
        <v>468</v>
      </c>
      <c r="G61" s="370"/>
      <c r="H61" s="371">
        <v>6000</v>
      </c>
      <c r="I61" s="368"/>
      <c r="J61" s="150"/>
      <c r="K61" s="150"/>
      <c r="L61" s="78"/>
      <c r="M61" s="78"/>
      <c r="N61" s="78"/>
    </row>
    <row r="62" spans="1:14" x14ac:dyDescent="0.25">
      <c r="A62" s="150"/>
      <c r="B62" s="370"/>
      <c r="C62" s="370"/>
      <c r="D62" s="370"/>
      <c r="E62" s="370"/>
      <c r="F62" s="370"/>
      <c r="G62" s="370"/>
      <c r="H62" s="370"/>
      <c r="I62" s="368"/>
      <c r="J62" s="150"/>
      <c r="K62" s="150"/>
      <c r="L62" s="78"/>
      <c r="M62" s="78"/>
      <c r="N62" s="78"/>
    </row>
    <row r="63" spans="1:14" x14ac:dyDescent="0.25">
      <c r="A63" s="150"/>
      <c r="B63" s="370"/>
      <c r="C63" s="370"/>
      <c r="D63" s="370"/>
      <c r="E63" s="370"/>
      <c r="F63" s="369"/>
      <c r="G63" s="365"/>
      <c r="H63" s="366"/>
      <c r="I63" s="367"/>
      <c r="J63" s="150"/>
      <c r="K63" s="150"/>
      <c r="L63" s="78"/>
      <c r="M63" s="78"/>
      <c r="N63" s="78"/>
    </row>
    <row r="64" spans="1:14" x14ac:dyDescent="0.25">
      <c r="A64" s="150"/>
      <c r="B64" s="369"/>
      <c r="C64" s="370"/>
      <c r="D64" s="371"/>
      <c r="E64" s="370"/>
      <c r="F64" s="369"/>
      <c r="G64" s="370"/>
      <c r="H64" s="371"/>
      <c r="I64" s="368"/>
      <c r="J64" s="150"/>
      <c r="K64" s="150"/>
      <c r="L64" s="78"/>
      <c r="M64" s="78"/>
      <c r="N64" s="78"/>
    </row>
    <row r="65" spans="1:14" x14ac:dyDescent="0.25">
      <c r="A65" s="150"/>
      <c r="B65" s="369"/>
      <c r="C65" s="370"/>
      <c r="D65" s="371"/>
      <c r="E65" s="370"/>
      <c r="F65" s="369"/>
      <c r="G65" s="370"/>
      <c r="H65" s="371"/>
      <c r="I65" s="368"/>
      <c r="J65" s="150"/>
      <c r="K65" s="150"/>
      <c r="L65" s="78"/>
      <c r="M65" s="78"/>
      <c r="N65" s="78"/>
    </row>
    <row r="66" spans="1:14" x14ac:dyDescent="0.25">
      <c r="A66" s="150"/>
      <c r="B66" s="369"/>
      <c r="C66" s="370"/>
      <c r="D66" s="371"/>
      <c r="E66" s="370"/>
      <c r="F66" s="369"/>
      <c r="G66" s="370"/>
      <c r="H66" s="371"/>
      <c r="I66" s="368"/>
      <c r="J66" s="150"/>
      <c r="K66" s="150"/>
      <c r="L66" s="78"/>
      <c r="M66" s="78"/>
      <c r="N66" s="78"/>
    </row>
    <row r="67" spans="1:14" x14ac:dyDescent="0.25">
      <c r="A67" s="150"/>
      <c r="B67" s="166" t="s">
        <v>193</v>
      </c>
      <c r="C67" s="317">
        <f>C50+C52+C53+C54+C55-D51</f>
        <v>98767.342305280035</v>
      </c>
      <c r="D67" s="318">
        <f>SUM(D58:D66)</f>
        <v>76400</v>
      </c>
      <c r="E67" s="318">
        <f>C67-D67</f>
        <v>22367.342305280035</v>
      </c>
      <c r="F67" s="166" t="s">
        <v>193</v>
      </c>
      <c r="G67" s="317">
        <f>G50+G52+G53+G55-H51</f>
        <v>90573.275200000033</v>
      </c>
      <c r="H67" s="318">
        <f>SUM(H58:H66)</f>
        <v>76400</v>
      </c>
      <c r="I67" s="318">
        <f>G67-H67</f>
        <v>14173.275200000033</v>
      </c>
      <c r="J67" s="150"/>
      <c r="K67" s="150"/>
      <c r="L67" s="220"/>
      <c r="M67" s="78"/>
      <c r="N67" s="78"/>
    </row>
    <row r="68" spans="1:14" x14ac:dyDescent="0.25">
      <c r="A68" s="150"/>
      <c r="B68" s="150"/>
      <c r="C68" s="150"/>
      <c r="D68" s="150"/>
      <c r="E68" s="150"/>
      <c r="F68" s="150"/>
      <c r="G68" s="79"/>
      <c r="H68" s="150"/>
      <c r="I68" s="269"/>
      <c r="J68" s="150"/>
      <c r="K68" s="150"/>
      <c r="L68" s="78"/>
      <c r="M68" s="78"/>
      <c r="N68" s="78"/>
    </row>
    <row r="69" spans="1:14" x14ac:dyDescent="0.25">
      <c r="A69" s="150"/>
      <c r="B69" s="150" t="s">
        <v>71</v>
      </c>
      <c r="C69" s="79"/>
      <c r="D69" s="78"/>
      <c r="E69" s="150" t="s">
        <v>72</v>
      </c>
      <c r="F69" s="78"/>
      <c r="G69" s="78"/>
      <c r="H69" s="150" t="s">
        <v>73</v>
      </c>
      <c r="I69" s="269"/>
      <c r="J69" s="150"/>
      <c r="K69" s="150"/>
      <c r="L69" s="78"/>
      <c r="M69" s="78"/>
      <c r="N69" s="78"/>
    </row>
    <row r="70" spans="1:14" x14ac:dyDescent="0.25">
      <c r="A70" s="150"/>
      <c r="B70" s="150"/>
      <c r="C70" s="150"/>
      <c r="D70" s="78"/>
      <c r="E70" s="150"/>
      <c r="F70" s="78"/>
      <c r="G70" s="78"/>
      <c r="H70" s="150"/>
      <c r="I70" s="269"/>
      <c r="J70" s="150"/>
      <c r="K70" s="150"/>
      <c r="L70" s="78"/>
      <c r="M70" s="78"/>
      <c r="N70" s="78"/>
    </row>
    <row r="71" spans="1:14" x14ac:dyDescent="0.25">
      <c r="A71" s="150"/>
      <c r="B71" s="150" t="s">
        <v>471</v>
      </c>
      <c r="C71" s="150"/>
      <c r="D71" s="78"/>
      <c r="E71" s="150" t="s">
        <v>135</v>
      </c>
      <c r="F71" s="78"/>
      <c r="G71" s="78"/>
      <c r="H71" s="150" t="s">
        <v>130</v>
      </c>
      <c r="I71" s="269"/>
      <c r="J71" s="150"/>
      <c r="K71" s="150"/>
      <c r="L71" s="78"/>
      <c r="M71" s="78"/>
      <c r="N71" s="78"/>
    </row>
    <row r="72" spans="1:14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78"/>
      <c r="M72" s="78"/>
      <c r="N72" s="78"/>
    </row>
  </sheetData>
  <pageMargins left="0.25" right="0.25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B38" workbookViewId="0">
      <selection activeCell="L68" sqref="L68"/>
    </sheetView>
  </sheetViews>
  <sheetFormatPr defaultRowHeight="15" x14ac:dyDescent="0.25"/>
  <cols>
    <col min="1" max="1" width="6.7109375" customWidth="1"/>
    <col min="2" max="2" width="13.140625" customWidth="1"/>
    <col min="3" max="3" width="9.140625" customWidth="1"/>
    <col min="4" max="4" width="10.7109375" customWidth="1"/>
    <col min="8" max="8" width="9.28515625" customWidth="1"/>
    <col min="9" max="9" width="10.7109375" customWidth="1"/>
    <col min="12" max="12" width="9.28515625" bestFit="1" customWidth="1"/>
    <col min="13" max="13" width="13.5703125" customWidth="1"/>
    <col min="14" max="14" width="10" bestFit="1" customWidth="1"/>
    <col min="15" max="15" width="7.85546875" customWidth="1"/>
    <col min="16" max="19" width="9.28515625" bestFit="1" customWidth="1"/>
  </cols>
  <sheetData>
    <row r="1" spans="1:21" x14ac:dyDescent="0.25">
      <c r="A1" s="150"/>
      <c r="B1" s="150"/>
      <c r="C1" s="150"/>
      <c r="D1" s="401" t="s">
        <v>356</v>
      </c>
      <c r="E1" s="150"/>
      <c r="F1" s="150"/>
      <c r="G1" s="150"/>
      <c r="H1" s="150"/>
      <c r="I1" s="150"/>
      <c r="J1" s="150"/>
      <c r="K1" s="150"/>
      <c r="L1" s="78"/>
      <c r="M1" s="78"/>
    </row>
    <row r="2" spans="1:21" x14ac:dyDescent="0.25">
      <c r="A2" s="150"/>
      <c r="B2" s="150"/>
      <c r="C2" s="150"/>
      <c r="D2" s="343" t="s">
        <v>357</v>
      </c>
      <c r="E2" s="384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</row>
    <row r="3" spans="1:21" x14ac:dyDescent="0.25">
      <c r="A3" s="268"/>
      <c r="B3" s="150"/>
      <c r="C3" s="150"/>
      <c r="D3" s="384" t="s">
        <v>504</v>
      </c>
      <c r="E3" s="343"/>
      <c r="F3" s="268"/>
      <c r="G3" s="268"/>
      <c r="H3" s="268"/>
      <c r="I3" s="269"/>
      <c r="J3" s="150"/>
      <c r="K3" s="150"/>
      <c r="L3" s="376"/>
      <c r="M3" s="377" t="s">
        <v>356</v>
      </c>
      <c r="N3" s="376"/>
      <c r="O3" s="376"/>
      <c r="P3" s="376"/>
      <c r="Q3" s="376"/>
      <c r="R3" s="376"/>
      <c r="S3" s="376"/>
    </row>
    <row r="4" spans="1:21" x14ac:dyDescent="0.25">
      <c r="A4" s="268"/>
      <c r="B4" s="150"/>
      <c r="C4" s="150"/>
      <c r="D4" s="384"/>
      <c r="E4" s="343" t="s">
        <v>435</v>
      </c>
      <c r="F4" s="268"/>
      <c r="G4" s="268"/>
      <c r="H4" s="268"/>
      <c r="I4" s="269"/>
      <c r="J4" s="150"/>
      <c r="K4" s="150"/>
      <c r="L4" s="376"/>
      <c r="M4" s="377" t="s">
        <v>482</v>
      </c>
      <c r="N4" s="377"/>
      <c r="O4" s="377"/>
      <c r="P4" s="376"/>
      <c r="Q4" s="376"/>
      <c r="R4" s="376"/>
      <c r="S4" s="376"/>
    </row>
    <row r="5" spans="1:21" x14ac:dyDescent="0.25">
      <c r="A5" s="414" t="s">
        <v>3</v>
      </c>
      <c r="B5" s="414" t="s">
        <v>4</v>
      </c>
      <c r="C5" s="414" t="s">
        <v>5</v>
      </c>
      <c r="D5" s="414" t="s">
        <v>239</v>
      </c>
      <c r="E5" s="414" t="s">
        <v>9</v>
      </c>
      <c r="F5" s="415" t="s">
        <v>10</v>
      </c>
      <c r="G5" s="415" t="s">
        <v>11</v>
      </c>
      <c r="H5" s="416" t="s">
        <v>12</v>
      </c>
      <c r="I5" s="318" t="s">
        <v>306</v>
      </c>
      <c r="J5" s="150"/>
      <c r="K5" s="150"/>
      <c r="L5" s="376"/>
      <c r="M5" s="377" t="s">
        <v>483</v>
      </c>
      <c r="N5" s="377"/>
      <c r="O5" s="377"/>
      <c r="P5" s="376"/>
      <c r="Q5" s="376"/>
      <c r="R5" s="376"/>
      <c r="S5" s="376"/>
    </row>
    <row r="6" spans="1:21" x14ac:dyDescent="0.25">
      <c r="A6" s="163">
        <v>1</v>
      </c>
      <c r="B6" s="417" t="s">
        <v>352</v>
      </c>
      <c r="C6" s="418" t="s">
        <v>50</v>
      </c>
      <c r="D6" s="243">
        <f>'AUGUST 19'!I6:I20</f>
        <v>0</v>
      </c>
      <c r="E6" s="419">
        <v>3000</v>
      </c>
      <c r="F6" s="243">
        <v>100</v>
      </c>
      <c r="G6" s="420">
        <f>D6+E6+F6</f>
        <v>3100</v>
      </c>
      <c r="H6" s="421">
        <v>3100</v>
      </c>
      <c r="I6" s="273">
        <f t="shared" ref="I6:I34" si="0">G6-H6</f>
        <v>0</v>
      </c>
      <c r="J6" s="150"/>
      <c r="K6" s="150"/>
      <c r="L6" s="376"/>
      <c r="M6" s="376"/>
      <c r="N6" s="376"/>
      <c r="O6" s="377" t="s">
        <v>481</v>
      </c>
      <c r="P6" s="377"/>
      <c r="Q6" s="376"/>
      <c r="R6" s="376"/>
      <c r="S6" s="376"/>
      <c r="T6" s="78"/>
      <c r="U6" s="78"/>
    </row>
    <row r="7" spans="1:21" ht="24" customHeight="1" x14ac:dyDescent="0.25">
      <c r="A7" s="163">
        <v>2</v>
      </c>
      <c r="B7" s="417" t="s">
        <v>433</v>
      </c>
      <c r="C7" s="418" t="s">
        <v>52</v>
      </c>
      <c r="D7" s="243">
        <f>'AUGUST 19'!I7:I21</f>
        <v>0</v>
      </c>
      <c r="E7" s="419">
        <v>3000</v>
      </c>
      <c r="F7" s="243">
        <v>100</v>
      </c>
      <c r="G7" s="420">
        <f t="shared" ref="G7:G18" si="1">D7+E7+F7</f>
        <v>3100</v>
      </c>
      <c r="H7" s="421">
        <v>3100</v>
      </c>
      <c r="I7" s="273">
        <f t="shared" si="0"/>
        <v>0</v>
      </c>
      <c r="J7" s="150"/>
      <c r="K7" s="150"/>
      <c r="L7" s="385" t="s">
        <v>3</v>
      </c>
      <c r="M7" s="385" t="s">
        <v>4</v>
      </c>
      <c r="N7" s="385" t="s">
        <v>104</v>
      </c>
      <c r="O7" s="385" t="s">
        <v>8</v>
      </c>
      <c r="P7" s="385" t="s">
        <v>9</v>
      </c>
      <c r="Q7" s="386" t="s">
        <v>11</v>
      </c>
      <c r="R7" s="385" t="s">
        <v>12</v>
      </c>
      <c r="S7" s="387" t="s">
        <v>105</v>
      </c>
      <c r="T7" s="338"/>
      <c r="U7" s="78"/>
    </row>
    <row r="8" spans="1:21" ht="20.25" customHeight="1" x14ac:dyDescent="0.25">
      <c r="A8" s="163">
        <v>3</v>
      </c>
      <c r="B8" s="422" t="s">
        <v>465</v>
      </c>
      <c r="C8" s="418" t="s">
        <v>54</v>
      </c>
      <c r="D8" s="243">
        <f>'AUGUST 19'!I8:I22</f>
        <v>0</v>
      </c>
      <c r="E8" s="419">
        <v>3000</v>
      </c>
      <c r="F8" s="243">
        <v>100</v>
      </c>
      <c r="G8" s="420">
        <f>D8+E8+F8</f>
        <v>3100</v>
      </c>
      <c r="H8" s="421">
        <v>3100</v>
      </c>
      <c r="I8" s="273">
        <f t="shared" si="0"/>
        <v>0</v>
      </c>
      <c r="J8" s="150"/>
      <c r="K8" s="150"/>
      <c r="L8" s="388">
        <v>1</v>
      </c>
      <c r="M8" s="389" t="s">
        <v>474</v>
      </c>
      <c r="N8" s="390">
        <v>3500</v>
      </c>
      <c r="O8" s="246"/>
      <c r="P8" s="391">
        <v>3500</v>
      </c>
      <c r="Q8" s="246">
        <f>N8+O8+P8</f>
        <v>7000</v>
      </c>
      <c r="R8" s="392">
        <v>7000</v>
      </c>
      <c r="S8" s="273">
        <f>Q8-R8</f>
        <v>0</v>
      </c>
      <c r="T8" s="319"/>
      <c r="U8" s="78"/>
    </row>
    <row r="9" spans="1:21" ht="16.5" customHeight="1" x14ac:dyDescent="0.25">
      <c r="A9" s="163">
        <v>4</v>
      </c>
      <c r="B9" s="417" t="s">
        <v>228</v>
      </c>
      <c r="C9" s="418" t="s">
        <v>56</v>
      </c>
      <c r="D9" s="243">
        <f>'AUGUST 19'!I9:I23</f>
        <v>0</v>
      </c>
      <c r="E9" s="419">
        <v>3000</v>
      </c>
      <c r="F9" s="243">
        <v>100</v>
      </c>
      <c r="G9" s="420">
        <f>D9+E9+F9</f>
        <v>3100</v>
      </c>
      <c r="H9" s="421">
        <v>3100</v>
      </c>
      <c r="I9" s="273">
        <f t="shared" si="0"/>
        <v>0</v>
      </c>
      <c r="J9" s="150"/>
      <c r="K9" s="150"/>
      <c r="L9" s="388">
        <v>2</v>
      </c>
      <c r="M9" s="393" t="s">
        <v>475</v>
      </c>
      <c r="N9" s="390">
        <v>3500</v>
      </c>
      <c r="O9" s="246"/>
      <c r="P9" s="391">
        <v>3500</v>
      </c>
      <c r="Q9" s="246">
        <f t="shared" ref="Q9:Q28" si="2">N9+O9+P9</f>
        <v>7000</v>
      </c>
      <c r="R9" s="246">
        <v>7000</v>
      </c>
      <c r="S9" s="273">
        <f t="shared" ref="S9:S29" si="3">Q9-R9</f>
        <v>0</v>
      </c>
      <c r="T9" s="319"/>
      <c r="U9" s="78"/>
    </row>
    <row r="10" spans="1:21" ht="22.5" customHeight="1" x14ac:dyDescent="0.25">
      <c r="A10" s="163">
        <v>5</v>
      </c>
      <c r="B10" s="422" t="s">
        <v>291</v>
      </c>
      <c r="C10" s="418" t="s">
        <v>58</v>
      </c>
      <c r="D10" s="243">
        <f>'AUGUST 19'!I10:I24</f>
        <v>0</v>
      </c>
      <c r="E10" s="419">
        <v>3000</v>
      </c>
      <c r="F10" s="243">
        <v>100</v>
      </c>
      <c r="G10" s="420">
        <f t="shared" si="1"/>
        <v>3100</v>
      </c>
      <c r="H10" s="421">
        <v>3100</v>
      </c>
      <c r="I10" s="273">
        <f t="shared" si="0"/>
        <v>0</v>
      </c>
      <c r="J10" s="150"/>
      <c r="K10" s="150"/>
      <c r="L10" s="388">
        <v>3</v>
      </c>
      <c r="M10" s="164" t="s">
        <v>476</v>
      </c>
      <c r="N10" s="164">
        <v>3500</v>
      </c>
      <c r="O10" s="246"/>
      <c r="P10" s="164">
        <v>3500</v>
      </c>
      <c r="Q10" s="246">
        <f t="shared" si="2"/>
        <v>7000</v>
      </c>
      <c r="R10" s="164">
        <v>7000</v>
      </c>
      <c r="S10" s="273">
        <f t="shared" si="3"/>
        <v>0</v>
      </c>
      <c r="T10" s="319"/>
      <c r="U10" s="78"/>
    </row>
    <row r="11" spans="1:21" ht="16.5" customHeight="1" x14ac:dyDescent="0.25">
      <c r="A11" s="163">
        <v>6</v>
      </c>
      <c r="B11" s="422" t="s">
        <v>283</v>
      </c>
      <c r="C11" s="418" t="s">
        <v>60</v>
      </c>
      <c r="D11" s="243">
        <f>'AUGUST 19'!I11:I25</f>
        <v>0</v>
      </c>
      <c r="E11" s="419">
        <v>3000</v>
      </c>
      <c r="F11" s="243">
        <v>100</v>
      </c>
      <c r="G11" s="420">
        <f t="shared" si="1"/>
        <v>3100</v>
      </c>
      <c r="H11" s="421">
        <v>3100</v>
      </c>
      <c r="I11" s="273">
        <f t="shared" si="0"/>
        <v>0</v>
      </c>
      <c r="J11" s="150"/>
      <c r="K11" s="150"/>
      <c r="L11" s="388">
        <v>4</v>
      </c>
      <c r="M11" s="393" t="s">
        <v>477</v>
      </c>
      <c r="N11" s="164">
        <v>3500</v>
      </c>
      <c r="O11" s="246"/>
      <c r="P11" s="394">
        <v>3500</v>
      </c>
      <c r="Q11" s="246">
        <f t="shared" si="2"/>
        <v>7000</v>
      </c>
      <c r="R11" s="273">
        <v>7000</v>
      </c>
      <c r="S11" s="273">
        <f t="shared" si="3"/>
        <v>0</v>
      </c>
      <c r="T11" s="319"/>
      <c r="U11" s="78"/>
    </row>
    <row r="12" spans="1:21" ht="13.5" customHeight="1" x14ac:dyDescent="0.25">
      <c r="A12" s="163">
        <v>7</v>
      </c>
      <c r="B12" s="422" t="s">
        <v>310</v>
      </c>
      <c r="C12" s="418" t="s">
        <v>62</v>
      </c>
      <c r="D12" s="243">
        <f>'AUGUST 19'!I12:I26</f>
        <v>0</v>
      </c>
      <c r="E12" s="419">
        <v>3000</v>
      </c>
      <c r="F12" s="243">
        <v>100</v>
      </c>
      <c r="G12" s="420">
        <f t="shared" si="1"/>
        <v>3100</v>
      </c>
      <c r="H12" s="421">
        <v>3100</v>
      </c>
      <c r="I12" s="273">
        <f t="shared" si="0"/>
        <v>0</v>
      </c>
      <c r="J12" s="150"/>
      <c r="K12" s="150"/>
      <c r="L12" s="388">
        <v>5</v>
      </c>
      <c r="M12" s="393" t="s">
        <v>478</v>
      </c>
      <c r="N12" s="390">
        <v>3500</v>
      </c>
      <c r="O12" s="246"/>
      <c r="P12" s="391"/>
      <c r="Q12" s="246">
        <f t="shared" si="2"/>
        <v>3500</v>
      </c>
      <c r="R12" s="392">
        <v>3500</v>
      </c>
      <c r="S12" s="273">
        <f t="shared" si="3"/>
        <v>0</v>
      </c>
      <c r="T12" s="319"/>
      <c r="U12" s="78"/>
    </row>
    <row r="13" spans="1:21" ht="12.75" customHeight="1" x14ac:dyDescent="0.25">
      <c r="A13" s="423">
        <v>8</v>
      </c>
      <c r="B13" s="417"/>
      <c r="C13" s="424" t="s">
        <v>64</v>
      </c>
      <c r="D13" s="243">
        <f>'AUGUST 19'!I13:I27</f>
        <v>0</v>
      </c>
      <c r="E13" s="425"/>
      <c r="F13" s="426"/>
      <c r="G13" s="420">
        <f>D13+E13+F13</f>
        <v>0</v>
      </c>
      <c r="H13" s="421"/>
      <c r="I13" s="273">
        <f t="shared" si="0"/>
        <v>0</v>
      </c>
      <c r="J13" s="150"/>
      <c r="K13" s="150"/>
      <c r="L13" s="388">
        <v>6</v>
      </c>
      <c r="M13" s="389" t="s">
        <v>479</v>
      </c>
      <c r="N13" s="164">
        <v>3500</v>
      </c>
      <c r="O13" s="246"/>
      <c r="P13" s="395">
        <v>3500</v>
      </c>
      <c r="Q13" s="246">
        <f t="shared" si="2"/>
        <v>7000</v>
      </c>
      <c r="R13" s="396">
        <v>7000</v>
      </c>
      <c r="S13" s="273">
        <f t="shared" si="3"/>
        <v>0</v>
      </c>
      <c r="T13" s="319"/>
      <c r="U13" s="78"/>
    </row>
    <row r="14" spans="1:21" ht="19.5" customHeight="1" x14ac:dyDescent="0.25">
      <c r="A14" s="423">
        <v>9</v>
      </c>
      <c r="B14" s="417" t="s">
        <v>453</v>
      </c>
      <c r="C14" s="424" t="s">
        <v>18</v>
      </c>
      <c r="D14" s="243">
        <f>'AUGUST 19'!I14:I28</f>
        <v>3200</v>
      </c>
      <c r="E14" s="425">
        <v>3000</v>
      </c>
      <c r="F14" s="426">
        <v>100</v>
      </c>
      <c r="G14" s="420">
        <f t="shared" si="1"/>
        <v>6300</v>
      </c>
      <c r="H14" s="421">
        <v>6300</v>
      </c>
      <c r="I14" s="273">
        <f t="shared" si="0"/>
        <v>0</v>
      </c>
      <c r="J14" s="150" t="s">
        <v>425</v>
      </c>
      <c r="K14" s="150"/>
      <c r="L14" s="388">
        <v>7</v>
      </c>
      <c r="M14" s="389" t="s">
        <v>480</v>
      </c>
      <c r="N14" s="390">
        <v>3500</v>
      </c>
      <c r="O14" s="246"/>
      <c r="P14" s="391"/>
      <c r="Q14" s="246">
        <f t="shared" si="2"/>
        <v>3500</v>
      </c>
      <c r="R14" s="392">
        <v>3500</v>
      </c>
      <c r="S14" s="273">
        <f t="shared" si="3"/>
        <v>0</v>
      </c>
      <c r="T14" s="319"/>
      <c r="U14" s="78"/>
    </row>
    <row r="15" spans="1:21" ht="12" customHeight="1" x14ac:dyDescent="0.25">
      <c r="A15" s="423">
        <v>10</v>
      </c>
      <c r="B15" s="417" t="s">
        <v>460</v>
      </c>
      <c r="C15" s="424" t="s">
        <v>20</v>
      </c>
      <c r="D15" s="243">
        <f>'AUGUST 19'!I15:I29</f>
        <v>650</v>
      </c>
      <c r="E15" s="425">
        <v>3000</v>
      </c>
      <c r="F15" s="426">
        <v>100</v>
      </c>
      <c r="G15" s="420">
        <f>D15+E15+F15</f>
        <v>3750</v>
      </c>
      <c r="H15" s="421">
        <v>3100</v>
      </c>
      <c r="I15" s="273">
        <f t="shared" si="0"/>
        <v>650</v>
      </c>
      <c r="J15" s="150"/>
      <c r="K15" s="150"/>
      <c r="L15" s="388">
        <v>8</v>
      </c>
      <c r="M15" s="389" t="s">
        <v>486</v>
      </c>
      <c r="N15" s="390">
        <v>3500</v>
      </c>
      <c r="O15" s="246"/>
      <c r="P15" s="391"/>
      <c r="Q15" s="246">
        <f t="shared" si="2"/>
        <v>3500</v>
      </c>
      <c r="R15" s="392">
        <v>3500</v>
      </c>
      <c r="S15" s="273">
        <f t="shared" si="3"/>
        <v>0</v>
      </c>
      <c r="T15" s="319"/>
      <c r="U15" s="78"/>
    </row>
    <row r="16" spans="1:21" ht="21.75" customHeight="1" x14ac:dyDescent="0.25">
      <c r="A16" s="423">
        <v>11</v>
      </c>
      <c r="B16" s="417" t="s">
        <v>444</v>
      </c>
      <c r="C16" s="424" t="s">
        <v>22</v>
      </c>
      <c r="D16" s="243">
        <f>'AUGUST 19'!I16:I30</f>
        <v>0</v>
      </c>
      <c r="E16" s="425">
        <v>3000</v>
      </c>
      <c r="F16" s="426">
        <v>100</v>
      </c>
      <c r="G16" s="420">
        <f>D16+E16+F16</f>
        <v>3100</v>
      </c>
      <c r="H16" s="421">
        <v>3100</v>
      </c>
      <c r="I16" s="273">
        <f t="shared" si="0"/>
        <v>0</v>
      </c>
      <c r="J16" s="150"/>
      <c r="K16" s="150"/>
      <c r="L16" s="388">
        <v>9</v>
      </c>
      <c r="M16" s="393" t="s">
        <v>489</v>
      </c>
      <c r="N16" s="390">
        <v>3500</v>
      </c>
      <c r="O16" s="246"/>
      <c r="P16" s="391"/>
      <c r="Q16" s="246">
        <f t="shared" si="2"/>
        <v>3500</v>
      </c>
      <c r="R16" s="392">
        <v>3500</v>
      </c>
      <c r="S16" s="273">
        <f t="shared" si="3"/>
        <v>0</v>
      </c>
      <c r="T16" s="319"/>
      <c r="U16" s="78"/>
    </row>
    <row r="17" spans="1:21" ht="13.5" customHeight="1" x14ac:dyDescent="0.25">
      <c r="A17" s="423">
        <v>12</v>
      </c>
      <c r="B17" s="150"/>
      <c r="C17" s="424" t="s">
        <v>24</v>
      </c>
      <c r="D17" s="243">
        <f>'AUGUST 19'!I17:I31</f>
        <v>0</v>
      </c>
      <c r="E17" s="425"/>
      <c r="F17" s="426"/>
      <c r="G17" s="420">
        <f>D17+E17+F17</f>
        <v>0</v>
      </c>
      <c r="H17" s="421"/>
      <c r="I17" s="273">
        <f t="shared" si="0"/>
        <v>0</v>
      </c>
      <c r="J17" s="150"/>
      <c r="K17" s="150"/>
      <c r="L17" s="388">
        <v>10</v>
      </c>
      <c r="M17" s="393" t="s">
        <v>490</v>
      </c>
      <c r="N17" s="390">
        <v>3500</v>
      </c>
      <c r="O17" s="246"/>
      <c r="P17" s="391"/>
      <c r="Q17" s="246">
        <f t="shared" si="2"/>
        <v>3500</v>
      </c>
      <c r="R17" s="392">
        <v>2500</v>
      </c>
      <c r="S17" s="273">
        <f t="shared" si="3"/>
        <v>1000</v>
      </c>
      <c r="T17" s="319"/>
      <c r="U17" s="78"/>
    </row>
    <row r="18" spans="1:21" x14ac:dyDescent="0.25">
      <c r="A18" s="423">
        <v>13</v>
      </c>
      <c r="B18" s="417"/>
      <c r="C18" s="424" t="s">
        <v>26</v>
      </c>
      <c r="D18" s="243">
        <f>'AUGUST 19'!I18:I32</f>
        <v>0</v>
      </c>
      <c r="E18" s="425"/>
      <c r="F18" s="426"/>
      <c r="G18" s="420">
        <f t="shared" si="1"/>
        <v>0</v>
      </c>
      <c r="H18" s="421"/>
      <c r="I18" s="273">
        <f t="shared" si="0"/>
        <v>0</v>
      </c>
      <c r="J18" s="150"/>
      <c r="K18" s="150"/>
      <c r="L18" s="388">
        <v>11</v>
      </c>
      <c r="M18" s="393"/>
      <c r="N18" s="390"/>
      <c r="O18" s="246"/>
      <c r="P18" s="391"/>
      <c r="Q18" s="246">
        <f t="shared" si="2"/>
        <v>0</v>
      </c>
      <c r="R18" s="392"/>
      <c r="S18" s="273">
        <f t="shared" si="3"/>
        <v>0</v>
      </c>
      <c r="T18" s="319"/>
      <c r="U18" s="78"/>
    </row>
    <row r="19" spans="1:21" x14ac:dyDescent="0.25">
      <c r="A19" s="427">
        <v>14</v>
      </c>
      <c r="B19" s="417" t="s">
        <v>461</v>
      </c>
      <c r="C19" s="428" t="s">
        <v>28</v>
      </c>
      <c r="D19" s="243">
        <f>'AUGUST 19'!I19:I33</f>
        <v>3100</v>
      </c>
      <c r="E19" s="420">
        <v>3000</v>
      </c>
      <c r="F19" s="429">
        <v>100</v>
      </c>
      <c r="G19" s="420">
        <f>D19+E19+F19</f>
        <v>6200</v>
      </c>
      <c r="H19" s="421">
        <f>2000+4200</f>
        <v>6200</v>
      </c>
      <c r="I19" s="273">
        <f t="shared" si="0"/>
        <v>0</v>
      </c>
      <c r="J19" s="150" t="s">
        <v>510</v>
      </c>
      <c r="K19" s="150"/>
      <c r="L19" s="388">
        <v>12</v>
      </c>
      <c r="M19" s="393"/>
      <c r="N19" s="390"/>
      <c r="O19" s="246"/>
      <c r="P19" s="391"/>
      <c r="Q19" s="246">
        <f t="shared" si="2"/>
        <v>0</v>
      </c>
      <c r="R19" s="392"/>
      <c r="S19" s="273">
        <f t="shared" si="3"/>
        <v>0</v>
      </c>
      <c r="T19" s="319"/>
      <c r="U19" s="78"/>
    </row>
    <row r="20" spans="1:21" x14ac:dyDescent="0.25">
      <c r="A20" s="430"/>
      <c r="B20" s="431" t="s">
        <v>193</v>
      </c>
      <c r="C20" s="430"/>
      <c r="D20" s="243">
        <f>'AUGUST 19'!I20:I34</f>
        <v>6950</v>
      </c>
      <c r="E20" s="411">
        <f>SUM(E6:E19)</f>
        <v>33000</v>
      </c>
      <c r="F20" s="411">
        <f>SUM(F6:F19)</f>
        <v>1100</v>
      </c>
      <c r="G20" s="432">
        <f>SUM(G6:G19)</f>
        <v>41050</v>
      </c>
      <c r="H20" s="433">
        <f>SUM(H6:H19)</f>
        <v>40400</v>
      </c>
      <c r="I20" s="273">
        <f>SUM(I6:I19)</f>
        <v>650</v>
      </c>
      <c r="J20" s="150"/>
      <c r="K20" s="150"/>
      <c r="L20" s="388">
        <v>13</v>
      </c>
      <c r="M20" s="393"/>
      <c r="N20" s="390"/>
      <c r="O20" s="246"/>
      <c r="P20" s="391"/>
      <c r="Q20" s="397">
        <f t="shared" si="2"/>
        <v>0</v>
      </c>
      <c r="R20" s="392"/>
      <c r="S20" s="273">
        <f t="shared" si="3"/>
        <v>0</v>
      </c>
      <c r="T20" s="319"/>
      <c r="U20" s="78"/>
    </row>
    <row r="21" spans="1:21" x14ac:dyDescent="0.25">
      <c r="A21" s="150"/>
      <c r="B21" s="381"/>
      <c r="C21" s="381"/>
      <c r="D21" s="381" t="s">
        <v>346</v>
      </c>
      <c r="E21" s="381"/>
      <c r="F21" s="381"/>
      <c r="G21" s="381"/>
      <c r="H21" s="150"/>
      <c r="I21" s="273">
        <f>G21-H21</f>
        <v>0</v>
      </c>
      <c r="J21" s="150"/>
      <c r="K21" s="150"/>
      <c r="L21" s="388">
        <v>14</v>
      </c>
      <c r="M21" s="393"/>
      <c r="N21" s="390"/>
      <c r="O21" s="246"/>
      <c r="P21" s="391"/>
      <c r="Q21" s="246">
        <f t="shared" si="2"/>
        <v>0</v>
      </c>
      <c r="R21" s="392"/>
      <c r="S21" s="273">
        <f t="shared" si="3"/>
        <v>0</v>
      </c>
      <c r="T21" s="319"/>
      <c r="U21" s="78"/>
    </row>
    <row r="22" spans="1:21" x14ac:dyDescent="0.25">
      <c r="A22" s="402" t="s">
        <v>3</v>
      </c>
      <c r="B22" s="402" t="s">
        <v>4</v>
      </c>
      <c r="C22" s="402" t="s">
        <v>104</v>
      </c>
      <c r="D22" s="402" t="s">
        <v>8</v>
      </c>
      <c r="E22" s="402" t="s">
        <v>9</v>
      </c>
      <c r="F22" s="403" t="s">
        <v>11</v>
      </c>
      <c r="G22" s="402" t="s">
        <v>12</v>
      </c>
      <c r="H22" s="404" t="s">
        <v>105</v>
      </c>
      <c r="I22" s="434"/>
      <c r="J22" s="150"/>
      <c r="K22" s="150"/>
      <c r="L22" s="388">
        <v>15</v>
      </c>
      <c r="M22" s="393"/>
      <c r="N22" s="390"/>
      <c r="O22" s="246"/>
      <c r="P22" s="391"/>
      <c r="Q22" s="246">
        <f t="shared" si="2"/>
        <v>0</v>
      </c>
      <c r="R22" s="392"/>
      <c r="S22" s="273">
        <f t="shared" si="3"/>
        <v>0</v>
      </c>
      <c r="T22" s="319"/>
      <c r="U22" s="78"/>
    </row>
    <row r="23" spans="1:21" x14ac:dyDescent="0.25">
      <c r="A23" s="388" t="s">
        <v>106</v>
      </c>
      <c r="B23" s="389" t="s">
        <v>365</v>
      </c>
      <c r="C23" s="390"/>
      <c r="D23" s="246">
        <f>'AUGUST 19'!H23:H33</f>
        <v>500</v>
      </c>
      <c r="E23" s="391">
        <v>3000</v>
      </c>
      <c r="F23" s="246">
        <f>C23+D23+E23</f>
        <v>3500</v>
      </c>
      <c r="G23" s="392">
        <v>3500</v>
      </c>
      <c r="H23" s="273">
        <f t="shared" ref="H23:H32" si="4">F23-G23</f>
        <v>0</v>
      </c>
      <c r="I23" s="273"/>
      <c r="J23" s="150" t="s">
        <v>473</v>
      </c>
      <c r="K23" s="150"/>
      <c r="L23" s="388">
        <v>16</v>
      </c>
      <c r="M23" s="393"/>
      <c r="N23" s="390"/>
      <c r="O23" s="246"/>
      <c r="P23" s="391"/>
      <c r="Q23" s="246">
        <f t="shared" si="2"/>
        <v>0</v>
      </c>
      <c r="R23" s="392"/>
      <c r="S23" s="273">
        <f t="shared" si="3"/>
        <v>0</v>
      </c>
      <c r="T23" s="319"/>
      <c r="U23" s="78"/>
    </row>
    <row r="24" spans="1:21" x14ac:dyDescent="0.25">
      <c r="A24" s="388" t="s">
        <v>108</v>
      </c>
      <c r="B24" s="393" t="s">
        <v>284</v>
      </c>
      <c r="C24" s="390"/>
      <c r="D24" s="246">
        <f>'AUGUST 19'!H24:H34</f>
        <v>0</v>
      </c>
      <c r="E24" s="391"/>
      <c r="F24" s="246">
        <f t="shared" ref="F24:F33" si="5">C24+D24+E24</f>
        <v>0</v>
      </c>
      <c r="G24" s="246"/>
      <c r="H24" s="273">
        <f t="shared" si="4"/>
        <v>0</v>
      </c>
      <c r="I24" s="273">
        <f t="shared" si="0"/>
        <v>0</v>
      </c>
      <c r="J24" s="150"/>
      <c r="K24" s="150"/>
      <c r="L24" s="388">
        <v>17</v>
      </c>
      <c r="M24" s="393"/>
      <c r="N24" s="390"/>
      <c r="O24" s="246"/>
      <c r="P24" s="391"/>
      <c r="Q24" s="246">
        <f t="shared" si="2"/>
        <v>0</v>
      </c>
      <c r="R24" s="392"/>
      <c r="S24" s="273">
        <f t="shared" si="3"/>
        <v>0</v>
      </c>
      <c r="T24" s="319"/>
      <c r="U24" s="78"/>
    </row>
    <row r="25" spans="1:21" x14ac:dyDescent="0.25">
      <c r="A25" s="388" t="s">
        <v>110</v>
      </c>
      <c r="B25" s="164" t="s">
        <v>467</v>
      </c>
      <c r="C25" s="164"/>
      <c r="D25" s="246">
        <f>'AUGUST 19'!H25:H35</f>
        <v>0</v>
      </c>
      <c r="E25" s="164">
        <v>2500</v>
      </c>
      <c r="F25" s="246">
        <f t="shared" si="5"/>
        <v>2500</v>
      </c>
      <c r="G25" s="164">
        <v>2500</v>
      </c>
      <c r="H25" s="273">
        <f t="shared" si="4"/>
        <v>0</v>
      </c>
      <c r="I25" s="273"/>
      <c r="J25" s="150"/>
      <c r="K25" s="150"/>
      <c r="L25" s="388">
        <v>18</v>
      </c>
      <c r="M25" s="393"/>
      <c r="N25" s="390"/>
      <c r="O25" s="246"/>
      <c r="P25" s="391"/>
      <c r="Q25" s="246">
        <f t="shared" si="2"/>
        <v>0</v>
      </c>
      <c r="R25" s="392"/>
      <c r="S25" s="273">
        <f t="shared" si="3"/>
        <v>0</v>
      </c>
      <c r="T25" s="319"/>
      <c r="U25" s="78"/>
    </row>
    <row r="26" spans="1:21" ht="30" x14ac:dyDescent="0.25">
      <c r="A26" s="405" t="s">
        <v>112</v>
      </c>
      <c r="B26" s="393" t="s">
        <v>443</v>
      </c>
      <c r="C26" s="164"/>
      <c r="D26" s="246">
        <f>'AUGUST 19'!H26:H36</f>
        <v>1000</v>
      </c>
      <c r="E26" s="394">
        <v>2500</v>
      </c>
      <c r="F26" s="246">
        <f t="shared" si="5"/>
        <v>3500</v>
      </c>
      <c r="G26" s="273">
        <v>1500</v>
      </c>
      <c r="H26" s="273">
        <f t="shared" si="4"/>
        <v>2000</v>
      </c>
      <c r="I26" s="273"/>
      <c r="J26" s="150"/>
      <c r="K26" s="150"/>
      <c r="L26" s="388">
        <v>19</v>
      </c>
      <c r="M26" s="393"/>
      <c r="N26" s="390"/>
      <c r="O26" s="246"/>
      <c r="P26" s="391"/>
      <c r="Q26" s="246">
        <f t="shared" si="2"/>
        <v>0</v>
      </c>
      <c r="R26" s="392"/>
      <c r="S26" s="273">
        <f t="shared" si="3"/>
        <v>0</v>
      </c>
      <c r="T26" s="319"/>
      <c r="U26" s="78"/>
    </row>
    <row r="27" spans="1:21" ht="30" x14ac:dyDescent="0.25">
      <c r="A27" s="406" t="s">
        <v>114</v>
      </c>
      <c r="B27" s="393" t="s">
        <v>427</v>
      </c>
      <c r="C27" s="390"/>
      <c r="D27" s="246">
        <f>'AUGUST 19'!H27:H37</f>
        <v>0</v>
      </c>
      <c r="E27" s="391">
        <v>2500</v>
      </c>
      <c r="F27" s="246">
        <f t="shared" si="5"/>
        <v>2500</v>
      </c>
      <c r="G27" s="392">
        <v>2500</v>
      </c>
      <c r="H27" s="273">
        <f t="shared" si="4"/>
        <v>0</v>
      </c>
      <c r="I27" s="273"/>
      <c r="J27" s="150"/>
      <c r="K27" s="150"/>
      <c r="L27" s="388">
        <v>20</v>
      </c>
      <c r="M27" s="393"/>
      <c r="N27" s="390"/>
      <c r="O27" s="246"/>
      <c r="P27" s="391"/>
      <c r="Q27" s="246">
        <f t="shared" si="2"/>
        <v>0</v>
      </c>
      <c r="R27" s="392"/>
      <c r="S27" s="273">
        <f t="shared" si="3"/>
        <v>0</v>
      </c>
      <c r="T27" s="319"/>
      <c r="U27" s="78"/>
    </row>
    <row r="28" spans="1:21" ht="30" x14ac:dyDescent="0.25">
      <c r="A28" s="407" t="s">
        <v>116</v>
      </c>
      <c r="B28" s="389" t="s">
        <v>437</v>
      </c>
      <c r="C28" s="164">
        <v>1500</v>
      </c>
      <c r="D28" s="246"/>
      <c r="E28" s="395">
        <v>2500</v>
      </c>
      <c r="F28" s="246">
        <f t="shared" si="5"/>
        <v>4000</v>
      </c>
      <c r="G28" s="396">
        <v>3000</v>
      </c>
      <c r="H28" s="273">
        <f t="shared" si="4"/>
        <v>1000</v>
      </c>
      <c r="I28" s="273"/>
      <c r="J28" s="150"/>
      <c r="K28" s="150"/>
      <c r="L28" s="388"/>
      <c r="M28" s="393"/>
      <c r="N28" s="390"/>
      <c r="O28" s="246"/>
      <c r="P28" s="391"/>
      <c r="Q28" s="246">
        <f t="shared" si="2"/>
        <v>0</v>
      </c>
      <c r="R28" s="392"/>
      <c r="S28" s="273">
        <f t="shared" si="3"/>
        <v>0</v>
      </c>
      <c r="T28" s="319"/>
      <c r="U28" s="78"/>
    </row>
    <row r="29" spans="1:21" ht="30" x14ac:dyDescent="0.25">
      <c r="A29" s="388" t="s">
        <v>119</v>
      </c>
      <c r="B29" s="389" t="s">
        <v>120</v>
      </c>
      <c r="C29" s="390"/>
      <c r="D29" s="246">
        <f>'AUGUST 19'!H29:H39</f>
        <v>0</v>
      </c>
      <c r="E29" s="391">
        <v>2500</v>
      </c>
      <c r="F29" s="246">
        <f t="shared" si="5"/>
        <v>2500</v>
      </c>
      <c r="G29" s="392">
        <v>2500</v>
      </c>
      <c r="H29" s="273">
        <f t="shared" si="4"/>
        <v>0</v>
      </c>
      <c r="I29" s="273"/>
      <c r="J29" s="150"/>
      <c r="K29" s="150"/>
      <c r="L29" s="388"/>
      <c r="M29" s="398" t="s">
        <v>193</v>
      </c>
      <c r="N29" s="399">
        <f>SUM(N8:N28)</f>
        <v>35000</v>
      </c>
      <c r="O29" s="246"/>
      <c r="P29" s="400">
        <f>SUM(P8:P28)</f>
        <v>17500</v>
      </c>
      <c r="Q29" s="246">
        <f>N29+O29+P29</f>
        <v>52500</v>
      </c>
      <c r="R29" s="315">
        <f>SUM(R8:R28)</f>
        <v>51500</v>
      </c>
      <c r="S29" s="273">
        <f t="shared" si="3"/>
        <v>1000</v>
      </c>
      <c r="T29" s="319"/>
      <c r="U29" s="78"/>
    </row>
    <row r="30" spans="1:21" ht="30" x14ac:dyDescent="0.25">
      <c r="A30" s="388" t="s">
        <v>121</v>
      </c>
      <c r="B30" s="389" t="s">
        <v>420</v>
      </c>
      <c r="C30" s="390"/>
      <c r="D30" s="246">
        <f>'AUGUST 19'!H30:H40</f>
        <v>0</v>
      </c>
      <c r="E30" s="391">
        <v>2500</v>
      </c>
      <c r="F30" s="246">
        <f t="shared" si="5"/>
        <v>2500</v>
      </c>
      <c r="G30" s="392">
        <v>2500</v>
      </c>
      <c r="H30" s="273">
        <f t="shared" si="4"/>
        <v>0</v>
      </c>
      <c r="I30" s="273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78"/>
      <c r="U30" s="78"/>
    </row>
    <row r="31" spans="1:21" x14ac:dyDescent="0.25">
      <c r="A31" s="388" t="s">
        <v>123</v>
      </c>
      <c r="B31" s="393" t="s">
        <v>396</v>
      </c>
      <c r="C31" s="390"/>
      <c r="D31" s="246">
        <f>'AUGUST 19'!H31:H41</f>
        <v>500</v>
      </c>
      <c r="E31" s="391">
        <v>2500</v>
      </c>
      <c r="F31" s="246">
        <f t="shared" si="5"/>
        <v>3000</v>
      </c>
      <c r="G31" s="392">
        <v>2500</v>
      </c>
      <c r="H31" s="273">
        <f t="shared" si="4"/>
        <v>500</v>
      </c>
      <c r="I31" s="273"/>
      <c r="J31" s="150"/>
      <c r="K31" s="269"/>
      <c r="L31" s="164" t="s">
        <v>469</v>
      </c>
      <c r="M31" s="273">
        <f>P29</f>
        <v>17500</v>
      </c>
      <c r="N31" s="164"/>
      <c r="O31" s="164"/>
      <c r="P31" s="164" t="s">
        <v>469</v>
      </c>
      <c r="Q31" s="273">
        <f>R29</f>
        <v>51500</v>
      </c>
      <c r="R31" s="164"/>
      <c r="S31" s="273"/>
      <c r="T31" s="78"/>
      <c r="U31" s="78"/>
    </row>
    <row r="32" spans="1:21" ht="30" x14ac:dyDescent="0.25">
      <c r="A32" s="388" t="s">
        <v>125</v>
      </c>
      <c r="B32" s="393" t="s">
        <v>312</v>
      </c>
      <c r="C32" s="390"/>
      <c r="D32" s="246">
        <f>'AUGUST 19'!H32:H42</f>
        <v>0</v>
      </c>
      <c r="E32" s="408">
        <v>1500</v>
      </c>
      <c r="F32" s="246">
        <f t="shared" si="5"/>
        <v>1500</v>
      </c>
      <c r="G32" s="392">
        <v>1500</v>
      </c>
      <c r="H32" s="273">
        <f t="shared" si="4"/>
        <v>0</v>
      </c>
      <c r="I32" s="273"/>
      <c r="J32" s="150"/>
      <c r="K32" s="150"/>
      <c r="L32" s="164" t="s">
        <v>209</v>
      </c>
      <c r="M32" s="305">
        <v>0.08</v>
      </c>
      <c r="N32" s="273">
        <f>M31*M32</f>
        <v>1400</v>
      </c>
      <c r="O32" s="164"/>
      <c r="P32" s="164" t="s">
        <v>209</v>
      </c>
      <c r="Q32" s="305">
        <v>0.08</v>
      </c>
      <c r="R32" s="273">
        <f>N32</f>
        <v>1400</v>
      </c>
      <c r="S32" s="273"/>
      <c r="T32" s="150"/>
      <c r="U32" s="78"/>
    </row>
    <row r="33" spans="1:21" x14ac:dyDescent="0.25">
      <c r="A33" s="388"/>
      <c r="B33" s="409" t="s">
        <v>193</v>
      </c>
      <c r="C33" s="399">
        <v>0</v>
      </c>
      <c r="D33" s="246">
        <f>'AUGUST 19'!H33:H43</f>
        <v>3500</v>
      </c>
      <c r="E33" s="410">
        <f>SUM(E23:E32)</f>
        <v>22000</v>
      </c>
      <c r="F33" s="246">
        <f t="shared" si="5"/>
        <v>25500</v>
      </c>
      <c r="G33" s="411">
        <f>SUM(G23:G32)</f>
        <v>22000</v>
      </c>
      <c r="H33" s="241">
        <f>SUM(H23:H32)</f>
        <v>3500</v>
      </c>
      <c r="I33" s="273"/>
      <c r="J33" s="150"/>
      <c r="K33" s="150"/>
      <c r="L33" s="163" t="s">
        <v>232</v>
      </c>
      <c r="M33" s="273"/>
      <c r="N33" s="164"/>
      <c r="O33" s="164"/>
      <c r="P33" s="163" t="s">
        <v>232</v>
      </c>
      <c r="Q33" s="273"/>
      <c r="R33" s="164"/>
      <c r="S33" s="273"/>
      <c r="T33" s="150"/>
      <c r="U33" s="78"/>
    </row>
    <row r="34" spans="1:21" x14ac:dyDescent="0.25">
      <c r="A34" s="416"/>
      <c r="B34" s="345"/>
      <c r="C34" s="345"/>
      <c r="D34" s="345"/>
      <c r="E34" s="345" t="s">
        <v>247</v>
      </c>
      <c r="F34" s="345"/>
      <c r="G34" s="345"/>
      <c r="H34" s="435"/>
      <c r="I34" s="273">
        <f t="shared" si="0"/>
        <v>0</v>
      </c>
      <c r="J34" s="150"/>
      <c r="K34" s="150"/>
      <c r="L34" s="163"/>
      <c r="M34" s="273"/>
      <c r="N34" s="164"/>
      <c r="O34" s="164"/>
      <c r="P34" s="163"/>
      <c r="Q34" s="273"/>
      <c r="R34" s="164"/>
      <c r="S34" s="273"/>
      <c r="T34" s="150"/>
      <c r="U34" s="78"/>
    </row>
    <row r="35" spans="1:21" x14ac:dyDescent="0.25">
      <c r="A35" s="166"/>
      <c r="B35" s="166"/>
      <c r="C35" s="166"/>
      <c r="D35" s="166"/>
      <c r="E35" s="166" t="s">
        <v>9</v>
      </c>
      <c r="F35" s="166" t="s">
        <v>11</v>
      </c>
      <c r="G35" s="166" t="s">
        <v>12</v>
      </c>
      <c r="H35" s="166" t="s">
        <v>306</v>
      </c>
      <c r="I35" s="318"/>
      <c r="J35" s="150"/>
      <c r="K35" s="150"/>
      <c r="L35" s="163" t="s">
        <v>470</v>
      </c>
      <c r="M35" s="273">
        <f>N29</f>
        <v>35000</v>
      </c>
      <c r="N35" s="164"/>
      <c r="O35" s="164"/>
      <c r="P35" s="163"/>
      <c r="Q35" s="273"/>
      <c r="R35" s="164"/>
      <c r="S35" s="273"/>
      <c r="T35" s="150"/>
      <c r="U35" s="78"/>
    </row>
    <row r="36" spans="1:21" x14ac:dyDescent="0.25">
      <c r="A36" s="388">
        <v>1</v>
      </c>
      <c r="B36" s="211" t="s">
        <v>313</v>
      </c>
      <c r="C36" s="390"/>
      <c r="D36" s="92"/>
      <c r="E36" s="246">
        <v>3500</v>
      </c>
      <c r="F36" s="246">
        <f>C36+E36</f>
        <v>3500</v>
      </c>
      <c r="G36" s="246">
        <v>3500</v>
      </c>
      <c r="H36" s="273">
        <f>F36-G36</f>
        <v>0</v>
      </c>
      <c r="I36" s="273"/>
      <c r="J36" s="150"/>
      <c r="K36" s="150"/>
      <c r="L36" s="163" t="s">
        <v>239</v>
      </c>
      <c r="M36" s="273">
        <f>'AUGUST 19'!O42</f>
        <v>0</v>
      </c>
      <c r="N36" s="164"/>
      <c r="O36" s="164"/>
      <c r="P36" s="163" t="s">
        <v>239</v>
      </c>
      <c r="Q36" s="273">
        <f>'AUGUST 19'!S42</f>
        <v>0</v>
      </c>
      <c r="R36" s="164"/>
      <c r="S36" s="273"/>
      <c r="T36" s="150"/>
      <c r="U36" s="78"/>
    </row>
    <row r="37" spans="1:21" x14ac:dyDescent="0.25">
      <c r="A37" s="388">
        <v>2</v>
      </c>
      <c r="B37" s="164" t="s">
        <v>451</v>
      </c>
      <c r="C37" s="164"/>
      <c r="D37" s="164"/>
      <c r="E37" s="164">
        <v>4000</v>
      </c>
      <c r="F37" s="246">
        <f t="shared" ref="F37:F42" si="6">C37+E37</f>
        <v>4000</v>
      </c>
      <c r="G37" s="164">
        <v>4000</v>
      </c>
      <c r="H37" s="273">
        <f t="shared" ref="H37:H42" si="7">F37-G37</f>
        <v>0</v>
      </c>
      <c r="I37" s="273"/>
      <c r="J37" s="150"/>
      <c r="K37" s="150"/>
      <c r="L37" s="163" t="s">
        <v>193</v>
      </c>
      <c r="M37" s="273">
        <f>M31+M33+M36+M35</f>
        <v>52500</v>
      </c>
      <c r="N37" s="164"/>
      <c r="O37" s="164"/>
      <c r="P37" s="163" t="s">
        <v>193</v>
      </c>
      <c r="Q37" s="273">
        <f>Q31+Q33+Q36+Q34</f>
        <v>51500</v>
      </c>
      <c r="R37" s="164"/>
      <c r="S37" s="273"/>
      <c r="T37" s="150"/>
      <c r="U37" s="78"/>
    </row>
    <row r="38" spans="1:21" x14ac:dyDescent="0.25">
      <c r="A38" s="388">
        <v>3</v>
      </c>
      <c r="B38" s="211" t="s">
        <v>411</v>
      </c>
      <c r="C38" s="390"/>
      <c r="D38" s="92"/>
      <c r="E38" s="408">
        <v>4000</v>
      </c>
      <c r="F38" s="246">
        <f t="shared" si="6"/>
        <v>4000</v>
      </c>
      <c r="G38" s="164">
        <v>4000</v>
      </c>
      <c r="H38" s="273">
        <f t="shared" si="7"/>
        <v>0</v>
      </c>
      <c r="I38" s="273"/>
      <c r="J38" s="150"/>
      <c r="K38" s="150"/>
      <c r="L38" s="359" t="s">
        <v>276</v>
      </c>
      <c r="M38" s="305"/>
      <c r="N38" s="295"/>
      <c r="O38" s="164"/>
      <c r="P38" s="359" t="s">
        <v>276</v>
      </c>
      <c r="Q38" s="305"/>
      <c r="R38" s="295"/>
      <c r="S38" s="273"/>
      <c r="T38" s="150"/>
      <c r="U38" s="78"/>
    </row>
    <row r="39" spans="1:21" x14ac:dyDescent="0.25">
      <c r="A39" s="388">
        <v>4</v>
      </c>
      <c r="B39" s="211" t="s">
        <v>350</v>
      </c>
      <c r="C39" s="92"/>
      <c r="D39" s="150"/>
      <c r="E39" s="408">
        <v>4000</v>
      </c>
      <c r="F39" s="246">
        <f t="shared" si="6"/>
        <v>4000</v>
      </c>
      <c r="G39" s="164">
        <v>4000</v>
      </c>
      <c r="H39" s="273">
        <f t="shared" si="7"/>
        <v>0</v>
      </c>
      <c r="I39" s="273"/>
      <c r="J39" s="150"/>
      <c r="K39" s="150"/>
      <c r="L39" s="163" t="s">
        <v>347</v>
      </c>
      <c r="M39" s="164"/>
      <c r="N39" s="165"/>
      <c r="O39" s="164"/>
      <c r="P39" s="163"/>
      <c r="Q39" s="273"/>
      <c r="R39" s="165"/>
      <c r="S39" s="273"/>
      <c r="T39" s="150"/>
      <c r="U39" s="78"/>
    </row>
    <row r="40" spans="1:21" x14ac:dyDescent="0.25">
      <c r="A40" s="406">
        <v>5</v>
      </c>
      <c r="B40" s="211" t="s">
        <v>392</v>
      </c>
      <c r="C40" s="390"/>
      <c r="D40" s="92"/>
      <c r="E40" s="408">
        <v>4000</v>
      </c>
      <c r="F40" s="246">
        <f t="shared" si="6"/>
        <v>4000</v>
      </c>
      <c r="G40" s="164">
        <v>4000</v>
      </c>
      <c r="H40" s="273">
        <f t="shared" si="7"/>
        <v>0</v>
      </c>
      <c r="I40" s="273"/>
      <c r="J40" s="150"/>
      <c r="K40" s="150"/>
      <c r="L40" s="166" t="s">
        <v>193</v>
      </c>
      <c r="M40" s="317">
        <f>M31+M33+M34+M35+M36-N32</f>
        <v>51100</v>
      </c>
      <c r="N40" s="318">
        <f>SUM(N39:N39)</f>
        <v>0</v>
      </c>
      <c r="O40" s="318">
        <f>M40-N40</f>
        <v>51100</v>
      </c>
      <c r="P40" s="166" t="s">
        <v>193</v>
      </c>
      <c r="Q40" s="317">
        <f>Q31+Q33+Q34+Q36-R32</f>
        <v>50100</v>
      </c>
      <c r="R40" s="318">
        <f>SUM(R39:R39)</f>
        <v>0</v>
      </c>
      <c r="S40" s="318">
        <f>Q40-R40</f>
        <v>50100</v>
      </c>
      <c r="T40" s="150"/>
      <c r="U40" s="78"/>
    </row>
    <row r="41" spans="1:21" x14ac:dyDescent="0.25">
      <c r="A41" s="407">
        <v>6</v>
      </c>
      <c r="B41" s="436" t="s">
        <v>391</v>
      </c>
      <c r="C41" s="390"/>
      <c r="D41" s="92"/>
      <c r="E41" s="408">
        <v>4000</v>
      </c>
      <c r="F41" s="246">
        <f t="shared" si="6"/>
        <v>4000</v>
      </c>
      <c r="G41" s="164">
        <v>4000</v>
      </c>
      <c r="H41" s="273">
        <f t="shared" si="7"/>
        <v>0</v>
      </c>
      <c r="I41" s="273"/>
      <c r="J41" s="150"/>
      <c r="K41" s="150"/>
      <c r="L41" s="150" t="s">
        <v>71</v>
      </c>
      <c r="M41" s="150"/>
      <c r="N41" s="150"/>
      <c r="O41" s="150" t="s">
        <v>72</v>
      </c>
      <c r="P41" s="150"/>
      <c r="Q41" s="150"/>
      <c r="R41" s="150" t="s">
        <v>73</v>
      </c>
      <c r="S41" s="269"/>
      <c r="T41" s="150"/>
      <c r="U41" s="78"/>
    </row>
    <row r="42" spans="1:21" ht="19.5" customHeight="1" x14ac:dyDescent="0.25">
      <c r="A42" s="388">
        <v>7</v>
      </c>
      <c r="B42" s="437" t="s">
        <v>456</v>
      </c>
      <c r="C42" s="390">
        <v>0</v>
      </c>
      <c r="D42" s="92">
        <v>0</v>
      </c>
      <c r="E42" s="408">
        <v>4000</v>
      </c>
      <c r="F42" s="246">
        <f t="shared" si="6"/>
        <v>4000</v>
      </c>
      <c r="G42" s="164">
        <v>4000</v>
      </c>
      <c r="H42" s="273">
        <f t="shared" si="7"/>
        <v>0</v>
      </c>
      <c r="I42" s="273"/>
      <c r="J42" s="150"/>
      <c r="K42" s="150"/>
      <c r="L42" s="150" t="s">
        <v>471</v>
      </c>
      <c r="M42" s="150"/>
      <c r="N42" s="150"/>
      <c r="O42" s="150" t="s">
        <v>135</v>
      </c>
      <c r="P42" s="150"/>
      <c r="Q42" s="150"/>
      <c r="R42" s="150" t="s">
        <v>130</v>
      </c>
      <c r="S42" s="269"/>
      <c r="T42" s="150"/>
      <c r="U42" s="78"/>
    </row>
    <row r="43" spans="1:21" x14ac:dyDescent="0.25">
      <c r="A43" s="164"/>
      <c r="B43" s="438" t="s">
        <v>193</v>
      </c>
      <c r="C43" s="439"/>
      <c r="D43" s="439"/>
      <c r="E43" s="411">
        <f>SUM(E36:E42)</f>
        <v>27500</v>
      </c>
      <c r="F43" s="315">
        <f>SUM(F36:F42)</f>
        <v>27500</v>
      </c>
      <c r="G43" s="411">
        <f>SUM(G36:G42)</f>
        <v>27500</v>
      </c>
      <c r="H43" s="273">
        <f>F43-G43</f>
        <v>0</v>
      </c>
      <c r="I43" s="273"/>
      <c r="J43" s="150"/>
      <c r="K43" s="150"/>
      <c r="L43" s="78"/>
      <c r="T43" s="150"/>
      <c r="U43" s="78"/>
    </row>
    <row r="44" spans="1:21" x14ac:dyDescent="0.25">
      <c r="A44" s="440"/>
      <c r="B44" s="150"/>
      <c r="C44" s="302"/>
      <c r="D44" s="412"/>
      <c r="E44" s="302"/>
      <c r="F44" s="413"/>
      <c r="G44" s="302"/>
      <c r="H44" s="150"/>
      <c r="I44" s="269"/>
      <c r="J44" s="150"/>
      <c r="K44" s="150"/>
      <c r="L44" s="370"/>
      <c r="M44" s="370"/>
      <c r="N44" s="370"/>
      <c r="O44" s="370"/>
      <c r="P44" s="370"/>
      <c r="Q44" s="370"/>
      <c r="R44" s="370"/>
      <c r="S44" s="368"/>
      <c r="T44" s="150"/>
      <c r="U44" s="78"/>
    </row>
    <row r="45" spans="1:21" x14ac:dyDescent="0.25">
      <c r="A45" s="150"/>
      <c r="B45" s="359" t="s">
        <v>204</v>
      </c>
      <c r="C45" s="359" t="s">
        <v>205</v>
      </c>
      <c r="D45" s="359" t="s">
        <v>207</v>
      </c>
      <c r="E45" s="359" t="s">
        <v>208</v>
      </c>
      <c r="F45" s="359" t="s">
        <v>204</v>
      </c>
      <c r="G45" s="359" t="s">
        <v>205</v>
      </c>
      <c r="H45" s="359" t="s">
        <v>207</v>
      </c>
      <c r="I45" s="360" t="s">
        <v>306</v>
      </c>
      <c r="J45" s="150"/>
      <c r="K45" s="150"/>
      <c r="L45" s="370"/>
      <c r="M45" s="370"/>
      <c r="N45" s="370"/>
      <c r="O45" s="370"/>
      <c r="P45" s="369"/>
      <c r="Q45" s="365"/>
      <c r="R45" s="366"/>
      <c r="S45" s="367"/>
      <c r="T45" s="150"/>
      <c r="U45" s="78"/>
    </row>
    <row r="46" spans="1:21" x14ac:dyDescent="0.25">
      <c r="A46" s="441"/>
      <c r="B46" s="211" t="s">
        <v>469</v>
      </c>
      <c r="C46" s="273">
        <f>E20+E33+E43</f>
        <v>82500</v>
      </c>
      <c r="D46" s="164"/>
      <c r="E46" s="164"/>
      <c r="F46" s="211" t="s">
        <v>469</v>
      </c>
      <c r="G46" s="273">
        <f>H20+G33+G43</f>
        <v>89900</v>
      </c>
      <c r="H46" s="164"/>
      <c r="I46" s="273"/>
      <c r="J46" s="150"/>
      <c r="K46" s="150"/>
      <c r="L46" s="369"/>
      <c r="M46" s="370"/>
      <c r="N46" s="371"/>
      <c r="O46" s="370"/>
      <c r="P46" s="369"/>
      <c r="Q46" s="370"/>
      <c r="R46" s="371"/>
      <c r="S46" s="368"/>
      <c r="T46" s="150"/>
      <c r="U46" s="78"/>
    </row>
    <row r="47" spans="1:21" x14ac:dyDescent="0.25">
      <c r="A47" s="150"/>
      <c r="B47" s="211" t="s">
        <v>209</v>
      </c>
      <c r="C47" s="307">
        <v>0.08</v>
      </c>
      <c r="D47" s="308">
        <f>C46*C47</f>
        <v>6600</v>
      </c>
      <c r="E47" s="211"/>
      <c r="F47" s="211" t="s">
        <v>209</v>
      </c>
      <c r="G47" s="307">
        <v>0.08</v>
      </c>
      <c r="H47" s="308">
        <f>D47</f>
        <v>6600</v>
      </c>
      <c r="I47" s="273"/>
      <c r="J47" s="150"/>
      <c r="K47" s="150"/>
      <c r="L47" s="369"/>
      <c r="M47" s="370"/>
      <c r="N47" s="371"/>
      <c r="O47" s="370"/>
      <c r="P47" s="369"/>
      <c r="Q47" s="370"/>
      <c r="R47" s="371"/>
      <c r="S47" s="368"/>
      <c r="T47" s="150"/>
      <c r="U47" s="78"/>
    </row>
    <row r="48" spans="1:21" x14ac:dyDescent="0.25">
      <c r="A48" s="150"/>
      <c r="B48" s="309" t="s">
        <v>232</v>
      </c>
      <c r="C48" s="308">
        <f>F20</f>
        <v>1100</v>
      </c>
      <c r="D48" s="211"/>
      <c r="E48" s="211"/>
      <c r="F48" s="309" t="s">
        <v>232</v>
      </c>
      <c r="G48" s="308"/>
      <c r="H48" s="211"/>
      <c r="I48" s="273"/>
      <c r="J48" s="150"/>
      <c r="K48" s="150"/>
      <c r="L48" s="369"/>
      <c r="M48" s="370"/>
      <c r="N48" s="371"/>
      <c r="O48" s="370"/>
      <c r="P48" s="369"/>
      <c r="Q48" s="370"/>
      <c r="R48" s="371"/>
      <c r="S48" s="368"/>
      <c r="T48" s="150"/>
      <c r="U48" s="78"/>
    </row>
    <row r="49" spans="1:21" x14ac:dyDescent="0.25">
      <c r="A49" s="150"/>
      <c r="B49" s="309" t="s">
        <v>468</v>
      </c>
      <c r="C49" s="308">
        <v>3000</v>
      </c>
      <c r="D49" s="211"/>
      <c r="E49" s="211"/>
      <c r="F49" s="309" t="s">
        <v>468</v>
      </c>
      <c r="G49" s="308">
        <v>3000</v>
      </c>
      <c r="H49" s="211"/>
      <c r="I49" s="273"/>
      <c r="J49" s="150"/>
      <c r="K49" s="150"/>
      <c r="T49" s="150"/>
      <c r="U49" s="78"/>
    </row>
    <row r="50" spans="1:21" x14ac:dyDescent="0.25">
      <c r="A50" s="150"/>
      <c r="B50" s="309" t="s">
        <v>470</v>
      </c>
      <c r="C50" s="308">
        <v>500</v>
      </c>
      <c r="D50" s="211"/>
      <c r="E50" s="211"/>
      <c r="F50" s="309"/>
      <c r="G50" s="308"/>
      <c r="H50" s="211"/>
      <c r="I50" s="273"/>
      <c r="J50" s="150"/>
      <c r="K50" s="150"/>
      <c r="L50" s="150"/>
      <c r="M50" s="150"/>
      <c r="N50" s="150"/>
      <c r="O50" s="150"/>
      <c r="P50" s="150"/>
      <c r="Q50" s="79"/>
      <c r="R50" s="150"/>
      <c r="S50" s="269"/>
      <c r="T50" s="150"/>
      <c r="U50" s="78"/>
    </row>
    <row r="51" spans="1:21" x14ac:dyDescent="0.25">
      <c r="A51" s="150"/>
      <c r="B51" s="309" t="s">
        <v>239</v>
      </c>
      <c r="C51" s="308">
        <f>'AUGUST 19'!E67</f>
        <v>22367.342305280035</v>
      </c>
      <c r="D51" s="211"/>
      <c r="E51" s="211"/>
      <c r="F51" s="309" t="s">
        <v>239</v>
      </c>
      <c r="G51" s="308">
        <f>'AUGUST 19'!I67</f>
        <v>14173.275200000033</v>
      </c>
      <c r="H51" s="211"/>
      <c r="I51" s="273"/>
      <c r="J51" s="150"/>
      <c r="K51" s="150"/>
      <c r="T51" s="150"/>
      <c r="U51" s="78"/>
    </row>
    <row r="52" spans="1:21" x14ac:dyDescent="0.25">
      <c r="A52" s="150"/>
      <c r="B52" s="309" t="s">
        <v>193</v>
      </c>
      <c r="C52" s="308">
        <f>C46+C48+C51+C49</f>
        <v>108967.34230528004</v>
      </c>
      <c r="D52" s="211"/>
      <c r="E52" s="211"/>
      <c r="F52" s="309" t="s">
        <v>193</v>
      </c>
      <c r="G52" s="308">
        <f>G46+G48+G51+G49</f>
        <v>107073.27520000003</v>
      </c>
      <c r="H52" s="211"/>
      <c r="I52" s="273"/>
      <c r="J52" s="150"/>
      <c r="K52" s="150"/>
      <c r="T52" s="150"/>
      <c r="U52" s="78"/>
    </row>
    <row r="53" spans="1:21" x14ac:dyDescent="0.25">
      <c r="A53" s="150"/>
      <c r="B53" s="212" t="s">
        <v>276</v>
      </c>
      <c r="C53" s="307"/>
      <c r="D53" s="214"/>
      <c r="E53" s="211"/>
      <c r="F53" s="212" t="s">
        <v>276</v>
      </c>
      <c r="G53" s="307"/>
      <c r="H53" s="214"/>
      <c r="I53" s="273"/>
      <c r="J53" s="150"/>
      <c r="K53" s="150"/>
      <c r="T53" s="150"/>
      <c r="U53" s="78"/>
    </row>
    <row r="54" spans="1:21" x14ac:dyDescent="0.25">
      <c r="A54" s="150"/>
      <c r="B54" s="309" t="s">
        <v>472</v>
      </c>
      <c r="C54" s="211"/>
      <c r="D54" s="310">
        <v>92000</v>
      </c>
      <c r="E54" s="211"/>
      <c r="F54" s="309" t="s">
        <v>472</v>
      </c>
      <c r="G54" s="211"/>
      <c r="H54" s="310">
        <v>92000</v>
      </c>
      <c r="I54" s="273"/>
      <c r="J54" s="150"/>
      <c r="K54" s="150"/>
      <c r="L54" s="78"/>
    </row>
    <row r="55" spans="1:21" x14ac:dyDescent="0.25">
      <c r="A55" s="150"/>
      <c r="B55" s="219" t="s">
        <v>484</v>
      </c>
      <c r="C55" s="164"/>
      <c r="D55" s="165">
        <v>3000</v>
      </c>
      <c r="E55" s="164"/>
      <c r="F55" s="219" t="s">
        <v>484</v>
      </c>
      <c r="G55" s="164"/>
      <c r="H55" s="165">
        <v>3000</v>
      </c>
      <c r="I55" s="273"/>
      <c r="J55" s="150"/>
      <c r="K55" s="150"/>
      <c r="L55" s="78"/>
    </row>
    <row r="56" spans="1:21" x14ac:dyDescent="0.25">
      <c r="A56" s="150"/>
      <c r="B56" s="219" t="s">
        <v>485</v>
      </c>
      <c r="C56" s="164"/>
      <c r="D56" s="165">
        <v>3000</v>
      </c>
      <c r="E56" s="164"/>
      <c r="F56" s="219" t="s">
        <v>485</v>
      </c>
      <c r="G56" s="164"/>
      <c r="H56" s="165">
        <v>3000</v>
      </c>
      <c r="I56" s="273"/>
      <c r="J56" s="150"/>
      <c r="K56" s="150"/>
      <c r="L56" s="78"/>
    </row>
    <row r="57" spans="1:21" x14ac:dyDescent="0.25">
      <c r="A57" s="150"/>
      <c r="B57" s="164" t="s">
        <v>487</v>
      </c>
      <c r="C57" s="164"/>
      <c r="D57" s="273">
        <v>4200</v>
      </c>
      <c r="E57" s="164"/>
      <c r="F57" s="164" t="s">
        <v>487</v>
      </c>
      <c r="G57" s="164"/>
      <c r="H57" s="273">
        <f>D57</f>
        <v>4200</v>
      </c>
      <c r="I57" s="273"/>
      <c r="J57" s="150"/>
      <c r="K57" s="269">
        <f>D60+D59+D58+D57+D55+D56</f>
        <v>21200</v>
      </c>
      <c r="L57" s="78"/>
    </row>
    <row r="58" spans="1:21" x14ac:dyDescent="0.25">
      <c r="A58" s="150"/>
      <c r="B58" s="164" t="s">
        <v>453</v>
      </c>
      <c r="C58" s="164"/>
      <c r="D58" s="273">
        <f>G14</f>
        <v>6300</v>
      </c>
      <c r="E58" s="164"/>
      <c r="F58" s="164" t="s">
        <v>453</v>
      </c>
      <c r="G58" s="164"/>
      <c r="H58" s="273">
        <f>D58</f>
        <v>6300</v>
      </c>
      <c r="I58" s="310"/>
      <c r="J58" s="150"/>
      <c r="K58" s="269">
        <f>K57-D55</f>
        <v>18200</v>
      </c>
      <c r="L58" s="78"/>
    </row>
    <row r="59" spans="1:21" x14ac:dyDescent="0.25">
      <c r="A59" s="150"/>
      <c r="B59" s="219" t="s">
        <v>492</v>
      </c>
      <c r="C59" s="164"/>
      <c r="D59" s="165">
        <v>3500</v>
      </c>
      <c r="E59" s="164"/>
      <c r="F59" s="219" t="s">
        <v>492</v>
      </c>
      <c r="G59" s="164"/>
      <c r="H59" s="165">
        <f>F23</f>
        <v>3500</v>
      </c>
      <c r="I59" s="273"/>
      <c r="J59" s="150"/>
      <c r="K59" s="150"/>
      <c r="L59" s="78"/>
    </row>
    <row r="60" spans="1:21" x14ac:dyDescent="0.25">
      <c r="A60" s="150"/>
      <c r="B60" s="219" t="s">
        <v>493</v>
      </c>
      <c r="C60" s="164"/>
      <c r="D60" s="165">
        <v>1200</v>
      </c>
      <c r="E60" s="164"/>
      <c r="F60" s="219" t="s">
        <v>493</v>
      </c>
      <c r="G60" s="164"/>
      <c r="H60" s="165">
        <v>1200</v>
      </c>
      <c r="I60" s="273"/>
      <c r="J60" s="150"/>
      <c r="K60" s="150"/>
      <c r="L60" s="78"/>
    </row>
    <row r="61" spans="1:21" x14ac:dyDescent="0.25">
      <c r="A61" s="150"/>
      <c r="B61" s="166" t="s">
        <v>193</v>
      </c>
      <c r="C61" s="317">
        <f>C46+C48+C49+C50+C51-D47</f>
        <v>102867.34230528004</v>
      </c>
      <c r="D61" s="318">
        <f>SUM(D54:D60)</f>
        <v>113200</v>
      </c>
      <c r="E61" s="318">
        <f>C61-D61</f>
        <v>-10332.657694719965</v>
      </c>
      <c r="F61" s="166" t="s">
        <v>193</v>
      </c>
      <c r="G61" s="317">
        <f>G46+G48+G49+G51-H47</f>
        <v>100473.27520000003</v>
      </c>
      <c r="H61" s="318">
        <f>SUM(H54:H60)</f>
        <v>113200</v>
      </c>
      <c r="I61" s="318">
        <f>G61-H61</f>
        <v>-12726.724799999967</v>
      </c>
      <c r="J61" s="150"/>
      <c r="K61" s="150"/>
      <c r="L61" s="78"/>
    </row>
    <row r="62" spans="1:21" x14ac:dyDescent="0.25">
      <c r="A62" s="150"/>
      <c r="B62" s="150" t="s">
        <v>71</v>
      </c>
      <c r="C62" s="150"/>
      <c r="D62" s="150"/>
      <c r="E62" s="150" t="s">
        <v>72</v>
      </c>
      <c r="F62" s="150"/>
      <c r="G62" s="150"/>
      <c r="H62" s="150" t="s">
        <v>73</v>
      </c>
      <c r="I62" s="269"/>
      <c r="J62" s="269">
        <f>I61-E61</f>
        <v>-2394.0671052800026</v>
      </c>
      <c r="K62" s="150"/>
      <c r="L62" s="78"/>
    </row>
    <row r="63" spans="1:21" x14ac:dyDescent="0.25">
      <c r="A63" s="150"/>
      <c r="B63" s="150" t="s">
        <v>471</v>
      </c>
      <c r="C63" s="150"/>
      <c r="D63" s="150"/>
      <c r="E63" s="150" t="s">
        <v>135</v>
      </c>
      <c r="F63" s="150"/>
      <c r="G63" s="150"/>
      <c r="H63" s="150" t="s">
        <v>130</v>
      </c>
      <c r="I63" s="269"/>
      <c r="J63" s="150"/>
      <c r="K63" s="150"/>
      <c r="L63" s="78"/>
    </row>
    <row r="64" spans="1:21" x14ac:dyDescent="0.25">
      <c r="A64" s="150"/>
      <c r="J64" s="150"/>
      <c r="K64" s="150"/>
      <c r="L64" s="78"/>
    </row>
    <row r="65" spans="1:12" x14ac:dyDescent="0.25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78"/>
    </row>
  </sheetData>
  <pageMargins left="0" right="0" top="0" bottom="0" header="0.3" footer="0.3"/>
  <pageSetup paperSize="5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22" workbookViewId="0">
      <selection activeCell="H54" sqref="H54"/>
    </sheetView>
  </sheetViews>
  <sheetFormatPr defaultRowHeight="15" x14ac:dyDescent="0.25"/>
  <cols>
    <col min="2" max="2" width="15" customWidth="1"/>
    <col min="12" max="12" width="16.42578125" customWidth="1"/>
    <col min="13" max="13" width="12.140625" customWidth="1"/>
    <col min="14" max="14" width="11.5703125" customWidth="1"/>
    <col min="15" max="15" width="12.28515625" customWidth="1"/>
    <col min="16" max="16" width="10" customWidth="1"/>
    <col min="17" max="17" width="9.5703125" bestFit="1" customWidth="1"/>
  </cols>
  <sheetData>
    <row r="1" spans="1:18" ht="15.75" x14ac:dyDescent="0.25">
      <c r="B1" s="150"/>
      <c r="C1" s="150"/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268"/>
      <c r="B3" s="150"/>
      <c r="C3" s="150"/>
      <c r="D3" s="5" t="s">
        <v>503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503</v>
      </c>
      <c r="N4" s="250"/>
      <c r="O4" s="103"/>
      <c r="P4" s="103"/>
    </row>
    <row r="5" spans="1:18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279">
        <v>1</v>
      </c>
      <c r="B6" s="196" t="s">
        <v>352</v>
      </c>
      <c r="C6" s="274" t="s">
        <v>50</v>
      </c>
      <c r="D6" s="275">
        <f>'AUGUST 19'!I6:I20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ht="16.5" customHeight="1" x14ac:dyDescent="0.25">
      <c r="A7" s="279">
        <v>2</v>
      </c>
      <c r="B7" s="196" t="s">
        <v>433</v>
      </c>
      <c r="C7" s="274" t="s">
        <v>52</v>
      </c>
      <c r="D7" s="275">
        <f>'AUGUST 19'!I7:I21</f>
        <v>0</v>
      </c>
      <c r="E7" s="280">
        <v>3000</v>
      </c>
      <c r="F7" s="281">
        <v>100</v>
      </c>
      <c r="G7" s="276">
        <f t="shared" ref="G7:G14" si="1">D7+E7+F7</f>
        <v>3100</v>
      </c>
      <c r="H7" s="277">
        <v>3100</v>
      </c>
      <c r="I7" s="273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/>
      <c r="O7" s="320">
        <v>3000</v>
      </c>
      <c r="P7" s="232">
        <f>M7+N7+O7</f>
        <v>6000</v>
      </c>
      <c r="Q7" s="234">
        <f>2500+500</f>
        <v>3000</v>
      </c>
      <c r="R7" s="319">
        <f t="shared" ref="R7:R16" si="2">P7-Q7</f>
        <v>3000</v>
      </c>
    </row>
    <row r="8" spans="1:18" x14ac:dyDescent="0.25">
      <c r="A8" s="279">
        <v>3</v>
      </c>
      <c r="B8" s="282" t="s">
        <v>514</v>
      </c>
      <c r="C8" s="274" t="s">
        <v>54</v>
      </c>
      <c r="D8" s="275">
        <f>'AUGUST 19'!I8:I22</f>
        <v>0</v>
      </c>
      <c r="E8" s="280">
        <v>3000</v>
      </c>
      <c r="F8" s="281">
        <v>100</v>
      </c>
      <c r="G8" s="276">
        <f>D8+E8+F8</f>
        <v>3100</v>
      </c>
      <c r="H8" s="277"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/>
      <c r="O8" s="320"/>
      <c r="P8" s="232">
        <f t="shared" ref="P8:P17" si="3">M8+N8+O8</f>
        <v>0</v>
      </c>
      <c r="Q8" s="232"/>
      <c r="R8" s="319">
        <f t="shared" si="2"/>
        <v>0</v>
      </c>
    </row>
    <row r="9" spans="1:18" x14ac:dyDescent="0.25">
      <c r="A9" s="279">
        <v>4</v>
      </c>
      <c r="B9" s="196" t="s">
        <v>228</v>
      </c>
      <c r="C9" s="274" t="s">
        <v>56</v>
      </c>
      <c r="D9" s="275">
        <f>'AUGUST 19'!I9:I23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83" t="s">
        <v>110</v>
      </c>
      <c r="L9" s="110" t="s">
        <v>467</v>
      </c>
      <c r="M9" s="110"/>
      <c r="N9" s="232"/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</row>
    <row r="10" spans="1:18" x14ac:dyDescent="0.25">
      <c r="A10" s="279">
        <v>5</v>
      </c>
      <c r="B10" s="282" t="s">
        <v>291</v>
      </c>
      <c r="C10" s="274" t="s">
        <v>58</v>
      </c>
      <c r="D10" s="275">
        <f>'AUGUST 19'!I10:I24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87" t="s">
        <v>112</v>
      </c>
      <c r="L10" s="200" t="s">
        <v>443</v>
      </c>
      <c r="M10" s="110"/>
      <c r="N10" s="232">
        <v>2200</v>
      </c>
      <c r="O10" s="321">
        <v>2500</v>
      </c>
      <c r="P10" s="232">
        <f>M10+N10+O10</f>
        <v>4700</v>
      </c>
      <c r="Q10" s="319">
        <f>1500+1000</f>
        <v>2500</v>
      </c>
      <c r="R10" s="319">
        <f t="shared" si="2"/>
        <v>2200</v>
      </c>
    </row>
    <row r="11" spans="1:18" ht="15.75" customHeight="1" x14ac:dyDescent="0.25">
      <c r="A11" s="279">
        <v>6</v>
      </c>
      <c r="B11" s="282" t="s">
        <v>283</v>
      </c>
      <c r="C11" s="274" t="s">
        <v>60</v>
      </c>
      <c r="D11" s="275">
        <f>'AUGUST 19'!I11:I25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/>
      <c r="O11" s="320">
        <v>2500</v>
      </c>
      <c r="P11" s="232">
        <f t="shared" si="3"/>
        <v>2500</v>
      </c>
      <c r="Q11" s="234">
        <v>2500</v>
      </c>
      <c r="R11" s="319">
        <f t="shared" si="2"/>
        <v>0</v>
      </c>
    </row>
    <row r="12" spans="1:18" x14ac:dyDescent="0.25">
      <c r="A12" s="279">
        <v>7</v>
      </c>
      <c r="B12" s="282" t="s">
        <v>310</v>
      </c>
      <c r="C12" s="274" t="s">
        <v>62</v>
      </c>
      <c r="D12" s="275">
        <f>'AUGUST 19'!I12:I26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93" t="s">
        <v>116</v>
      </c>
      <c r="L12" s="249" t="s">
        <v>437</v>
      </c>
      <c r="M12" s="110"/>
      <c r="N12" s="232">
        <v>1000</v>
      </c>
      <c r="O12" s="325">
        <v>2500</v>
      </c>
      <c r="P12" s="232">
        <f t="shared" si="3"/>
        <v>3500</v>
      </c>
      <c r="Q12" s="326">
        <v>2500</v>
      </c>
      <c r="R12" s="319">
        <f t="shared" si="2"/>
        <v>1000</v>
      </c>
    </row>
    <row r="13" spans="1:18" x14ac:dyDescent="0.25">
      <c r="A13" s="283">
        <v>8</v>
      </c>
      <c r="B13" s="196"/>
      <c r="C13" s="284" t="s">
        <v>64</v>
      </c>
      <c r="D13" s="275">
        <f>'AUGUST 19'!I13:I27</f>
        <v>0</v>
      </c>
      <c r="E13" s="285"/>
      <c r="F13" s="286"/>
      <c r="G13" s="276">
        <f>D13+E13+F13</f>
        <v>0</v>
      </c>
      <c r="H13" s="277"/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/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</row>
    <row r="14" spans="1:18" x14ac:dyDescent="0.25">
      <c r="A14" s="283">
        <v>9</v>
      </c>
      <c r="B14" s="196"/>
      <c r="C14" s="284" t="s">
        <v>18</v>
      </c>
      <c r="D14" s="275"/>
      <c r="E14" s="285"/>
      <c r="F14" s="286"/>
      <c r="G14" s="276">
        <f t="shared" si="1"/>
        <v>0</v>
      </c>
      <c r="H14" s="277"/>
      <c r="I14" s="273">
        <f t="shared" si="0"/>
        <v>0</v>
      </c>
      <c r="J14" s="150"/>
      <c r="K14" s="83" t="s">
        <v>121</v>
      </c>
      <c r="L14" s="249" t="s">
        <v>420</v>
      </c>
      <c r="M14" s="85"/>
      <c r="N14" s="232"/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</row>
    <row r="15" spans="1:18" x14ac:dyDescent="0.25">
      <c r="A15" s="283">
        <v>10</v>
      </c>
      <c r="B15" s="196" t="s">
        <v>460</v>
      </c>
      <c r="C15" s="284" t="s">
        <v>20</v>
      </c>
      <c r="D15" s="275">
        <f>'AUGUST 19'!I15:I29</f>
        <v>650</v>
      </c>
      <c r="E15" s="285">
        <v>3000</v>
      </c>
      <c r="F15" s="286">
        <v>100</v>
      </c>
      <c r="G15" s="276">
        <f>D15+E15+F15</f>
        <v>3750</v>
      </c>
      <c r="H15" s="277">
        <v>3100</v>
      </c>
      <c r="I15" s="273">
        <f t="shared" si="0"/>
        <v>650</v>
      </c>
      <c r="J15" s="150"/>
      <c r="K15" s="83" t="s">
        <v>123</v>
      </c>
      <c r="L15" s="200" t="s">
        <v>396</v>
      </c>
      <c r="M15" s="85"/>
      <c r="N15" s="232">
        <v>500</v>
      </c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</row>
    <row r="16" spans="1:18" x14ac:dyDescent="0.25">
      <c r="A16" s="283">
        <v>11</v>
      </c>
      <c r="B16" s="196" t="s">
        <v>444</v>
      </c>
      <c r="C16" s="284" t="s">
        <v>22</v>
      </c>
      <c r="D16" s="275">
        <f>'AUGUST 19'!I16:I30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83" t="s">
        <v>125</v>
      </c>
      <c r="L16" s="200" t="s">
        <v>312</v>
      </c>
      <c r="M16" s="85"/>
      <c r="N16" s="232"/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</row>
    <row r="17" spans="1:19" x14ac:dyDescent="0.25">
      <c r="A17" s="283">
        <v>12</v>
      </c>
      <c r="B17" s="78"/>
      <c r="C17" s="284" t="s">
        <v>24</v>
      </c>
      <c r="D17" s="275">
        <f>'AUGUST 19'!I17:I31</f>
        <v>0</v>
      </c>
      <c r="E17" s="285"/>
      <c r="F17" s="286"/>
      <c r="G17" s="276">
        <f>D17+E17+F17</f>
        <v>0</v>
      </c>
      <c r="H17" s="277"/>
      <c r="I17" s="273">
        <f t="shared" si="0"/>
        <v>0</v>
      </c>
      <c r="J17" s="150"/>
      <c r="K17" s="83"/>
      <c r="L17" s="204" t="s">
        <v>193</v>
      </c>
      <c r="M17" s="205">
        <f>SUM(M7:M16)</f>
        <v>3000</v>
      </c>
      <c r="N17" s="246">
        <f>SUM(N7:N16)</f>
        <v>3700</v>
      </c>
      <c r="O17" s="239">
        <f>SUM(O7:O16)</f>
        <v>22000</v>
      </c>
      <c r="P17" s="232">
        <f t="shared" si="3"/>
        <v>28700</v>
      </c>
      <c r="Q17" s="240">
        <f>SUM(Q7:Q16)</f>
        <v>22000</v>
      </c>
      <c r="R17" s="323">
        <f>SUM(R7:R16)</f>
        <v>6700</v>
      </c>
    </row>
    <row r="18" spans="1:19" x14ac:dyDescent="0.25">
      <c r="A18" s="293"/>
      <c r="B18" s="294" t="s">
        <v>193</v>
      </c>
      <c r="C18" s="293"/>
      <c r="D18" s="275">
        <f t="shared" ref="D18:I18" si="4">SUM(D6:D17)</f>
        <v>650</v>
      </c>
      <c r="E18" s="240">
        <f t="shared" si="4"/>
        <v>27000</v>
      </c>
      <c r="F18" s="240">
        <f t="shared" si="4"/>
        <v>900</v>
      </c>
      <c r="G18" s="372">
        <f t="shared" si="4"/>
        <v>28550</v>
      </c>
      <c r="H18" s="361">
        <f t="shared" si="4"/>
        <v>27900</v>
      </c>
      <c r="I18" s="273">
        <f t="shared" si="4"/>
        <v>650</v>
      </c>
      <c r="J18" s="150"/>
      <c r="M18" s="384"/>
      <c r="N18" s="384" t="s">
        <v>481</v>
      </c>
      <c r="O18" s="384"/>
      <c r="S18" s="78"/>
    </row>
    <row r="19" spans="1:19" ht="18.75" x14ac:dyDescent="0.25">
      <c r="A19" s="378"/>
      <c r="B19" s="379"/>
      <c r="C19" s="379"/>
      <c r="D19" s="379"/>
      <c r="E19" s="345" t="s">
        <v>247</v>
      </c>
      <c r="F19" s="379"/>
      <c r="G19" s="379"/>
      <c r="H19" s="344"/>
      <c r="I19" s="273">
        <f>G19-H19</f>
        <v>0</v>
      </c>
      <c r="K19" s="83">
        <v>1</v>
      </c>
      <c r="L19" s="200" t="s">
        <v>506</v>
      </c>
      <c r="M19" s="85">
        <v>3500</v>
      </c>
      <c r="N19" s="232">
        <f>'SEPTEMBER 19'!S8:S28</f>
        <v>0</v>
      </c>
      <c r="O19" s="320">
        <v>3500</v>
      </c>
      <c r="P19" s="232">
        <f>M19+N19+O19</f>
        <v>7000</v>
      </c>
      <c r="Q19" s="232">
        <v>7000</v>
      </c>
      <c r="R19" s="319">
        <f>P19-Q19</f>
        <v>0</v>
      </c>
      <c r="S19" s="78"/>
    </row>
    <row r="20" spans="1:19" x14ac:dyDescent="0.25">
      <c r="A20" s="166"/>
      <c r="B20" s="166"/>
      <c r="C20" s="166"/>
      <c r="D20" s="166"/>
      <c r="E20" s="166" t="s">
        <v>9</v>
      </c>
      <c r="F20" s="166" t="s">
        <v>11</v>
      </c>
      <c r="G20" s="166" t="s">
        <v>12</v>
      </c>
      <c r="H20" s="166" t="s">
        <v>306</v>
      </c>
      <c r="I20" s="318"/>
      <c r="K20" s="83">
        <v>2</v>
      </c>
      <c r="L20" s="200" t="s">
        <v>507</v>
      </c>
      <c r="M20" s="85">
        <v>3500</v>
      </c>
      <c r="N20" s="232">
        <f>'SEPTEMBER 19'!S9:S29</f>
        <v>0</v>
      </c>
      <c r="O20" s="320">
        <v>3500</v>
      </c>
      <c r="P20" s="232">
        <f t="shared" ref="P20:P36" si="5">M20+N20+O20</f>
        <v>7000</v>
      </c>
      <c r="Q20" s="232">
        <v>7000</v>
      </c>
      <c r="R20" s="319">
        <f t="shared" ref="R20:R36" si="6">P20-Q20</f>
        <v>0</v>
      </c>
      <c r="S20" s="78"/>
    </row>
    <row r="21" spans="1:19" x14ac:dyDescent="0.25">
      <c r="A21" s="83">
        <v>1</v>
      </c>
      <c r="B21" s="191" t="s">
        <v>313</v>
      </c>
      <c r="C21" s="85"/>
      <c r="D21" s="86"/>
      <c r="E21" s="232">
        <v>3500</v>
      </c>
      <c r="F21" s="232">
        <f>C21+E21</f>
        <v>3500</v>
      </c>
      <c r="G21" s="232">
        <v>3500</v>
      </c>
      <c r="H21" s="273">
        <f>F21-G21</f>
        <v>0</v>
      </c>
      <c r="I21" s="273"/>
      <c r="K21" s="83">
        <v>3</v>
      </c>
      <c r="L21" s="110" t="s">
        <v>498</v>
      </c>
      <c r="M21" s="110">
        <v>3500</v>
      </c>
      <c r="N21" s="232">
        <f>'SEPTEMBER 19'!S10:S30</f>
        <v>0</v>
      </c>
      <c r="O21" s="110">
        <v>3500</v>
      </c>
      <c r="P21" s="232">
        <f t="shared" si="5"/>
        <v>7000</v>
      </c>
      <c r="Q21" s="110">
        <v>7000</v>
      </c>
      <c r="R21" s="319">
        <f t="shared" si="6"/>
        <v>0</v>
      </c>
      <c r="S21" s="78"/>
    </row>
    <row r="22" spans="1:19" x14ac:dyDescent="0.25">
      <c r="A22" s="83">
        <v>2</v>
      </c>
      <c r="B22" s="110" t="s">
        <v>451</v>
      </c>
      <c r="C22" s="113"/>
      <c r="D22" s="113"/>
      <c r="E22" s="110">
        <v>4000</v>
      </c>
      <c r="F22" s="232">
        <f t="shared" ref="F22:F28" si="7">C22+E22</f>
        <v>4000</v>
      </c>
      <c r="G22" s="110">
        <v>4000</v>
      </c>
      <c r="H22" s="273">
        <f t="shared" ref="H22:H28" si="8">F22-G22</f>
        <v>0</v>
      </c>
      <c r="I22" s="273"/>
      <c r="K22" s="83">
        <v>4</v>
      </c>
      <c r="L22" s="200" t="s">
        <v>499</v>
      </c>
      <c r="M22" s="110"/>
      <c r="N22" s="232">
        <f>'SEPTEMBER 19'!S11:S31</f>
        <v>0</v>
      </c>
      <c r="O22" s="321">
        <v>3500</v>
      </c>
      <c r="P22" s="232">
        <f t="shared" si="5"/>
        <v>3500</v>
      </c>
      <c r="Q22" s="319">
        <v>3500</v>
      </c>
      <c r="R22" s="319">
        <f t="shared" si="6"/>
        <v>0</v>
      </c>
      <c r="S22" s="78"/>
    </row>
    <row r="23" spans="1:19" x14ac:dyDescent="0.25">
      <c r="A23" s="83">
        <v>3</v>
      </c>
      <c r="B23" s="191" t="s">
        <v>411</v>
      </c>
      <c r="C23" s="85"/>
      <c r="D23" s="86"/>
      <c r="E23" s="231">
        <v>4000</v>
      </c>
      <c r="F23" s="232">
        <f t="shared" si="7"/>
        <v>4000</v>
      </c>
      <c r="G23" s="110">
        <v>4000</v>
      </c>
      <c r="H23" s="273">
        <f t="shared" si="8"/>
        <v>0</v>
      </c>
      <c r="I23" s="273"/>
      <c r="K23" s="83">
        <v>5</v>
      </c>
      <c r="L23" s="200" t="s">
        <v>505</v>
      </c>
      <c r="M23" s="85">
        <v>3500</v>
      </c>
      <c r="N23" s="232">
        <f>'SEPTEMBER 19'!S12:S32</f>
        <v>0</v>
      </c>
      <c r="O23" s="320">
        <v>3500</v>
      </c>
      <c r="P23" s="232">
        <f t="shared" si="5"/>
        <v>7000</v>
      </c>
      <c r="Q23" s="234">
        <v>7000</v>
      </c>
      <c r="R23" s="319">
        <f t="shared" si="6"/>
        <v>0</v>
      </c>
      <c r="S23" s="78"/>
    </row>
    <row r="24" spans="1:19" s="78" customFormat="1" x14ac:dyDescent="0.25">
      <c r="A24" s="83"/>
      <c r="B24" s="191"/>
      <c r="C24" s="85"/>
      <c r="D24" s="107"/>
      <c r="E24" s="231"/>
      <c r="F24" s="232"/>
      <c r="G24" s="110"/>
      <c r="H24" s="273"/>
      <c r="I24" s="273"/>
      <c r="K24" s="83">
        <v>6</v>
      </c>
      <c r="L24" s="249" t="s">
        <v>501</v>
      </c>
      <c r="M24" s="110">
        <v>3500</v>
      </c>
      <c r="N24" s="232">
        <f>'SEPTEMBER 19'!S13:S33</f>
        <v>0</v>
      </c>
      <c r="O24" s="325">
        <v>3500</v>
      </c>
      <c r="P24" s="232">
        <f t="shared" si="5"/>
        <v>7000</v>
      </c>
      <c r="Q24" s="326">
        <f>3500+3500</f>
        <v>7000</v>
      </c>
      <c r="R24" s="319">
        <f t="shared" si="6"/>
        <v>0</v>
      </c>
    </row>
    <row r="25" spans="1:19" s="78" customFormat="1" x14ac:dyDescent="0.25">
      <c r="A25" s="83">
        <v>4</v>
      </c>
      <c r="B25" s="191" t="s">
        <v>350</v>
      </c>
      <c r="C25" s="86"/>
      <c r="D25" s="150"/>
      <c r="E25" s="231">
        <v>4000</v>
      </c>
      <c r="F25" s="232">
        <f t="shared" si="7"/>
        <v>4000</v>
      </c>
      <c r="G25" s="110">
        <v>4000</v>
      </c>
      <c r="H25" s="273">
        <f t="shared" si="8"/>
        <v>0</v>
      </c>
      <c r="I25" s="273"/>
      <c r="K25" s="83">
        <v>7</v>
      </c>
      <c r="L25" s="249" t="s">
        <v>500</v>
      </c>
      <c r="M25" s="85">
        <v>3500</v>
      </c>
      <c r="N25" s="232">
        <f>'SEPTEMBER 19'!S14:S34</f>
        <v>0</v>
      </c>
      <c r="O25" s="320">
        <v>3500</v>
      </c>
      <c r="P25" s="232">
        <f t="shared" si="5"/>
        <v>7000</v>
      </c>
      <c r="Q25" s="234">
        <v>7000</v>
      </c>
      <c r="R25" s="319">
        <f t="shared" si="6"/>
        <v>0</v>
      </c>
    </row>
    <row r="26" spans="1:19" s="78" customFormat="1" x14ac:dyDescent="0.25">
      <c r="A26" s="99">
        <v>5</v>
      </c>
      <c r="B26" s="191" t="s">
        <v>392</v>
      </c>
      <c r="C26" s="85"/>
      <c r="D26" s="86"/>
      <c r="E26" s="231">
        <v>4000</v>
      </c>
      <c r="F26" s="232">
        <f t="shared" si="7"/>
        <v>4000</v>
      </c>
      <c r="G26" s="110">
        <v>4000</v>
      </c>
      <c r="H26" s="273">
        <f t="shared" si="8"/>
        <v>0</v>
      </c>
      <c r="I26" s="273"/>
      <c r="K26" s="83">
        <v>8</v>
      </c>
      <c r="L26" s="249" t="s">
        <v>477</v>
      </c>
      <c r="M26" s="85"/>
      <c r="N26" s="232">
        <f>'SEPTEMBER 19'!S15:S35</f>
        <v>0</v>
      </c>
      <c r="O26" s="320">
        <v>3500</v>
      </c>
      <c r="P26" s="232">
        <f t="shared" si="5"/>
        <v>3500</v>
      </c>
      <c r="Q26" s="234">
        <v>3500</v>
      </c>
      <c r="R26" s="319">
        <f t="shared" si="6"/>
        <v>0</v>
      </c>
    </row>
    <row r="27" spans="1:19" s="78" customFormat="1" x14ac:dyDescent="0.25">
      <c r="A27" s="93">
        <v>6</v>
      </c>
      <c r="B27" s="218" t="s">
        <v>391</v>
      </c>
      <c r="C27" s="85"/>
      <c r="D27" s="86"/>
      <c r="E27" s="231">
        <v>4000</v>
      </c>
      <c r="F27" s="232">
        <f t="shared" si="7"/>
        <v>4000</v>
      </c>
      <c r="G27" s="110">
        <v>4000</v>
      </c>
      <c r="H27" s="273">
        <f t="shared" si="8"/>
        <v>0</v>
      </c>
      <c r="I27" s="273"/>
      <c r="K27" s="83">
        <v>9</v>
      </c>
      <c r="L27" s="200" t="s">
        <v>496</v>
      </c>
      <c r="M27" s="85">
        <v>3500</v>
      </c>
      <c r="N27" s="232">
        <f>'SEPTEMBER 19'!S16:S36</f>
        <v>0</v>
      </c>
      <c r="O27" s="320">
        <v>3500</v>
      </c>
      <c r="P27" s="232">
        <f>M27+N27+O27</f>
        <v>7000</v>
      </c>
      <c r="Q27" s="234">
        <v>7000</v>
      </c>
      <c r="R27" s="319">
        <f t="shared" si="6"/>
        <v>0</v>
      </c>
    </row>
    <row r="28" spans="1:19" s="78" customFormat="1" x14ac:dyDescent="0.25">
      <c r="A28" s="83">
        <v>7</v>
      </c>
      <c r="B28" s="210" t="s">
        <v>456</v>
      </c>
      <c r="C28" s="85">
        <v>0</v>
      </c>
      <c r="D28" s="92">
        <v>0</v>
      </c>
      <c r="E28" s="231">
        <v>4000</v>
      </c>
      <c r="F28" s="232">
        <f t="shared" si="7"/>
        <v>4000</v>
      </c>
      <c r="G28" s="110">
        <v>4000</v>
      </c>
      <c r="H28" s="273">
        <f t="shared" si="8"/>
        <v>0</v>
      </c>
      <c r="I28" s="273"/>
      <c r="K28" s="83">
        <v>10</v>
      </c>
      <c r="L28" s="200" t="s">
        <v>490</v>
      </c>
      <c r="M28" s="85"/>
      <c r="N28" s="232">
        <v>1000</v>
      </c>
      <c r="O28" s="320">
        <v>3500</v>
      </c>
      <c r="P28" s="232">
        <f t="shared" si="5"/>
        <v>4500</v>
      </c>
      <c r="Q28" s="234">
        <f>3500+450+550</f>
        <v>4500</v>
      </c>
      <c r="R28" s="319">
        <f t="shared" si="6"/>
        <v>0</v>
      </c>
    </row>
    <row r="29" spans="1:19" s="78" customFormat="1" x14ac:dyDescent="0.25">
      <c r="A29" s="164"/>
      <c r="B29" s="339" t="s">
        <v>193</v>
      </c>
      <c r="C29" s="42"/>
      <c r="D29" s="42"/>
      <c r="E29" s="240">
        <f>SUM(E21:E28)</f>
        <v>27500</v>
      </c>
      <c r="F29" s="322">
        <f>SUM(F21:F28)</f>
        <v>27500</v>
      </c>
      <c r="G29" s="240">
        <f>SUM(G21:G28)</f>
        <v>27500</v>
      </c>
      <c r="H29" s="273">
        <f>F29-G29</f>
        <v>0</v>
      </c>
      <c r="I29" s="273"/>
      <c r="K29" s="83">
        <v>11</v>
      </c>
      <c r="L29" s="249" t="s">
        <v>474</v>
      </c>
      <c r="M29" s="85"/>
      <c r="N29" s="232"/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</row>
    <row r="30" spans="1:19" s="78" customFormat="1" x14ac:dyDescent="0.25">
      <c r="A30" s="79"/>
      <c r="B30" s="79"/>
      <c r="C30" s="106"/>
      <c r="D30" s="107"/>
      <c r="E30" s="106"/>
      <c r="F30" s="108"/>
      <c r="G30" s="106"/>
      <c r="H30" s="150"/>
      <c r="I30" s="269"/>
      <c r="K30" s="83">
        <v>12</v>
      </c>
      <c r="L30" s="200" t="s">
        <v>478</v>
      </c>
      <c r="M30" s="85"/>
      <c r="N30" s="232"/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</row>
    <row r="31" spans="1:19" s="78" customFormat="1" x14ac:dyDescent="0.25">
      <c r="A31" s="303"/>
      <c r="B31" s="359" t="s">
        <v>204</v>
      </c>
      <c r="C31" s="359" t="s">
        <v>205</v>
      </c>
      <c r="D31" s="359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K31" s="83">
        <v>13</v>
      </c>
      <c r="L31" s="200" t="s">
        <v>479</v>
      </c>
      <c r="M31" s="85"/>
      <c r="N31" s="232">
        <f>'SEPTEMBER 19'!S21:S40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9" s="78" customFormat="1" x14ac:dyDescent="0.25">
      <c r="A32" s="304"/>
      <c r="B32" s="211" t="s">
        <v>511</v>
      </c>
      <c r="C32" s="273">
        <f>E29+E18</f>
        <v>54500</v>
      </c>
      <c r="D32" s="164"/>
      <c r="E32" s="164"/>
      <c r="F32" s="211" t="s">
        <v>511</v>
      </c>
      <c r="G32" s="273">
        <f>G29+H18</f>
        <v>55400</v>
      </c>
      <c r="H32" s="164"/>
      <c r="I32" s="273"/>
      <c r="K32" s="83">
        <v>14</v>
      </c>
      <c r="L32" s="200" t="s">
        <v>480</v>
      </c>
      <c r="M32" s="85"/>
      <c r="N32" s="232">
        <f>'SEPTEMBER 19'!S22:S41</f>
        <v>0</v>
      </c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</row>
    <row r="33" spans="1:19" s="78" customFormat="1" x14ac:dyDescent="0.25">
      <c r="A33" s="304"/>
      <c r="B33" s="211" t="s">
        <v>209</v>
      </c>
      <c r="C33" s="307">
        <v>0.08</v>
      </c>
      <c r="D33" s="308">
        <f>C32*C33</f>
        <v>4360</v>
      </c>
      <c r="E33" s="211"/>
      <c r="F33" s="211" t="s">
        <v>209</v>
      </c>
      <c r="G33" s="307">
        <v>0.08</v>
      </c>
      <c r="H33" s="308">
        <f>D33</f>
        <v>4360</v>
      </c>
      <c r="I33" s="273"/>
      <c r="J33"/>
      <c r="K33" s="83">
        <v>15</v>
      </c>
      <c r="L33" s="200" t="s">
        <v>512</v>
      </c>
      <c r="M33" s="85"/>
      <c r="N33" s="232">
        <f>'SEPTEMBER 19'!S23:S42</f>
        <v>0</v>
      </c>
      <c r="O33" s="320">
        <v>3500</v>
      </c>
      <c r="P33" s="232">
        <f>M33+N33+O33</f>
        <v>3500</v>
      </c>
      <c r="Q33" s="234">
        <v>3500</v>
      </c>
      <c r="R33" s="319">
        <f t="shared" si="6"/>
        <v>0</v>
      </c>
    </row>
    <row r="34" spans="1:19" s="78" customFormat="1" x14ac:dyDescent="0.25">
      <c r="A34" s="304"/>
      <c r="B34" s="309" t="s">
        <v>232</v>
      </c>
      <c r="C34" s="308">
        <f>F18</f>
        <v>900</v>
      </c>
      <c r="D34" s="211"/>
      <c r="E34" s="211"/>
      <c r="F34" s="309" t="s">
        <v>232</v>
      </c>
      <c r="G34" s="308"/>
      <c r="H34" s="211"/>
      <c r="I34" s="273"/>
      <c r="J34"/>
      <c r="K34" s="83">
        <v>16</v>
      </c>
      <c r="L34" s="200" t="s">
        <v>488</v>
      </c>
      <c r="M34" s="85"/>
      <c r="N34" s="232">
        <f>'SEPTEMBER 19'!S24:S43</f>
        <v>0</v>
      </c>
      <c r="O34" s="320">
        <v>3500</v>
      </c>
      <c r="P34" s="232">
        <f>M34+N34+O34</f>
        <v>3500</v>
      </c>
      <c r="Q34" s="234">
        <v>3500</v>
      </c>
      <c r="R34" s="319">
        <f t="shared" si="6"/>
        <v>0</v>
      </c>
    </row>
    <row r="35" spans="1:19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K35" s="83">
        <v>17</v>
      </c>
      <c r="L35" s="200" t="s">
        <v>495</v>
      </c>
      <c r="M35" s="85">
        <v>3500</v>
      </c>
      <c r="N35" s="232">
        <f>'SEPTEMBER 19'!S25:S43</f>
        <v>0</v>
      </c>
      <c r="O35" s="320">
        <v>3500</v>
      </c>
      <c r="P35" s="232">
        <f t="shared" si="5"/>
        <v>7000</v>
      </c>
      <c r="Q35" s="234">
        <v>7000</v>
      </c>
      <c r="R35" s="319">
        <f t="shared" si="6"/>
        <v>0</v>
      </c>
      <c r="S35" s="78"/>
    </row>
    <row r="36" spans="1:19" x14ac:dyDescent="0.25">
      <c r="A36" s="304"/>
      <c r="B36" s="309" t="s">
        <v>470</v>
      </c>
      <c r="C36" s="308"/>
      <c r="D36" s="211"/>
      <c r="E36" s="211"/>
      <c r="F36" s="309"/>
      <c r="G36" s="308"/>
      <c r="H36" s="211"/>
      <c r="I36" s="273"/>
      <c r="K36" s="83">
        <v>18</v>
      </c>
      <c r="L36" s="200" t="s">
        <v>475</v>
      </c>
      <c r="M36" s="85"/>
      <c r="N36" s="232">
        <f>'SEPTEMBER 19'!S26:S43</f>
        <v>0</v>
      </c>
      <c r="O36" s="320">
        <v>3500</v>
      </c>
      <c r="P36" s="232">
        <f t="shared" si="5"/>
        <v>3500</v>
      </c>
      <c r="Q36" s="234">
        <v>3500</v>
      </c>
      <c r="R36" s="319">
        <f t="shared" si="6"/>
        <v>0</v>
      </c>
      <c r="S36" s="78"/>
    </row>
    <row r="37" spans="1:19" x14ac:dyDescent="0.25">
      <c r="A37" s="304"/>
      <c r="B37" s="309" t="s">
        <v>239</v>
      </c>
      <c r="C37" s="308">
        <f>'SEPTEMBER 19'!E61</f>
        <v>-10332.657694719965</v>
      </c>
      <c r="D37" s="211"/>
      <c r="E37" s="211"/>
      <c r="F37" s="309" t="s">
        <v>239</v>
      </c>
      <c r="G37" s="308">
        <f>'SEPTEMBER 19'!I61</f>
        <v>-12726.724799999967</v>
      </c>
      <c r="H37" s="211"/>
      <c r="I37" s="273"/>
      <c r="K37" s="83">
        <v>19</v>
      </c>
      <c r="L37" s="200" t="s">
        <v>494</v>
      </c>
      <c r="M37" s="85">
        <v>3500</v>
      </c>
      <c r="N37" s="232"/>
      <c r="O37" s="320">
        <v>3500</v>
      </c>
      <c r="P37" s="232">
        <f>M37+N37+O37</f>
        <v>7000</v>
      </c>
      <c r="Q37" s="234">
        <v>7000</v>
      </c>
      <c r="R37" s="319">
        <f>P37-Q37</f>
        <v>0</v>
      </c>
    </row>
    <row r="38" spans="1:19" x14ac:dyDescent="0.25">
      <c r="A38" s="304"/>
      <c r="B38" s="309" t="s">
        <v>193</v>
      </c>
      <c r="C38" s="308">
        <f>C32+C34+C37+C35</f>
        <v>48067.342305280035</v>
      </c>
      <c r="D38" s="211"/>
      <c r="E38" s="211"/>
      <c r="F38" s="309" t="s">
        <v>193</v>
      </c>
      <c r="G38" s="308">
        <f>G32+G34+G37+G35</f>
        <v>45673.275200000033</v>
      </c>
      <c r="H38" s="211"/>
      <c r="I38" s="273"/>
      <c r="K38" s="83">
        <v>20</v>
      </c>
      <c r="L38" s="200" t="s">
        <v>497</v>
      </c>
      <c r="M38" s="85">
        <v>3500</v>
      </c>
      <c r="N38" s="232"/>
      <c r="O38" s="320">
        <v>3500</v>
      </c>
      <c r="P38" s="232">
        <f>M38+N38+O38</f>
        <v>7000</v>
      </c>
      <c r="Q38" s="234">
        <v>7000</v>
      </c>
      <c r="R38" s="319">
        <f>P38-Q38</f>
        <v>0</v>
      </c>
    </row>
    <row r="39" spans="1:19" x14ac:dyDescent="0.25">
      <c r="A39" s="304"/>
      <c r="B39" s="365" t="s">
        <v>347</v>
      </c>
      <c r="C39" s="366"/>
      <c r="D39" s="367"/>
      <c r="E39" s="366"/>
      <c r="F39" s="309"/>
      <c r="G39" s="308"/>
      <c r="H39" s="367"/>
      <c r="I39" s="368"/>
      <c r="K39" s="83"/>
      <c r="L39" s="204" t="s">
        <v>193</v>
      </c>
      <c r="M39" s="205">
        <f>SUM(M19:M38)</f>
        <v>35000</v>
      </c>
      <c r="N39" s="232">
        <f>SUM(N20:N38)</f>
        <v>1000</v>
      </c>
      <c r="O39" s="239">
        <f>SUM(O19:O38)</f>
        <v>70000</v>
      </c>
      <c r="P39" s="232">
        <f>M39+N39+O39</f>
        <v>106000</v>
      </c>
      <c r="Q39" s="240">
        <f>SUM(Q19:Q38)</f>
        <v>106000</v>
      </c>
      <c r="R39" s="319">
        <f>P39-Q39</f>
        <v>0</v>
      </c>
    </row>
    <row r="40" spans="1:19" x14ac:dyDescent="0.25">
      <c r="A40" s="304"/>
      <c r="B40" s="365" t="s">
        <v>508</v>
      </c>
      <c r="C40" s="366"/>
      <c r="D40" s="367">
        <v>43700</v>
      </c>
      <c r="E40" s="366"/>
      <c r="F40" s="365" t="s">
        <v>508</v>
      </c>
      <c r="G40" s="366"/>
      <c r="H40" s="367">
        <v>43700</v>
      </c>
      <c r="I40" s="368"/>
      <c r="K40" s="382" t="s">
        <v>509</v>
      </c>
      <c r="L40" s="106"/>
      <c r="M40" s="107"/>
      <c r="N40" s="106"/>
      <c r="O40" s="108"/>
      <c r="P40" s="106"/>
      <c r="Q40" s="150"/>
      <c r="R40" s="269"/>
    </row>
    <row r="41" spans="1:19" x14ac:dyDescent="0.25">
      <c r="A41" s="150"/>
      <c r="B41" s="369" t="s">
        <v>515</v>
      </c>
      <c r="D41" s="371">
        <v>3000</v>
      </c>
      <c r="E41" s="370"/>
      <c r="F41" s="369" t="s">
        <v>515</v>
      </c>
      <c r="G41" s="78"/>
      <c r="H41" s="371">
        <v>3000</v>
      </c>
      <c r="I41" s="36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</row>
    <row r="42" spans="1:19" x14ac:dyDescent="0.25">
      <c r="A42" s="150"/>
      <c r="B42" s="369"/>
      <c r="C42" s="370"/>
      <c r="D42" s="371"/>
      <c r="E42" s="370"/>
      <c r="F42" s="369"/>
      <c r="G42" s="370"/>
      <c r="H42" s="371"/>
      <c r="I42" s="368"/>
      <c r="K42" s="211" t="s">
        <v>511</v>
      </c>
      <c r="L42" s="273">
        <f>O39+O17</f>
        <v>92000</v>
      </c>
      <c r="M42" s="164"/>
      <c r="N42" s="164"/>
      <c r="O42" s="211" t="s">
        <v>511</v>
      </c>
      <c r="P42" s="273">
        <f>Q39+Q17</f>
        <v>128000</v>
      </c>
      <c r="Q42" s="164"/>
      <c r="R42" s="273"/>
    </row>
    <row r="43" spans="1:19" x14ac:dyDescent="0.25">
      <c r="A43" s="150"/>
      <c r="B43" s="370"/>
      <c r="C43" s="370"/>
      <c r="D43" s="368"/>
      <c r="E43" s="370"/>
      <c r="F43" s="370"/>
      <c r="G43" s="370"/>
      <c r="H43" s="370"/>
      <c r="I43" s="368"/>
      <c r="K43" s="211" t="s">
        <v>209</v>
      </c>
      <c r="L43" s="307">
        <v>0.08</v>
      </c>
      <c r="M43" s="308">
        <f>L42*L43</f>
        <v>7360</v>
      </c>
      <c r="N43" s="211"/>
      <c r="O43" s="211" t="s">
        <v>209</v>
      </c>
      <c r="P43" s="307">
        <v>0.08</v>
      </c>
      <c r="Q43" s="308">
        <f>M43</f>
        <v>7360</v>
      </c>
      <c r="R43" s="273"/>
    </row>
    <row r="44" spans="1:19" x14ac:dyDescent="0.25">
      <c r="A44" s="150"/>
      <c r="B44" s="370"/>
      <c r="C44" s="370"/>
      <c r="D44" s="370"/>
      <c r="E44" s="370"/>
      <c r="F44" s="369"/>
      <c r="G44" s="365"/>
      <c r="H44" s="366"/>
      <c r="I44" s="367"/>
      <c r="K44" s="309" t="s">
        <v>232</v>
      </c>
      <c r="L44" s="308"/>
      <c r="M44" s="211"/>
      <c r="N44" s="211"/>
      <c r="O44" s="309" t="s">
        <v>232</v>
      </c>
      <c r="P44" s="308"/>
      <c r="Q44" s="211"/>
      <c r="R44" s="273"/>
    </row>
    <row r="45" spans="1:19" x14ac:dyDescent="0.25">
      <c r="A45" s="150"/>
      <c r="B45" s="369"/>
      <c r="C45" s="370"/>
      <c r="D45" s="371"/>
      <c r="E45" s="370"/>
      <c r="F45" s="369"/>
      <c r="G45" s="370"/>
      <c r="H45" s="371"/>
      <c r="I45" s="368"/>
      <c r="K45" s="211"/>
      <c r="L45" s="307"/>
      <c r="M45" s="308"/>
      <c r="N45" s="211"/>
      <c r="O45" s="309"/>
      <c r="P45" s="308"/>
      <c r="Q45" s="211"/>
      <c r="R45" s="273"/>
    </row>
    <row r="46" spans="1:19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K46" s="309" t="s">
        <v>470</v>
      </c>
      <c r="L46" s="308">
        <f>M39</f>
        <v>35000</v>
      </c>
      <c r="M46" s="211"/>
      <c r="N46" s="211"/>
      <c r="O46" s="309"/>
      <c r="P46" s="308"/>
      <c r="Q46" s="211"/>
      <c r="R46" s="273"/>
    </row>
    <row r="47" spans="1:19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K47" s="309" t="s">
        <v>239</v>
      </c>
      <c r="L47" s="308">
        <f>'SEPTEMBER 19'!O40</f>
        <v>51100</v>
      </c>
      <c r="M47" s="211"/>
      <c r="N47" s="211"/>
      <c r="O47" s="309" t="s">
        <v>239</v>
      </c>
      <c r="P47" s="308">
        <f>'SEPTEMBER 19'!S40</f>
        <v>50100</v>
      </c>
      <c r="Q47" s="211"/>
      <c r="R47" s="273"/>
    </row>
    <row r="48" spans="1:19" x14ac:dyDescent="0.25">
      <c r="A48" s="150"/>
      <c r="B48" s="166" t="s">
        <v>193</v>
      </c>
      <c r="C48" s="317">
        <f>C32+C34+C35+C36+C37-D33</f>
        <v>43707.342305280035</v>
      </c>
      <c r="D48" s="318">
        <f>SUM(D39:D47)</f>
        <v>46700</v>
      </c>
      <c r="E48" s="318">
        <f>C48-D48</f>
        <v>-2992.6576947199646</v>
      </c>
      <c r="F48" s="166" t="s">
        <v>193</v>
      </c>
      <c r="G48" s="317">
        <f>G32+G34+G35+G37-H33</f>
        <v>41313.275200000033</v>
      </c>
      <c r="H48" s="318">
        <f>SUM(H39:H47)</f>
        <v>46700</v>
      </c>
      <c r="I48" s="318">
        <f>G48-H48</f>
        <v>-5386.7247999999672</v>
      </c>
      <c r="K48" s="309" t="s">
        <v>193</v>
      </c>
      <c r="L48" s="308">
        <f>L42+L44+L47+L46</f>
        <v>178100</v>
      </c>
      <c r="M48" s="211"/>
      <c r="N48" s="211"/>
      <c r="O48" s="309" t="s">
        <v>193</v>
      </c>
      <c r="P48" s="308">
        <f>P42+P44+P47+P45</f>
        <v>178100</v>
      </c>
      <c r="Q48" s="211"/>
      <c r="R48" s="273"/>
    </row>
    <row r="49" spans="1:18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K49" s="212" t="s">
        <v>276</v>
      </c>
      <c r="L49" s="307"/>
      <c r="M49" s="214"/>
      <c r="N49" s="211"/>
      <c r="O49" s="212" t="s">
        <v>276</v>
      </c>
      <c r="P49" s="307"/>
      <c r="Q49" s="214"/>
      <c r="R49" s="273"/>
    </row>
    <row r="50" spans="1:18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K50" s="365"/>
      <c r="L50" s="380"/>
      <c r="M50" s="367"/>
      <c r="N50" s="366"/>
      <c r="O50" s="365"/>
      <c r="P50" s="380"/>
      <c r="Q50" s="367"/>
      <c r="R50" s="368"/>
    </row>
    <row r="51" spans="1:18" x14ac:dyDescent="0.25">
      <c r="K51" s="365" t="s">
        <v>508</v>
      </c>
      <c r="L51" s="380"/>
      <c r="M51" s="367">
        <v>170000</v>
      </c>
      <c r="N51" s="366"/>
      <c r="O51" s="365" t="s">
        <v>508</v>
      </c>
      <c r="P51" s="380"/>
      <c r="Q51" s="367">
        <v>170000</v>
      </c>
      <c r="R51" s="368"/>
    </row>
    <row r="52" spans="1:18" x14ac:dyDescent="0.25">
      <c r="A52" s="150"/>
      <c r="B52" s="150"/>
      <c r="C52" s="150"/>
      <c r="D52" s="150"/>
      <c r="E52" s="150"/>
      <c r="F52" s="150"/>
      <c r="G52" s="150"/>
      <c r="H52" s="150"/>
      <c r="I52" s="150"/>
      <c r="K52" s="369"/>
      <c r="L52" s="370"/>
      <c r="M52" s="371"/>
      <c r="N52" s="370"/>
      <c r="O52" s="369"/>
      <c r="P52" s="370"/>
      <c r="Q52" s="371"/>
      <c r="R52" s="368"/>
    </row>
    <row r="53" spans="1:18" x14ac:dyDescent="0.25">
      <c r="K53" s="166" t="s">
        <v>193</v>
      </c>
      <c r="L53" s="317">
        <f>L42+L44+L45+L46+L47-M43</f>
        <v>170740</v>
      </c>
      <c r="M53" s="318">
        <f>SUM(M50:M52)</f>
        <v>170000</v>
      </c>
      <c r="N53" s="318">
        <f>L53-M53</f>
        <v>740</v>
      </c>
      <c r="O53" s="166" t="s">
        <v>193</v>
      </c>
      <c r="P53" s="317">
        <f>P42+P44+P45+P47-Q43</f>
        <v>170740</v>
      </c>
      <c r="Q53" s="318">
        <f>SUM(Q50:Q52)</f>
        <v>170000</v>
      </c>
      <c r="R53" s="318">
        <f>P53-Q53</f>
        <v>740</v>
      </c>
    </row>
    <row r="54" spans="1:18" x14ac:dyDescent="0.25">
      <c r="H54" s="220"/>
      <c r="K54" s="150" t="s">
        <v>71</v>
      </c>
      <c r="L54" s="79"/>
      <c r="M54" s="78"/>
      <c r="N54" s="150" t="s">
        <v>72</v>
      </c>
      <c r="O54" s="78"/>
      <c r="P54" s="78"/>
      <c r="Q54" s="150" t="s">
        <v>73</v>
      </c>
      <c r="R54" s="269"/>
    </row>
    <row r="55" spans="1:18" x14ac:dyDescent="0.25">
      <c r="K55" s="150" t="s">
        <v>471</v>
      </c>
      <c r="L55" s="150"/>
      <c r="M55" s="78"/>
      <c r="N55" s="150" t="s">
        <v>135</v>
      </c>
      <c r="O55" s="78"/>
      <c r="P55" s="78"/>
      <c r="Q55" s="150" t="s">
        <v>130</v>
      </c>
      <c r="R55" s="269"/>
    </row>
    <row r="56" spans="1:18" x14ac:dyDescent="0.25">
      <c r="R56" s="269"/>
    </row>
    <row r="57" spans="1:18" x14ac:dyDescent="0.25">
      <c r="E57" s="220">
        <f>E48+N53</f>
        <v>-2252.6576947199646</v>
      </c>
    </row>
  </sheetData>
  <pageMargins left="0.7" right="0.7" top="0.75" bottom="0.75" header="0.3" footer="0.3"/>
  <pageSetup paperSize="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6" workbookViewId="0">
      <selection activeCell="F80" sqref="F80"/>
    </sheetView>
  </sheetViews>
  <sheetFormatPr defaultRowHeight="15" x14ac:dyDescent="0.25"/>
  <cols>
    <col min="2" max="2" width="15.140625" customWidth="1"/>
    <col min="4" max="4" width="12.28515625" customWidth="1"/>
    <col min="7" max="7" width="10.28515625" customWidth="1"/>
  </cols>
  <sheetData>
    <row r="1" spans="1:13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  <c r="M1" s="78"/>
    </row>
    <row r="2" spans="1:13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  <c r="M2" s="78"/>
    </row>
    <row r="3" spans="1:13" ht="26.25" x14ac:dyDescent="0.25">
      <c r="A3" s="8"/>
      <c r="B3" s="9"/>
      <c r="C3" s="64" t="s">
        <v>147</v>
      </c>
      <c r="D3" s="11"/>
      <c r="E3" s="11"/>
      <c r="F3" s="11"/>
      <c r="G3" s="103"/>
      <c r="H3" s="103"/>
      <c r="I3" s="103"/>
      <c r="J3" s="80"/>
      <c r="K3" s="80"/>
      <c r="L3" s="80"/>
      <c r="M3" s="78"/>
    </row>
    <row r="4" spans="1:13" ht="26.25" x14ac:dyDescent="0.25">
      <c r="A4" s="8"/>
      <c r="B4" s="9"/>
      <c r="C4" s="64"/>
      <c r="D4" s="11"/>
      <c r="E4" s="11"/>
      <c r="F4" s="11"/>
      <c r="G4" s="103"/>
      <c r="H4" s="103"/>
      <c r="I4" s="103"/>
      <c r="J4" s="80"/>
      <c r="K4" s="80"/>
      <c r="L4" s="80"/>
      <c r="M4" s="78"/>
    </row>
    <row r="5" spans="1:13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  <c r="M5" s="78"/>
    </row>
    <row r="6" spans="1:13" x14ac:dyDescent="0.25">
      <c r="A6" s="16">
        <v>1</v>
      </c>
      <c r="B6" s="116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  <c r="M6" s="78"/>
    </row>
    <row r="7" spans="1:13" x14ac:dyDescent="0.25">
      <c r="A7" s="16">
        <v>2</v>
      </c>
      <c r="B7" s="116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  <c r="M7" s="78"/>
    </row>
    <row r="8" spans="1:13" x14ac:dyDescent="0.25">
      <c r="A8" s="16">
        <v>3</v>
      </c>
      <c r="B8" s="116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  <c r="M8" s="78"/>
    </row>
    <row r="9" spans="1:13" x14ac:dyDescent="0.25">
      <c r="A9" s="16">
        <v>4</v>
      </c>
      <c r="B9" s="116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  <c r="M9" s="78"/>
    </row>
    <row r="10" spans="1:13" x14ac:dyDescent="0.25">
      <c r="A10" s="16">
        <v>5</v>
      </c>
      <c r="B10" s="116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  <c r="M10" s="78"/>
    </row>
    <row r="11" spans="1:13" x14ac:dyDescent="0.25">
      <c r="A11" s="16">
        <v>6</v>
      </c>
      <c r="B11" s="116" t="s">
        <v>27</v>
      </c>
      <c r="C11" s="17" t="s">
        <v>28</v>
      </c>
      <c r="D11" s="18"/>
      <c r="E11" s="18">
        <v>2500</v>
      </c>
      <c r="F11" s="18">
        <v>100</v>
      </c>
      <c r="G11" s="18">
        <f t="shared" si="0"/>
        <v>2600</v>
      </c>
      <c r="H11" s="19">
        <v>4100</v>
      </c>
      <c r="I11" s="19">
        <v>0</v>
      </c>
      <c r="J11" s="74"/>
      <c r="K11" s="75"/>
      <c r="L11" s="18">
        <f t="shared" si="1"/>
        <v>-1500</v>
      </c>
      <c r="M11" s="78"/>
    </row>
    <row r="12" spans="1:13" x14ac:dyDescent="0.25">
      <c r="A12" s="16">
        <v>7</v>
      </c>
      <c r="B12" s="116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  <c r="M12" s="78"/>
    </row>
    <row r="13" spans="1:13" x14ac:dyDescent="0.25">
      <c r="A13" s="16">
        <v>8</v>
      </c>
      <c r="B13" s="124" t="s">
        <v>138</v>
      </c>
      <c r="C13" s="17" t="s">
        <v>32</v>
      </c>
      <c r="D13" s="18"/>
      <c r="E13" s="18">
        <v>2500</v>
      </c>
      <c r="F13" s="18">
        <v>100</v>
      </c>
      <c r="G13" s="18">
        <f t="shared" si="0"/>
        <v>2600</v>
      </c>
      <c r="H13" s="19">
        <v>5200</v>
      </c>
      <c r="I13" s="19">
        <v>0</v>
      </c>
      <c r="J13" s="113"/>
      <c r="K13" s="113"/>
      <c r="L13" s="18">
        <f t="shared" si="1"/>
        <v>-2600</v>
      </c>
      <c r="M13" s="78"/>
    </row>
    <row r="14" spans="1:13" x14ac:dyDescent="0.25">
      <c r="A14" s="16">
        <v>9</v>
      </c>
      <c r="B14" s="116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  <c r="M14" s="78"/>
    </row>
    <row r="15" spans="1:13" x14ac:dyDescent="0.25">
      <c r="A15" s="16">
        <v>10</v>
      </c>
      <c r="B15" s="116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  <c r="M15" s="78"/>
    </row>
    <row r="16" spans="1:13" x14ac:dyDescent="0.25">
      <c r="A16" s="16">
        <v>11</v>
      </c>
      <c r="B16" s="116" t="s">
        <v>88</v>
      </c>
      <c r="C16" s="17" t="s">
        <v>38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>
        <v>0</v>
      </c>
      <c r="K16" s="18">
        <v>0</v>
      </c>
      <c r="L16" s="18">
        <f t="shared" si="1"/>
        <v>0</v>
      </c>
      <c r="M16" s="78"/>
    </row>
    <row r="17" spans="1:13" x14ac:dyDescent="0.25">
      <c r="A17" s="16">
        <v>12</v>
      </c>
      <c r="B17" s="116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  <c r="M17" s="78"/>
    </row>
    <row r="18" spans="1:13" x14ac:dyDescent="0.25">
      <c r="A18" s="16">
        <v>13</v>
      </c>
      <c r="B18" s="116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  <c r="M18" s="78"/>
    </row>
    <row r="19" spans="1:13" x14ac:dyDescent="0.25">
      <c r="A19" s="16">
        <v>14</v>
      </c>
      <c r="B19" s="116" t="s">
        <v>43</v>
      </c>
      <c r="C19" s="17" t="s">
        <v>44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  <c r="M19" s="78"/>
    </row>
    <row r="20" spans="1:13" x14ac:dyDescent="0.25">
      <c r="A20" s="16">
        <v>15</v>
      </c>
      <c r="B20" s="116" t="s">
        <v>45</v>
      </c>
      <c r="C20" s="17" t="s">
        <v>46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  <c r="M20" s="78"/>
    </row>
    <row r="21" spans="1:13" x14ac:dyDescent="0.25">
      <c r="A21" s="16">
        <v>16</v>
      </c>
      <c r="B21" s="116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  <c r="M21" s="78"/>
    </row>
    <row r="22" spans="1:13" x14ac:dyDescent="0.25">
      <c r="A22" s="21">
        <v>17</v>
      </c>
      <c r="B22" s="117" t="s">
        <v>90</v>
      </c>
      <c r="C22" s="17" t="s">
        <v>50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  <c r="M22" s="78"/>
    </row>
    <row r="23" spans="1:13" x14ac:dyDescent="0.25">
      <c r="A23" s="21">
        <v>18</v>
      </c>
      <c r="B23" s="117" t="s">
        <v>91</v>
      </c>
      <c r="C23" s="17" t="s">
        <v>52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  <c r="M23" s="78"/>
    </row>
    <row r="24" spans="1:13" x14ac:dyDescent="0.25">
      <c r="A24" s="21">
        <v>19</v>
      </c>
      <c r="B24" s="118" t="s">
        <v>55</v>
      </c>
      <c r="C24" s="17" t="s">
        <v>54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  <c r="M24" s="78"/>
    </row>
    <row r="25" spans="1:13" x14ac:dyDescent="0.25">
      <c r="A25" s="21">
        <v>20</v>
      </c>
      <c r="B25" s="117" t="s">
        <v>92</v>
      </c>
      <c r="C25" s="17" t="s">
        <v>56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113"/>
      <c r="L25" s="18">
        <f t="shared" si="1"/>
        <v>0</v>
      </c>
      <c r="M25" s="78"/>
    </row>
    <row r="26" spans="1:13" x14ac:dyDescent="0.25">
      <c r="A26" s="21">
        <v>21</v>
      </c>
      <c r="B26" s="118" t="s">
        <v>101</v>
      </c>
      <c r="C26" s="17" t="s">
        <v>58</v>
      </c>
      <c r="D26" s="18">
        <v>0</v>
      </c>
      <c r="E26" s="23">
        <v>3000</v>
      </c>
      <c r="F26" s="24">
        <v>0</v>
      </c>
      <c r="G26" s="18">
        <f t="shared" si="0"/>
        <v>3000</v>
      </c>
      <c r="H26" s="19">
        <v>6000</v>
      </c>
      <c r="I26" s="19">
        <v>0</v>
      </c>
      <c r="J26" s="22"/>
      <c r="K26" s="113"/>
      <c r="L26" s="18">
        <f t="shared" si="1"/>
        <v>-3000</v>
      </c>
      <c r="M26" s="78"/>
    </row>
    <row r="27" spans="1:13" x14ac:dyDescent="0.25">
      <c r="A27" s="21">
        <v>22</v>
      </c>
      <c r="B27" s="118" t="s">
        <v>93</v>
      </c>
      <c r="C27" s="17" t="s">
        <v>60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  <c r="M27" s="78"/>
    </row>
    <row r="28" spans="1:13" x14ac:dyDescent="0.25">
      <c r="A28" s="21">
        <v>23</v>
      </c>
      <c r="B28" s="118" t="s">
        <v>61</v>
      </c>
      <c r="C28" s="17" t="s">
        <v>62</v>
      </c>
      <c r="D28" s="18">
        <v>0</v>
      </c>
      <c r="E28" s="23">
        <v>3000</v>
      </c>
      <c r="F28" s="24">
        <v>100</v>
      </c>
      <c r="G28" s="18">
        <f t="shared" si="0"/>
        <v>3100</v>
      </c>
      <c r="H28" s="19">
        <v>3000</v>
      </c>
      <c r="I28" s="19">
        <v>100</v>
      </c>
      <c r="J28" s="22"/>
      <c r="K28" s="113"/>
      <c r="L28" s="18">
        <f t="shared" si="1"/>
        <v>0</v>
      </c>
      <c r="M28" s="78"/>
    </row>
    <row r="29" spans="1:13" x14ac:dyDescent="0.25">
      <c r="A29" s="28">
        <v>24</v>
      </c>
      <c r="B29" s="119" t="s">
        <v>94</v>
      </c>
      <c r="C29" s="29" t="s">
        <v>64</v>
      </c>
      <c r="D29" s="18">
        <v>0</v>
      </c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  <c r="M29" s="78"/>
    </row>
    <row r="30" spans="1:13" x14ac:dyDescent="0.25">
      <c r="A30" s="37"/>
      <c r="B30" s="18"/>
      <c r="C30" s="18"/>
      <c r="D30" s="18">
        <v>0</v>
      </c>
      <c r="E30" s="18"/>
      <c r="F30" s="18"/>
      <c r="G30" s="18">
        <f>D30+E30+F30</f>
        <v>0</v>
      </c>
      <c r="H30" s="19"/>
      <c r="I30" s="18"/>
      <c r="J30" s="18"/>
      <c r="K30" s="18"/>
      <c r="L30" s="18"/>
      <c r="M30" s="78"/>
    </row>
    <row r="31" spans="1:13" x14ac:dyDescent="0.25">
      <c r="A31" s="38"/>
      <c r="B31" s="39" t="s">
        <v>65</v>
      </c>
      <c r="C31" s="38"/>
      <c r="D31" s="18">
        <v>0</v>
      </c>
      <c r="E31" s="40">
        <f>SUM(E6:E30)</f>
        <v>64000</v>
      </c>
      <c r="F31" s="42">
        <f>SUM(F6:F29)</f>
        <v>2300</v>
      </c>
      <c r="G31" s="18">
        <f>SUM(G6:G30)</f>
        <v>66300</v>
      </c>
      <c r="H31" s="40">
        <f>SUM(H6:H30)</f>
        <v>71300</v>
      </c>
      <c r="I31" s="40">
        <f>SUM(I6:I29)</f>
        <v>2100</v>
      </c>
      <c r="J31" s="41">
        <f>SUM(J6:J21)</f>
        <v>0</v>
      </c>
      <c r="K31" s="41">
        <f>SUM(K6:K21)</f>
        <v>0</v>
      </c>
      <c r="L31" s="42">
        <f>SUM(L6:L21)</f>
        <v>-4100</v>
      </c>
      <c r="M31" s="78"/>
    </row>
    <row r="32" spans="1:13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  <c r="I33" s="78"/>
      <c r="J33" s="78"/>
      <c r="K33" s="78"/>
      <c r="L33" s="78"/>
      <c r="M33" s="78"/>
    </row>
    <row r="34" spans="1:13" ht="21" x14ac:dyDescent="0.25">
      <c r="A34" s="80"/>
      <c r="B34" s="80"/>
      <c r="C34" s="103"/>
      <c r="D34" s="104"/>
      <c r="E34" s="103"/>
      <c r="F34" s="103"/>
      <c r="G34" s="103"/>
      <c r="H34" s="78"/>
      <c r="I34" s="78"/>
      <c r="J34" s="78"/>
      <c r="K34" s="78"/>
      <c r="L34" s="78"/>
      <c r="M34" s="78"/>
    </row>
    <row r="35" spans="1:13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  <c r="I35" s="78"/>
      <c r="J35" s="78"/>
      <c r="K35" s="78"/>
      <c r="L35" s="78"/>
      <c r="M35" s="78"/>
    </row>
    <row r="36" spans="1:13" x14ac:dyDescent="0.25">
      <c r="A36" s="83" t="s">
        <v>106</v>
      </c>
      <c r="B36" s="84" t="s">
        <v>139</v>
      </c>
      <c r="C36" s="85"/>
      <c r="D36" s="86">
        <v>0</v>
      </c>
      <c r="E36" s="85">
        <v>3000</v>
      </c>
      <c r="F36" s="86"/>
      <c r="G36" s="86"/>
      <c r="H36" s="113"/>
      <c r="I36" s="78"/>
      <c r="J36" s="78"/>
      <c r="K36" s="78"/>
      <c r="L36" s="78"/>
      <c r="M36" s="78"/>
    </row>
    <row r="37" spans="1:13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  <c r="I37" s="78"/>
      <c r="J37" s="78"/>
      <c r="K37" s="78"/>
      <c r="L37" s="78"/>
      <c r="M37" s="78"/>
    </row>
    <row r="38" spans="1:13" x14ac:dyDescent="0.25">
      <c r="A38" s="83" t="s">
        <v>110</v>
      </c>
      <c r="B38" s="121"/>
      <c r="C38" s="85"/>
      <c r="D38" s="86"/>
      <c r="E38" s="85"/>
      <c r="F38" s="86"/>
      <c r="G38" s="98"/>
      <c r="H38" s="113"/>
      <c r="I38" s="78"/>
      <c r="J38" s="78"/>
      <c r="K38" s="78"/>
      <c r="L38" s="78"/>
      <c r="M38" s="78"/>
    </row>
    <row r="39" spans="1:13" x14ac:dyDescent="0.25">
      <c r="A39" s="87" t="s">
        <v>112</v>
      </c>
      <c r="B39" s="123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  <c r="I39" s="78"/>
      <c r="J39" s="78"/>
      <c r="K39" s="78"/>
      <c r="L39" s="78"/>
      <c r="M39" s="78"/>
    </row>
    <row r="40" spans="1:13" x14ac:dyDescent="0.25">
      <c r="A40" s="99" t="s">
        <v>114</v>
      </c>
      <c r="B40" s="122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  <c r="I40" s="78"/>
      <c r="J40" s="78"/>
      <c r="K40" s="78"/>
      <c r="L40" s="78"/>
      <c r="M40" s="78"/>
    </row>
    <row r="41" spans="1:13" x14ac:dyDescent="0.25">
      <c r="A41" s="93" t="s">
        <v>116</v>
      </c>
      <c r="B41" s="84" t="s">
        <v>107</v>
      </c>
      <c r="C41" s="94"/>
      <c r="D41" s="92">
        <v>0</v>
      </c>
      <c r="E41" s="94"/>
      <c r="F41" s="95"/>
      <c r="G41" s="115"/>
      <c r="H41" s="113"/>
      <c r="I41" s="78"/>
      <c r="J41" s="78"/>
      <c r="K41" s="78"/>
      <c r="L41" s="78"/>
      <c r="M41" s="78"/>
    </row>
    <row r="42" spans="1:13" x14ac:dyDescent="0.25">
      <c r="A42" s="83" t="s">
        <v>119</v>
      </c>
      <c r="B42" s="120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  <c r="M42" s="78"/>
    </row>
    <row r="43" spans="1:13" x14ac:dyDescent="0.25">
      <c r="A43" s="83" t="s">
        <v>121</v>
      </c>
      <c r="B43" s="121" t="s">
        <v>122</v>
      </c>
      <c r="C43" s="85">
        <v>0</v>
      </c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  <c r="M43" s="78"/>
    </row>
    <row r="44" spans="1:13" x14ac:dyDescent="0.25">
      <c r="A44" s="83" t="s">
        <v>123</v>
      </c>
      <c r="B44" s="121"/>
      <c r="C44" s="85"/>
      <c r="D44" s="92"/>
      <c r="E44" s="85"/>
      <c r="F44" s="86"/>
      <c r="G44" s="98"/>
      <c r="H44" s="113"/>
      <c r="I44" s="78"/>
      <c r="J44" s="78"/>
      <c r="K44" s="78"/>
      <c r="L44" s="78"/>
      <c r="M44" s="78"/>
    </row>
    <row r="45" spans="1:13" x14ac:dyDescent="0.25">
      <c r="A45" s="83" t="s">
        <v>125</v>
      </c>
      <c r="B45" s="121"/>
      <c r="C45" s="85"/>
      <c r="D45" s="92"/>
      <c r="E45" s="85"/>
      <c r="F45" s="86"/>
      <c r="G45" s="98"/>
      <c r="H45" s="113"/>
      <c r="I45" s="78"/>
      <c r="J45" s="78"/>
      <c r="K45" s="78"/>
      <c r="L45" s="78"/>
      <c r="M45" s="78"/>
    </row>
    <row r="46" spans="1:13" x14ac:dyDescent="0.25">
      <c r="A46" s="83"/>
      <c r="B46" s="91"/>
      <c r="C46" s="85">
        <v>0</v>
      </c>
      <c r="D46" s="92">
        <v>0</v>
      </c>
      <c r="E46" s="85"/>
      <c r="F46" s="86"/>
      <c r="G46" s="86"/>
      <c r="H46" s="113"/>
      <c r="I46" s="78"/>
      <c r="J46" s="78"/>
      <c r="K46" s="78"/>
      <c r="L46" s="78"/>
      <c r="M46" s="78"/>
    </row>
    <row r="47" spans="1:13" x14ac:dyDescent="0.25">
      <c r="A47" s="96"/>
      <c r="B47" s="84"/>
      <c r="C47" s="86"/>
      <c r="D47" s="92"/>
      <c r="E47" s="86"/>
      <c r="F47" s="86"/>
      <c r="G47" s="86"/>
      <c r="H47" s="113"/>
      <c r="I47" s="78"/>
      <c r="J47" s="78"/>
      <c r="K47" s="78"/>
      <c r="L47" s="78"/>
      <c r="M47" s="78"/>
    </row>
    <row r="48" spans="1:13" x14ac:dyDescent="0.25">
      <c r="A48" s="97"/>
      <c r="B48" s="97"/>
      <c r="C48" s="98"/>
      <c r="D48" s="100"/>
      <c r="E48" s="98">
        <f>SUM(E36:E47)</f>
        <v>13000</v>
      </c>
      <c r="F48" s="98">
        <v>19000</v>
      </c>
      <c r="G48" s="98">
        <v>19000</v>
      </c>
      <c r="H48" s="113"/>
      <c r="I48" s="78"/>
      <c r="J48" s="78"/>
      <c r="K48" s="78"/>
      <c r="L48" s="78"/>
      <c r="M48" s="78"/>
    </row>
    <row r="49" spans="1:13" x14ac:dyDescent="0.25">
      <c r="A49" s="109"/>
      <c r="B49" s="109"/>
      <c r="C49" s="111"/>
      <c r="D49" s="112"/>
      <c r="E49" s="111"/>
      <c r="F49" s="111"/>
      <c r="G49" s="111"/>
      <c r="H49" s="78"/>
      <c r="I49" s="78"/>
      <c r="J49" s="78"/>
      <c r="K49" s="78"/>
      <c r="L49" s="78"/>
      <c r="M49" s="78"/>
    </row>
    <row r="50" spans="1:13" x14ac:dyDescent="0.25">
      <c r="A50" s="83">
        <v>1</v>
      </c>
      <c r="B50" s="116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  <c r="M50" s="78"/>
    </row>
    <row r="51" spans="1:13" x14ac:dyDescent="0.25">
      <c r="A51" s="83">
        <v>2</v>
      </c>
      <c r="B51" s="116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  <c r="M51" s="78"/>
    </row>
    <row r="52" spans="1:13" x14ac:dyDescent="0.25">
      <c r="A52" s="83">
        <v>3</v>
      </c>
      <c r="B52" s="116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  <c r="I52" s="78"/>
      <c r="J52" s="78"/>
      <c r="K52" s="78"/>
      <c r="L52" s="78"/>
      <c r="M52" s="78"/>
    </row>
    <row r="53" spans="1:13" x14ac:dyDescent="0.25">
      <c r="A53" s="87">
        <v>4</v>
      </c>
      <c r="B53" s="116" t="s">
        <v>107</v>
      </c>
      <c r="C53" s="85"/>
      <c r="D53" s="86"/>
      <c r="E53" s="85"/>
      <c r="F53" s="86"/>
      <c r="G53" s="86"/>
      <c r="H53" s="78"/>
      <c r="I53" s="78"/>
      <c r="J53" s="78"/>
      <c r="K53" s="78"/>
      <c r="L53" s="78"/>
      <c r="M53" s="78"/>
    </row>
    <row r="54" spans="1:13" x14ac:dyDescent="0.25">
      <c r="A54" s="99">
        <v>5</v>
      </c>
      <c r="B54" s="116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  <c r="M54" s="78"/>
    </row>
    <row r="55" spans="1:13" x14ac:dyDescent="0.25">
      <c r="A55" s="93">
        <v>6</v>
      </c>
      <c r="B55" s="116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  <c r="I55" s="78"/>
      <c r="J55" s="78"/>
      <c r="K55" s="78"/>
      <c r="L55" s="78"/>
      <c r="M55" s="78"/>
    </row>
    <row r="56" spans="1:13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  <c r="I56" s="78"/>
      <c r="J56" s="78"/>
      <c r="K56" s="78"/>
      <c r="L56" s="78"/>
      <c r="M56" s="78"/>
    </row>
    <row r="57" spans="1:13" x14ac:dyDescent="0.25">
      <c r="A57" s="96"/>
      <c r="B57" s="84"/>
      <c r="C57" s="86"/>
      <c r="D57" s="92"/>
      <c r="E57" s="86"/>
      <c r="F57" s="86"/>
      <c r="G57" s="86"/>
      <c r="H57" s="78"/>
      <c r="I57" s="78"/>
      <c r="J57" s="78"/>
      <c r="K57" s="78"/>
      <c r="L57" s="78"/>
      <c r="M57" s="78"/>
    </row>
    <row r="58" spans="1:13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  <c r="I58" s="78"/>
      <c r="J58" s="78"/>
      <c r="K58" s="78"/>
      <c r="L58" s="78"/>
      <c r="M58" s="78"/>
    </row>
    <row r="59" spans="1:13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  <c r="M59" s="78"/>
    </row>
    <row r="60" spans="1:13" ht="15.75" x14ac:dyDescent="0.3">
      <c r="A60" s="43"/>
      <c r="B60" s="44" t="s">
        <v>66</v>
      </c>
      <c r="C60" s="43"/>
      <c r="D60" s="45"/>
      <c r="E60" s="46"/>
      <c r="F60" s="79"/>
      <c r="G60" s="79"/>
      <c r="H60" s="78"/>
      <c r="I60" s="45"/>
      <c r="J60" s="48"/>
      <c r="K60" s="49"/>
      <c r="L60" s="49"/>
      <c r="M60" s="78"/>
    </row>
    <row r="61" spans="1:13" x14ac:dyDescent="0.25">
      <c r="A61" s="50"/>
      <c r="B61" s="46" t="s">
        <v>67</v>
      </c>
      <c r="C61" s="50"/>
      <c r="D61" s="102">
        <f>E31+E48+E58</f>
        <v>104000</v>
      </c>
      <c r="E61" s="78"/>
      <c r="F61" s="78"/>
      <c r="G61" s="78"/>
      <c r="H61" s="78" t="s">
        <v>141</v>
      </c>
      <c r="I61" s="78">
        <v>3000</v>
      </c>
      <c r="J61" s="79"/>
      <c r="K61" s="50"/>
      <c r="L61" s="78"/>
      <c r="M61" s="78"/>
    </row>
    <row r="62" spans="1:13" x14ac:dyDescent="0.25">
      <c r="A62" s="50"/>
      <c r="B62" s="46" t="s">
        <v>10</v>
      </c>
      <c r="C62" s="78"/>
      <c r="D62" s="79">
        <v>2300</v>
      </c>
      <c r="E62" s="79"/>
      <c r="F62" s="78"/>
      <c r="G62" s="78"/>
      <c r="H62" s="54"/>
      <c r="I62" s="46"/>
      <c r="J62" s="55"/>
      <c r="K62" s="78"/>
      <c r="L62" s="78"/>
      <c r="M62" s="78"/>
    </row>
    <row r="63" spans="1:13" x14ac:dyDescent="0.25">
      <c r="A63" s="78"/>
      <c r="B63" s="46" t="s">
        <v>69</v>
      </c>
      <c r="C63" s="78"/>
      <c r="D63" s="102">
        <f>D61</f>
        <v>104000</v>
      </c>
      <c r="E63" s="78"/>
      <c r="F63" s="78"/>
      <c r="G63" s="78"/>
      <c r="H63" s="78"/>
      <c r="I63" s="78"/>
      <c r="J63" s="78"/>
      <c r="K63" s="78"/>
      <c r="L63" s="78"/>
      <c r="M63" s="78"/>
    </row>
    <row r="64" spans="1:13" s="78" customFormat="1" x14ac:dyDescent="0.25">
      <c r="B64" s="46" t="s">
        <v>143</v>
      </c>
      <c r="D64" s="102">
        <v>3000</v>
      </c>
    </row>
    <row r="65" spans="1:13" s="78" customFormat="1" x14ac:dyDescent="0.25">
      <c r="B65" s="46"/>
      <c r="D65" s="102">
        <f>SUM(D63:D64)</f>
        <v>107000</v>
      </c>
    </row>
    <row r="66" spans="1:13" x14ac:dyDescent="0.25">
      <c r="A66" s="50"/>
      <c r="B66" s="57" t="s">
        <v>70</v>
      </c>
      <c r="C66" s="46"/>
      <c r="D66" s="78"/>
      <c r="E66" s="78"/>
      <c r="F66" s="78"/>
      <c r="G66" s="78"/>
      <c r="H66" s="79" t="s">
        <v>72</v>
      </c>
      <c r="I66" s="78"/>
      <c r="J66" s="78"/>
      <c r="K66" s="79" t="s">
        <v>73</v>
      </c>
      <c r="L66" s="78"/>
      <c r="M66" s="78"/>
    </row>
    <row r="67" spans="1:13" x14ac:dyDescent="0.25">
      <c r="A67" s="50" t="s">
        <v>102</v>
      </c>
      <c r="B67" s="77">
        <v>0.08</v>
      </c>
      <c r="C67" s="46"/>
      <c r="D67" s="102">
        <f>D63*B67</f>
        <v>8320</v>
      </c>
      <c r="E67" s="79" t="s">
        <v>71</v>
      </c>
      <c r="F67" s="79"/>
      <c r="G67" s="102">
        <f>D76+I61</f>
        <v>3000</v>
      </c>
      <c r="H67" s="78"/>
      <c r="I67" s="79"/>
      <c r="J67" s="78"/>
      <c r="K67" s="78"/>
      <c r="L67" s="78"/>
      <c r="M67" s="78"/>
    </row>
    <row r="68" spans="1:13" x14ac:dyDescent="0.25">
      <c r="A68" s="50"/>
      <c r="B68" s="50"/>
      <c r="C68" s="46"/>
      <c r="D68" s="126"/>
      <c r="E68" s="79" t="s">
        <v>134</v>
      </c>
      <c r="F68" s="79"/>
      <c r="G68" s="78"/>
      <c r="H68" s="79" t="s">
        <v>75</v>
      </c>
      <c r="I68" s="78"/>
      <c r="J68" s="78"/>
      <c r="K68" s="79" t="s">
        <v>76</v>
      </c>
      <c r="L68" s="78"/>
      <c r="M68" s="78"/>
    </row>
    <row r="69" spans="1:13" x14ac:dyDescent="0.25">
      <c r="A69" s="50"/>
      <c r="B69" s="128" t="s">
        <v>142</v>
      </c>
      <c r="C69" s="46"/>
      <c r="D69" s="102"/>
      <c r="E69" s="59" t="s">
        <v>78</v>
      </c>
      <c r="F69" s="79"/>
      <c r="G69" s="78"/>
      <c r="H69" s="79" t="s">
        <v>79</v>
      </c>
      <c r="I69" s="79"/>
      <c r="J69" s="78"/>
      <c r="K69" s="79" t="s">
        <v>80</v>
      </c>
      <c r="L69" s="78"/>
      <c r="M69" s="78"/>
    </row>
    <row r="70" spans="1:13" x14ac:dyDescent="0.25">
      <c r="A70" s="50"/>
      <c r="B70" s="78" t="s">
        <v>137</v>
      </c>
      <c r="C70" s="46"/>
      <c r="D70" s="102">
        <f>D65-D67</f>
        <v>98680</v>
      </c>
      <c r="E70" s="78"/>
      <c r="F70" s="78"/>
      <c r="G70" s="78"/>
      <c r="H70" s="78"/>
      <c r="I70" s="78"/>
      <c r="J70" s="78"/>
      <c r="K70" s="78"/>
      <c r="L70" s="78"/>
      <c r="M70" s="78"/>
    </row>
    <row r="71" spans="1:13" x14ac:dyDescent="0.25">
      <c r="A71" s="50"/>
      <c r="B71" s="78"/>
      <c r="C71" s="46"/>
      <c r="D71" s="102"/>
      <c r="E71" s="78"/>
      <c r="F71" s="78"/>
      <c r="G71" s="78"/>
      <c r="H71" s="78"/>
      <c r="I71" s="78"/>
      <c r="J71" s="78"/>
      <c r="K71" s="78"/>
      <c r="L71" s="78"/>
      <c r="M71" s="78"/>
    </row>
    <row r="72" spans="1:13" ht="17.25" x14ac:dyDescent="0.4">
      <c r="A72" s="50"/>
      <c r="B72" s="78"/>
      <c r="C72" s="46"/>
      <c r="D72" s="129"/>
      <c r="E72" s="78"/>
      <c r="F72" s="78"/>
      <c r="G72" s="78"/>
      <c r="H72" s="78"/>
      <c r="I72" s="78"/>
      <c r="J72" s="78"/>
      <c r="K72" s="78"/>
      <c r="L72" s="78"/>
      <c r="M72" s="78"/>
    </row>
    <row r="73" spans="1:13" ht="17.25" x14ac:dyDescent="0.4">
      <c r="A73" s="50"/>
      <c r="B73" s="78"/>
      <c r="C73" s="46"/>
      <c r="D73" s="129">
        <f>SUM(D70:D72)</f>
        <v>98680</v>
      </c>
      <c r="E73" s="78"/>
      <c r="F73" s="78"/>
      <c r="G73" s="78"/>
      <c r="H73" s="78"/>
      <c r="I73" s="78"/>
      <c r="J73" s="78"/>
      <c r="K73" s="78"/>
      <c r="L73" s="78"/>
      <c r="M73" s="78"/>
    </row>
    <row r="74" spans="1:13" x14ac:dyDescent="0.25">
      <c r="A74" s="50"/>
      <c r="B74" s="78" t="s">
        <v>70</v>
      </c>
      <c r="C74" s="46"/>
      <c r="D74" s="102"/>
      <c r="E74" s="78"/>
      <c r="F74" s="78"/>
      <c r="G74" s="78"/>
      <c r="H74" s="78"/>
      <c r="I74" s="78"/>
      <c r="J74" s="78"/>
      <c r="K74" s="78"/>
      <c r="L74" s="78"/>
      <c r="M74" s="78"/>
    </row>
    <row r="75" spans="1:13" x14ac:dyDescent="0.25">
      <c r="A75" s="130">
        <v>42186</v>
      </c>
      <c r="B75" s="78" t="s">
        <v>136</v>
      </c>
      <c r="C75" s="78"/>
      <c r="D75" s="51">
        <v>90000</v>
      </c>
      <c r="E75" s="79"/>
      <c r="F75" s="78"/>
      <c r="G75" s="78"/>
      <c r="H75" s="78"/>
      <c r="I75" s="78"/>
      <c r="J75" s="78"/>
      <c r="K75" s="78"/>
      <c r="L75" s="78"/>
      <c r="M75" s="78"/>
    </row>
    <row r="76" spans="1:13" x14ac:dyDescent="0.25">
      <c r="A76" s="79" t="s">
        <v>131</v>
      </c>
      <c r="B76" s="78"/>
      <c r="C76" s="78"/>
      <c r="D76" s="102"/>
      <c r="E76" s="79"/>
      <c r="F76" s="79" t="s">
        <v>135</v>
      </c>
      <c r="G76" s="79"/>
      <c r="H76" s="79" t="s">
        <v>130</v>
      </c>
      <c r="I76" s="78"/>
      <c r="J76" s="78"/>
      <c r="K76" s="78"/>
      <c r="L76" s="78"/>
      <c r="M76" s="78"/>
    </row>
    <row r="77" spans="1:13" x14ac:dyDescent="0.25">
      <c r="A77" s="78"/>
      <c r="B77" s="78"/>
      <c r="C77" s="102"/>
      <c r="D77" s="102"/>
      <c r="E77" s="78"/>
      <c r="F77" s="79" t="s">
        <v>132</v>
      </c>
      <c r="G77" s="79"/>
      <c r="H77" s="79" t="s">
        <v>133</v>
      </c>
      <c r="I77" s="78"/>
      <c r="J77" s="78"/>
      <c r="K77" s="78"/>
      <c r="L77" s="78"/>
      <c r="M77" s="78"/>
    </row>
    <row r="78" spans="1:13" x14ac:dyDescent="0.25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</row>
    <row r="79" spans="1:13" x14ac:dyDescent="0.25">
      <c r="A79" s="78"/>
      <c r="B79" s="78" t="s">
        <v>137</v>
      </c>
      <c r="C79" s="78"/>
      <c r="D79" s="102">
        <f>D73-D75</f>
        <v>8680</v>
      </c>
      <c r="E79" s="78"/>
      <c r="F79" s="78"/>
      <c r="G79" s="78"/>
      <c r="H79" s="78"/>
      <c r="I79" s="78"/>
      <c r="J79" s="78"/>
      <c r="K79" s="78"/>
      <c r="L79" s="78"/>
      <c r="M79" s="78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9" workbookViewId="0">
      <selection activeCell="J30" sqref="J30"/>
    </sheetView>
  </sheetViews>
  <sheetFormatPr defaultRowHeight="15" x14ac:dyDescent="0.25"/>
  <cols>
    <col min="2" max="2" width="15.28515625" customWidth="1"/>
  </cols>
  <sheetData>
    <row r="1" spans="1:8" ht="21" x14ac:dyDescent="0.25">
      <c r="A1" s="251" t="s">
        <v>356</v>
      </c>
      <c r="B1" s="150"/>
      <c r="C1" s="5" t="s">
        <v>503</v>
      </c>
      <c r="D1" s="250"/>
      <c r="E1" s="103"/>
      <c r="F1" s="103"/>
      <c r="G1" s="384" t="s">
        <v>346</v>
      </c>
      <c r="H1" s="78"/>
    </row>
    <row r="2" spans="1:8" x14ac:dyDescent="0.25">
      <c r="A2" s="353" t="s">
        <v>3</v>
      </c>
      <c r="B2" s="353" t="s">
        <v>4</v>
      </c>
      <c r="C2" s="353" t="s">
        <v>104</v>
      </c>
      <c r="D2" s="353" t="s">
        <v>8</v>
      </c>
      <c r="E2" s="353" t="s">
        <v>9</v>
      </c>
      <c r="F2" s="354" t="s">
        <v>11</v>
      </c>
      <c r="G2" s="353" t="s">
        <v>12</v>
      </c>
      <c r="H2" s="355" t="s">
        <v>105</v>
      </c>
    </row>
    <row r="3" spans="1:8" x14ac:dyDescent="0.25">
      <c r="A3" s="83" t="s">
        <v>106</v>
      </c>
      <c r="B3" s="249" t="s">
        <v>491</v>
      </c>
      <c r="C3" s="85">
        <v>3000</v>
      </c>
      <c r="D3" s="232"/>
      <c r="E3" s="320">
        <v>3000</v>
      </c>
      <c r="F3" s="232">
        <f>C3+D3+E3</f>
        <v>6000</v>
      </c>
      <c r="G3" s="234">
        <f>2500+500</f>
        <v>3000</v>
      </c>
      <c r="H3" s="319">
        <f t="shared" ref="H3:H12" si="0">F3-G3</f>
        <v>3000</v>
      </c>
    </row>
    <row r="4" spans="1:8" x14ac:dyDescent="0.25">
      <c r="A4" s="83" t="s">
        <v>108</v>
      </c>
      <c r="B4" s="200" t="s">
        <v>284</v>
      </c>
      <c r="C4" s="85"/>
      <c r="D4" s="232"/>
      <c r="E4" s="320"/>
      <c r="F4" s="232">
        <f t="shared" ref="F4:F13" si="1">C4+D4+E4</f>
        <v>0</v>
      </c>
      <c r="G4" s="232"/>
      <c r="H4" s="319">
        <f t="shared" si="0"/>
        <v>0</v>
      </c>
    </row>
    <row r="5" spans="1:8" x14ac:dyDescent="0.25">
      <c r="A5" s="83" t="s">
        <v>110</v>
      </c>
      <c r="B5" s="110" t="s">
        <v>467</v>
      </c>
      <c r="C5" s="110"/>
      <c r="D5" s="232">
        <v>250</v>
      </c>
      <c r="E5" s="110">
        <v>2500</v>
      </c>
      <c r="F5" s="232">
        <f t="shared" si="1"/>
        <v>2750</v>
      </c>
      <c r="G5" s="110"/>
      <c r="H5" s="319">
        <f t="shared" si="0"/>
        <v>2750</v>
      </c>
    </row>
    <row r="6" spans="1:8" ht="19.5" customHeight="1" x14ac:dyDescent="0.25">
      <c r="A6" s="87" t="s">
        <v>112</v>
      </c>
      <c r="B6" s="200" t="s">
        <v>443</v>
      </c>
      <c r="C6" s="110"/>
      <c r="D6" s="232">
        <v>2200</v>
      </c>
      <c r="E6" s="321">
        <v>2500</v>
      </c>
      <c r="F6" s="232">
        <f t="shared" si="1"/>
        <v>4700</v>
      </c>
      <c r="G6" s="319"/>
      <c r="H6" s="319">
        <f t="shared" si="0"/>
        <v>4700</v>
      </c>
    </row>
    <row r="7" spans="1:8" ht="15" customHeight="1" x14ac:dyDescent="0.25">
      <c r="A7" s="99" t="s">
        <v>114</v>
      </c>
      <c r="B7" s="200" t="s">
        <v>427</v>
      </c>
      <c r="C7" s="85"/>
      <c r="D7" s="232"/>
      <c r="E7" s="320">
        <v>2500</v>
      </c>
      <c r="F7" s="232">
        <f t="shared" si="1"/>
        <v>2500</v>
      </c>
      <c r="G7" s="234">
        <v>2500</v>
      </c>
      <c r="H7" s="319">
        <f t="shared" si="0"/>
        <v>0</v>
      </c>
    </row>
    <row r="8" spans="1:8" ht="17.25" customHeight="1" x14ac:dyDescent="0.25">
      <c r="A8" s="93" t="s">
        <v>116</v>
      </c>
      <c r="B8" s="249" t="s">
        <v>437</v>
      </c>
      <c r="C8" s="110"/>
      <c r="D8" s="232">
        <v>1000</v>
      </c>
      <c r="E8" s="325">
        <v>2500</v>
      </c>
      <c r="F8" s="232">
        <f t="shared" si="1"/>
        <v>3500</v>
      </c>
      <c r="G8" s="326">
        <v>2500</v>
      </c>
      <c r="H8" s="319">
        <f t="shared" si="0"/>
        <v>1000</v>
      </c>
    </row>
    <row r="9" spans="1:8" ht="18.75" customHeight="1" x14ac:dyDescent="0.25">
      <c r="A9" s="83" t="s">
        <v>119</v>
      </c>
      <c r="B9" s="249" t="s">
        <v>120</v>
      </c>
      <c r="C9" s="85"/>
      <c r="D9" s="232"/>
      <c r="E9" s="320">
        <v>2500</v>
      </c>
      <c r="F9" s="232">
        <f t="shared" si="1"/>
        <v>2500</v>
      </c>
      <c r="G9" s="234">
        <v>2500</v>
      </c>
      <c r="H9" s="319">
        <f t="shared" si="0"/>
        <v>0</v>
      </c>
    </row>
    <row r="10" spans="1:8" ht="14.25" customHeight="1" x14ac:dyDescent="0.25">
      <c r="A10" s="83" t="s">
        <v>121</v>
      </c>
      <c r="B10" s="249" t="s">
        <v>420</v>
      </c>
      <c r="C10" s="85"/>
      <c r="D10" s="232"/>
      <c r="E10" s="320">
        <v>2500</v>
      </c>
      <c r="F10" s="232">
        <f t="shared" si="1"/>
        <v>2500</v>
      </c>
      <c r="G10" s="234">
        <v>2500</v>
      </c>
      <c r="H10" s="319">
        <f t="shared" si="0"/>
        <v>0</v>
      </c>
    </row>
    <row r="11" spans="1:8" ht="15.75" customHeight="1" x14ac:dyDescent="0.25">
      <c r="A11" s="83" t="s">
        <v>123</v>
      </c>
      <c r="B11" s="200" t="s">
        <v>396</v>
      </c>
      <c r="C11" s="85"/>
      <c r="D11" s="232">
        <v>500</v>
      </c>
      <c r="E11" s="320">
        <v>2500</v>
      </c>
      <c r="F11" s="232">
        <f t="shared" si="1"/>
        <v>3000</v>
      </c>
      <c r="G11" s="234">
        <v>2500</v>
      </c>
      <c r="H11" s="319">
        <f t="shared" si="0"/>
        <v>500</v>
      </c>
    </row>
    <row r="12" spans="1:8" ht="14.25" customHeight="1" x14ac:dyDescent="0.25">
      <c r="A12" s="83" t="s">
        <v>125</v>
      </c>
      <c r="B12" s="200" t="s">
        <v>312</v>
      </c>
      <c r="C12" s="85"/>
      <c r="D12" s="232"/>
      <c r="E12" s="231">
        <v>1500</v>
      </c>
      <c r="F12" s="232">
        <f>C12+D12+E12</f>
        <v>1500</v>
      </c>
      <c r="G12" s="234">
        <v>1500</v>
      </c>
      <c r="H12" s="319">
        <f t="shared" si="0"/>
        <v>0</v>
      </c>
    </row>
    <row r="13" spans="1:8" x14ac:dyDescent="0.25">
      <c r="A13" s="83"/>
      <c r="B13" s="204" t="s">
        <v>193</v>
      </c>
      <c r="C13" s="205">
        <v>0</v>
      </c>
      <c r="D13" s="246">
        <f>SUM(D3:D12)</f>
        <v>3950</v>
      </c>
      <c r="E13" s="239">
        <f>SUM(E3:E12)</f>
        <v>22000</v>
      </c>
      <c r="F13" s="232">
        <f t="shared" si="1"/>
        <v>25950</v>
      </c>
      <c r="G13" s="240">
        <f>SUM(G3:G12)</f>
        <v>17000</v>
      </c>
      <c r="H13" s="323">
        <f>SUM(H3:H12)</f>
        <v>11950</v>
      </c>
    </row>
    <row r="14" spans="1:8" ht="12.75" customHeight="1" x14ac:dyDescent="0.25">
      <c r="A14" s="96"/>
      <c r="B14" s="84"/>
      <c r="C14" s="86">
        <f>SUM(C3:C13)</f>
        <v>3000</v>
      </c>
      <c r="D14" s="86"/>
      <c r="E14" s="98"/>
      <c r="F14" s="98"/>
      <c r="G14" s="86"/>
      <c r="H14" s="324"/>
    </row>
    <row r="15" spans="1:8" x14ac:dyDescent="0.25">
      <c r="A15" s="78"/>
      <c r="B15" s="78"/>
      <c r="C15" s="78"/>
      <c r="D15" s="128" t="s">
        <v>481</v>
      </c>
      <c r="E15" s="128"/>
      <c r="F15" s="78"/>
      <c r="G15" s="78"/>
      <c r="H15" s="78"/>
    </row>
    <row r="16" spans="1:8" x14ac:dyDescent="0.25">
      <c r="A16" s="353" t="s">
        <v>3</v>
      </c>
      <c r="B16" s="353" t="s">
        <v>4</v>
      </c>
      <c r="C16" s="353" t="s">
        <v>7</v>
      </c>
      <c r="D16" s="353" t="s">
        <v>8</v>
      </c>
      <c r="E16" s="353" t="s">
        <v>9</v>
      </c>
      <c r="F16" s="354" t="s">
        <v>11</v>
      </c>
      <c r="G16" s="353" t="s">
        <v>12</v>
      </c>
      <c r="H16" s="355" t="s">
        <v>105</v>
      </c>
    </row>
    <row r="17" spans="1:8" ht="16.5" customHeight="1" x14ac:dyDescent="0.25">
      <c r="A17" s="83">
        <v>1</v>
      </c>
      <c r="B17" s="249" t="s">
        <v>506</v>
      </c>
      <c r="C17" s="85">
        <v>3500</v>
      </c>
      <c r="D17" s="232">
        <f>'SEPTEMBER 19'!I7:I27</f>
        <v>0</v>
      </c>
      <c r="E17" s="320">
        <v>3500</v>
      </c>
      <c r="F17" s="232">
        <f>C17+D17+E17</f>
        <v>7000</v>
      </c>
      <c r="G17" s="234">
        <v>7000</v>
      </c>
      <c r="H17" s="319">
        <f>F17-G17</f>
        <v>0</v>
      </c>
    </row>
    <row r="18" spans="1:8" ht="12" customHeight="1" x14ac:dyDescent="0.25">
      <c r="A18" s="83">
        <v>2</v>
      </c>
      <c r="B18" s="200" t="s">
        <v>507</v>
      </c>
      <c r="C18" s="85">
        <v>3500</v>
      </c>
      <c r="D18" s="232"/>
      <c r="E18" s="320">
        <v>3500</v>
      </c>
      <c r="F18" s="232">
        <f t="shared" ref="F18:F35" si="2">C18+D18+E18</f>
        <v>7000</v>
      </c>
      <c r="G18" s="232">
        <v>7000</v>
      </c>
      <c r="H18" s="319">
        <f t="shared" ref="H18:H36" si="3">F18-G18</f>
        <v>0</v>
      </c>
    </row>
    <row r="19" spans="1:8" ht="15" customHeight="1" x14ac:dyDescent="0.25">
      <c r="A19" s="83">
        <v>3</v>
      </c>
      <c r="B19" s="110" t="s">
        <v>498</v>
      </c>
      <c r="C19" s="110">
        <v>3500</v>
      </c>
      <c r="D19" s="232">
        <f>'SEPTEMBER 19'!I9:I29</f>
        <v>0</v>
      </c>
      <c r="E19" s="110">
        <v>3500</v>
      </c>
      <c r="F19" s="232">
        <f t="shared" si="2"/>
        <v>7000</v>
      </c>
      <c r="G19" s="110">
        <v>7000</v>
      </c>
      <c r="H19" s="319">
        <f t="shared" si="3"/>
        <v>0</v>
      </c>
    </row>
    <row r="20" spans="1:8" ht="16.5" customHeight="1" x14ac:dyDescent="0.25">
      <c r="A20" s="83">
        <v>4</v>
      </c>
      <c r="B20" s="200" t="s">
        <v>499</v>
      </c>
      <c r="C20" s="110"/>
      <c r="D20" s="232"/>
      <c r="E20" s="321">
        <v>3500</v>
      </c>
      <c r="F20" s="232">
        <f t="shared" si="2"/>
        <v>3500</v>
      </c>
      <c r="G20" s="319">
        <v>3500</v>
      </c>
      <c r="H20" s="319">
        <f t="shared" si="3"/>
        <v>0</v>
      </c>
    </row>
    <row r="21" spans="1:8" ht="17.25" customHeight="1" x14ac:dyDescent="0.25">
      <c r="A21" s="83">
        <v>5</v>
      </c>
      <c r="B21" s="200" t="s">
        <v>505</v>
      </c>
      <c r="C21" s="85">
        <v>3500</v>
      </c>
      <c r="D21" s="232">
        <f>'SEPTEMBER 19'!I11:I31</f>
        <v>0</v>
      </c>
      <c r="E21" s="320">
        <v>3500</v>
      </c>
      <c r="F21" s="232">
        <f t="shared" si="2"/>
        <v>7000</v>
      </c>
      <c r="G21" s="234">
        <v>7000</v>
      </c>
      <c r="H21" s="319">
        <f t="shared" si="3"/>
        <v>0</v>
      </c>
    </row>
    <row r="22" spans="1:8" ht="17.25" customHeight="1" x14ac:dyDescent="0.25">
      <c r="A22" s="83">
        <v>6</v>
      </c>
      <c r="B22" s="249" t="s">
        <v>501</v>
      </c>
      <c r="C22" s="110">
        <v>3500</v>
      </c>
      <c r="D22" s="232">
        <f>'SEPTEMBER 19'!I12:I32</f>
        <v>0</v>
      </c>
      <c r="E22" s="325">
        <v>3500</v>
      </c>
      <c r="F22" s="232">
        <f t="shared" si="2"/>
        <v>7000</v>
      </c>
      <c r="G22" s="326">
        <f>3500+3500</f>
        <v>7000</v>
      </c>
      <c r="H22" s="319">
        <f t="shared" si="3"/>
        <v>0</v>
      </c>
    </row>
    <row r="23" spans="1:8" ht="17.25" customHeight="1" x14ac:dyDescent="0.25">
      <c r="A23" s="83">
        <v>7</v>
      </c>
      <c r="B23" s="249" t="s">
        <v>500</v>
      </c>
      <c r="C23" s="85">
        <v>3500</v>
      </c>
      <c r="D23" s="232">
        <f>'SEPTEMBER 19'!I13:I33</f>
        <v>0</v>
      </c>
      <c r="E23" s="320">
        <v>3500</v>
      </c>
      <c r="F23" s="232">
        <f t="shared" si="2"/>
        <v>7000</v>
      </c>
      <c r="G23" s="234">
        <v>7000</v>
      </c>
      <c r="H23" s="319">
        <f t="shared" si="3"/>
        <v>0</v>
      </c>
    </row>
    <row r="24" spans="1:8" ht="15.75" customHeight="1" x14ac:dyDescent="0.25">
      <c r="A24" s="83">
        <v>8</v>
      </c>
      <c r="B24" s="249" t="s">
        <v>477</v>
      </c>
      <c r="C24" s="85"/>
      <c r="D24" s="232">
        <f>'SEPTEMBER 19'!I14:I34</f>
        <v>0</v>
      </c>
      <c r="E24" s="320">
        <v>3500</v>
      </c>
      <c r="F24" s="232">
        <f t="shared" si="2"/>
        <v>3500</v>
      </c>
      <c r="G24" s="234">
        <v>3500</v>
      </c>
      <c r="H24" s="319">
        <f t="shared" si="3"/>
        <v>0</v>
      </c>
    </row>
    <row r="25" spans="1:8" ht="18" customHeight="1" x14ac:dyDescent="0.25">
      <c r="A25" s="83">
        <v>9</v>
      </c>
      <c r="B25" s="200" t="s">
        <v>496</v>
      </c>
      <c r="C25" s="85">
        <v>3500</v>
      </c>
      <c r="D25" s="232">
        <f>'SEPTEMBER 19'!I15:I35</f>
        <v>0</v>
      </c>
      <c r="E25" s="320">
        <v>3500</v>
      </c>
      <c r="F25" s="232">
        <f>C25+D25+E25</f>
        <v>7000</v>
      </c>
      <c r="G25" s="234">
        <v>7000</v>
      </c>
      <c r="H25" s="319">
        <f t="shared" si="3"/>
        <v>0</v>
      </c>
    </row>
    <row r="26" spans="1:8" x14ac:dyDescent="0.25">
      <c r="A26" s="83">
        <v>10</v>
      </c>
      <c r="B26" s="200" t="s">
        <v>490</v>
      </c>
      <c r="C26" s="85"/>
      <c r="D26" s="232">
        <v>1000</v>
      </c>
      <c r="E26" s="320">
        <v>3500</v>
      </c>
      <c r="F26" s="232">
        <f t="shared" si="2"/>
        <v>4500</v>
      </c>
      <c r="G26" s="234">
        <f>3500+450</f>
        <v>3950</v>
      </c>
      <c r="H26" s="319">
        <f t="shared" si="3"/>
        <v>550</v>
      </c>
    </row>
    <row r="27" spans="1:8" ht="15.75" customHeight="1" x14ac:dyDescent="0.25">
      <c r="A27" s="83">
        <v>11</v>
      </c>
      <c r="B27" s="249" t="s">
        <v>474</v>
      </c>
      <c r="C27" s="85"/>
      <c r="D27" s="232"/>
      <c r="E27" s="320">
        <v>3500</v>
      </c>
      <c r="F27" s="232">
        <f>C27+D27+E27</f>
        <v>3500</v>
      </c>
      <c r="G27" s="234">
        <v>3500</v>
      </c>
      <c r="H27" s="319">
        <f>F27-G27</f>
        <v>0</v>
      </c>
    </row>
    <row r="28" spans="1:8" x14ac:dyDescent="0.25">
      <c r="A28" s="83">
        <v>12</v>
      </c>
      <c r="B28" s="200" t="s">
        <v>478</v>
      </c>
      <c r="C28" s="85"/>
      <c r="D28" s="232">
        <f>'SEPTEMBER 19'!I18:I38</f>
        <v>0</v>
      </c>
      <c r="E28" s="320">
        <v>3500</v>
      </c>
      <c r="F28" s="232">
        <f t="shared" si="2"/>
        <v>3500</v>
      </c>
      <c r="G28" s="234">
        <v>3500</v>
      </c>
      <c r="H28" s="319">
        <f t="shared" si="3"/>
        <v>0</v>
      </c>
    </row>
    <row r="29" spans="1:8" ht="18.75" customHeight="1" x14ac:dyDescent="0.25">
      <c r="A29" s="83">
        <v>13</v>
      </c>
      <c r="B29" s="249" t="s">
        <v>479</v>
      </c>
      <c r="C29" s="110"/>
      <c r="D29" s="232">
        <f>'SEPTEMBER 19'!I19:I38</f>
        <v>0</v>
      </c>
      <c r="E29" s="325">
        <v>3500</v>
      </c>
      <c r="F29" s="232">
        <f t="shared" si="2"/>
        <v>3500</v>
      </c>
      <c r="G29" s="326">
        <v>3500</v>
      </c>
      <c r="H29" s="319">
        <f t="shared" si="3"/>
        <v>0</v>
      </c>
    </row>
    <row r="30" spans="1:8" ht="18" customHeight="1" x14ac:dyDescent="0.25">
      <c r="A30" s="83">
        <v>14</v>
      </c>
      <c r="B30" s="200" t="s">
        <v>480</v>
      </c>
      <c r="C30" s="85"/>
      <c r="D30" s="232">
        <f>'SEPTEMBER 19'!I20:I39</f>
        <v>0</v>
      </c>
      <c r="E30" s="320">
        <v>3500</v>
      </c>
      <c r="F30" s="232">
        <f t="shared" si="2"/>
        <v>3500</v>
      </c>
      <c r="G30" s="234">
        <v>3500</v>
      </c>
      <c r="H30" s="319">
        <f t="shared" si="3"/>
        <v>0</v>
      </c>
    </row>
    <row r="31" spans="1:8" ht="19.5" customHeight="1" x14ac:dyDescent="0.25">
      <c r="A31" s="83">
        <v>15</v>
      </c>
      <c r="B31" s="200" t="s">
        <v>502</v>
      </c>
      <c r="C31" s="85"/>
      <c r="D31" s="232">
        <f>'SEPTEMBER 19'!I21:I40</f>
        <v>0</v>
      </c>
      <c r="E31" s="320">
        <v>3500</v>
      </c>
      <c r="F31" s="232">
        <f t="shared" si="2"/>
        <v>3500</v>
      </c>
      <c r="G31" s="234">
        <v>3500</v>
      </c>
      <c r="H31" s="319">
        <f t="shared" si="3"/>
        <v>0</v>
      </c>
    </row>
    <row r="32" spans="1:8" ht="15" customHeight="1" x14ac:dyDescent="0.25">
      <c r="A32" s="83">
        <v>16</v>
      </c>
      <c r="B32" s="200" t="s">
        <v>488</v>
      </c>
      <c r="C32" s="85"/>
      <c r="D32" s="232">
        <f>'SEPTEMBER 19'!I22:I41</f>
        <v>0</v>
      </c>
      <c r="E32" s="320">
        <v>3500</v>
      </c>
      <c r="F32" s="232">
        <f>C32+D32+E32</f>
        <v>3500</v>
      </c>
      <c r="G32" s="234">
        <v>3500</v>
      </c>
      <c r="H32" s="319">
        <f t="shared" si="3"/>
        <v>0</v>
      </c>
    </row>
    <row r="33" spans="1:8" ht="18.75" customHeight="1" x14ac:dyDescent="0.25">
      <c r="A33" s="83">
        <v>17</v>
      </c>
      <c r="B33" s="200" t="s">
        <v>495</v>
      </c>
      <c r="C33" s="85">
        <v>3500</v>
      </c>
      <c r="D33" s="232">
        <f>'SEPTEMBER 19'!I23:I42</f>
        <v>0</v>
      </c>
      <c r="E33" s="320">
        <v>3500</v>
      </c>
      <c r="F33" s="232">
        <f>C33+D33+E33</f>
        <v>7000</v>
      </c>
      <c r="G33" s="234">
        <v>7000</v>
      </c>
      <c r="H33" s="319">
        <f t="shared" si="3"/>
        <v>0</v>
      </c>
    </row>
    <row r="34" spans="1:8" ht="12" customHeight="1" x14ac:dyDescent="0.25">
      <c r="A34" s="83">
        <v>18</v>
      </c>
      <c r="B34" s="200" t="s">
        <v>475</v>
      </c>
      <c r="C34" s="85"/>
      <c r="D34" s="232">
        <f>'SEPTEMBER 19'!I24:I43</f>
        <v>0</v>
      </c>
      <c r="E34" s="320">
        <v>3500</v>
      </c>
      <c r="F34" s="232">
        <f t="shared" si="2"/>
        <v>3500</v>
      </c>
      <c r="G34" s="234">
        <v>3500</v>
      </c>
      <c r="H34" s="319">
        <f t="shared" si="3"/>
        <v>0</v>
      </c>
    </row>
    <row r="35" spans="1:8" ht="12" customHeight="1" x14ac:dyDescent="0.25">
      <c r="A35" s="83">
        <v>19</v>
      </c>
      <c r="B35" s="200" t="s">
        <v>494</v>
      </c>
      <c r="C35" s="85">
        <v>3500</v>
      </c>
      <c r="D35" s="232">
        <f>'SEPTEMBER 19'!I25:I43</f>
        <v>0</v>
      </c>
      <c r="E35" s="320">
        <v>3500</v>
      </c>
      <c r="F35" s="232">
        <f t="shared" si="2"/>
        <v>7000</v>
      </c>
      <c r="G35" s="234">
        <v>7000</v>
      </c>
      <c r="H35" s="319">
        <f t="shared" si="3"/>
        <v>0</v>
      </c>
    </row>
    <row r="36" spans="1:8" ht="19.5" customHeight="1" x14ac:dyDescent="0.25">
      <c r="A36" s="83">
        <v>20</v>
      </c>
      <c r="B36" s="200" t="s">
        <v>497</v>
      </c>
      <c r="C36" s="85">
        <v>3500</v>
      </c>
      <c r="D36" s="232"/>
      <c r="E36" s="320">
        <v>3500</v>
      </c>
      <c r="F36" s="232">
        <f>C36+D36+E36</f>
        <v>7000</v>
      </c>
      <c r="G36" s="234">
        <v>7000</v>
      </c>
      <c r="H36" s="319">
        <f t="shared" si="3"/>
        <v>0</v>
      </c>
    </row>
    <row r="37" spans="1:8" x14ac:dyDescent="0.25">
      <c r="A37" s="83"/>
      <c r="B37" s="204" t="s">
        <v>193</v>
      </c>
      <c r="C37" s="205">
        <f>SUM(C17:C36)</f>
        <v>35000</v>
      </c>
      <c r="D37" s="232">
        <f>SUM(D17:D36)</f>
        <v>1000</v>
      </c>
      <c r="E37" s="239">
        <f>SUM(E17:E36)</f>
        <v>70000</v>
      </c>
      <c r="F37" s="232">
        <f>C37+D37+E37</f>
        <v>106000</v>
      </c>
      <c r="G37" s="240">
        <f>SUM(G17:G36)</f>
        <v>105450</v>
      </c>
      <c r="H37" s="319">
        <f>F37-G37</f>
        <v>550</v>
      </c>
    </row>
    <row r="38" spans="1:8" x14ac:dyDescent="0.25">
      <c r="A38" s="383" t="s">
        <v>509</v>
      </c>
      <c r="B38" s="106"/>
      <c r="C38" s="107"/>
      <c r="D38" s="106"/>
      <c r="E38" s="108"/>
      <c r="F38" s="106"/>
      <c r="G38" s="150"/>
      <c r="H38" s="269"/>
    </row>
    <row r="39" spans="1:8" x14ac:dyDescent="0.25">
      <c r="A39" s="359" t="s">
        <v>204</v>
      </c>
      <c r="B39" s="359" t="s">
        <v>205</v>
      </c>
      <c r="C39" s="359" t="s">
        <v>207</v>
      </c>
      <c r="D39" s="359" t="s">
        <v>208</v>
      </c>
      <c r="E39" s="359" t="s">
        <v>204</v>
      </c>
      <c r="F39" s="359" t="s">
        <v>205</v>
      </c>
      <c r="G39" s="359" t="s">
        <v>207</v>
      </c>
      <c r="H39" s="360" t="s">
        <v>306</v>
      </c>
    </row>
    <row r="40" spans="1:8" x14ac:dyDescent="0.25">
      <c r="A40" s="211" t="s">
        <v>511</v>
      </c>
      <c r="B40" s="273">
        <f>E37+E13</f>
        <v>92000</v>
      </c>
      <c r="C40" s="164"/>
      <c r="D40" s="164"/>
      <c r="E40" s="211" t="s">
        <v>511</v>
      </c>
      <c r="F40" s="273">
        <f>G37+G13</f>
        <v>122450</v>
      </c>
      <c r="G40" s="164"/>
      <c r="H40" s="273"/>
    </row>
    <row r="41" spans="1:8" x14ac:dyDescent="0.25">
      <c r="A41" s="211" t="s">
        <v>209</v>
      </c>
      <c r="B41" s="307">
        <v>0.08</v>
      </c>
      <c r="C41" s="308">
        <f>B40*B41</f>
        <v>7360</v>
      </c>
      <c r="D41" s="211"/>
      <c r="E41" s="211" t="s">
        <v>209</v>
      </c>
      <c r="F41" s="307">
        <v>0.08</v>
      </c>
      <c r="G41" s="308">
        <f>C41</f>
        <v>7360</v>
      </c>
      <c r="H41" s="273"/>
    </row>
    <row r="42" spans="1:8" x14ac:dyDescent="0.25">
      <c r="A42" s="309" t="s">
        <v>232</v>
      </c>
      <c r="B42" s="308"/>
      <c r="C42" s="211"/>
      <c r="D42" s="211"/>
      <c r="E42" s="309" t="s">
        <v>232</v>
      </c>
      <c r="F42" s="308"/>
      <c r="G42" s="211"/>
      <c r="H42" s="273"/>
    </row>
    <row r="43" spans="1:8" x14ac:dyDescent="0.25">
      <c r="A43" s="211"/>
      <c r="B43" s="307"/>
      <c r="C43" s="308"/>
      <c r="D43" s="211"/>
      <c r="E43" s="309"/>
      <c r="F43" s="308"/>
      <c r="G43" s="211"/>
      <c r="H43" s="273"/>
    </row>
    <row r="44" spans="1:8" x14ac:dyDescent="0.25">
      <c r="A44" s="309" t="s">
        <v>470</v>
      </c>
      <c r="B44" s="308">
        <f>C37</f>
        <v>35000</v>
      </c>
      <c r="C44" s="211"/>
      <c r="D44" s="211"/>
      <c r="E44" s="309"/>
      <c r="F44" s="308"/>
      <c r="G44" s="211"/>
      <c r="H44" s="273"/>
    </row>
    <row r="45" spans="1:8" ht="11.25" customHeight="1" x14ac:dyDescent="0.25">
      <c r="A45" s="309" t="s">
        <v>239</v>
      </c>
      <c r="B45" s="308">
        <f>'SEPTEMBER 19'!O40</f>
        <v>51100</v>
      </c>
      <c r="C45" s="211"/>
      <c r="D45" s="211"/>
      <c r="E45" s="309" t="s">
        <v>239</v>
      </c>
      <c r="F45" s="308">
        <f>'SEPTEMBER 19'!S40</f>
        <v>50100</v>
      </c>
      <c r="G45" s="211"/>
      <c r="H45" s="273"/>
    </row>
    <row r="46" spans="1:8" ht="13.5" customHeight="1" x14ac:dyDescent="0.25">
      <c r="A46" s="309" t="s">
        <v>193</v>
      </c>
      <c r="B46" s="308">
        <f>B40+B42+B45+B44</f>
        <v>178100</v>
      </c>
      <c r="C46" s="211"/>
      <c r="D46" s="211"/>
      <c r="E46" s="309" t="s">
        <v>193</v>
      </c>
      <c r="F46" s="308">
        <f>F40+F42+F45+F43</f>
        <v>172550</v>
      </c>
      <c r="G46" s="211"/>
      <c r="H46" s="273"/>
    </row>
    <row r="47" spans="1:8" x14ac:dyDescent="0.25">
      <c r="A47" s="212" t="s">
        <v>276</v>
      </c>
      <c r="B47" s="307"/>
      <c r="C47" s="214"/>
      <c r="D47" s="211"/>
      <c r="E47" s="212" t="s">
        <v>276</v>
      </c>
      <c r="F47" s="307"/>
      <c r="G47" s="214"/>
      <c r="H47" s="273"/>
    </row>
    <row r="48" spans="1:8" x14ac:dyDescent="0.25">
      <c r="A48" s="365" t="s">
        <v>508</v>
      </c>
      <c r="B48" s="380"/>
      <c r="C48" s="367">
        <v>170000</v>
      </c>
      <c r="D48" s="366"/>
      <c r="E48" s="365" t="s">
        <v>508</v>
      </c>
      <c r="F48" s="380"/>
      <c r="G48" s="367">
        <v>170000</v>
      </c>
      <c r="H48" s="368"/>
    </row>
    <row r="49" spans="1:8" x14ac:dyDescent="0.25">
      <c r="A49" s="166" t="s">
        <v>193</v>
      </c>
      <c r="B49" s="317">
        <f>B40+B42+B43+B44+B45-C41</f>
        <v>170740</v>
      </c>
      <c r="C49" s="318">
        <f>SUM(C48:C48)</f>
        <v>170000</v>
      </c>
      <c r="D49" s="318">
        <f>B49-C49</f>
        <v>740</v>
      </c>
      <c r="E49" s="166" t="s">
        <v>193</v>
      </c>
      <c r="F49" s="317">
        <f>F40+F42+F43+F45-G41</f>
        <v>165190</v>
      </c>
      <c r="G49" s="318">
        <f>SUM(G48:G48)</f>
        <v>170000</v>
      </c>
      <c r="H49" s="318">
        <f>F49-G49</f>
        <v>-4810</v>
      </c>
    </row>
    <row r="50" spans="1:8" x14ac:dyDescent="0.25">
      <c r="A50" s="150" t="s">
        <v>71</v>
      </c>
      <c r="B50" s="79"/>
      <c r="C50" s="78"/>
      <c r="D50" s="150" t="s">
        <v>72</v>
      </c>
      <c r="E50" s="78"/>
      <c r="F50" s="78"/>
      <c r="G50" s="150" t="s">
        <v>73</v>
      </c>
      <c r="H50" s="269"/>
    </row>
    <row r="51" spans="1:8" x14ac:dyDescent="0.25">
      <c r="A51" s="150" t="s">
        <v>471</v>
      </c>
      <c r="B51" s="150"/>
      <c r="C51" s="78"/>
      <c r="D51" s="150" t="s">
        <v>135</v>
      </c>
      <c r="E51" s="78"/>
      <c r="F51" s="78"/>
      <c r="G51" s="150" t="s">
        <v>130</v>
      </c>
      <c r="H51" s="269"/>
    </row>
    <row r="52" spans="1:8" x14ac:dyDescent="0.25">
      <c r="A52" s="150"/>
      <c r="B52" s="150"/>
      <c r="C52" s="150"/>
      <c r="D52" s="150"/>
      <c r="E52" s="150"/>
      <c r="F52" s="150"/>
      <c r="G52" s="150"/>
      <c r="H52" s="150"/>
    </row>
  </sheetData>
  <pageMargins left="0.7" right="0.7" top="0" bottom="0" header="0.3" footer="0.3"/>
  <pageSetup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opLeftCell="A16" workbookViewId="0">
      <selection activeCell="C49" sqref="C49"/>
    </sheetView>
  </sheetViews>
  <sheetFormatPr defaultRowHeight="15" x14ac:dyDescent="0.25"/>
  <cols>
    <col min="2" max="2" width="13.28515625" customWidth="1"/>
    <col min="11" max="11" width="7.7109375" customWidth="1"/>
    <col min="12" max="12" width="12.140625" customWidth="1"/>
    <col min="13" max="13" width="8.7109375" customWidth="1"/>
    <col min="17" max="17" width="9.85546875" customWidth="1"/>
    <col min="18" max="18" width="11.140625" customWidth="1"/>
  </cols>
  <sheetData>
    <row r="1" spans="1:35" ht="15.75" x14ac:dyDescent="0.25">
      <c r="A1" s="78"/>
      <c r="C1" s="150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21" x14ac:dyDescent="0.25">
      <c r="A3" s="268"/>
      <c r="B3" s="150"/>
      <c r="C3" s="150"/>
      <c r="D3" s="5" t="s">
        <v>513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13.5" customHeight="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513</v>
      </c>
      <c r="N4" s="250"/>
      <c r="O4" s="103"/>
      <c r="P4" s="103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1:35" x14ac:dyDescent="0.25">
      <c r="A6" s="279">
        <v>1</v>
      </c>
      <c r="B6" s="196" t="s">
        <v>352</v>
      </c>
      <c r="C6" s="274" t="s">
        <v>50</v>
      </c>
      <c r="D6" s="275">
        <f>'OCTOBER 19'!I6:I17</f>
        <v>0</v>
      </c>
      <c r="E6" s="280">
        <v>3000</v>
      </c>
      <c r="F6" s="281">
        <v>100</v>
      </c>
      <c r="G6" s="276">
        <f>D6+E6+F6</f>
        <v>3100</v>
      </c>
      <c r="H6" s="277">
        <v>3100</v>
      </c>
      <c r="I6" s="273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</row>
    <row r="7" spans="1:35" ht="18.75" customHeight="1" x14ac:dyDescent="0.25">
      <c r="A7" s="279">
        <v>2</v>
      </c>
      <c r="B7" s="196" t="s">
        <v>433</v>
      </c>
      <c r="C7" s="274" t="s">
        <v>52</v>
      </c>
      <c r="D7" s="275">
        <f>'OCTOBER 19'!I7:I18</f>
        <v>0</v>
      </c>
      <c r="E7" s="280">
        <v>3000</v>
      </c>
      <c r="F7" s="281">
        <v>100</v>
      </c>
      <c r="G7" s="276">
        <f t="shared" ref="G7:G14" si="1">D7+E7+F7</f>
        <v>3100</v>
      </c>
      <c r="H7" s="277">
        <v>3100</v>
      </c>
      <c r="I7" s="273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/>
      <c r="O7" s="320">
        <v>3000</v>
      </c>
      <c r="P7" s="232">
        <f>M7+N7+O7</f>
        <v>6000</v>
      </c>
      <c r="Q7" s="234">
        <v>2000</v>
      </c>
      <c r="R7" s="319">
        <f t="shared" ref="R7:R16" si="2">P7-Q7</f>
        <v>4000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</row>
    <row r="8" spans="1:35" x14ac:dyDescent="0.25">
      <c r="A8" s="279">
        <v>3</v>
      </c>
      <c r="B8" s="282" t="s">
        <v>465</v>
      </c>
      <c r="C8" s="274" t="s">
        <v>54</v>
      </c>
      <c r="D8" s="275">
        <f>'OCTOBER 19'!I8:I19</f>
        <v>0</v>
      </c>
      <c r="E8" s="280">
        <v>3000</v>
      </c>
      <c r="F8" s="281">
        <v>100</v>
      </c>
      <c r="G8" s="276">
        <f>D8+E8+F8</f>
        <v>3100</v>
      </c>
      <c r="H8" s="277"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'OCTOBER 19'!R8:R17</f>
        <v>0</v>
      </c>
      <c r="O8" s="320"/>
      <c r="P8" s="232">
        <f t="shared" ref="P8:P17" si="3">M8+N8+O8</f>
        <v>0</v>
      </c>
      <c r="Q8" s="232"/>
      <c r="R8" s="319">
        <f t="shared" si="2"/>
        <v>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</row>
    <row r="9" spans="1:35" x14ac:dyDescent="0.25">
      <c r="A9" s="279">
        <v>4</v>
      </c>
      <c r="B9" s="196" t="s">
        <v>228</v>
      </c>
      <c r="C9" s="274" t="s">
        <v>56</v>
      </c>
      <c r="D9" s="275">
        <f>'OCTOBER 19'!I9:I20</f>
        <v>0</v>
      </c>
      <c r="E9" s="280">
        <v>3000</v>
      </c>
      <c r="F9" s="281">
        <v>100</v>
      </c>
      <c r="G9" s="276">
        <f>D9+E9+F9</f>
        <v>3100</v>
      </c>
      <c r="H9" s="277">
        <v>3100</v>
      </c>
      <c r="I9" s="273">
        <f t="shared" si="0"/>
        <v>0</v>
      </c>
      <c r="J9" s="150"/>
      <c r="K9" s="83" t="s">
        <v>110</v>
      </c>
      <c r="L9" s="110" t="s">
        <v>467</v>
      </c>
      <c r="M9" s="110"/>
      <c r="N9" s="232">
        <f>'OCTOBER 19'!R9:R18</f>
        <v>0</v>
      </c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</row>
    <row r="10" spans="1:35" ht="16.5" customHeight="1" x14ac:dyDescent="0.25">
      <c r="A10" s="279">
        <v>5</v>
      </c>
      <c r="B10" s="282" t="s">
        <v>291</v>
      </c>
      <c r="C10" s="274" t="s">
        <v>58</v>
      </c>
      <c r="D10" s="275">
        <f>'OCTOBER 19'!I10:I21</f>
        <v>0</v>
      </c>
      <c r="E10" s="280">
        <v>3000</v>
      </c>
      <c r="F10" s="281">
        <v>100</v>
      </c>
      <c r="G10" s="276">
        <f t="shared" si="1"/>
        <v>3100</v>
      </c>
      <c r="H10" s="277">
        <v>3100</v>
      </c>
      <c r="I10" s="273">
        <f t="shared" si="0"/>
        <v>0</v>
      </c>
      <c r="J10" s="150"/>
      <c r="K10" s="87" t="s">
        <v>112</v>
      </c>
      <c r="L10" s="200" t="s">
        <v>443</v>
      </c>
      <c r="M10" s="110"/>
      <c r="N10" s="232">
        <f>'OCTOBER 19'!R10:R19</f>
        <v>2200</v>
      </c>
      <c r="O10" s="321">
        <v>2500</v>
      </c>
      <c r="P10" s="232">
        <f t="shared" si="3"/>
        <v>4700</v>
      </c>
      <c r="Q10" s="319">
        <f>1000+1000+1500</f>
        <v>3500</v>
      </c>
      <c r="R10" s="319">
        <f t="shared" si="2"/>
        <v>1200</v>
      </c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</row>
    <row r="11" spans="1:35" ht="20.25" customHeight="1" x14ac:dyDescent="0.25">
      <c r="A11" s="279">
        <v>6</v>
      </c>
      <c r="B11" s="282" t="s">
        <v>283</v>
      </c>
      <c r="C11" s="274" t="s">
        <v>60</v>
      </c>
      <c r="D11" s="275">
        <f>'OCTOBER 19'!I11:I22</f>
        <v>0</v>
      </c>
      <c r="E11" s="280">
        <v>3000</v>
      </c>
      <c r="F11" s="281">
        <v>100</v>
      </c>
      <c r="G11" s="276">
        <f t="shared" si="1"/>
        <v>3100</v>
      </c>
      <c r="H11" s="277">
        <v>3100</v>
      </c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'OCTOBER 19'!R11:R20</f>
        <v>0</v>
      </c>
      <c r="O11" s="320">
        <v>2500</v>
      </c>
      <c r="P11" s="232">
        <f t="shared" si="3"/>
        <v>2500</v>
      </c>
      <c r="Q11" s="234">
        <v>2500</v>
      </c>
      <c r="R11" s="319">
        <f t="shared" si="2"/>
        <v>0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</row>
    <row r="12" spans="1:35" ht="19.5" customHeight="1" x14ac:dyDescent="0.25">
      <c r="A12" s="279">
        <v>7</v>
      </c>
      <c r="B12" s="282" t="s">
        <v>310</v>
      </c>
      <c r="C12" s="274" t="s">
        <v>62</v>
      </c>
      <c r="D12" s="275">
        <f>'OCTOBER 19'!I12:I23</f>
        <v>0</v>
      </c>
      <c r="E12" s="280">
        <v>3000</v>
      </c>
      <c r="F12" s="281">
        <v>100</v>
      </c>
      <c r="G12" s="276">
        <f t="shared" si="1"/>
        <v>3100</v>
      </c>
      <c r="H12" s="277">
        <v>3100</v>
      </c>
      <c r="I12" s="273">
        <f t="shared" si="0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/>
      <c r="O12" s="325">
        <v>2500</v>
      </c>
      <c r="P12" s="232">
        <f t="shared" si="3"/>
        <v>3500</v>
      </c>
      <c r="Q12" s="326">
        <v>2500</v>
      </c>
      <c r="R12" s="319">
        <f>P12-Q12</f>
        <v>1000</v>
      </c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</row>
    <row r="13" spans="1:35" ht="20.25" customHeight="1" x14ac:dyDescent="0.25">
      <c r="A13" s="283">
        <v>8</v>
      </c>
      <c r="B13" s="119" t="s">
        <v>519</v>
      </c>
      <c r="C13" s="284" t="s">
        <v>64</v>
      </c>
      <c r="D13" s="275">
        <f>'OCTOBER 19'!I13:I24</f>
        <v>0</v>
      </c>
      <c r="E13" s="285">
        <v>3000</v>
      </c>
      <c r="F13" s="286">
        <v>100</v>
      </c>
      <c r="G13" s="276">
        <f>D13+E13+F13</f>
        <v>3100</v>
      </c>
      <c r="H13" s="277">
        <v>3100</v>
      </c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>
        <f>'OCTOBER 19'!R13:R22</f>
        <v>0</v>
      </c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18" customHeight="1" x14ac:dyDescent="0.25">
      <c r="A14" s="283">
        <v>9</v>
      </c>
      <c r="B14" s="196" t="s">
        <v>494</v>
      </c>
      <c r="C14" s="284" t="s">
        <v>18</v>
      </c>
      <c r="D14" s="275">
        <f>'OCTOBER 19'!I14:I25</f>
        <v>0</v>
      </c>
      <c r="E14" s="285">
        <v>3000</v>
      </c>
      <c r="F14" s="286"/>
      <c r="G14" s="276">
        <f t="shared" si="1"/>
        <v>3000</v>
      </c>
      <c r="H14" s="277">
        <v>3000</v>
      </c>
      <c r="I14" s="273">
        <f t="shared" si="0"/>
        <v>0</v>
      </c>
      <c r="J14" s="445">
        <v>500</v>
      </c>
      <c r="K14" s="83" t="s">
        <v>121</v>
      </c>
      <c r="L14" s="249" t="s">
        <v>420</v>
      </c>
      <c r="M14" s="85"/>
      <c r="N14" s="232">
        <f>'OCTOBER 19'!R14:R23</f>
        <v>0</v>
      </c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</row>
    <row r="15" spans="1:35" ht="18" customHeight="1" x14ac:dyDescent="0.25">
      <c r="A15" s="283">
        <v>10</v>
      </c>
      <c r="B15" s="196" t="s">
        <v>460</v>
      </c>
      <c r="C15" s="284" t="s">
        <v>20</v>
      </c>
      <c r="D15" s="275">
        <f>'OCTOBER 19'!I15:I26</f>
        <v>650</v>
      </c>
      <c r="E15" s="285">
        <v>3000</v>
      </c>
      <c r="F15" s="286">
        <v>100</v>
      </c>
      <c r="G15" s="276">
        <f>D15+E15+F15</f>
        <v>3750</v>
      </c>
      <c r="H15" s="277">
        <v>3350</v>
      </c>
      <c r="I15" s="273">
        <f t="shared" si="0"/>
        <v>400</v>
      </c>
      <c r="J15" s="150"/>
      <c r="K15" s="83" t="s">
        <v>123</v>
      </c>
      <c r="L15" s="200" t="s">
        <v>396</v>
      </c>
      <c r="M15" s="85"/>
      <c r="N15" s="232">
        <f>'OCTOBER 19'!R15:R24</f>
        <v>500</v>
      </c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</row>
    <row r="16" spans="1:35" ht="18.75" customHeight="1" x14ac:dyDescent="0.25">
      <c r="A16" s="283">
        <v>11</v>
      </c>
      <c r="B16" s="196" t="s">
        <v>444</v>
      </c>
      <c r="C16" s="284" t="s">
        <v>22</v>
      </c>
      <c r="D16" s="275">
        <f>'OCTOBER 19'!I16:I27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0"/>
        <v>0</v>
      </c>
      <c r="J16" s="150"/>
      <c r="K16" s="83" t="s">
        <v>125</v>
      </c>
      <c r="L16" s="200" t="s">
        <v>312</v>
      </c>
      <c r="M16" s="85"/>
      <c r="N16" s="232">
        <f>'OCTOBER 19'!R16:R25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</row>
    <row r="17" spans="1:35" ht="19.5" customHeight="1" x14ac:dyDescent="0.25">
      <c r="A17" s="283">
        <v>12</v>
      </c>
      <c r="B17" s="444" t="s">
        <v>520</v>
      </c>
      <c r="C17" s="284" t="s">
        <v>24</v>
      </c>
      <c r="D17" s="275">
        <f>'OCTOBER 19'!I17:I28</f>
        <v>0</v>
      </c>
      <c r="E17" s="285">
        <v>3000</v>
      </c>
      <c r="F17" s="286">
        <v>100</v>
      </c>
      <c r="G17" s="276">
        <f>D17+E17+F17</f>
        <v>3100</v>
      </c>
      <c r="H17" s="277">
        <v>3000</v>
      </c>
      <c r="I17" s="273">
        <f t="shared" si="0"/>
        <v>100</v>
      </c>
      <c r="J17" s="150"/>
      <c r="K17" s="83"/>
      <c r="L17" s="204" t="s">
        <v>193</v>
      </c>
      <c r="M17" s="205">
        <f>SUM(M7:M16)</f>
        <v>4000</v>
      </c>
      <c r="N17" s="246">
        <f>SUM(N7:N16)</f>
        <v>2700</v>
      </c>
      <c r="O17" s="239">
        <f>SUM(O7:O16)</f>
        <v>22000</v>
      </c>
      <c r="P17" s="232">
        <f t="shared" si="3"/>
        <v>28700</v>
      </c>
      <c r="Q17" s="240">
        <f>SUM(Q7:Q16)</f>
        <v>22000</v>
      </c>
      <c r="R17" s="323">
        <f>SUM(R7:R16)</f>
        <v>6700</v>
      </c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</row>
    <row r="18" spans="1:35" ht="21.75" customHeight="1" x14ac:dyDescent="0.25">
      <c r="A18" s="293"/>
      <c r="B18" s="294" t="s">
        <v>193</v>
      </c>
      <c r="C18" s="293"/>
      <c r="D18" s="275">
        <f t="shared" ref="D18:I18" si="4">SUM(D6:D17)</f>
        <v>650</v>
      </c>
      <c r="E18" s="240">
        <f t="shared" si="4"/>
        <v>36000</v>
      </c>
      <c r="F18" s="240">
        <f t="shared" si="4"/>
        <v>1100</v>
      </c>
      <c r="G18" s="372">
        <f t="shared" si="4"/>
        <v>37750</v>
      </c>
      <c r="H18" s="361">
        <f t="shared" si="4"/>
        <v>37250</v>
      </c>
      <c r="I18" s="273">
        <f t="shared" si="4"/>
        <v>500</v>
      </c>
      <c r="J18" s="150"/>
      <c r="K18" s="78"/>
      <c r="L18" s="78"/>
      <c r="M18" s="384"/>
      <c r="N18" s="384" t="s">
        <v>481</v>
      </c>
      <c r="O18" s="384"/>
      <c r="P18" s="78"/>
      <c r="Q18" s="78"/>
      <c r="R18" s="220">
        <f>R10+1000</f>
        <v>2200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</row>
    <row r="19" spans="1:35" ht="14.25" customHeight="1" x14ac:dyDescent="0.25">
      <c r="A19" s="442"/>
      <c r="B19" s="443"/>
      <c r="C19" s="443"/>
      <c r="D19" s="443"/>
      <c r="E19" s="345" t="s">
        <v>247</v>
      </c>
      <c r="F19" s="443"/>
      <c r="G19" s="443"/>
      <c r="H19" s="344"/>
      <c r="I19" s="273">
        <f>G19-H19</f>
        <v>0</v>
      </c>
      <c r="J19" s="78"/>
      <c r="K19" s="83">
        <v>1</v>
      </c>
      <c r="L19" s="200" t="s">
        <v>518</v>
      </c>
      <c r="M19" s="85"/>
      <c r="N19" s="232">
        <f>'OCTOBER 19'!R19:R39</f>
        <v>0</v>
      </c>
      <c r="O19" s="320">
        <v>3500</v>
      </c>
      <c r="P19" s="232">
        <f t="shared" ref="P19:P36" si="5">M19+N19+O19</f>
        <v>3500</v>
      </c>
      <c r="Q19" s="232">
        <v>3500</v>
      </c>
      <c r="R19" s="319">
        <f t="shared" ref="R19:R36" si="6">P19-Q19</f>
        <v>0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</row>
    <row r="20" spans="1:35" ht="13.5" customHeight="1" x14ac:dyDescent="0.25">
      <c r="A20" s="166"/>
      <c r="B20" s="166"/>
      <c r="C20" s="166"/>
      <c r="D20" s="166"/>
      <c r="E20" s="166" t="s">
        <v>9</v>
      </c>
      <c r="F20" s="166" t="s">
        <v>11</v>
      </c>
      <c r="G20" s="166" t="s">
        <v>12</v>
      </c>
      <c r="H20" s="166" t="s">
        <v>306</v>
      </c>
      <c r="I20" s="318"/>
      <c r="J20" s="78"/>
      <c r="K20" s="83">
        <v>2</v>
      </c>
      <c r="L20" s="200" t="s">
        <v>507</v>
      </c>
      <c r="M20" s="85"/>
      <c r="N20" s="232">
        <f>'OCTOBER 19'!R20:R40</f>
        <v>0</v>
      </c>
      <c r="O20" s="320">
        <v>3500</v>
      </c>
      <c r="P20" s="232">
        <f t="shared" si="5"/>
        <v>3500</v>
      </c>
      <c r="Q20" s="232">
        <v>3500</v>
      </c>
      <c r="R20" s="319">
        <f t="shared" si="6"/>
        <v>0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</row>
    <row r="21" spans="1:35" x14ac:dyDescent="0.25">
      <c r="A21" s="83">
        <v>1</v>
      </c>
      <c r="B21" s="191" t="s">
        <v>313</v>
      </c>
      <c r="C21" s="85"/>
      <c r="D21" s="86"/>
      <c r="E21" s="232">
        <v>3500</v>
      </c>
      <c r="F21" s="232">
        <f>C21+E21</f>
        <v>3500</v>
      </c>
      <c r="G21" s="232">
        <v>3500</v>
      </c>
      <c r="H21" s="273">
        <f>F21-G21</f>
        <v>0</v>
      </c>
      <c r="I21" s="273"/>
      <c r="J21" s="78"/>
      <c r="K21" s="83">
        <v>3</v>
      </c>
      <c r="L21" s="110" t="s">
        <v>498</v>
      </c>
      <c r="M21" s="110"/>
      <c r="N21" s="232">
        <f>'OCTOBER 19'!R21:R41</f>
        <v>0</v>
      </c>
      <c r="O21" s="110">
        <v>3500</v>
      </c>
      <c r="P21" s="232">
        <f t="shared" si="5"/>
        <v>3500</v>
      </c>
      <c r="Q21" s="110">
        <v>3500</v>
      </c>
      <c r="R21" s="319">
        <f t="shared" si="6"/>
        <v>0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</row>
    <row r="22" spans="1:35" ht="16.5" customHeight="1" x14ac:dyDescent="0.25">
      <c r="A22" s="83">
        <v>2</v>
      </c>
      <c r="B22" s="110" t="s">
        <v>451</v>
      </c>
      <c r="C22" s="113"/>
      <c r="D22" s="113"/>
      <c r="E22" s="110">
        <v>4000</v>
      </c>
      <c r="F22" s="232">
        <f t="shared" ref="F22:F28" si="7">C22+E22</f>
        <v>4000</v>
      </c>
      <c r="G22" s="110">
        <v>4000</v>
      </c>
      <c r="H22" s="273">
        <f t="shared" ref="H22:H28" si="8">F22-G22</f>
        <v>0</v>
      </c>
      <c r="I22" s="273"/>
      <c r="J22" s="78"/>
      <c r="K22" s="83">
        <v>4</v>
      </c>
      <c r="L22" s="200" t="s">
        <v>499</v>
      </c>
      <c r="M22" s="110"/>
      <c r="N22" s="232">
        <f>'OCTOBER 19'!R22:R42</f>
        <v>0</v>
      </c>
      <c r="O22" s="321">
        <v>3500</v>
      </c>
      <c r="P22" s="232">
        <f t="shared" si="5"/>
        <v>3500</v>
      </c>
      <c r="Q22" s="319">
        <v>3500</v>
      </c>
      <c r="R22" s="319">
        <f t="shared" si="6"/>
        <v>0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</row>
    <row r="23" spans="1:35" ht="15.75" customHeight="1" x14ac:dyDescent="0.25">
      <c r="A23" s="83">
        <v>3</v>
      </c>
      <c r="B23" s="191" t="s">
        <v>411</v>
      </c>
      <c r="C23" s="85"/>
      <c r="D23" s="86"/>
      <c r="E23" s="231">
        <v>4000</v>
      </c>
      <c r="F23" s="232">
        <f t="shared" si="7"/>
        <v>4000</v>
      </c>
      <c r="G23" s="110">
        <v>4000</v>
      </c>
      <c r="H23" s="273">
        <f t="shared" si="8"/>
        <v>0</v>
      </c>
      <c r="I23" s="273"/>
      <c r="J23" s="78"/>
      <c r="K23" s="83">
        <v>5</v>
      </c>
      <c r="L23" s="200" t="s">
        <v>505</v>
      </c>
      <c r="M23" s="85"/>
      <c r="N23" s="232">
        <f>'OCTOBER 19'!R23:R43</f>
        <v>0</v>
      </c>
      <c r="O23" s="320">
        <v>3500</v>
      </c>
      <c r="P23" s="232">
        <f t="shared" si="5"/>
        <v>3500</v>
      </c>
      <c r="Q23" s="234">
        <v>3500</v>
      </c>
      <c r="R23" s="319">
        <f t="shared" si="6"/>
        <v>0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</row>
    <row r="24" spans="1:35" ht="10.5" customHeight="1" x14ac:dyDescent="0.25">
      <c r="A24" s="83"/>
      <c r="B24" s="191"/>
      <c r="C24" s="85"/>
      <c r="D24" s="107"/>
      <c r="E24" s="231"/>
      <c r="F24" s="232"/>
      <c r="G24" s="110"/>
      <c r="H24" s="273"/>
      <c r="I24" s="273"/>
      <c r="J24" s="78"/>
      <c r="K24" s="83">
        <v>6</v>
      </c>
      <c r="L24" s="249" t="s">
        <v>501</v>
      </c>
      <c r="M24" s="110"/>
      <c r="N24" s="232">
        <f>'OCTOBER 19'!R24:R44</f>
        <v>0</v>
      </c>
      <c r="O24" s="325">
        <v>3500</v>
      </c>
      <c r="P24" s="232">
        <f t="shared" si="5"/>
        <v>3500</v>
      </c>
      <c r="Q24" s="326">
        <v>3500</v>
      </c>
      <c r="R24" s="319">
        <f t="shared" si="6"/>
        <v>0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</row>
    <row r="25" spans="1:35" ht="16.5" customHeight="1" x14ac:dyDescent="0.25">
      <c r="A25" s="83">
        <v>4</v>
      </c>
      <c r="B25" s="191" t="s">
        <v>350</v>
      </c>
      <c r="C25" s="86"/>
      <c r="D25" s="150"/>
      <c r="E25" s="231">
        <v>4000</v>
      </c>
      <c r="F25" s="232">
        <f t="shared" si="7"/>
        <v>4000</v>
      </c>
      <c r="G25" s="110">
        <v>4000</v>
      </c>
      <c r="H25" s="273">
        <f t="shared" si="8"/>
        <v>0</v>
      </c>
      <c r="I25" s="273"/>
      <c r="J25" s="78"/>
      <c r="K25" s="83">
        <v>7</v>
      </c>
      <c r="L25" s="249" t="s">
        <v>517</v>
      </c>
      <c r="M25" s="85"/>
      <c r="N25" s="232">
        <f>'OCTOBER 19'!R25:R45</f>
        <v>0</v>
      </c>
      <c r="O25" s="320">
        <v>3500</v>
      </c>
      <c r="P25" s="232">
        <f t="shared" si="5"/>
        <v>3500</v>
      </c>
      <c r="Q25" s="234">
        <v>3500</v>
      </c>
      <c r="R25" s="319">
        <f t="shared" si="6"/>
        <v>0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</row>
    <row r="26" spans="1:35" x14ac:dyDescent="0.25">
      <c r="A26" s="99">
        <v>5</v>
      </c>
      <c r="B26" s="191" t="s">
        <v>392</v>
      </c>
      <c r="C26" s="85"/>
      <c r="D26" s="86"/>
      <c r="E26" s="231">
        <v>4000</v>
      </c>
      <c r="F26" s="232">
        <f t="shared" si="7"/>
        <v>4000</v>
      </c>
      <c r="G26" s="110">
        <v>4000</v>
      </c>
      <c r="H26" s="273">
        <f t="shared" si="8"/>
        <v>0</v>
      </c>
      <c r="I26" s="273"/>
      <c r="J26" s="78"/>
      <c r="K26" s="83">
        <v>8</v>
      </c>
      <c r="L26" s="249" t="s">
        <v>477</v>
      </c>
      <c r="M26" s="85"/>
      <c r="N26" s="232">
        <f>'OCTOBER 19'!R26:R46</f>
        <v>0</v>
      </c>
      <c r="O26" s="320">
        <v>3500</v>
      </c>
      <c r="P26" s="232">
        <f t="shared" si="5"/>
        <v>3500</v>
      </c>
      <c r="Q26" s="234">
        <v>3500</v>
      </c>
      <c r="R26" s="319">
        <f t="shared" si="6"/>
        <v>0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</row>
    <row r="27" spans="1:35" x14ac:dyDescent="0.25">
      <c r="A27" s="93">
        <v>6</v>
      </c>
      <c r="B27" s="218" t="s">
        <v>391</v>
      </c>
      <c r="C27" s="85"/>
      <c r="D27" s="86"/>
      <c r="E27" s="231">
        <v>4000</v>
      </c>
      <c r="F27" s="232">
        <f t="shared" si="7"/>
        <v>4000</v>
      </c>
      <c r="G27" s="110">
        <v>4000</v>
      </c>
      <c r="H27" s="273">
        <f t="shared" si="8"/>
        <v>0</v>
      </c>
      <c r="I27" s="273"/>
      <c r="J27" s="78"/>
      <c r="K27" s="83">
        <v>9</v>
      </c>
      <c r="L27" s="200" t="s">
        <v>496</v>
      </c>
      <c r="M27" s="85"/>
      <c r="N27" s="232">
        <f>'OCTOBER 19'!R27:R47</f>
        <v>0</v>
      </c>
      <c r="O27" s="320">
        <v>3500</v>
      </c>
      <c r="P27" s="232">
        <f>M27+N27+O27</f>
        <v>3500</v>
      </c>
      <c r="Q27" s="234">
        <v>3500</v>
      </c>
      <c r="R27" s="319">
        <f t="shared" si="6"/>
        <v>0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</row>
    <row r="28" spans="1:35" ht="22.5" x14ac:dyDescent="0.25">
      <c r="A28" s="83">
        <v>7</v>
      </c>
      <c r="B28" s="210" t="s">
        <v>456</v>
      </c>
      <c r="C28" s="85">
        <v>0</v>
      </c>
      <c r="D28" s="92">
        <v>0</v>
      </c>
      <c r="E28" s="231">
        <v>4000</v>
      </c>
      <c r="F28" s="232">
        <f t="shared" si="7"/>
        <v>4000</v>
      </c>
      <c r="G28" s="110">
        <f>3500+500</f>
        <v>4000</v>
      </c>
      <c r="H28" s="273">
        <f t="shared" si="8"/>
        <v>0</v>
      </c>
      <c r="I28" s="273"/>
      <c r="J28" s="78"/>
      <c r="K28" s="83">
        <v>10</v>
      </c>
      <c r="L28" s="200" t="s">
        <v>490</v>
      </c>
      <c r="M28" s="85"/>
      <c r="N28" s="232">
        <f>'OCTOBER 19'!R28:R48</f>
        <v>0</v>
      </c>
      <c r="O28" s="320">
        <v>3500</v>
      </c>
      <c r="P28" s="232">
        <f t="shared" si="5"/>
        <v>3500</v>
      </c>
      <c r="Q28" s="234">
        <v>3500</v>
      </c>
      <c r="R28" s="319">
        <f t="shared" si="6"/>
        <v>0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</row>
    <row r="29" spans="1:35" x14ac:dyDescent="0.25">
      <c r="A29" s="164"/>
      <c r="B29" s="339" t="s">
        <v>193</v>
      </c>
      <c r="C29" s="42"/>
      <c r="D29" s="42"/>
      <c r="E29" s="240">
        <f>SUM(E21:E28)</f>
        <v>27500</v>
      </c>
      <c r="F29" s="322">
        <f>SUM(F21:F28)</f>
        <v>27500</v>
      </c>
      <c r="G29" s="240">
        <f>SUM(G21:G28)</f>
        <v>27500</v>
      </c>
      <c r="H29" s="273">
        <f>F29-G29</f>
        <v>0</v>
      </c>
      <c r="I29" s="273"/>
      <c r="J29" s="78"/>
      <c r="K29" s="83">
        <v>11</v>
      </c>
      <c r="L29" s="249" t="s">
        <v>474</v>
      </c>
      <c r="M29" s="85"/>
      <c r="N29" s="232">
        <f>'OCTOBER 19'!R29:R49</f>
        <v>0</v>
      </c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</row>
    <row r="30" spans="1:35" x14ac:dyDescent="0.25">
      <c r="A30" s="79"/>
      <c r="B30" s="79"/>
      <c r="C30" s="106"/>
      <c r="D30" s="107"/>
      <c r="E30" s="106"/>
      <c r="F30" s="108"/>
      <c r="G30" s="106"/>
      <c r="H30" s="150"/>
      <c r="I30" s="269"/>
      <c r="J30" s="78"/>
      <c r="K30" s="83">
        <v>12</v>
      </c>
      <c r="L30" s="200" t="s">
        <v>478</v>
      </c>
      <c r="M30" s="85"/>
      <c r="N30" s="232">
        <f>'OCTOBER 19'!R30:R50</f>
        <v>0</v>
      </c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</row>
    <row r="31" spans="1:35" x14ac:dyDescent="0.25">
      <c r="A31" s="303"/>
      <c r="B31" s="359" t="s">
        <v>204</v>
      </c>
      <c r="C31" s="359" t="s">
        <v>205</v>
      </c>
      <c r="D31" s="359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J31" s="78"/>
      <c r="K31" s="83">
        <v>13</v>
      </c>
      <c r="L31" s="200" t="s">
        <v>479</v>
      </c>
      <c r="M31" s="85"/>
      <c r="N31" s="232">
        <f>'OCTOBER 19'!R31:R51</f>
        <v>0</v>
      </c>
      <c r="O31" s="320">
        <v>3500</v>
      </c>
      <c r="P31" s="232">
        <f t="shared" si="5"/>
        <v>3500</v>
      </c>
      <c r="Q31" s="234">
        <v>3500</v>
      </c>
      <c r="R31" s="319">
        <f>P31-Q31</f>
        <v>0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</row>
    <row r="32" spans="1:35" x14ac:dyDescent="0.25">
      <c r="A32" s="304"/>
      <c r="B32" s="211" t="s">
        <v>524</v>
      </c>
      <c r="C32" s="273">
        <f>E29+E18</f>
        <v>63500</v>
      </c>
      <c r="D32" s="164"/>
      <c r="E32" s="164"/>
      <c r="F32" s="211" t="s">
        <v>524</v>
      </c>
      <c r="G32" s="273">
        <f>G29+H18</f>
        <v>64750</v>
      </c>
      <c r="H32" s="164"/>
      <c r="I32" s="273"/>
      <c r="J32" s="78"/>
      <c r="K32" s="83">
        <v>14</v>
      </c>
      <c r="L32" s="200" t="s">
        <v>480</v>
      </c>
      <c r="M32" s="85"/>
      <c r="N32" s="232">
        <f>'OCTOBER 19'!R32:R52</f>
        <v>0</v>
      </c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</row>
    <row r="33" spans="1:35" x14ac:dyDescent="0.25">
      <c r="A33" s="304"/>
      <c r="B33" s="211" t="s">
        <v>209</v>
      </c>
      <c r="C33" s="307">
        <v>0.08</v>
      </c>
      <c r="D33" s="308">
        <f>C32*C33</f>
        <v>5080</v>
      </c>
      <c r="E33" s="211"/>
      <c r="F33" s="211" t="s">
        <v>209</v>
      </c>
      <c r="G33" s="307">
        <v>0.08</v>
      </c>
      <c r="H33" s="308">
        <f>D33</f>
        <v>5080</v>
      </c>
      <c r="I33" s="273"/>
      <c r="J33" s="78"/>
      <c r="K33" s="83">
        <v>15</v>
      </c>
      <c r="L33" s="200" t="s">
        <v>512</v>
      </c>
      <c r="M33" s="85"/>
      <c r="N33" s="232">
        <f>'OCTOBER 19'!R33:R53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</row>
    <row r="34" spans="1:35" x14ac:dyDescent="0.25">
      <c r="A34" s="304"/>
      <c r="B34" s="309" t="s">
        <v>232</v>
      </c>
      <c r="C34" s="308">
        <f>F18</f>
        <v>1100</v>
      </c>
      <c r="D34" s="211"/>
      <c r="E34" s="211"/>
      <c r="F34" s="309" t="s">
        <v>232</v>
      </c>
      <c r="G34" s="308"/>
      <c r="H34" s="211"/>
      <c r="I34" s="273"/>
      <c r="J34" s="78"/>
      <c r="K34" s="83">
        <v>16</v>
      </c>
      <c r="L34" s="200" t="s">
        <v>488</v>
      </c>
      <c r="M34" s="85"/>
      <c r="N34" s="232">
        <f>'OCTOBER 19'!R34:R54</f>
        <v>0</v>
      </c>
      <c r="O34" s="320">
        <v>3500</v>
      </c>
      <c r="P34" s="232">
        <f>M34+N34+O34</f>
        <v>3500</v>
      </c>
      <c r="Q34" s="234">
        <v>3500</v>
      </c>
      <c r="R34" s="319">
        <f t="shared" si="6"/>
        <v>0</v>
      </c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</row>
    <row r="35" spans="1:35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J35" s="78"/>
      <c r="K35" s="83">
        <v>17</v>
      </c>
      <c r="L35" s="200" t="s">
        <v>495</v>
      </c>
      <c r="M35" s="85"/>
      <c r="N35" s="232">
        <f>'OCTOBER 19'!R35:R55</f>
        <v>0</v>
      </c>
      <c r="O35" s="320">
        <v>3500</v>
      </c>
      <c r="P35" s="232">
        <f t="shared" si="5"/>
        <v>3500</v>
      </c>
      <c r="Q35" s="234">
        <v>3500</v>
      </c>
      <c r="R35" s="319">
        <f t="shared" si="6"/>
        <v>0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</row>
    <row r="36" spans="1:35" x14ac:dyDescent="0.25">
      <c r="A36" s="304"/>
      <c r="B36" s="309" t="s">
        <v>470</v>
      </c>
      <c r="C36" s="308">
        <f>3000+3000</f>
        <v>6000</v>
      </c>
      <c r="D36" s="211"/>
      <c r="E36" s="211"/>
      <c r="F36" s="309" t="s">
        <v>323</v>
      </c>
      <c r="G36" s="308">
        <f>C36</f>
        <v>6000</v>
      </c>
      <c r="H36" s="211"/>
      <c r="I36" s="273"/>
      <c r="J36" s="78"/>
      <c r="K36" s="83">
        <v>18</v>
      </c>
      <c r="L36" s="200" t="s">
        <v>475</v>
      </c>
      <c r="M36" s="85"/>
      <c r="N36" s="232">
        <f>'OCTOBER 19'!R36:R56</f>
        <v>0</v>
      </c>
      <c r="O36" s="320">
        <v>3500</v>
      </c>
      <c r="P36" s="232">
        <f t="shared" si="5"/>
        <v>3500</v>
      </c>
      <c r="Q36" s="234">
        <v>3500</v>
      </c>
      <c r="R36" s="319">
        <f t="shared" si="6"/>
        <v>0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</row>
    <row r="37" spans="1:35" x14ac:dyDescent="0.25">
      <c r="A37" s="304"/>
      <c r="B37" s="309" t="s">
        <v>239</v>
      </c>
      <c r="C37" s="308">
        <f>'OCTOBER 19'!E48</f>
        <v>-2992.6576947199646</v>
      </c>
      <c r="D37" s="211"/>
      <c r="E37" s="211"/>
      <c r="F37" s="309" t="s">
        <v>239</v>
      </c>
      <c r="G37" s="308">
        <f>'OCTOBER 19'!I48</f>
        <v>-5386.7247999999672</v>
      </c>
      <c r="H37" s="211"/>
      <c r="I37" s="273"/>
      <c r="J37" s="78"/>
      <c r="K37" s="83">
        <v>19</v>
      </c>
      <c r="L37" s="200" t="s">
        <v>516</v>
      </c>
      <c r="M37" s="85">
        <v>3500</v>
      </c>
      <c r="N37" s="232">
        <f>'OCTOBER 19'!R37:R57</f>
        <v>0</v>
      </c>
      <c r="O37" s="320">
        <v>3500</v>
      </c>
      <c r="P37" s="232">
        <f>M37+N37+O37</f>
        <v>7000</v>
      </c>
      <c r="Q37" s="234">
        <v>7000</v>
      </c>
      <c r="R37" s="319">
        <f>P37-Q37</f>
        <v>0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</row>
    <row r="38" spans="1:35" x14ac:dyDescent="0.25">
      <c r="A38" s="304"/>
      <c r="B38" s="309" t="s">
        <v>193</v>
      </c>
      <c r="C38" s="308">
        <f>C32+C34+C37+C35</f>
        <v>64607.342305280035</v>
      </c>
      <c r="D38" s="211"/>
      <c r="E38" s="211"/>
      <c r="F38" s="309" t="s">
        <v>193</v>
      </c>
      <c r="G38" s="308">
        <f>G32+G34+G37+G35</f>
        <v>62363.275200000033</v>
      </c>
      <c r="H38" s="211"/>
      <c r="I38" s="273"/>
      <c r="J38" s="78"/>
      <c r="K38" s="83">
        <v>20</v>
      </c>
      <c r="L38" s="200" t="s">
        <v>497</v>
      </c>
      <c r="M38" s="85"/>
      <c r="N38" s="232">
        <f>'OCTOBER 19'!R38:R58</f>
        <v>0</v>
      </c>
      <c r="O38" s="320">
        <v>3500</v>
      </c>
      <c r="P38" s="232">
        <f>M38+N38+O38</f>
        <v>3500</v>
      </c>
      <c r="Q38" s="234">
        <v>3500</v>
      </c>
      <c r="R38" s="319">
        <f>P38-Q38</f>
        <v>0</v>
      </c>
      <c r="S38" s="78" t="s">
        <v>522</v>
      </c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</row>
    <row r="39" spans="1:35" x14ac:dyDescent="0.25">
      <c r="A39" s="304"/>
      <c r="B39" s="365" t="s">
        <v>347</v>
      </c>
      <c r="C39" s="366"/>
      <c r="D39" s="367"/>
      <c r="E39" s="366"/>
      <c r="F39" s="309"/>
      <c r="G39" s="308"/>
      <c r="H39" s="367"/>
      <c r="I39" s="368"/>
      <c r="J39" s="78"/>
      <c r="K39" s="83"/>
      <c r="L39" s="204" t="s">
        <v>193</v>
      </c>
      <c r="M39" s="205">
        <f>SUM(M19:M38)</f>
        <v>3500</v>
      </c>
      <c r="N39" s="232">
        <f>SUM(N20:N38)</f>
        <v>0</v>
      </c>
      <c r="O39" s="239">
        <f>SUM(O19:O38)</f>
        <v>70000</v>
      </c>
      <c r="P39" s="232">
        <f>M39+N39+O39</f>
        <v>73500</v>
      </c>
      <c r="Q39" s="240">
        <f>SUM(Q19:Q38)</f>
        <v>73500</v>
      </c>
      <c r="R39" s="319">
        <f>P39-Q39</f>
        <v>0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</row>
    <row r="40" spans="1:35" x14ac:dyDescent="0.25">
      <c r="A40" s="304"/>
      <c r="B40" s="365"/>
      <c r="C40" s="366"/>
      <c r="D40" s="367"/>
      <c r="E40" s="366"/>
      <c r="F40" s="365"/>
      <c r="G40" s="366"/>
      <c r="H40" s="367"/>
      <c r="I40" s="368"/>
      <c r="J40" s="78"/>
      <c r="K40" s="382" t="s">
        <v>509</v>
      </c>
      <c r="L40" s="106"/>
      <c r="M40" s="107"/>
      <c r="N40" s="106"/>
      <c r="O40" s="108"/>
      <c r="P40" s="106"/>
      <c r="Q40" s="150"/>
      <c r="R40" s="269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</row>
    <row r="41" spans="1:35" x14ac:dyDescent="0.25">
      <c r="A41" s="150"/>
      <c r="B41" s="369" t="s">
        <v>468</v>
      </c>
      <c r="C41" s="78"/>
      <c r="D41" s="371">
        <v>3000</v>
      </c>
      <c r="E41" s="370"/>
      <c r="F41" s="369" t="s">
        <v>468</v>
      </c>
      <c r="G41" s="78"/>
      <c r="H41" s="371">
        <v>3000</v>
      </c>
      <c r="I41" s="368"/>
      <c r="J41" s="7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</row>
    <row r="42" spans="1:35" x14ac:dyDescent="0.25">
      <c r="A42" s="150"/>
      <c r="B42" s="369" t="s">
        <v>521</v>
      </c>
      <c r="C42" s="370"/>
      <c r="D42" s="371">
        <v>62527</v>
      </c>
      <c r="E42" s="370"/>
      <c r="F42" s="369" t="s">
        <v>521</v>
      </c>
      <c r="G42" s="370"/>
      <c r="H42" s="371">
        <v>62527</v>
      </c>
      <c r="I42" s="368"/>
      <c r="J42" s="78"/>
      <c r="K42" s="211" t="s">
        <v>524</v>
      </c>
      <c r="L42" s="273">
        <f>O39+O17</f>
        <v>92000</v>
      </c>
      <c r="M42" s="164"/>
      <c r="N42" s="164"/>
      <c r="O42" s="211" t="s">
        <v>524</v>
      </c>
      <c r="P42" s="273">
        <f>Q39+Q17</f>
        <v>95500</v>
      </c>
      <c r="Q42" s="164"/>
      <c r="R42" s="273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</row>
    <row r="43" spans="1:35" x14ac:dyDescent="0.25">
      <c r="A43" s="150"/>
      <c r="B43" s="370"/>
      <c r="C43" s="370"/>
      <c r="D43" s="368"/>
      <c r="E43" s="370"/>
      <c r="F43" s="370"/>
      <c r="G43" s="370"/>
      <c r="H43" s="370"/>
      <c r="I43" s="368"/>
      <c r="J43" s="78"/>
      <c r="K43" s="211" t="s">
        <v>209</v>
      </c>
      <c r="L43" s="307">
        <v>0.08</v>
      </c>
      <c r="M43" s="308">
        <f>L42*L43</f>
        <v>7360</v>
      </c>
      <c r="N43" s="211"/>
      <c r="O43" s="211" t="s">
        <v>209</v>
      </c>
      <c r="P43" s="307">
        <v>0.08</v>
      </c>
      <c r="Q43" s="308">
        <f>M43</f>
        <v>7360</v>
      </c>
      <c r="R43" s="273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</row>
    <row r="44" spans="1:35" x14ac:dyDescent="0.25">
      <c r="A44" s="150"/>
      <c r="B44" s="370"/>
      <c r="C44" s="370"/>
      <c r="D44" s="370"/>
      <c r="E44" s="370"/>
      <c r="F44" s="369"/>
      <c r="G44" s="365"/>
      <c r="H44" s="366"/>
      <c r="I44" s="367"/>
      <c r="J44" s="78"/>
      <c r="K44" s="309" t="s">
        <v>232</v>
      </c>
      <c r="L44" s="308"/>
      <c r="M44" s="211"/>
      <c r="N44" s="211"/>
      <c r="O44" s="309" t="s">
        <v>232</v>
      </c>
      <c r="P44" s="308"/>
      <c r="Q44" s="211"/>
      <c r="R44" s="273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</row>
    <row r="45" spans="1:35" x14ac:dyDescent="0.25">
      <c r="A45" s="150"/>
      <c r="B45" s="369"/>
      <c r="C45" s="370"/>
      <c r="D45" s="371"/>
      <c r="E45" s="370"/>
      <c r="F45" s="369"/>
      <c r="G45" s="370"/>
      <c r="H45" s="371"/>
      <c r="I45" s="368"/>
      <c r="J45" s="78"/>
      <c r="K45" s="211"/>
      <c r="L45" s="307"/>
      <c r="M45" s="308"/>
      <c r="N45" s="211"/>
      <c r="O45" s="309"/>
      <c r="P45" s="308"/>
      <c r="Q45" s="211"/>
      <c r="R45" s="273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</row>
    <row r="46" spans="1:35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78"/>
      <c r="K46" s="309" t="s">
        <v>470</v>
      </c>
      <c r="L46" s="308">
        <f>M39</f>
        <v>3500</v>
      </c>
      <c r="M46" s="211"/>
      <c r="N46" s="211"/>
      <c r="O46" s="309"/>
      <c r="P46" s="308"/>
      <c r="Q46" s="211"/>
      <c r="R46" s="273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</row>
    <row r="47" spans="1:35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78"/>
      <c r="K47" s="309" t="s">
        <v>239</v>
      </c>
      <c r="L47" s="308">
        <f>'OCTOBER 19'!N53</f>
        <v>740</v>
      </c>
      <c r="M47" s="211"/>
      <c r="N47" s="211"/>
      <c r="O47" s="309" t="s">
        <v>239</v>
      </c>
      <c r="P47" s="308">
        <f>'OCTOBER 19'!R53</f>
        <v>740</v>
      </c>
      <c r="Q47" s="211"/>
      <c r="R47" s="273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</row>
    <row r="48" spans="1:35" x14ac:dyDescent="0.25">
      <c r="A48" s="150"/>
      <c r="B48" s="166" t="s">
        <v>193</v>
      </c>
      <c r="C48" s="317">
        <f>C32+C34+C35+C36+C37-D33</f>
        <v>65527.342305280035</v>
      </c>
      <c r="D48" s="318">
        <f>SUM(D39:D47)</f>
        <v>65527</v>
      </c>
      <c r="E48" s="318">
        <f>C48-D48</f>
        <v>0.34230528003536165</v>
      </c>
      <c r="F48" s="166" t="s">
        <v>193</v>
      </c>
      <c r="G48" s="317">
        <f>G32+G34+G35+G37+G36-H33</f>
        <v>63283.275200000033</v>
      </c>
      <c r="H48" s="318">
        <f>SUM(H39:H47)</f>
        <v>65527</v>
      </c>
      <c r="I48" s="318">
        <f>G48-H48</f>
        <v>-2243.7247999999672</v>
      </c>
      <c r="J48" s="78"/>
      <c r="K48" s="309" t="s">
        <v>193</v>
      </c>
      <c r="L48" s="308">
        <f>L42+L44+L47+L46</f>
        <v>96240</v>
      </c>
      <c r="M48" s="211"/>
      <c r="N48" s="211"/>
      <c r="O48" s="309" t="s">
        <v>193</v>
      </c>
      <c r="P48" s="308">
        <f>P42+P44+P47+P45</f>
        <v>96240</v>
      </c>
      <c r="Q48" s="211"/>
      <c r="R48" s="273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</row>
    <row r="49" spans="1:35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J49" s="78"/>
      <c r="K49" s="212" t="s">
        <v>276</v>
      </c>
      <c r="L49" s="307"/>
      <c r="M49" s="214"/>
      <c r="N49" s="211"/>
      <c r="O49" s="212" t="s">
        <v>276</v>
      </c>
      <c r="P49" s="307"/>
      <c r="Q49" s="214"/>
      <c r="R49" s="273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</row>
    <row r="50" spans="1:35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J50" s="78"/>
      <c r="K50" s="365" t="s">
        <v>521</v>
      </c>
      <c r="L50" s="380"/>
      <c r="M50" s="367">
        <v>88880</v>
      </c>
      <c r="N50" s="366"/>
      <c r="O50" s="365" t="s">
        <v>521</v>
      </c>
      <c r="P50" s="380"/>
      <c r="Q50" s="367">
        <v>88880</v>
      </c>
      <c r="R50" s="36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</row>
    <row r="51" spans="1:35" x14ac:dyDescent="0.25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365"/>
      <c r="L51" s="380"/>
      <c r="M51" s="367"/>
      <c r="N51" s="366"/>
      <c r="O51" s="365"/>
      <c r="P51" s="380"/>
      <c r="Q51" s="367"/>
      <c r="R51" s="36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</row>
    <row r="52" spans="1:35" s="78" customFormat="1" x14ac:dyDescent="0.25">
      <c r="K52" s="365" t="s">
        <v>529</v>
      </c>
      <c r="L52" s="380"/>
      <c r="M52" s="367">
        <v>3500</v>
      </c>
      <c r="N52" s="366"/>
      <c r="O52" s="365" t="s">
        <v>529</v>
      </c>
      <c r="P52" s="380"/>
      <c r="Q52" s="367">
        <v>3500</v>
      </c>
      <c r="R52" s="368"/>
    </row>
    <row r="53" spans="1:35" s="78" customFormat="1" x14ac:dyDescent="0.25">
      <c r="K53" s="369" t="s">
        <v>527</v>
      </c>
      <c r="L53" s="370"/>
      <c r="M53" s="371">
        <v>3500</v>
      </c>
      <c r="N53" s="370"/>
      <c r="O53" s="369" t="s">
        <v>527</v>
      </c>
      <c r="P53" s="370"/>
      <c r="Q53" s="371">
        <v>3500</v>
      </c>
      <c r="R53" s="368"/>
    </row>
    <row r="54" spans="1:35" x14ac:dyDescent="0.25">
      <c r="A54" s="150"/>
      <c r="B54" s="150"/>
      <c r="C54" s="150"/>
      <c r="D54" s="150"/>
      <c r="E54" s="150"/>
      <c r="F54" s="269">
        <f>E48+N55</f>
        <v>-6999.6576947199646</v>
      </c>
      <c r="G54" s="150"/>
      <c r="H54" s="150"/>
      <c r="I54" s="150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</row>
    <row r="55" spans="1:3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L42+L44+L45+L46+L47-M43</f>
        <v>88880</v>
      </c>
      <c r="M55" s="318">
        <f>SUM(M50:M54)</f>
        <v>95880</v>
      </c>
      <c r="N55" s="318">
        <f>L55-M55</f>
        <v>-7000</v>
      </c>
      <c r="O55" s="166" t="s">
        <v>193</v>
      </c>
      <c r="P55" s="317">
        <f>P42+P44+P45+P47-Q43</f>
        <v>88880</v>
      </c>
      <c r="Q55" s="318">
        <f>SUM(Q50:Q54)</f>
        <v>95880</v>
      </c>
      <c r="R55" s="318">
        <f>P55-Q55</f>
        <v>-7000</v>
      </c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</row>
    <row r="56" spans="1:35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</row>
    <row r="57" spans="1:35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269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</row>
    <row r="58" spans="1:35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269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</row>
    <row r="59" spans="1:35" x14ac:dyDescent="0.25">
      <c r="A59" s="78"/>
      <c r="B59" s="78"/>
      <c r="C59" s="78"/>
      <c r="D59" s="78"/>
      <c r="E59" s="220">
        <f>E48+N55</f>
        <v>-6999.6576947199646</v>
      </c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</row>
    <row r="60" spans="1:35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</row>
    <row r="61" spans="1:35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</row>
    <row r="62" spans="1:35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</row>
    <row r="63" spans="1:35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</row>
    <row r="64" spans="1:35" x14ac:dyDescent="0.25">
      <c r="A64" s="78"/>
      <c r="B64" s="78"/>
      <c r="C64" s="78"/>
      <c r="D64" s="78"/>
      <c r="E64" s="78"/>
      <c r="F64" s="78"/>
      <c r="G64" s="78"/>
      <c r="H64" s="78"/>
      <c r="I64" s="220">
        <f>L42-M43</f>
        <v>84640</v>
      </c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</row>
    <row r="65" spans="1:35" x14ac:dyDescent="0.25">
      <c r="A65" s="78"/>
      <c r="B65" s="78"/>
      <c r="C65" s="78"/>
      <c r="D65" s="78"/>
      <c r="E65" s="78"/>
      <c r="F65" s="78"/>
      <c r="G65" s="78"/>
      <c r="H65" s="78"/>
      <c r="I65" s="220">
        <f>I64+3500</f>
        <v>88140</v>
      </c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</row>
    <row r="66" spans="1:35" x14ac:dyDescent="0.25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</row>
    <row r="67" spans="1:35" x14ac:dyDescent="0.2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</row>
    <row r="68" spans="1:35" x14ac:dyDescent="0.25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</row>
    <row r="69" spans="1:35" x14ac:dyDescent="0.25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</row>
    <row r="70" spans="1:35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</row>
  </sheetData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J33" sqref="J33"/>
    </sheetView>
  </sheetViews>
  <sheetFormatPr defaultRowHeight="15" x14ac:dyDescent="0.25"/>
  <cols>
    <col min="1" max="1" width="9.140625" customWidth="1"/>
    <col min="2" max="2" width="9.28515625" customWidth="1"/>
    <col min="3" max="3" width="12.5703125" customWidth="1"/>
  </cols>
  <sheetData>
    <row r="1" spans="1:9" x14ac:dyDescent="0.25">
      <c r="A1" s="150"/>
      <c r="B1" s="78"/>
      <c r="C1" s="78"/>
      <c r="D1" s="78"/>
      <c r="E1" s="78"/>
      <c r="F1" s="78"/>
      <c r="G1" s="78"/>
      <c r="H1" s="78"/>
      <c r="I1" s="78"/>
    </row>
    <row r="2" spans="1:9" ht="15.75" x14ac:dyDescent="0.25">
      <c r="A2" s="150"/>
      <c r="B2" s="78"/>
      <c r="C2" s="78"/>
      <c r="D2" s="251" t="s">
        <v>356</v>
      </c>
      <c r="E2" s="150"/>
      <c r="F2" s="150"/>
      <c r="G2" s="150"/>
      <c r="H2" s="78"/>
      <c r="I2" s="78"/>
    </row>
    <row r="3" spans="1:9" ht="15.75" x14ac:dyDescent="0.25">
      <c r="A3" s="150"/>
      <c r="B3" s="78"/>
      <c r="C3" s="78"/>
      <c r="D3" s="250" t="s">
        <v>357</v>
      </c>
      <c r="E3" s="5"/>
      <c r="F3" s="150"/>
      <c r="G3" s="150"/>
      <c r="H3" s="78"/>
      <c r="I3" s="78"/>
    </row>
    <row r="4" spans="1:9" ht="21" x14ac:dyDescent="0.25">
      <c r="A4" s="150"/>
      <c r="B4" s="78"/>
      <c r="C4" s="78"/>
      <c r="D4" s="5" t="s">
        <v>513</v>
      </c>
      <c r="E4" s="250"/>
      <c r="F4" s="103"/>
      <c r="G4" s="103"/>
      <c r="H4" s="78"/>
      <c r="I4" s="78"/>
    </row>
    <row r="5" spans="1:9" ht="14.25" customHeight="1" x14ac:dyDescent="0.25">
      <c r="A5" s="150"/>
      <c r="B5" s="78"/>
      <c r="C5" s="78"/>
      <c r="D5" s="78"/>
      <c r="E5" s="384" t="s">
        <v>346</v>
      </c>
      <c r="F5" s="78"/>
      <c r="G5" s="78"/>
      <c r="H5" s="78"/>
      <c r="I5" s="78"/>
    </row>
    <row r="6" spans="1:9" ht="12.75" customHeight="1" x14ac:dyDescent="0.25">
      <c r="A6" s="150"/>
      <c r="B6" s="353" t="s">
        <v>3</v>
      </c>
      <c r="C6" s="353" t="s">
        <v>4</v>
      </c>
      <c r="D6" s="353" t="s">
        <v>104</v>
      </c>
      <c r="E6" s="353" t="s">
        <v>8</v>
      </c>
      <c r="F6" s="353" t="s">
        <v>9</v>
      </c>
      <c r="G6" s="354" t="s">
        <v>11</v>
      </c>
      <c r="H6" s="353" t="s">
        <v>12</v>
      </c>
      <c r="I6" s="355" t="s">
        <v>105</v>
      </c>
    </row>
    <row r="7" spans="1:9" ht="18" customHeight="1" x14ac:dyDescent="0.25">
      <c r="A7" s="150"/>
      <c r="B7" s="83" t="s">
        <v>106</v>
      </c>
      <c r="C7" s="249" t="s">
        <v>491</v>
      </c>
      <c r="D7" s="85">
        <v>3000</v>
      </c>
      <c r="E7" s="232"/>
      <c r="F7" s="320">
        <v>3000</v>
      </c>
      <c r="G7" s="232">
        <f>D7+E7+F7</f>
        <v>6000</v>
      </c>
      <c r="H7" s="234">
        <v>3000</v>
      </c>
      <c r="I7" s="319">
        <f t="shared" ref="I7:I16" si="0">G7-H7</f>
        <v>3000</v>
      </c>
    </row>
    <row r="8" spans="1:9" x14ac:dyDescent="0.25">
      <c r="A8" s="150"/>
      <c r="B8" s="83" t="s">
        <v>108</v>
      </c>
      <c r="C8" s="200" t="s">
        <v>284</v>
      </c>
      <c r="D8" s="85"/>
      <c r="E8" s="232">
        <f>'OCTOBER 19'!I8:I17</f>
        <v>0</v>
      </c>
      <c r="F8" s="320"/>
      <c r="G8" s="232">
        <f t="shared" ref="G8:G17" si="1">D8+E8+F8</f>
        <v>0</v>
      </c>
      <c r="H8" s="232"/>
      <c r="I8" s="319">
        <f t="shared" si="0"/>
        <v>0</v>
      </c>
    </row>
    <row r="9" spans="1:9" x14ac:dyDescent="0.25">
      <c r="A9" s="150"/>
      <c r="B9" s="83" t="s">
        <v>110</v>
      </c>
      <c r="C9" s="110" t="s">
        <v>467</v>
      </c>
      <c r="D9" s="110"/>
      <c r="E9" s="232">
        <f>'OCTOBER 19'!I9:I18</f>
        <v>0</v>
      </c>
      <c r="F9" s="110">
        <v>2500</v>
      </c>
      <c r="G9" s="232">
        <f t="shared" si="1"/>
        <v>2500</v>
      </c>
      <c r="H9" s="110"/>
      <c r="I9" s="319">
        <f t="shared" si="0"/>
        <v>2500</v>
      </c>
    </row>
    <row r="10" spans="1:9" ht="16.5" customHeight="1" x14ac:dyDescent="0.25">
      <c r="A10" s="150"/>
      <c r="B10" s="87" t="s">
        <v>112</v>
      </c>
      <c r="C10" s="200" t="s">
        <v>443</v>
      </c>
      <c r="D10" s="110"/>
      <c r="E10" s="232">
        <f>'OCTOBER 19'!I10:I19</f>
        <v>0</v>
      </c>
      <c r="F10" s="321">
        <v>2500</v>
      </c>
      <c r="G10" s="232">
        <f t="shared" si="1"/>
        <v>2500</v>
      </c>
      <c r="H10" s="319">
        <v>1000</v>
      </c>
      <c r="I10" s="319">
        <f t="shared" si="0"/>
        <v>1500</v>
      </c>
    </row>
    <row r="11" spans="1:9" ht="17.25" customHeight="1" x14ac:dyDescent="0.25">
      <c r="A11" s="150"/>
      <c r="B11" s="99" t="s">
        <v>114</v>
      </c>
      <c r="C11" s="200" t="s">
        <v>427</v>
      </c>
      <c r="D11" s="85"/>
      <c r="E11" s="232">
        <f>'OCTOBER 19'!I11:I20</f>
        <v>0</v>
      </c>
      <c r="F11" s="320">
        <v>2500</v>
      </c>
      <c r="G11" s="232">
        <f t="shared" si="1"/>
        <v>2500</v>
      </c>
      <c r="H11" s="234">
        <v>2500</v>
      </c>
      <c r="I11" s="319">
        <f t="shared" si="0"/>
        <v>0</v>
      </c>
    </row>
    <row r="12" spans="1:9" ht="16.5" customHeight="1" x14ac:dyDescent="0.25">
      <c r="A12" s="150"/>
      <c r="B12" s="93" t="s">
        <v>116</v>
      </c>
      <c r="C12" s="249" t="s">
        <v>437</v>
      </c>
      <c r="D12" s="110">
        <f>'OCTOBER 19'!I12</f>
        <v>0</v>
      </c>
      <c r="E12" s="232"/>
      <c r="F12" s="325">
        <v>2500</v>
      </c>
      <c r="G12" s="232">
        <f t="shared" si="1"/>
        <v>2500</v>
      </c>
      <c r="H12" s="326">
        <v>2500</v>
      </c>
      <c r="I12" s="319">
        <f t="shared" si="0"/>
        <v>0</v>
      </c>
    </row>
    <row r="13" spans="1:9" ht="14.25" customHeight="1" x14ac:dyDescent="0.25">
      <c r="A13" s="150"/>
      <c r="B13" s="83" t="s">
        <v>119</v>
      </c>
      <c r="C13" s="249" t="s">
        <v>120</v>
      </c>
      <c r="D13" s="85"/>
      <c r="E13" s="232">
        <f>'OCTOBER 19'!I13:I22</f>
        <v>0</v>
      </c>
      <c r="F13" s="320">
        <v>2500</v>
      </c>
      <c r="G13" s="232">
        <f t="shared" si="1"/>
        <v>2500</v>
      </c>
      <c r="H13" s="234">
        <v>2500</v>
      </c>
      <c r="I13" s="319">
        <f t="shared" si="0"/>
        <v>0</v>
      </c>
    </row>
    <row r="14" spans="1:9" x14ac:dyDescent="0.25">
      <c r="A14" s="445">
        <v>400</v>
      </c>
      <c r="B14" s="83" t="s">
        <v>121</v>
      </c>
      <c r="C14" s="249" t="s">
        <v>420</v>
      </c>
      <c r="D14" s="85"/>
      <c r="E14" s="232">
        <f>'OCTOBER 19'!I14:I23</f>
        <v>0</v>
      </c>
      <c r="F14" s="320">
        <v>2500</v>
      </c>
      <c r="G14" s="232">
        <f t="shared" si="1"/>
        <v>2500</v>
      </c>
      <c r="H14" s="234">
        <v>2500</v>
      </c>
      <c r="I14" s="319">
        <f t="shared" si="0"/>
        <v>0</v>
      </c>
    </row>
    <row r="15" spans="1:9" x14ac:dyDescent="0.25">
      <c r="A15" s="150"/>
      <c r="B15" s="83" t="s">
        <v>123</v>
      </c>
      <c r="C15" s="200" t="s">
        <v>396</v>
      </c>
      <c r="D15" s="85"/>
      <c r="E15" s="232">
        <f>'OCTOBER 19'!I15:I24</f>
        <v>650</v>
      </c>
      <c r="F15" s="320">
        <v>2500</v>
      </c>
      <c r="G15" s="232">
        <f t="shared" si="1"/>
        <v>3150</v>
      </c>
      <c r="H15" s="234">
        <v>2500</v>
      </c>
      <c r="I15" s="319">
        <f t="shared" si="0"/>
        <v>650</v>
      </c>
    </row>
    <row r="16" spans="1:9" x14ac:dyDescent="0.25">
      <c r="A16" s="150"/>
      <c r="B16" s="83" t="s">
        <v>125</v>
      </c>
      <c r="C16" s="200" t="s">
        <v>312</v>
      </c>
      <c r="D16" s="85"/>
      <c r="E16" s="232">
        <f>'OCTOBER 19'!I16:I25</f>
        <v>0</v>
      </c>
      <c r="F16" s="231">
        <v>1500</v>
      </c>
      <c r="G16" s="232">
        <f>D16+E16+F16</f>
        <v>1500</v>
      </c>
      <c r="H16" s="234">
        <v>1500</v>
      </c>
      <c r="I16" s="319">
        <f t="shared" si="0"/>
        <v>0</v>
      </c>
    </row>
    <row r="17" spans="1:9" x14ac:dyDescent="0.25">
      <c r="A17" s="150"/>
      <c r="B17" s="83"/>
      <c r="C17" s="204" t="s">
        <v>193</v>
      </c>
      <c r="D17" s="205">
        <f>SUM(D7:D16)</f>
        <v>3000</v>
      </c>
      <c r="E17" s="246">
        <f>SUM(E7:E16)</f>
        <v>650</v>
      </c>
      <c r="F17" s="239">
        <f>SUM(F7:F16)</f>
        <v>22000</v>
      </c>
      <c r="G17" s="232">
        <f t="shared" si="1"/>
        <v>25650</v>
      </c>
      <c r="H17" s="240">
        <f>SUM(H7:H16)</f>
        <v>18000</v>
      </c>
      <c r="I17" s="323">
        <f>SUM(I7:I16)</f>
        <v>7650</v>
      </c>
    </row>
    <row r="18" spans="1:9" ht="10.5" customHeight="1" x14ac:dyDescent="0.25">
      <c r="A18" s="150"/>
      <c r="B18" s="78"/>
      <c r="C18" s="78"/>
      <c r="D18" s="384"/>
      <c r="E18" s="384" t="s">
        <v>481</v>
      </c>
      <c r="F18" s="384"/>
      <c r="G18" s="78"/>
      <c r="H18" s="78"/>
      <c r="I18" s="78"/>
    </row>
    <row r="19" spans="1:9" ht="16.5" customHeight="1" x14ac:dyDescent="0.25">
      <c r="A19" s="78"/>
      <c r="B19" s="83">
        <v>1</v>
      </c>
      <c r="C19" s="200" t="s">
        <v>518</v>
      </c>
      <c r="D19" s="85"/>
      <c r="E19" s="232">
        <f>'OCTOBER 19'!I19:I39</f>
        <v>0</v>
      </c>
      <c r="F19" s="320">
        <v>3500</v>
      </c>
      <c r="G19" s="232">
        <f t="shared" ref="G19:G36" si="2">D19+E19+F19</f>
        <v>3500</v>
      </c>
      <c r="H19" s="232">
        <v>3500</v>
      </c>
      <c r="I19" s="319">
        <f t="shared" ref="I19:I36" si="3">G19-H19</f>
        <v>0</v>
      </c>
    </row>
    <row r="20" spans="1:9" ht="13.5" customHeight="1" x14ac:dyDescent="0.25">
      <c r="A20" s="78"/>
      <c r="B20" s="83">
        <v>2</v>
      </c>
      <c r="C20" s="200" t="s">
        <v>507</v>
      </c>
      <c r="D20" s="85"/>
      <c r="E20" s="232">
        <f>'OCTOBER 19'!I20:I40</f>
        <v>0</v>
      </c>
      <c r="F20" s="320">
        <v>3500</v>
      </c>
      <c r="G20" s="232">
        <f t="shared" si="2"/>
        <v>3500</v>
      </c>
      <c r="H20" s="232">
        <v>3500</v>
      </c>
      <c r="I20" s="319">
        <f t="shared" si="3"/>
        <v>0</v>
      </c>
    </row>
    <row r="21" spans="1:9" x14ac:dyDescent="0.25">
      <c r="A21" s="78"/>
      <c r="B21" s="83">
        <v>3</v>
      </c>
      <c r="C21" s="110" t="s">
        <v>498</v>
      </c>
      <c r="D21" s="110"/>
      <c r="E21" s="232">
        <f>'OCTOBER 19'!I21:I41</f>
        <v>0</v>
      </c>
      <c r="F21" s="110">
        <v>3500</v>
      </c>
      <c r="G21" s="232">
        <f t="shared" si="2"/>
        <v>3500</v>
      </c>
      <c r="H21" s="110">
        <v>3500</v>
      </c>
      <c r="I21" s="319">
        <f t="shared" si="3"/>
        <v>0</v>
      </c>
    </row>
    <row r="22" spans="1:9" ht="15.75" customHeight="1" x14ac:dyDescent="0.25">
      <c r="A22" s="78"/>
      <c r="B22" s="83">
        <v>4</v>
      </c>
      <c r="C22" s="200" t="s">
        <v>499</v>
      </c>
      <c r="D22" s="110"/>
      <c r="E22" s="232">
        <f>'OCTOBER 19'!I22:I42</f>
        <v>0</v>
      </c>
      <c r="F22" s="321">
        <v>3500</v>
      </c>
      <c r="G22" s="232">
        <f t="shared" si="2"/>
        <v>3500</v>
      </c>
      <c r="H22" s="319">
        <v>3500</v>
      </c>
      <c r="I22" s="319">
        <f t="shared" si="3"/>
        <v>0</v>
      </c>
    </row>
    <row r="23" spans="1:9" x14ac:dyDescent="0.25">
      <c r="A23" s="78"/>
      <c r="B23" s="83">
        <v>5</v>
      </c>
      <c r="C23" s="200" t="s">
        <v>505</v>
      </c>
      <c r="D23" s="85"/>
      <c r="E23" s="232">
        <f>'OCTOBER 19'!I23:I43</f>
        <v>0</v>
      </c>
      <c r="F23" s="320">
        <v>3500</v>
      </c>
      <c r="G23" s="232">
        <f t="shared" si="2"/>
        <v>3500</v>
      </c>
      <c r="H23" s="234">
        <v>3500</v>
      </c>
      <c r="I23" s="319">
        <f t="shared" si="3"/>
        <v>0</v>
      </c>
    </row>
    <row r="24" spans="1:9" ht="18" customHeight="1" x14ac:dyDescent="0.25">
      <c r="A24" s="78"/>
      <c r="B24" s="83">
        <v>6</v>
      </c>
      <c r="C24" s="249" t="s">
        <v>501</v>
      </c>
      <c r="D24" s="110"/>
      <c r="E24" s="232">
        <f>'OCTOBER 19'!I24:I44</f>
        <v>0</v>
      </c>
      <c r="F24" s="325">
        <v>3500</v>
      </c>
      <c r="G24" s="232">
        <f t="shared" si="2"/>
        <v>3500</v>
      </c>
      <c r="H24" s="326">
        <v>3500</v>
      </c>
      <c r="I24" s="319">
        <f t="shared" si="3"/>
        <v>0</v>
      </c>
    </row>
    <row r="25" spans="1:9" ht="18" customHeight="1" x14ac:dyDescent="0.25">
      <c r="A25" s="78"/>
      <c r="B25" s="83">
        <v>7</v>
      </c>
      <c r="C25" s="249" t="s">
        <v>517</v>
      </c>
      <c r="D25" s="85"/>
      <c r="E25" s="232">
        <f>'OCTOBER 19'!I25:I45</f>
        <v>0</v>
      </c>
      <c r="F25" s="320">
        <v>3500</v>
      </c>
      <c r="G25" s="232">
        <f t="shared" si="2"/>
        <v>3500</v>
      </c>
      <c r="H25" s="234">
        <v>3500</v>
      </c>
      <c r="I25" s="319">
        <f t="shared" si="3"/>
        <v>0</v>
      </c>
    </row>
    <row r="26" spans="1:9" ht="14.25" customHeight="1" x14ac:dyDescent="0.25">
      <c r="A26" s="78"/>
      <c r="B26" s="83">
        <v>8</v>
      </c>
      <c r="C26" s="249" t="s">
        <v>477</v>
      </c>
      <c r="D26" s="85"/>
      <c r="E26" s="232">
        <f>'OCTOBER 19'!I26:I46</f>
        <v>0</v>
      </c>
      <c r="F26" s="320">
        <v>3500</v>
      </c>
      <c r="G26" s="232">
        <f t="shared" si="2"/>
        <v>3500</v>
      </c>
      <c r="H26" s="234">
        <v>3500</v>
      </c>
      <c r="I26" s="319">
        <f t="shared" si="3"/>
        <v>0</v>
      </c>
    </row>
    <row r="27" spans="1:9" ht="17.25" customHeight="1" x14ac:dyDescent="0.25">
      <c r="A27" s="78"/>
      <c r="B27" s="83">
        <v>9</v>
      </c>
      <c r="C27" s="200" t="s">
        <v>496</v>
      </c>
      <c r="D27" s="85"/>
      <c r="E27" s="232">
        <f>'OCTOBER 19'!I27:I47</f>
        <v>0</v>
      </c>
      <c r="F27" s="320">
        <v>3500</v>
      </c>
      <c r="G27" s="232">
        <f>D27+E27+F27</f>
        <v>3500</v>
      </c>
      <c r="H27" s="234">
        <v>3500</v>
      </c>
      <c r="I27" s="319">
        <f t="shared" si="3"/>
        <v>0</v>
      </c>
    </row>
    <row r="28" spans="1:9" ht="16.5" customHeight="1" x14ac:dyDescent="0.25">
      <c r="A28" s="78"/>
      <c r="B28" s="83">
        <v>10</v>
      </c>
      <c r="C28" s="200" t="s">
        <v>490</v>
      </c>
      <c r="D28" s="85"/>
      <c r="E28" s="232">
        <f>'OCTOBER 19'!I28:I48</f>
        <v>0</v>
      </c>
      <c r="F28" s="320">
        <v>3500</v>
      </c>
      <c r="G28" s="232">
        <f t="shared" si="2"/>
        <v>3500</v>
      </c>
      <c r="H28" s="234">
        <v>3500</v>
      </c>
      <c r="I28" s="319">
        <f t="shared" si="3"/>
        <v>0</v>
      </c>
    </row>
    <row r="29" spans="1:9" ht="16.5" customHeight="1" x14ac:dyDescent="0.25">
      <c r="A29" s="78"/>
      <c r="B29" s="83">
        <v>11</v>
      </c>
      <c r="C29" s="249" t="s">
        <v>474</v>
      </c>
      <c r="D29" s="85"/>
      <c r="E29" s="232">
        <f>'OCTOBER 19'!I29:I49</f>
        <v>0</v>
      </c>
      <c r="F29" s="320">
        <v>3500</v>
      </c>
      <c r="G29" s="232">
        <f>D29+E29+F29</f>
        <v>3500</v>
      </c>
      <c r="H29" s="234">
        <v>3500</v>
      </c>
      <c r="I29" s="319">
        <f>G29-H29</f>
        <v>0</v>
      </c>
    </row>
    <row r="30" spans="1:9" x14ac:dyDescent="0.25">
      <c r="A30" s="78"/>
      <c r="B30" s="83">
        <v>12</v>
      </c>
      <c r="C30" s="200" t="s">
        <v>478</v>
      </c>
      <c r="D30" s="85"/>
      <c r="E30" s="232">
        <f>'OCTOBER 19'!I30:I50</f>
        <v>0</v>
      </c>
      <c r="F30" s="320">
        <v>3500</v>
      </c>
      <c r="G30" s="232">
        <f t="shared" si="2"/>
        <v>3500</v>
      </c>
      <c r="H30" s="234"/>
      <c r="I30" s="319">
        <f t="shared" si="3"/>
        <v>3500</v>
      </c>
    </row>
    <row r="31" spans="1:9" ht="14.25" customHeight="1" x14ac:dyDescent="0.25">
      <c r="A31" s="78"/>
      <c r="B31" s="83">
        <v>13</v>
      </c>
      <c r="C31" s="200" t="s">
        <v>479</v>
      </c>
      <c r="D31" s="85"/>
      <c r="E31" s="232"/>
      <c r="F31" s="320">
        <v>3500</v>
      </c>
      <c r="G31" s="232">
        <f t="shared" si="2"/>
        <v>3500</v>
      </c>
      <c r="H31" s="234">
        <v>3500</v>
      </c>
      <c r="I31" s="319">
        <f>G31-H31</f>
        <v>0</v>
      </c>
    </row>
    <row r="32" spans="1:9" ht="18.75" customHeight="1" x14ac:dyDescent="0.25">
      <c r="A32" s="78"/>
      <c r="B32" s="83">
        <v>14</v>
      </c>
      <c r="C32" s="200" t="s">
        <v>480</v>
      </c>
      <c r="D32" s="85"/>
      <c r="E32" s="232">
        <f>'OCTOBER 19'!I32:I52</f>
        <v>0</v>
      </c>
      <c r="F32" s="320">
        <v>3500</v>
      </c>
      <c r="G32" s="232">
        <f t="shared" si="2"/>
        <v>3500</v>
      </c>
      <c r="H32" s="234">
        <v>3500</v>
      </c>
      <c r="I32" s="319">
        <f t="shared" si="3"/>
        <v>0</v>
      </c>
    </row>
    <row r="33" spans="1:9" ht="12" customHeight="1" x14ac:dyDescent="0.25">
      <c r="A33" s="78"/>
      <c r="B33" s="83">
        <v>15</v>
      </c>
      <c r="C33" s="200" t="s">
        <v>512</v>
      </c>
      <c r="D33" s="85"/>
      <c r="E33" s="232">
        <f>'OCTOBER 19'!I33:I53</f>
        <v>0</v>
      </c>
      <c r="F33" s="320">
        <v>3500</v>
      </c>
      <c r="G33" s="232">
        <f>D33+E33+F33</f>
        <v>3500</v>
      </c>
      <c r="H33" s="234">
        <v>3500</v>
      </c>
      <c r="I33" s="319">
        <f t="shared" si="3"/>
        <v>0</v>
      </c>
    </row>
    <row r="34" spans="1:9" ht="14.25" customHeight="1" x14ac:dyDescent="0.25">
      <c r="A34" s="78"/>
      <c r="B34" s="83">
        <v>16</v>
      </c>
      <c r="C34" s="200" t="s">
        <v>488</v>
      </c>
      <c r="D34" s="85"/>
      <c r="E34" s="232">
        <f>'OCTOBER 19'!I34:I54</f>
        <v>0</v>
      </c>
      <c r="F34" s="320">
        <v>3500</v>
      </c>
      <c r="G34" s="232">
        <f>D34+E34+F34</f>
        <v>3500</v>
      </c>
      <c r="H34" s="234">
        <v>3500</v>
      </c>
      <c r="I34" s="319">
        <f t="shared" si="3"/>
        <v>0</v>
      </c>
    </row>
    <row r="35" spans="1:9" ht="15" customHeight="1" x14ac:dyDescent="0.25">
      <c r="A35" s="78"/>
      <c r="B35" s="83">
        <v>17</v>
      </c>
      <c r="C35" s="200" t="s">
        <v>495</v>
      </c>
      <c r="D35" s="85"/>
      <c r="E35" s="232">
        <f>'OCTOBER 19'!I35:I55</f>
        <v>0</v>
      </c>
      <c r="F35" s="320">
        <v>3500</v>
      </c>
      <c r="G35" s="232">
        <f t="shared" si="2"/>
        <v>3500</v>
      </c>
      <c r="H35" s="234">
        <v>3500</v>
      </c>
      <c r="I35" s="319">
        <f t="shared" si="3"/>
        <v>0</v>
      </c>
    </row>
    <row r="36" spans="1:9" ht="14.25" customHeight="1" x14ac:dyDescent="0.25">
      <c r="A36" s="78"/>
      <c r="B36" s="83">
        <v>18</v>
      </c>
      <c r="C36" s="200" t="s">
        <v>475</v>
      </c>
      <c r="D36" s="85"/>
      <c r="E36" s="232">
        <f>'OCTOBER 19'!I36:I56</f>
        <v>0</v>
      </c>
      <c r="F36" s="320">
        <v>3500</v>
      </c>
      <c r="G36" s="232">
        <f t="shared" si="2"/>
        <v>3500</v>
      </c>
      <c r="H36" s="234">
        <v>3500</v>
      </c>
      <c r="I36" s="319">
        <f t="shared" si="3"/>
        <v>0</v>
      </c>
    </row>
    <row r="37" spans="1:9" ht="15" customHeight="1" x14ac:dyDescent="0.25">
      <c r="A37" s="78"/>
      <c r="B37" s="83">
        <v>19</v>
      </c>
      <c r="C37" s="200" t="s">
        <v>516</v>
      </c>
      <c r="D37" s="85">
        <v>3500</v>
      </c>
      <c r="E37" s="232">
        <f>'OCTOBER 19'!I37:I57</f>
        <v>0</v>
      </c>
      <c r="F37" s="320">
        <v>3500</v>
      </c>
      <c r="G37" s="232">
        <f>D37+E37+F37</f>
        <v>7000</v>
      </c>
      <c r="H37" s="234">
        <v>7000</v>
      </c>
      <c r="I37" s="319">
        <f>G37-H37</f>
        <v>0</v>
      </c>
    </row>
    <row r="38" spans="1:9" ht="15" customHeight="1" x14ac:dyDescent="0.25">
      <c r="A38" s="78"/>
      <c r="B38" s="83">
        <v>20</v>
      </c>
      <c r="C38" s="200" t="s">
        <v>497</v>
      </c>
      <c r="D38" s="85"/>
      <c r="E38" s="232">
        <f>'OCTOBER 19'!I38:I58</f>
        <v>0</v>
      </c>
      <c r="F38" s="320">
        <v>3500</v>
      </c>
      <c r="G38" s="232">
        <f>D38+E38+F38</f>
        <v>3500</v>
      </c>
      <c r="H38" s="234"/>
      <c r="I38" s="319">
        <f>G38-H38</f>
        <v>3500</v>
      </c>
    </row>
    <row r="39" spans="1:9" ht="11.25" customHeight="1" x14ac:dyDescent="0.25">
      <c r="A39" s="78"/>
      <c r="B39" s="83"/>
      <c r="C39" s="204" t="s">
        <v>193</v>
      </c>
      <c r="D39" s="205">
        <f>SUM(D19:D38)</f>
        <v>3500</v>
      </c>
      <c r="E39" s="232">
        <f>SUM(E20:E38)</f>
        <v>0</v>
      </c>
      <c r="F39" s="239">
        <f>SUM(F19:F38)</f>
        <v>70000</v>
      </c>
      <c r="G39" s="232">
        <f>D39+E39+F39</f>
        <v>73500</v>
      </c>
      <c r="H39" s="240">
        <f>SUM(H19:H38)</f>
        <v>66500</v>
      </c>
      <c r="I39" s="319">
        <f>G39-H39</f>
        <v>7000</v>
      </c>
    </row>
    <row r="40" spans="1:9" ht="12.75" customHeight="1" x14ac:dyDescent="0.25">
      <c r="A40" s="78"/>
      <c r="B40" s="382" t="s">
        <v>509</v>
      </c>
      <c r="C40" s="106"/>
      <c r="D40" s="107"/>
      <c r="E40" s="106"/>
      <c r="F40" s="108"/>
      <c r="G40" s="106"/>
      <c r="H40" s="150"/>
      <c r="I40" s="269"/>
    </row>
    <row r="41" spans="1:9" x14ac:dyDescent="0.25">
      <c r="A41" s="78"/>
      <c r="B41" s="359" t="s">
        <v>204</v>
      </c>
      <c r="C41" s="359" t="s">
        <v>205</v>
      </c>
      <c r="D41" s="359" t="s">
        <v>207</v>
      </c>
      <c r="E41" s="359" t="s">
        <v>208</v>
      </c>
      <c r="F41" s="359" t="s">
        <v>204</v>
      </c>
      <c r="G41" s="359" t="s">
        <v>205</v>
      </c>
      <c r="H41" s="359" t="s">
        <v>207</v>
      </c>
      <c r="I41" s="360" t="s">
        <v>306</v>
      </c>
    </row>
    <row r="42" spans="1:9" x14ac:dyDescent="0.25">
      <c r="A42" s="78"/>
      <c r="B42" s="211" t="s">
        <v>511</v>
      </c>
      <c r="C42" s="273">
        <f>F39+F17</f>
        <v>92000</v>
      </c>
      <c r="D42" s="164"/>
      <c r="E42" s="164"/>
      <c r="F42" s="211" t="s">
        <v>511</v>
      </c>
      <c r="G42" s="273">
        <f>H39+H17</f>
        <v>84500</v>
      </c>
      <c r="H42" s="164"/>
      <c r="I42" s="273"/>
    </row>
    <row r="43" spans="1:9" x14ac:dyDescent="0.25">
      <c r="A43" s="78"/>
      <c r="B43" s="211" t="s">
        <v>209</v>
      </c>
      <c r="C43" s="307">
        <v>0.08</v>
      </c>
      <c r="D43" s="308">
        <f>C42*C43</f>
        <v>7360</v>
      </c>
      <c r="E43" s="211"/>
      <c r="F43" s="211" t="s">
        <v>209</v>
      </c>
      <c r="G43" s="307">
        <v>0.08</v>
      </c>
      <c r="H43" s="308">
        <f>D43</f>
        <v>7360</v>
      </c>
      <c r="I43" s="273"/>
    </row>
    <row r="44" spans="1:9" ht="10.5" customHeight="1" x14ac:dyDescent="0.25">
      <c r="A44" s="78"/>
      <c r="B44" s="309" t="s">
        <v>232</v>
      </c>
      <c r="C44" s="308"/>
      <c r="D44" s="211"/>
      <c r="E44" s="211"/>
      <c r="F44" s="309" t="s">
        <v>232</v>
      </c>
      <c r="G44" s="308"/>
      <c r="H44" s="211"/>
      <c r="I44" s="273"/>
    </row>
    <row r="45" spans="1:9" ht="0.75" hidden="1" customHeight="1" x14ac:dyDescent="0.25">
      <c r="A45" s="78"/>
      <c r="B45" s="211"/>
      <c r="C45" s="307"/>
      <c r="D45" s="308"/>
      <c r="E45" s="211"/>
      <c r="F45" s="309"/>
      <c r="G45" s="308"/>
      <c r="H45" s="211"/>
      <c r="I45" s="273"/>
    </row>
    <row r="46" spans="1:9" ht="10.5" customHeight="1" x14ac:dyDescent="0.25">
      <c r="A46" s="78"/>
      <c r="B46" s="309" t="s">
        <v>470</v>
      </c>
      <c r="C46" s="308">
        <f>D39</f>
        <v>3500</v>
      </c>
      <c r="D46" s="211"/>
      <c r="E46" s="211"/>
      <c r="F46" s="309"/>
      <c r="G46" s="308"/>
      <c r="H46" s="211"/>
      <c r="I46" s="273"/>
    </row>
    <row r="47" spans="1:9" ht="12" customHeight="1" x14ac:dyDescent="0.25">
      <c r="A47" s="78"/>
      <c r="B47" s="309" t="s">
        <v>239</v>
      </c>
      <c r="C47" s="308">
        <f>'NOVEMBER 19'!L47</f>
        <v>740</v>
      </c>
      <c r="D47" s="211"/>
      <c r="E47" s="211"/>
      <c r="F47" s="309" t="s">
        <v>239</v>
      </c>
      <c r="G47" s="308">
        <f>'NOVEMBER 19'!P47</f>
        <v>740</v>
      </c>
      <c r="H47" s="211"/>
      <c r="I47" s="273"/>
    </row>
    <row r="48" spans="1:9" ht="10.5" customHeight="1" x14ac:dyDescent="0.25">
      <c r="A48" s="78"/>
      <c r="B48" s="309" t="s">
        <v>193</v>
      </c>
      <c r="C48" s="308">
        <f>C42+C44+C47+C46</f>
        <v>96240</v>
      </c>
      <c r="D48" s="211"/>
      <c r="E48" s="211"/>
      <c r="F48" s="309" t="s">
        <v>193</v>
      </c>
      <c r="G48" s="308">
        <f>G42+G44+G47+G45</f>
        <v>85240</v>
      </c>
      <c r="H48" s="211"/>
      <c r="I48" s="273"/>
    </row>
    <row r="49" spans="1:9" x14ac:dyDescent="0.25">
      <c r="A49" s="78"/>
      <c r="B49" s="212" t="s">
        <v>276</v>
      </c>
      <c r="C49" s="307"/>
      <c r="D49" s="214"/>
      <c r="E49" s="211"/>
      <c r="F49" s="212" t="s">
        <v>276</v>
      </c>
      <c r="G49" s="307"/>
      <c r="H49" s="214"/>
      <c r="I49" s="273"/>
    </row>
    <row r="50" spans="1:9" x14ac:dyDescent="0.25">
      <c r="A50" s="78"/>
      <c r="B50" s="365" t="s">
        <v>521</v>
      </c>
      <c r="C50" s="380"/>
      <c r="D50" s="367">
        <v>88880</v>
      </c>
      <c r="E50" s="366"/>
      <c r="F50" s="365" t="s">
        <v>521</v>
      </c>
      <c r="G50" s="380"/>
      <c r="H50" s="367">
        <v>88880</v>
      </c>
      <c r="I50" s="368"/>
    </row>
    <row r="51" spans="1:9" x14ac:dyDescent="0.25">
      <c r="A51" s="78"/>
      <c r="B51" s="166" t="s">
        <v>193</v>
      </c>
      <c r="C51" s="317">
        <f>C42+C44+C45+C46+C47-D43</f>
        <v>88880</v>
      </c>
      <c r="D51" s="318">
        <f>SUM(D50:D50)</f>
        <v>88880</v>
      </c>
      <c r="E51" s="318">
        <f>C51-D51</f>
        <v>0</v>
      </c>
      <c r="F51" s="166" t="s">
        <v>193</v>
      </c>
      <c r="G51" s="317">
        <f>G42+G44+G45+G47-H43</f>
        <v>77880</v>
      </c>
      <c r="H51" s="318">
        <f>SUM(H50:H50)</f>
        <v>88880</v>
      </c>
      <c r="I51" s="318">
        <f>G51-H51</f>
        <v>-11000</v>
      </c>
    </row>
    <row r="52" spans="1:9" x14ac:dyDescent="0.25">
      <c r="A52" s="78"/>
      <c r="B52" s="150" t="s">
        <v>71</v>
      </c>
      <c r="C52" s="79"/>
      <c r="D52" s="78"/>
      <c r="E52" s="150" t="s">
        <v>72</v>
      </c>
      <c r="F52" s="78"/>
      <c r="G52" s="78"/>
      <c r="H52" s="150" t="s">
        <v>73</v>
      </c>
      <c r="I52" s="269"/>
    </row>
    <row r="53" spans="1:9" x14ac:dyDescent="0.25">
      <c r="A53" s="78"/>
      <c r="B53" s="150" t="s">
        <v>471</v>
      </c>
      <c r="C53" s="150"/>
      <c r="D53" s="78"/>
      <c r="E53" s="150" t="s">
        <v>135</v>
      </c>
      <c r="F53" s="78"/>
      <c r="G53" s="78"/>
      <c r="H53" s="150" t="s">
        <v>130</v>
      </c>
      <c r="I53" s="269"/>
    </row>
    <row r="54" spans="1:9" x14ac:dyDescent="0.25">
      <c r="A54" s="78"/>
      <c r="B54" s="78"/>
      <c r="C54" s="78"/>
      <c r="D54" s="78"/>
      <c r="E54" s="78"/>
      <c r="F54" s="78"/>
      <c r="G54" s="78"/>
      <c r="H54" s="78"/>
      <c r="I54" s="269"/>
    </row>
  </sheetData>
  <pageMargins left="0.25" right="0.25" top="0.1" bottom="0.1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B31" workbookViewId="0">
      <selection activeCell="G49" sqref="G49"/>
    </sheetView>
  </sheetViews>
  <sheetFormatPr defaultRowHeight="15" x14ac:dyDescent="0.25"/>
  <cols>
    <col min="2" max="2" width="14.7109375" bestFit="1" customWidth="1"/>
    <col min="6" max="6" width="12.85546875" bestFit="1" customWidth="1"/>
    <col min="13" max="13" width="8.5703125" customWidth="1"/>
    <col min="17" max="17" width="9.85546875" customWidth="1"/>
    <col min="18" max="18" width="10.7109375" customWidth="1"/>
  </cols>
  <sheetData>
    <row r="1" spans="1:19" ht="15.75" x14ac:dyDescent="0.25">
      <c r="B1" s="451"/>
      <c r="C1" s="451"/>
      <c r="D1" s="251" t="s">
        <v>356</v>
      </c>
      <c r="E1" s="451"/>
      <c r="F1" s="451"/>
      <c r="G1" s="451"/>
      <c r="H1" s="451"/>
      <c r="I1" s="451"/>
      <c r="J1" s="150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451"/>
      <c r="B2" s="451"/>
      <c r="C2" s="451"/>
      <c r="D2" s="250" t="s">
        <v>357</v>
      </c>
      <c r="E2" s="451"/>
      <c r="F2" s="5"/>
      <c r="G2" s="451"/>
      <c r="H2" s="451"/>
      <c r="I2" s="451"/>
      <c r="J2" s="150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15.75" x14ac:dyDescent="0.25">
      <c r="A3" s="452"/>
      <c r="B3" s="451"/>
      <c r="C3" s="451"/>
      <c r="D3" s="5" t="s">
        <v>523</v>
      </c>
      <c r="E3" s="250"/>
      <c r="F3" s="452"/>
      <c r="G3" s="452"/>
      <c r="H3" s="452"/>
      <c r="I3" s="480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452"/>
      <c r="B4" s="451"/>
      <c r="C4" s="451"/>
      <c r="D4" s="5"/>
      <c r="E4" s="250" t="s">
        <v>435</v>
      </c>
      <c r="F4" s="452"/>
      <c r="G4" s="452"/>
      <c r="H4" s="452"/>
      <c r="I4" s="480"/>
      <c r="J4" s="150"/>
      <c r="K4" s="78"/>
      <c r="L4" s="78"/>
      <c r="M4" s="5" t="s">
        <v>523</v>
      </c>
      <c r="N4" s="250"/>
      <c r="O4" s="103"/>
      <c r="P4" s="103"/>
      <c r="Q4" s="78"/>
      <c r="R4" s="78"/>
      <c r="S4" s="78"/>
    </row>
    <row r="5" spans="1:19" ht="15.75" x14ac:dyDescent="0.25">
      <c r="A5" s="495" t="s">
        <v>3</v>
      </c>
      <c r="B5" s="495" t="s">
        <v>4</v>
      </c>
      <c r="C5" s="495" t="s">
        <v>5</v>
      </c>
      <c r="D5" s="495" t="s">
        <v>239</v>
      </c>
      <c r="E5" s="495" t="s">
        <v>9</v>
      </c>
      <c r="F5" s="496" t="s">
        <v>10</v>
      </c>
      <c r="G5" s="496" t="s">
        <v>11</v>
      </c>
      <c r="H5" s="497" t="s">
        <v>12</v>
      </c>
      <c r="I5" s="494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ht="15.75" x14ac:dyDescent="0.25">
      <c r="A6" s="498">
        <v>1</v>
      </c>
      <c r="B6" s="499" t="s">
        <v>352</v>
      </c>
      <c r="C6" s="500" t="s">
        <v>50</v>
      </c>
      <c r="D6" s="501">
        <f>'NOVEMBER 19'!I6:I18</f>
        <v>0</v>
      </c>
      <c r="E6" s="502">
        <v>3000</v>
      </c>
      <c r="F6" s="501">
        <v>100</v>
      </c>
      <c r="G6" s="503">
        <f>D6+E6+F6</f>
        <v>3100</v>
      </c>
      <c r="H6" s="504">
        <v>3100</v>
      </c>
      <c r="I6" s="462">
        <f t="shared" ref="I6:I17" si="0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1.75" customHeight="1" x14ac:dyDescent="0.25">
      <c r="A7" s="498">
        <v>2</v>
      </c>
      <c r="B7" s="499" t="s">
        <v>433</v>
      </c>
      <c r="C7" s="500" t="s">
        <v>52</v>
      </c>
      <c r="D7" s="501">
        <f>'NOVEMBER 19'!I7:I19</f>
        <v>0</v>
      </c>
      <c r="E7" s="502">
        <v>3000</v>
      </c>
      <c r="F7" s="501">
        <v>100</v>
      </c>
      <c r="G7" s="503">
        <f t="shared" ref="G7:G14" si="1">D7+E7+F7</f>
        <v>3100</v>
      </c>
      <c r="H7" s="504">
        <v>3100</v>
      </c>
      <c r="I7" s="462">
        <f t="shared" si="0"/>
        <v>0</v>
      </c>
      <c r="J7" s="150"/>
      <c r="K7" s="83" t="s">
        <v>106</v>
      </c>
      <c r="L7" s="249" t="s">
        <v>491</v>
      </c>
      <c r="M7" s="85">
        <v>3000</v>
      </c>
      <c r="N7" s="232">
        <v>1000</v>
      </c>
      <c r="O7" s="320">
        <v>3000</v>
      </c>
      <c r="P7" s="232">
        <f>M7+N7+O7</f>
        <v>7000</v>
      </c>
      <c r="Q7" s="234">
        <f>2500+1150</f>
        <v>3650</v>
      </c>
      <c r="R7" s="319">
        <f t="shared" ref="R7:R16" si="2">P7-Q7</f>
        <v>3350</v>
      </c>
      <c r="S7" s="78"/>
    </row>
    <row r="8" spans="1:19" ht="15.75" x14ac:dyDescent="0.25">
      <c r="A8" s="498">
        <v>3</v>
      </c>
      <c r="B8" s="505" t="s">
        <v>465</v>
      </c>
      <c r="C8" s="500" t="s">
        <v>54</v>
      </c>
      <c r="D8" s="501">
        <f>'NOVEMBER 19'!I8:I20</f>
        <v>0</v>
      </c>
      <c r="E8" s="502">
        <v>3000</v>
      </c>
      <c r="F8" s="501">
        <v>100</v>
      </c>
      <c r="G8" s="503">
        <f>D8+E8+F8</f>
        <v>3100</v>
      </c>
      <c r="H8" s="504">
        <v>3100</v>
      </c>
      <c r="I8" s="462">
        <f t="shared" si="0"/>
        <v>0</v>
      </c>
      <c r="J8" s="150"/>
      <c r="K8" s="83" t="s">
        <v>108</v>
      </c>
      <c r="L8" s="200" t="s">
        <v>284</v>
      </c>
      <c r="M8" s="85"/>
      <c r="N8" s="232">
        <f>'NOVEMBER 19'!R8:R17</f>
        <v>0</v>
      </c>
      <c r="O8" s="320"/>
      <c r="P8" s="232">
        <f t="shared" ref="P8:P17" si="3">M8+N8+O8</f>
        <v>0</v>
      </c>
      <c r="Q8" s="232"/>
      <c r="R8" s="319">
        <f t="shared" si="2"/>
        <v>0</v>
      </c>
      <c r="S8" s="78"/>
    </row>
    <row r="9" spans="1:19" ht="15.75" x14ac:dyDescent="0.25">
      <c r="A9" s="498">
        <v>4</v>
      </c>
      <c r="B9" s="499" t="s">
        <v>228</v>
      </c>
      <c r="C9" s="500" t="s">
        <v>56</v>
      </c>
      <c r="D9" s="501">
        <f>'NOVEMBER 19'!I9:I21</f>
        <v>0</v>
      </c>
      <c r="E9" s="502">
        <v>3000</v>
      </c>
      <c r="F9" s="501">
        <v>100</v>
      </c>
      <c r="G9" s="503">
        <f>D9+E9+F9</f>
        <v>3100</v>
      </c>
      <c r="H9" s="504">
        <v>3100</v>
      </c>
      <c r="I9" s="462">
        <f t="shared" si="0"/>
        <v>0</v>
      </c>
      <c r="J9" s="150"/>
      <c r="K9" s="83" t="s">
        <v>110</v>
      </c>
      <c r="L9" s="110" t="s">
        <v>467</v>
      </c>
      <c r="M9" s="110"/>
      <c r="N9" s="232">
        <f>'NOVEMBER 19'!R9:R18</f>
        <v>0</v>
      </c>
      <c r="O9" s="110">
        <v>2500</v>
      </c>
      <c r="P9" s="232">
        <f t="shared" si="3"/>
        <v>2500</v>
      </c>
      <c r="Q9" s="110">
        <v>2500</v>
      </c>
      <c r="R9" s="319">
        <f t="shared" si="2"/>
        <v>0</v>
      </c>
      <c r="S9" s="78"/>
    </row>
    <row r="10" spans="1:19" ht="16.5" customHeight="1" x14ac:dyDescent="0.25">
      <c r="A10" s="498">
        <v>5</v>
      </c>
      <c r="B10" s="505" t="s">
        <v>291</v>
      </c>
      <c r="C10" s="500" t="s">
        <v>58</v>
      </c>
      <c r="D10" s="501">
        <f>'NOVEMBER 19'!I10:I22</f>
        <v>0</v>
      </c>
      <c r="E10" s="502">
        <v>3000</v>
      </c>
      <c r="F10" s="501">
        <v>100</v>
      </c>
      <c r="G10" s="503">
        <f t="shared" si="1"/>
        <v>3100</v>
      </c>
      <c r="H10" s="504">
        <v>3100</v>
      </c>
      <c r="I10" s="462">
        <f t="shared" si="0"/>
        <v>0</v>
      </c>
      <c r="J10" s="150"/>
      <c r="K10" s="87" t="s">
        <v>112</v>
      </c>
      <c r="L10" s="200" t="s">
        <v>443</v>
      </c>
      <c r="M10" s="110"/>
      <c r="N10" s="232">
        <f>'NOVEMBER 19'!R10:R19</f>
        <v>1200</v>
      </c>
      <c r="O10" s="321">
        <v>2500</v>
      </c>
      <c r="P10" s="232">
        <f t="shared" si="3"/>
        <v>3700</v>
      </c>
      <c r="Q10" s="319">
        <v>1500</v>
      </c>
      <c r="R10" s="319">
        <f t="shared" si="2"/>
        <v>2200</v>
      </c>
      <c r="S10" s="78"/>
    </row>
    <row r="11" spans="1:19" ht="22.5" x14ac:dyDescent="0.25">
      <c r="A11" s="498">
        <v>6</v>
      </c>
      <c r="B11" s="505" t="s">
        <v>283</v>
      </c>
      <c r="C11" s="500" t="s">
        <v>60</v>
      </c>
      <c r="D11" s="501">
        <f>'NOVEMBER 19'!I11:I23</f>
        <v>0</v>
      </c>
      <c r="E11" s="502">
        <v>3000</v>
      </c>
      <c r="F11" s="501">
        <v>100</v>
      </c>
      <c r="G11" s="503">
        <f t="shared" si="1"/>
        <v>3100</v>
      </c>
      <c r="H11" s="504">
        <v>3100</v>
      </c>
      <c r="I11" s="462">
        <f t="shared" si="0"/>
        <v>0</v>
      </c>
      <c r="J11" s="150"/>
      <c r="K11" s="99" t="s">
        <v>114</v>
      </c>
      <c r="L11" s="200" t="s">
        <v>427</v>
      </c>
      <c r="M11" s="85"/>
      <c r="N11" s="232">
        <f>'NOVEMBER 19'!R11:R20</f>
        <v>0</v>
      </c>
      <c r="O11" s="320">
        <v>2500</v>
      </c>
      <c r="P11" s="232">
        <f t="shared" si="3"/>
        <v>2500</v>
      </c>
      <c r="Q11" s="234">
        <v>2500</v>
      </c>
      <c r="R11" s="319"/>
      <c r="S11" s="78"/>
    </row>
    <row r="12" spans="1:19" ht="22.5" x14ac:dyDescent="0.25">
      <c r="A12" s="498">
        <v>7</v>
      </c>
      <c r="B12" s="505" t="s">
        <v>310</v>
      </c>
      <c r="C12" s="500" t="s">
        <v>62</v>
      </c>
      <c r="D12" s="501">
        <f>'NOVEMBER 19'!I12:I24</f>
        <v>0</v>
      </c>
      <c r="E12" s="502">
        <v>3000</v>
      </c>
      <c r="F12" s="501">
        <v>100</v>
      </c>
      <c r="G12" s="503">
        <f t="shared" si="1"/>
        <v>3100</v>
      </c>
      <c r="H12" s="504">
        <v>3100</v>
      </c>
      <c r="I12" s="462">
        <f t="shared" si="0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/>
      <c r="O12" s="325">
        <v>2500</v>
      </c>
      <c r="P12" s="232">
        <f t="shared" si="3"/>
        <v>3500</v>
      </c>
      <c r="Q12" s="326">
        <v>2500</v>
      </c>
      <c r="R12" s="319">
        <f>P12-Q12</f>
        <v>1000</v>
      </c>
      <c r="S12" s="78"/>
    </row>
    <row r="13" spans="1:19" ht="22.5" x14ac:dyDescent="0.25">
      <c r="A13" s="506">
        <v>8</v>
      </c>
      <c r="B13" s="499" t="s">
        <v>519</v>
      </c>
      <c r="C13" s="507" t="s">
        <v>64</v>
      </c>
      <c r="D13" s="501">
        <f>'NOVEMBER 19'!I13:I25</f>
        <v>0</v>
      </c>
      <c r="E13" s="508">
        <v>3000</v>
      </c>
      <c r="F13" s="509">
        <v>100</v>
      </c>
      <c r="G13" s="503">
        <f>D13+E13+F13</f>
        <v>3100</v>
      </c>
      <c r="H13" s="504">
        <v>3100</v>
      </c>
      <c r="I13" s="462">
        <f t="shared" si="0"/>
        <v>0</v>
      </c>
      <c r="J13" s="150"/>
      <c r="K13" s="83" t="s">
        <v>119</v>
      </c>
      <c r="L13" s="249" t="s">
        <v>120</v>
      </c>
      <c r="M13" s="85"/>
      <c r="N13" s="232">
        <f>'NOVEMBER 19'!R13:R22</f>
        <v>0</v>
      </c>
      <c r="O13" s="320">
        <v>2500</v>
      </c>
      <c r="P13" s="232">
        <f t="shared" si="3"/>
        <v>2500</v>
      </c>
      <c r="Q13" s="234">
        <v>2500</v>
      </c>
      <c r="R13" s="319">
        <f t="shared" si="2"/>
        <v>0</v>
      </c>
      <c r="S13" s="78"/>
    </row>
    <row r="14" spans="1:19" ht="22.5" x14ac:dyDescent="0.25">
      <c r="A14" s="506">
        <v>9</v>
      </c>
      <c r="B14" s="499" t="s">
        <v>494</v>
      </c>
      <c r="C14" s="507" t="s">
        <v>18</v>
      </c>
      <c r="D14" s="501">
        <f>'NOVEMBER 19'!I14:I26</f>
        <v>0</v>
      </c>
      <c r="E14" s="508">
        <v>3000</v>
      </c>
      <c r="F14" s="509">
        <v>100</v>
      </c>
      <c r="G14" s="503">
        <f t="shared" si="1"/>
        <v>3100</v>
      </c>
      <c r="H14" s="504">
        <f>400+2600</f>
        <v>3000</v>
      </c>
      <c r="I14" s="462">
        <f t="shared" si="0"/>
        <v>100</v>
      </c>
      <c r="J14" s="445"/>
      <c r="K14" s="83" t="s">
        <v>121</v>
      </c>
      <c r="L14" s="249" t="s">
        <v>420</v>
      </c>
      <c r="M14" s="85"/>
      <c r="N14" s="232">
        <f>'NOVEMBER 19'!R14:R23</f>
        <v>0</v>
      </c>
      <c r="O14" s="320">
        <v>2500</v>
      </c>
      <c r="P14" s="232">
        <f t="shared" si="3"/>
        <v>2500</v>
      </c>
      <c r="Q14" s="234">
        <v>2500</v>
      </c>
      <c r="R14" s="319">
        <f t="shared" si="2"/>
        <v>0</v>
      </c>
      <c r="S14" s="78"/>
    </row>
    <row r="15" spans="1:19" ht="22.5" x14ac:dyDescent="0.25">
      <c r="A15" s="506">
        <v>10</v>
      </c>
      <c r="B15" s="499" t="s">
        <v>460</v>
      </c>
      <c r="C15" s="507" t="s">
        <v>20</v>
      </c>
      <c r="D15" s="501">
        <f>'NOVEMBER 19'!I15:I27</f>
        <v>400</v>
      </c>
      <c r="E15" s="508">
        <v>3000</v>
      </c>
      <c r="F15" s="509">
        <v>100</v>
      </c>
      <c r="G15" s="503">
        <f>D15+E15+F15</f>
        <v>3500</v>
      </c>
      <c r="H15" s="504">
        <v>3100</v>
      </c>
      <c r="I15" s="462">
        <f t="shared" si="0"/>
        <v>400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3"/>
        <v>3000</v>
      </c>
      <c r="Q15" s="234">
        <v>2500</v>
      </c>
      <c r="R15" s="319">
        <f t="shared" si="2"/>
        <v>500</v>
      </c>
      <c r="S15" s="78"/>
    </row>
    <row r="16" spans="1:19" ht="22.5" x14ac:dyDescent="0.25">
      <c r="A16" s="506">
        <v>11</v>
      </c>
      <c r="B16" s="499" t="s">
        <v>531</v>
      </c>
      <c r="C16" s="507" t="s">
        <v>22</v>
      </c>
      <c r="D16" s="501"/>
      <c r="E16" s="508">
        <v>1400</v>
      </c>
      <c r="F16" s="509"/>
      <c r="G16" s="503">
        <f>D16+E16+F16</f>
        <v>1400</v>
      </c>
      <c r="H16" s="504">
        <v>1400</v>
      </c>
      <c r="I16" s="462">
        <f t="shared" si="0"/>
        <v>0</v>
      </c>
      <c r="J16" s="150"/>
      <c r="K16" s="83" t="s">
        <v>125</v>
      </c>
      <c r="L16" s="200" t="s">
        <v>312</v>
      </c>
      <c r="M16" s="85"/>
      <c r="N16" s="232">
        <f>'NOVEMBER 19'!R16:R25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2"/>
        <v>0</v>
      </c>
      <c r="S16" s="78"/>
    </row>
    <row r="17" spans="1:19" ht="15.75" x14ac:dyDescent="0.25">
      <c r="A17" s="506">
        <v>12</v>
      </c>
      <c r="B17" s="522" t="s">
        <v>520</v>
      </c>
      <c r="C17" s="507" t="s">
        <v>24</v>
      </c>
      <c r="D17" s="501">
        <f>'NOVEMBER 19'!I17:I29</f>
        <v>100</v>
      </c>
      <c r="E17" s="508">
        <v>3000</v>
      </c>
      <c r="F17" s="509">
        <v>100</v>
      </c>
      <c r="G17" s="503">
        <f>D17+E17+F17</f>
        <v>3200</v>
      </c>
      <c r="H17" s="504">
        <v>3000</v>
      </c>
      <c r="I17" s="462">
        <f t="shared" si="0"/>
        <v>200</v>
      </c>
      <c r="J17" s="150"/>
      <c r="K17" s="83"/>
      <c r="L17" s="204" t="s">
        <v>193</v>
      </c>
      <c r="M17" s="205">
        <f>SUM(M7:M16)</f>
        <v>4500</v>
      </c>
      <c r="N17" s="232">
        <f>SUM(N7:N16)</f>
        <v>2200</v>
      </c>
      <c r="O17" s="239">
        <f>SUM(O7:O16)</f>
        <v>22000</v>
      </c>
      <c r="P17" s="232">
        <f t="shared" si="3"/>
        <v>28700</v>
      </c>
      <c r="Q17" s="240">
        <f>SUM(Q7:Q16)</f>
        <v>21650</v>
      </c>
      <c r="R17" s="323">
        <f>SUM(R7:R16)</f>
        <v>7050</v>
      </c>
      <c r="S17" s="78"/>
    </row>
    <row r="18" spans="1:19" ht="15.75" x14ac:dyDescent="0.25">
      <c r="A18" s="510"/>
      <c r="B18" s="511" t="s">
        <v>193</v>
      </c>
      <c r="C18" s="510"/>
      <c r="D18" s="501">
        <f>'NOVEMBER 19'!I18:I30</f>
        <v>500</v>
      </c>
      <c r="E18" s="475">
        <f>SUM(E6:E17)</f>
        <v>34400</v>
      </c>
      <c r="F18" s="475">
        <f>SUM(F6:F17)</f>
        <v>1100</v>
      </c>
      <c r="G18" s="512">
        <f>SUM(G6:G17)</f>
        <v>36000</v>
      </c>
      <c r="H18" s="513">
        <f>SUM(H6:H17)</f>
        <v>35300</v>
      </c>
      <c r="I18" s="462">
        <f>SUM(I6:I17)</f>
        <v>700</v>
      </c>
      <c r="J18" s="150"/>
      <c r="K18" s="78"/>
      <c r="L18" s="78"/>
      <c r="M18" s="384"/>
      <c r="N18" s="384" t="s">
        <v>481</v>
      </c>
      <c r="O18" s="384"/>
      <c r="P18" s="78"/>
      <c r="Q18" s="78"/>
      <c r="R18" s="78"/>
      <c r="S18" s="78"/>
    </row>
    <row r="19" spans="1:19" ht="22.5" x14ac:dyDescent="0.25">
      <c r="A19" s="497"/>
      <c r="B19" s="514"/>
      <c r="C19" s="514"/>
      <c r="D19" s="514"/>
      <c r="E19" s="514" t="s">
        <v>247</v>
      </c>
      <c r="F19" s="514"/>
      <c r="G19" s="514"/>
      <c r="H19" s="515"/>
      <c r="I19" s="462">
        <f>G19-H19</f>
        <v>0</v>
      </c>
      <c r="J19" s="78"/>
      <c r="K19" s="83">
        <v>1</v>
      </c>
      <c r="L19" s="200" t="s">
        <v>518</v>
      </c>
      <c r="M19" s="85"/>
      <c r="N19" s="232">
        <f>'NOVEMBER 19'!R19:R38</f>
        <v>0</v>
      </c>
      <c r="O19" s="320">
        <v>3500</v>
      </c>
      <c r="P19" s="232">
        <f t="shared" ref="P19:P36" si="4">M19+N19+O19</f>
        <v>3500</v>
      </c>
      <c r="Q19" s="232">
        <v>3500</v>
      </c>
      <c r="R19" s="319">
        <f t="shared" ref="R19:R35" si="5">P19-Q19</f>
        <v>0</v>
      </c>
      <c r="S19" s="78" t="s">
        <v>533</v>
      </c>
    </row>
    <row r="20" spans="1:19" ht="22.5" x14ac:dyDescent="0.25">
      <c r="A20" s="492"/>
      <c r="B20" s="492"/>
      <c r="C20" s="492"/>
      <c r="D20" s="492"/>
      <c r="E20" s="492" t="s">
        <v>9</v>
      </c>
      <c r="F20" s="492" t="s">
        <v>11</v>
      </c>
      <c r="G20" s="492" t="s">
        <v>12</v>
      </c>
      <c r="H20" s="492" t="s">
        <v>306</v>
      </c>
      <c r="I20" s="494"/>
      <c r="J20" s="78"/>
      <c r="K20" s="83">
        <v>2</v>
      </c>
      <c r="L20" s="200" t="s">
        <v>507</v>
      </c>
      <c r="M20" s="85"/>
      <c r="N20" s="232">
        <f>'NOVEMBER 19'!R20:R39</f>
        <v>0</v>
      </c>
      <c r="O20" s="320">
        <v>3500</v>
      </c>
      <c r="P20" s="232">
        <f t="shared" si="4"/>
        <v>3500</v>
      </c>
      <c r="Q20" s="232">
        <v>3500</v>
      </c>
      <c r="R20" s="319">
        <f t="shared" si="5"/>
        <v>0</v>
      </c>
      <c r="S20" s="78" t="s">
        <v>522</v>
      </c>
    </row>
    <row r="21" spans="1:19" ht="15.75" x14ac:dyDescent="0.25">
      <c r="A21" s="456">
        <v>1</v>
      </c>
      <c r="B21" s="483" t="s">
        <v>313</v>
      </c>
      <c r="C21" s="458"/>
      <c r="D21" s="516">
        <f>'NOVEMBER 19'!H21:H29</f>
        <v>0</v>
      </c>
      <c r="E21" s="459">
        <v>3500</v>
      </c>
      <c r="F21" s="459">
        <f>C21+E21</f>
        <v>3500</v>
      </c>
      <c r="G21" s="459">
        <v>3500</v>
      </c>
      <c r="H21" s="462">
        <f>F21-G21</f>
        <v>0</v>
      </c>
      <c r="I21" s="462"/>
      <c r="J21" s="78"/>
      <c r="K21" s="83">
        <v>3</v>
      </c>
      <c r="L21" s="110" t="s">
        <v>498</v>
      </c>
      <c r="M21" s="110"/>
      <c r="N21" s="232">
        <f>'NOVEMBER 19'!R21:R40</f>
        <v>0</v>
      </c>
      <c r="O21" s="110">
        <v>3500</v>
      </c>
      <c r="P21" s="232">
        <f t="shared" si="4"/>
        <v>3500</v>
      </c>
      <c r="Q21" s="110">
        <v>3500</v>
      </c>
      <c r="R21" s="319">
        <f t="shared" si="5"/>
        <v>0</v>
      </c>
      <c r="S21" s="78"/>
    </row>
    <row r="22" spans="1:19" ht="22.5" x14ac:dyDescent="0.25">
      <c r="A22" s="456">
        <v>2</v>
      </c>
      <c r="B22" s="464" t="s">
        <v>451</v>
      </c>
      <c r="C22" s="464"/>
      <c r="D22" s="516">
        <f>'NOVEMBER 19'!H22:H30</f>
        <v>0</v>
      </c>
      <c r="E22" s="464">
        <v>4000</v>
      </c>
      <c r="F22" s="459">
        <f t="shared" ref="F22:F28" si="6">C22+E22</f>
        <v>4000</v>
      </c>
      <c r="G22" s="464">
        <v>4000</v>
      </c>
      <c r="H22" s="462">
        <f t="shared" ref="H22:H28" si="7">F22-G22</f>
        <v>0</v>
      </c>
      <c r="I22" s="462"/>
      <c r="J22" s="78"/>
      <c r="K22" s="83">
        <v>4</v>
      </c>
      <c r="L22" s="200" t="s">
        <v>499</v>
      </c>
      <c r="M22" s="110"/>
      <c r="N22" s="232">
        <f>'NOVEMBER 19'!R22:R41</f>
        <v>0</v>
      </c>
      <c r="O22" s="321">
        <v>3500</v>
      </c>
      <c r="P22" s="232">
        <f t="shared" si="4"/>
        <v>3500</v>
      </c>
      <c r="Q22" s="319">
        <v>3500</v>
      </c>
      <c r="R22" s="319">
        <f t="shared" si="5"/>
        <v>0</v>
      </c>
      <c r="S22" s="78"/>
    </row>
    <row r="23" spans="1:19" ht="22.5" x14ac:dyDescent="0.25">
      <c r="A23" s="456">
        <v>3</v>
      </c>
      <c r="B23" s="483" t="s">
        <v>411</v>
      </c>
      <c r="C23" s="458"/>
      <c r="D23" s="516">
        <f>'NOVEMBER 19'!H23:H31</f>
        <v>0</v>
      </c>
      <c r="E23" s="471">
        <v>4000</v>
      </c>
      <c r="F23" s="459">
        <f t="shared" si="6"/>
        <v>4000</v>
      </c>
      <c r="G23" s="451">
        <v>4000</v>
      </c>
      <c r="H23" s="462">
        <f>F23-G23</f>
        <v>0</v>
      </c>
      <c r="I23" s="462"/>
      <c r="J23" s="78"/>
      <c r="K23" s="83">
        <v>5</v>
      </c>
      <c r="L23" s="200" t="s">
        <v>505</v>
      </c>
      <c r="M23" s="85"/>
      <c r="N23" s="232">
        <f>'NOVEMBER 19'!R23:R42</f>
        <v>0</v>
      </c>
      <c r="O23" s="320">
        <v>3500</v>
      </c>
      <c r="P23" s="232">
        <f t="shared" si="4"/>
        <v>3500</v>
      </c>
      <c r="Q23" s="234">
        <v>3500</v>
      </c>
      <c r="R23" s="319">
        <f t="shared" si="5"/>
        <v>0</v>
      </c>
      <c r="S23" s="78"/>
    </row>
    <row r="24" spans="1:19" ht="22.5" x14ac:dyDescent="0.25">
      <c r="A24" s="456"/>
      <c r="B24" s="483"/>
      <c r="C24" s="458"/>
      <c r="D24" s="516">
        <f>'NOVEMBER 19'!H24:H32</f>
        <v>0</v>
      </c>
      <c r="E24" s="471"/>
      <c r="F24" s="459"/>
      <c r="G24" s="464"/>
      <c r="H24" s="462"/>
      <c r="I24" s="462"/>
      <c r="J24" s="78"/>
      <c r="K24" s="83">
        <v>6</v>
      </c>
      <c r="L24" s="249" t="s">
        <v>501</v>
      </c>
      <c r="M24" s="110"/>
      <c r="N24" s="232">
        <f>'NOVEMBER 19'!R24:R43</f>
        <v>0</v>
      </c>
      <c r="O24" s="325">
        <v>3500</v>
      </c>
      <c r="P24" s="232">
        <f t="shared" si="4"/>
        <v>3500</v>
      </c>
      <c r="Q24" s="326">
        <f>2000+1500</f>
        <v>3500</v>
      </c>
      <c r="R24" s="319">
        <f t="shared" si="5"/>
        <v>0</v>
      </c>
      <c r="S24" s="78"/>
    </row>
    <row r="25" spans="1:19" ht="22.5" x14ac:dyDescent="0.25">
      <c r="A25" s="456">
        <v>4</v>
      </c>
      <c r="B25" s="483" t="s">
        <v>350</v>
      </c>
      <c r="C25" s="516"/>
      <c r="D25" s="516">
        <f>'NOVEMBER 19'!H25:H33</f>
        <v>0</v>
      </c>
      <c r="E25" s="471">
        <v>4000</v>
      </c>
      <c r="F25" s="459">
        <f t="shared" si="6"/>
        <v>4000</v>
      </c>
      <c r="G25" s="464">
        <v>4000</v>
      </c>
      <c r="H25" s="462">
        <f t="shared" si="7"/>
        <v>0</v>
      </c>
      <c r="I25" s="462"/>
      <c r="J25" s="78"/>
      <c r="K25" s="83">
        <v>7</v>
      </c>
      <c r="L25" s="249" t="s">
        <v>517</v>
      </c>
      <c r="M25" s="85"/>
      <c r="N25" s="232">
        <f>'NOVEMBER 19'!R25:R44</f>
        <v>0</v>
      </c>
      <c r="O25" s="320">
        <v>3500</v>
      </c>
      <c r="P25" s="232">
        <f t="shared" si="4"/>
        <v>3500</v>
      </c>
      <c r="Q25" s="234">
        <v>3500</v>
      </c>
      <c r="R25" s="319">
        <f t="shared" si="5"/>
        <v>0</v>
      </c>
      <c r="S25" s="78"/>
    </row>
    <row r="26" spans="1:19" ht="22.5" x14ac:dyDescent="0.25">
      <c r="A26" s="467">
        <v>5</v>
      </c>
      <c r="B26" s="483" t="s">
        <v>392</v>
      </c>
      <c r="C26" s="458"/>
      <c r="D26" s="516">
        <f>'NOVEMBER 19'!H26:H34</f>
        <v>0</v>
      </c>
      <c r="E26" s="471">
        <v>4000</v>
      </c>
      <c r="F26" s="459">
        <f t="shared" si="6"/>
        <v>4000</v>
      </c>
      <c r="G26" s="464">
        <v>4000</v>
      </c>
      <c r="H26" s="462">
        <f t="shared" si="7"/>
        <v>0</v>
      </c>
      <c r="I26" s="462"/>
      <c r="J26" s="78"/>
      <c r="K26" s="83">
        <v>8</v>
      </c>
      <c r="L26" s="249" t="s">
        <v>477</v>
      </c>
      <c r="M26" s="85"/>
      <c r="N26" s="232">
        <f>'NOVEMBER 19'!R26:R45</f>
        <v>0</v>
      </c>
      <c r="O26" s="320">
        <v>3500</v>
      </c>
      <c r="P26" s="232">
        <f t="shared" si="4"/>
        <v>3500</v>
      </c>
      <c r="Q26" s="234">
        <v>3500</v>
      </c>
      <c r="R26" s="319">
        <f t="shared" si="5"/>
        <v>0</v>
      </c>
      <c r="S26" s="78"/>
    </row>
    <row r="27" spans="1:19" ht="22.5" x14ac:dyDescent="0.25">
      <c r="A27" s="468">
        <v>6</v>
      </c>
      <c r="B27" s="517" t="s">
        <v>528</v>
      </c>
      <c r="C27" s="458"/>
      <c r="D27" s="516">
        <f>'NOVEMBER 19'!H27:H35</f>
        <v>0</v>
      </c>
      <c r="E27" s="471">
        <v>4000</v>
      </c>
      <c r="F27" s="459">
        <f t="shared" si="6"/>
        <v>4000</v>
      </c>
      <c r="G27" s="464">
        <v>4000</v>
      </c>
      <c r="H27" s="462">
        <f t="shared" si="7"/>
        <v>0</v>
      </c>
      <c r="I27" s="462"/>
      <c r="J27" s="78"/>
      <c r="K27" s="83">
        <v>9</v>
      </c>
      <c r="L27" s="200" t="s">
        <v>496</v>
      </c>
      <c r="M27" s="85"/>
      <c r="N27" s="232">
        <f>'NOVEMBER 19'!R27:R46</f>
        <v>0</v>
      </c>
      <c r="O27" s="320">
        <v>3500</v>
      </c>
      <c r="P27" s="232">
        <f>M27+N27+O27</f>
        <v>3500</v>
      </c>
      <c r="Q27" s="234">
        <v>3500</v>
      </c>
      <c r="R27" s="319">
        <f t="shared" si="5"/>
        <v>0</v>
      </c>
      <c r="S27" s="78"/>
    </row>
    <row r="28" spans="1:19" ht="31.5" x14ac:dyDescent="0.25">
      <c r="A28" s="456">
        <v>7</v>
      </c>
      <c r="B28" s="518" t="s">
        <v>456</v>
      </c>
      <c r="C28" s="458">
        <v>0</v>
      </c>
      <c r="D28" s="516">
        <f>'NOVEMBER 19'!H28:H36</f>
        <v>0</v>
      </c>
      <c r="E28" s="471">
        <v>4000</v>
      </c>
      <c r="F28" s="459">
        <f t="shared" si="6"/>
        <v>4000</v>
      </c>
      <c r="G28" s="464">
        <v>4000</v>
      </c>
      <c r="H28" s="462">
        <f t="shared" si="7"/>
        <v>0</v>
      </c>
      <c r="I28" s="462"/>
      <c r="J28" s="78"/>
      <c r="K28" s="83">
        <v>10</v>
      </c>
      <c r="L28" s="200" t="s">
        <v>490</v>
      </c>
      <c r="M28" s="85"/>
      <c r="N28" s="232">
        <f>'NOVEMBER 19'!R28:R47</f>
        <v>0</v>
      </c>
      <c r="O28" s="320">
        <v>3500</v>
      </c>
      <c r="P28" s="232">
        <f t="shared" si="4"/>
        <v>3500</v>
      </c>
      <c r="Q28" s="234">
        <v>3500</v>
      </c>
      <c r="R28" s="319">
        <f t="shared" si="5"/>
        <v>0</v>
      </c>
      <c r="S28" s="78"/>
    </row>
    <row r="29" spans="1:19" ht="22.5" x14ac:dyDescent="0.25">
      <c r="A29" s="464"/>
      <c r="B29" s="519" t="s">
        <v>193</v>
      </c>
      <c r="C29" s="520"/>
      <c r="D29" s="516">
        <f>'NOVEMBER 19'!H29:H37</f>
        <v>0</v>
      </c>
      <c r="E29" s="475">
        <f>SUM(E21:E28)</f>
        <v>27500</v>
      </c>
      <c r="F29" s="521">
        <f>SUM(F21:F28)</f>
        <v>27500</v>
      </c>
      <c r="G29" s="475">
        <f>SUM(G21:G28)</f>
        <v>27500</v>
      </c>
      <c r="H29" s="462">
        <f>F29-G29</f>
        <v>0</v>
      </c>
      <c r="I29" s="462"/>
      <c r="J29" s="78"/>
      <c r="K29" s="83">
        <v>11</v>
      </c>
      <c r="L29" s="249" t="s">
        <v>474</v>
      </c>
      <c r="M29" s="85"/>
      <c r="N29" s="232">
        <f>'NOVEMBER 19'!R29:R48</f>
        <v>0</v>
      </c>
      <c r="O29" s="320">
        <v>3500</v>
      </c>
      <c r="P29" s="232">
        <f>M29+N29+O29</f>
        <v>3500</v>
      </c>
      <c r="Q29" s="234">
        <v>3500</v>
      </c>
      <c r="R29" s="319">
        <f>P29-Q29</f>
        <v>0</v>
      </c>
      <c r="S29" s="78"/>
    </row>
    <row r="30" spans="1:19" ht="22.5" x14ac:dyDescent="0.25">
      <c r="A30" s="79"/>
      <c r="B30" s="79" t="s">
        <v>509</v>
      </c>
      <c r="C30" s="106"/>
      <c r="D30" s="107"/>
      <c r="E30" s="106"/>
      <c r="F30" s="108"/>
      <c r="G30" s="106"/>
      <c r="H30" s="150"/>
      <c r="I30" s="269"/>
      <c r="J30" s="78"/>
      <c r="K30" s="83">
        <v>12</v>
      </c>
      <c r="L30" s="121" t="s">
        <v>530</v>
      </c>
      <c r="M30" s="85">
        <v>3500</v>
      </c>
      <c r="N30" s="232">
        <f>'NOVEMBER 19'!R30:R49</f>
        <v>0</v>
      </c>
      <c r="O30" s="320">
        <v>3500</v>
      </c>
      <c r="P30" s="232">
        <f t="shared" si="4"/>
        <v>7000</v>
      </c>
      <c r="Q30" s="234">
        <v>7000</v>
      </c>
      <c r="R30" s="319">
        <f t="shared" si="5"/>
        <v>0</v>
      </c>
      <c r="S30" s="78"/>
    </row>
    <row r="31" spans="1:19" ht="22.5" x14ac:dyDescent="0.25">
      <c r="A31" s="303"/>
      <c r="B31" s="359" t="s">
        <v>204</v>
      </c>
      <c r="C31" s="359" t="s">
        <v>205</v>
      </c>
      <c r="D31" t="s">
        <v>207</v>
      </c>
      <c r="E31" s="359" t="s">
        <v>208</v>
      </c>
      <c r="F31" s="359" t="s">
        <v>204</v>
      </c>
      <c r="G31" s="359" t="s">
        <v>205</v>
      </c>
      <c r="H31" s="359" t="s">
        <v>207</v>
      </c>
      <c r="I31" s="360" t="s">
        <v>306</v>
      </c>
      <c r="J31" s="78"/>
      <c r="K31" s="83">
        <v>13</v>
      </c>
      <c r="L31" s="200" t="s">
        <v>479</v>
      </c>
      <c r="M31" s="85"/>
      <c r="N31" s="232">
        <f>'NOVEMBER 19'!R31:R50</f>
        <v>0</v>
      </c>
      <c r="O31" s="320">
        <v>3500</v>
      </c>
      <c r="P31" s="232">
        <f t="shared" si="4"/>
        <v>3500</v>
      </c>
      <c r="Q31" s="234">
        <v>3500</v>
      </c>
      <c r="R31" s="319">
        <f>P31-Q31</f>
        <v>0</v>
      </c>
      <c r="S31" s="78"/>
    </row>
    <row r="32" spans="1:19" ht="22.5" x14ac:dyDescent="0.25">
      <c r="A32" s="304"/>
      <c r="B32" s="211" t="s">
        <v>525</v>
      </c>
      <c r="C32" s="273">
        <f>E29+E18</f>
        <v>61900</v>
      </c>
      <c r="D32" s="164"/>
      <c r="E32" s="359" t="s">
        <v>207</v>
      </c>
      <c r="F32" s="211" t="s">
        <v>525</v>
      </c>
      <c r="G32" s="273">
        <f>G29+H18</f>
        <v>62800</v>
      </c>
      <c r="H32" s="164"/>
      <c r="I32" s="273"/>
      <c r="J32" s="78"/>
      <c r="K32" s="83">
        <v>14</v>
      </c>
      <c r="L32" s="200" t="s">
        <v>480</v>
      </c>
      <c r="M32" s="85"/>
      <c r="N32" s="232">
        <f>'NOVEMBER 19'!R32:R51</f>
        <v>0</v>
      </c>
      <c r="O32" s="320">
        <v>3500</v>
      </c>
      <c r="P32" s="232">
        <f t="shared" si="4"/>
        <v>3500</v>
      </c>
      <c r="Q32" s="234">
        <v>3500</v>
      </c>
      <c r="R32" s="319">
        <f t="shared" si="5"/>
        <v>0</v>
      </c>
      <c r="S32" s="78"/>
    </row>
    <row r="33" spans="1:19" ht="22.5" x14ac:dyDescent="0.25">
      <c r="A33" s="304"/>
      <c r="B33" s="211" t="s">
        <v>209</v>
      </c>
      <c r="C33" s="307">
        <v>0.1</v>
      </c>
      <c r="D33" s="308">
        <f>C32*C33</f>
        <v>6190</v>
      </c>
      <c r="E33" s="211"/>
      <c r="F33" s="211" t="s">
        <v>209</v>
      </c>
      <c r="G33" s="307">
        <v>0.1</v>
      </c>
      <c r="H33" s="308">
        <f>D33</f>
        <v>6190</v>
      </c>
      <c r="I33" s="273"/>
      <c r="J33" s="78"/>
      <c r="K33" s="83">
        <v>15</v>
      </c>
      <c r="L33" s="200" t="s">
        <v>512</v>
      </c>
      <c r="M33" s="85"/>
      <c r="N33" s="232">
        <f>'NOVEMBER 19'!R33:R54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</row>
    <row r="34" spans="1:19" ht="22.5" x14ac:dyDescent="0.25">
      <c r="A34" s="304"/>
      <c r="B34" s="309" t="s">
        <v>232</v>
      </c>
      <c r="C34" s="308">
        <f>F18</f>
        <v>1100</v>
      </c>
      <c r="D34" s="211"/>
      <c r="E34" s="309"/>
      <c r="G34" s="308"/>
      <c r="H34" s="211"/>
      <c r="I34" s="273"/>
      <c r="J34" s="78"/>
      <c r="K34" s="83">
        <v>16</v>
      </c>
      <c r="L34" s="200" t="s">
        <v>488</v>
      </c>
      <c r="M34" s="85"/>
      <c r="N34" s="232">
        <f>'NOVEMBER 19'!R34:R55</f>
        <v>0</v>
      </c>
      <c r="O34" s="320">
        <v>3500</v>
      </c>
      <c r="P34" s="232">
        <f>M34+N34+O34</f>
        <v>3500</v>
      </c>
      <c r="Q34" s="234">
        <v>3500</v>
      </c>
      <c r="R34" s="319">
        <f>P34-Q34</f>
        <v>0</v>
      </c>
      <c r="S34" s="78"/>
    </row>
    <row r="35" spans="1:19" ht="22.5" x14ac:dyDescent="0.25">
      <c r="A35" s="304"/>
      <c r="B35" s="309" t="s">
        <v>468</v>
      </c>
      <c r="C35" s="308">
        <v>3000</v>
      </c>
      <c r="D35" s="211"/>
      <c r="E35" s="211"/>
      <c r="F35" s="309" t="s">
        <v>468</v>
      </c>
      <c r="G35" s="308">
        <v>3000</v>
      </c>
      <c r="H35" s="211"/>
      <c r="I35" s="273"/>
      <c r="J35" s="78"/>
      <c r="K35" s="83">
        <v>17</v>
      </c>
      <c r="L35" s="200" t="s">
        <v>495</v>
      </c>
      <c r="M35" s="85"/>
      <c r="N35" s="232">
        <f>'NOVEMBER 19'!R35:R56</f>
        <v>0</v>
      </c>
      <c r="O35" s="320">
        <v>3500</v>
      </c>
      <c r="P35" s="232">
        <f t="shared" si="4"/>
        <v>3500</v>
      </c>
      <c r="Q35" s="234">
        <v>3500</v>
      </c>
      <c r="R35" s="319">
        <f t="shared" si="5"/>
        <v>0</v>
      </c>
      <c r="S35" s="78"/>
    </row>
    <row r="36" spans="1:19" ht="22.5" x14ac:dyDescent="0.25">
      <c r="A36" s="304"/>
      <c r="B36" s="309" t="s">
        <v>470</v>
      </c>
      <c r="C36" s="308">
        <v>3000</v>
      </c>
      <c r="D36" s="211"/>
      <c r="E36" s="211"/>
      <c r="F36" s="309" t="s">
        <v>470</v>
      </c>
      <c r="G36" s="308">
        <v>3000</v>
      </c>
      <c r="H36" s="211"/>
      <c r="I36" s="273"/>
      <c r="J36" s="78"/>
      <c r="K36" s="83">
        <v>18</v>
      </c>
      <c r="L36" s="121" t="s">
        <v>526</v>
      </c>
      <c r="M36" s="85">
        <v>3500</v>
      </c>
      <c r="N36" s="232">
        <f>'NOVEMBER 19'!R36:R57</f>
        <v>0</v>
      </c>
      <c r="O36" s="320">
        <v>3500</v>
      </c>
      <c r="P36" s="232">
        <f t="shared" si="4"/>
        <v>7000</v>
      </c>
      <c r="Q36" s="234">
        <v>7000</v>
      </c>
      <c r="R36" s="319">
        <f>P36-Q36</f>
        <v>0</v>
      </c>
      <c r="S36" s="78"/>
    </row>
    <row r="37" spans="1:19" ht="17.25" customHeight="1" x14ac:dyDescent="0.25">
      <c r="A37" s="304"/>
      <c r="B37" s="309" t="s">
        <v>239</v>
      </c>
      <c r="C37" s="308">
        <f>'NOVEMBER 19'!E48</f>
        <v>0.34230528003536165</v>
      </c>
      <c r="D37" s="211"/>
      <c r="E37" s="211"/>
      <c r="F37" s="309" t="s">
        <v>239</v>
      </c>
      <c r="G37" s="308">
        <f>'NOVEMBER 19'!I48</f>
        <v>-2243.7247999999672</v>
      </c>
      <c r="H37" s="211"/>
      <c r="I37" s="273"/>
      <c r="J37" s="78"/>
      <c r="K37" s="83">
        <v>19</v>
      </c>
      <c r="L37" s="200" t="s">
        <v>516</v>
      </c>
      <c r="M37" s="85"/>
      <c r="N37" s="232">
        <f>'NOVEMBER 19'!R37:R58</f>
        <v>0</v>
      </c>
      <c r="O37" s="320">
        <v>3500</v>
      </c>
      <c r="P37" s="232">
        <f>M37+N37+O37</f>
        <v>3500</v>
      </c>
      <c r="Q37" s="234">
        <v>3500</v>
      </c>
      <c r="R37" s="319">
        <f>P37-Q37</f>
        <v>0</v>
      </c>
      <c r="S37" s="78"/>
    </row>
    <row r="38" spans="1:19" ht="22.5" x14ac:dyDescent="0.25">
      <c r="A38" s="304"/>
      <c r="B38" s="309" t="s">
        <v>193</v>
      </c>
      <c r="C38" s="308">
        <f>C32+C34+C37+C35+C36</f>
        <v>69000.342305280035</v>
      </c>
      <c r="D38" s="211"/>
      <c r="E38" s="211"/>
      <c r="F38" s="309" t="s">
        <v>193</v>
      </c>
      <c r="G38" s="308">
        <f>G32+G34+G37+G35</f>
        <v>63556.275200000033</v>
      </c>
      <c r="H38" s="211"/>
      <c r="I38" s="273"/>
      <c r="J38" s="78"/>
      <c r="K38" s="83">
        <v>20</v>
      </c>
      <c r="L38" s="121" t="s">
        <v>497</v>
      </c>
      <c r="M38" s="85"/>
      <c r="N38" s="232"/>
      <c r="O38" s="320">
        <v>3500</v>
      </c>
      <c r="P38" s="232">
        <f>M38+N38+O38</f>
        <v>3500</v>
      </c>
      <c r="Q38" s="234">
        <v>3500</v>
      </c>
      <c r="R38" s="319">
        <f>P38-Q38</f>
        <v>0</v>
      </c>
      <c r="S38" s="78" t="s">
        <v>522</v>
      </c>
    </row>
    <row r="39" spans="1:19" x14ac:dyDescent="0.25">
      <c r="A39" s="304"/>
      <c r="B39" s="365"/>
      <c r="C39" s="366"/>
      <c r="D39" s="367"/>
      <c r="E39" s="366"/>
      <c r="F39" s="309"/>
      <c r="G39" s="308"/>
      <c r="H39" s="367"/>
      <c r="I39" s="368"/>
      <c r="J39" s="78"/>
      <c r="K39" s="83"/>
      <c r="L39" s="204" t="s">
        <v>193</v>
      </c>
      <c r="M39" s="205">
        <f>SUM(M19:M38)</f>
        <v>7000</v>
      </c>
      <c r="N39" s="232">
        <f>SUM(N19:N38)</f>
        <v>0</v>
      </c>
      <c r="O39" s="239">
        <f>SUM(O19:O38)</f>
        <v>70000</v>
      </c>
      <c r="P39" s="232">
        <f>M39+N39+O39</f>
        <v>77000</v>
      </c>
      <c r="Q39" s="240">
        <f>SUM(Q19:Q38)</f>
        <v>77000</v>
      </c>
      <c r="R39" s="319">
        <f>P39-Q39</f>
        <v>0</v>
      </c>
      <c r="S39" s="78"/>
    </row>
    <row r="40" spans="1:19" x14ac:dyDescent="0.25">
      <c r="A40" s="304"/>
      <c r="B40" s="446" t="s">
        <v>194</v>
      </c>
      <c r="C40" s="366"/>
      <c r="D40" s="367"/>
      <c r="E40" s="366"/>
      <c r="F40" s="446" t="s">
        <v>194</v>
      </c>
      <c r="G40" s="366"/>
      <c r="H40" s="367"/>
      <c r="I40" s="368"/>
      <c r="J40" s="78"/>
      <c r="K40" s="382" t="s">
        <v>509</v>
      </c>
      <c r="L40" s="106"/>
      <c r="M40" s="107"/>
      <c r="N40" s="106"/>
      <c r="O40" s="108"/>
      <c r="P40" s="106"/>
      <c r="Q40" s="150"/>
      <c r="R40" s="269"/>
      <c r="S40" s="78"/>
    </row>
    <row r="41" spans="1:19" x14ac:dyDescent="0.25">
      <c r="A41" s="150"/>
      <c r="B41" s="369" t="s">
        <v>468</v>
      </c>
      <c r="C41" s="78"/>
      <c r="D41" s="371">
        <v>3000</v>
      </c>
      <c r="E41" s="370"/>
      <c r="F41" s="369" t="s">
        <v>468</v>
      </c>
      <c r="G41" s="78"/>
      <c r="H41" s="371">
        <v>3000</v>
      </c>
      <c r="I41" s="368"/>
      <c r="J41" s="78"/>
      <c r="K41" s="359" t="s">
        <v>204</v>
      </c>
      <c r="L41" s="359" t="s">
        <v>205</v>
      </c>
      <c r="M41" s="359" t="s">
        <v>207</v>
      </c>
      <c r="N41" s="359" t="s">
        <v>208</v>
      </c>
      <c r="O41" s="359" t="s">
        <v>204</v>
      </c>
      <c r="P41" s="359" t="s">
        <v>205</v>
      </c>
      <c r="Q41" s="359" t="s">
        <v>207</v>
      </c>
      <c r="R41" s="360" t="s">
        <v>306</v>
      </c>
      <c r="S41" s="78"/>
    </row>
    <row r="42" spans="1:19" x14ac:dyDescent="0.25">
      <c r="A42" s="150"/>
      <c r="B42" s="369" t="s">
        <v>81</v>
      </c>
      <c r="C42" s="370"/>
      <c r="D42" s="371">
        <v>3000</v>
      </c>
      <c r="E42" s="370"/>
      <c r="F42" s="369" t="s">
        <v>81</v>
      </c>
      <c r="G42" s="370"/>
      <c r="H42" s="371">
        <v>3000</v>
      </c>
      <c r="I42" s="368"/>
      <c r="J42" s="78"/>
      <c r="K42" s="211" t="s">
        <v>525</v>
      </c>
      <c r="L42" s="273">
        <f>O39+O17</f>
        <v>92000</v>
      </c>
      <c r="M42" s="164"/>
      <c r="N42" s="164"/>
      <c r="O42" s="211" t="s">
        <v>525</v>
      </c>
      <c r="P42" s="273">
        <f>Q39+Q17</f>
        <v>98650</v>
      </c>
      <c r="Q42" s="164"/>
      <c r="R42" s="273"/>
      <c r="S42" s="78"/>
    </row>
    <row r="43" spans="1:19" x14ac:dyDescent="0.25">
      <c r="A43" s="150"/>
      <c r="B43" s="370" t="s">
        <v>408</v>
      </c>
      <c r="C43" s="449">
        <v>0.3</v>
      </c>
      <c r="D43" s="368">
        <f>C43*E13</f>
        <v>900</v>
      </c>
      <c r="E43" s="370"/>
      <c r="F43" s="370" t="s">
        <v>408</v>
      </c>
      <c r="G43" s="449">
        <v>0.3</v>
      </c>
      <c r="H43" s="368">
        <f>G43*E13</f>
        <v>900</v>
      </c>
      <c r="I43" s="368"/>
      <c r="J43" s="78"/>
      <c r="K43" s="211" t="s">
        <v>209</v>
      </c>
      <c r="L43" s="307">
        <v>0.1</v>
      </c>
      <c r="M43" s="308">
        <f>L42*L43</f>
        <v>9200</v>
      </c>
      <c r="N43" s="211"/>
      <c r="O43" s="211" t="s">
        <v>209</v>
      </c>
      <c r="P43" s="307">
        <v>0.1</v>
      </c>
      <c r="Q43" s="308">
        <f>M43</f>
        <v>9200</v>
      </c>
      <c r="R43" s="273"/>
      <c r="S43" s="78"/>
    </row>
    <row r="44" spans="1:19" x14ac:dyDescent="0.25">
      <c r="A44" s="150"/>
      <c r="B44" s="370" t="s">
        <v>408</v>
      </c>
      <c r="C44" s="370"/>
      <c r="D44" s="368">
        <f>C43*E17</f>
        <v>900</v>
      </c>
      <c r="E44" s="370"/>
      <c r="F44" s="370" t="s">
        <v>408</v>
      </c>
      <c r="G44" s="370"/>
      <c r="H44" s="368">
        <f>D44</f>
        <v>900</v>
      </c>
      <c r="I44" s="367"/>
      <c r="J44" s="78"/>
      <c r="K44" s="309"/>
      <c r="L44" s="308"/>
      <c r="M44" s="211"/>
      <c r="N44" s="211"/>
      <c r="O44" s="309"/>
      <c r="P44" s="308"/>
      <c r="Q44" s="211"/>
      <c r="R44" s="273"/>
      <c r="S44" s="78"/>
    </row>
    <row r="45" spans="1:19" x14ac:dyDescent="0.25">
      <c r="A45" s="150"/>
      <c r="B45" s="369" t="s">
        <v>537</v>
      </c>
      <c r="C45" s="370"/>
      <c r="D45" s="371">
        <v>55010</v>
      </c>
      <c r="E45" s="370"/>
      <c r="F45" s="369" t="s">
        <v>537</v>
      </c>
      <c r="G45" s="370"/>
      <c r="H45" s="371">
        <v>55010</v>
      </c>
      <c r="I45" s="368"/>
      <c r="J45" s="78"/>
      <c r="K45" s="211" t="s">
        <v>408</v>
      </c>
      <c r="L45" s="307">
        <v>0.3</v>
      </c>
      <c r="M45" s="308">
        <f>L45*O30+(L45*O36)+(L45*O37)+(L45*O7)</f>
        <v>4050</v>
      </c>
      <c r="N45" s="211"/>
      <c r="O45" s="211" t="s">
        <v>408</v>
      </c>
      <c r="P45" s="307">
        <v>0.3</v>
      </c>
      <c r="Q45" s="308">
        <f>P45*O30+(P45*O36)+(P45*O37)+(P45*O7)</f>
        <v>4050</v>
      </c>
      <c r="R45" s="273"/>
      <c r="S45" s="78"/>
    </row>
    <row r="46" spans="1:19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78"/>
      <c r="K46" s="309" t="s">
        <v>470</v>
      </c>
      <c r="L46" s="308">
        <f>M39</f>
        <v>7000</v>
      </c>
      <c r="N46" s="211"/>
      <c r="O46" s="211"/>
      <c r="P46" s="308"/>
      <c r="Q46" s="211"/>
      <c r="R46" s="273"/>
      <c r="S46" s="78"/>
    </row>
    <row r="47" spans="1:19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78"/>
      <c r="K47" s="309" t="s">
        <v>239</v>
      </c>
      <c r="L47" s="308">
        <f>'NOVEMBER 19'!N55</f>
        <v>-7000</v>
      </c>
      <c r="M47" s="211"/>
      <c r="N47" s="211"/>
      <c r="O47" s="309" t="s">
        <v>239</v>
      </c>
      <c r="P47" s="308">
        <f>'NOVEMBER 19'!R55</f>
        <v>-7000</v>
      </c>
      <c r="Q47" s="211"/>
      <c r="R47" s="273"/>
      <c r="S47" s="78"/>
    </row>
    <row r="48" spans="1:19" x14ac:dyDescent="0.25">
      <c r="A48" s="150"/>
      <c r="B48" s="166" t="s">
        <v>193</v>
      </c>
      <c r="C48" s="317">
        <f>C32+C34+C35+C36+C37-D33</f>
        <v>62810.342305280035</v>
      </c>
      <c r="D48" s="318">
        <f>SUM(D39:D47)</f>
        <v>62810</v>
      </c>
      <c r="E48" s="318">
        <f>C48-D48</f>
        <v>0.34230528003536165</v>
      </c>
      <c r="F48" s="166" t="s">
        <v>193</v>
      </c>
      <c r="G48" s="317">
        <f>G32+G34+G35+G36+G37-H33</f>
        <v>60366.275200000033</v>
      </c>
      <c r="H48" s="318">
        <f>SUM(H39:H47)</f>
        <v>62810</v>
      </c>
      <c r="I48" s="318">
        <f>G48-H48</f>
        <v>-2443.7247999999672</v>
      </c>
      <c r="J48" s="78"/>
      <c r="K48" s="309" t="s">
        <v>193</v>
      </c>
      <c r="L48" s="308">
        <f>L42+L44+L47+L46</f>
        <v>92000</v>
      </c>
      <c r="M48" s="211"/>
      <c r="N48" s="211"/>
      <c r="O48" s="309" t="s">
        <v>193</v>
      </c>
      <c r="P48" s="308">
        <f>P42+P44+P47+P45</f>
        <v>91650.3</v>
      </c>
      <c r="Q48" s="211"/>
      <c r="R48" s="273"/>
      <c r="S48" s="78"/>
    </row>
    <row r="49" spans="1:19" x14ac:dyDescent="0.25">
      <c r="A49" s="150"/>
      <c r="B49" s="150"/>
      <c r="C49" s="150"/>
      <c r="D49" s="150"/>
      <c r="E49" s="150"/>
      <c r="F49" s="150"/>
      <c r="G49" s="79"/>
      <c r="H49" s="150"/>
      <c r="I49" s="269"/>
      <c r="J49" s="78"/>
      <c r="K49" s="212" t="s">
        <v>194</v>
      </c>
      <c r="L49" s="307"/>
      <c r="M49" s="214"/>
      <c r="N49" s="211"/>
      <c r="O49" s="212" t="s">
        <v>194</v>
      </c>
      <c r="P49" s="307"/>
      <c r="Q49" s="214"/>
      <c r="R49" s="273"/>
      <c r="S49" s="78"/>
    </row>
    <row r="50" spans="1:19" x14ac:dyDescent="0.25">
      <c r="A50" s="150"/>
      <c r="B50" s="150" t="s">
        <v>71</v>
      </c>
      <c r="C50" s="79"/>
      <c r="D50" s="78"/>
      <c r="E50" s="150" t="s">
        <v>72</v>
      </c>
      <c r="F50" s="78"/>
      <c r="G50" s="78"/>
      <c r="H50" s="150" t="s">
        <v>73</v>
      </c>
      <c r="I50" s="269"/>
      <c r="J50" s="78"/>
      <c r="K50" s="365" t="s">
        <v>532</v>
      </c>
      <c r="L50" s="380"/>
      <c r="M50" s="367">
        <f>3500</f>
        <v>3500</v>
      </c>
      <c r="N50" s="366"/>
      <c r="O50" s="365" t="s">
        <v>532</v>
      </c>
      <c r="P50" s="380"/>
      <c r="Q50" s="367">
        <v>3500</v>
      </c>
      <c r="R50" s="368"/>
      <c r="S50" s="78"/>
    </row>
    <row r="51" spans="1:19" x14ac:dyDescent="0.25">
      <c r="A51" s="78"/>
      <c r="B51" s="78" t="s">
        <v>471</v>
      </c>
      <c r="C51" s="78"/>
      <c r="D51" s="78"/>
      <c r="E51" s="78" t="s">
        <v>135</v>
      </c>
      <c r="F51" s="78"/>
      <c r="G51" s="78"/>
      <c r="H51" s="78" t="s">
        <v>130</v>
      </c>
      <c r="I51" s="78"/>
      <c r="J51" s="78"/>
      <c r="K51" s="369" t="s">
        <v>534</v>
      </c>
      <c r="L51" s="370"/>
      <c r="M51" s="371">
        <f>O19</f>
        <v>3500</v>
      </c>
      <c r="N51" s="370"/>
      <c r="O51" s="369" t="s">
        <v>534</v>
      </c>
      <c r="P51" s="370"/>
      <c r="Q51" s="371">
        <f>M51</f>
        <v>3500</v>
      </c>
      <c r="R51" s="368"/>
      <c r="S51" s="78"/>
    </row>
    <row r="52" spans="1:19" x14ac:dyDescent="0.25">
      <c r="A52" s="150"/>
      <c r="B52" s="150"/>
      <c r="C52" s="150"/>
      <c r="D52" s="150"/>
      <c r="E52" s="150"/>
      <c r="F52" s="269"/>
      <c r="G52" s="150"/>
      <c r="H52" s="150"/>
      <c r="I52" s="150"/>
      <c r="J52" s="78"/>
      <c r="K52" s="369" t="s">
        <v>537</v>
      </c>
      <c r="L52" s="370"/>
      <c r="M52" s="371">
        <v>68250</v>
      </c>
      <c r="N52" s="370"/>
      <c r="O52" s="369" t="s">
        <v>537</v>
      </c>
      <c r="P52" s="370"/>
      <c r="Q52" s="371">
        <v>68250</v>
      </c>
      <c r="R52" s="368"/>
      <c r="S52" s="78"/>
    </row>
    <row r="53" spans="1:19" x14ac:dyDescent="0.25">
      <c r="A53" s="78"/>
      <c r="B53" s="78"/>
      <c r="C53" s="220"/>
      <c r="D53" s="78"/>
      <c r="E53" s="78"/>
      <c r="F53" s="78"/>
      <c r="G53" s="78"/>
      <c r="H53" s="220">
        <f>L42+L46</f>
        <v>99000</v>
      </c>
      <c r="I53" s="78"/>
      <c r="J53" s="78"/>
      <c r="K53" s="166" t="s">
        <v>193</v>
      </c>
      <c r="L53" s="317">
        <f>L42+L44+L45+L46+L47-M43-M45</f>
        <v>78750.3</v>
      </c>
      <c r="M53" s="318">
        <f>SUM(M50:M52)</f>
        <v>75250</v>
      </c>
      <c r="N53" s="318">
        <f>L53-M53</f>
        <v>3500.3000000000029</v>
      </c>
      <c r="O53" s="166" t="s">
        <v>193</v>
      </c>
      <c r="P53" s="317">
        <f>P42+P44+P45+P47-Q43-Q45</f>
        <v>78400.3</v>
      </c>
      <c r="Q53" s="318">
        <f>SUM(Q50:Q52)</f>
        <v>75250</v>
      </c>
      <c r="R53" s="318">
        <f>P53-Q53</f>
        <v>3150.3000000000029</v>
      </c>
      <c r="S53" s="78"/>
    </row>
    <row r="54" spans="1:19" x14ac:dyDescent="0.25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150" t="s">
        <v>71</v>
      </c>
      <c r="L54" s="79"/>
      <c r="M54" s="78"/>
      <c r="N54" s="150" t="s">
        <v>72</v>
      </c>
      <c r="O54" s="78"/>
      <c r="P54" s="78"/>
      <c r="Q54" s="150" t="s">
        <v>73</v>
      </c>
      <c r="R54" s="269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50" t="s">
        <v>471</v>
      </c>
      <c r="L55" s="150"/>
      <c r="M55" s="78"/>
      <c r="N55" s="150" t="s">
        <v>135</v>
      </c>
      <c r="O55" s="78"/>
      <c r="P55" s="78"/>
      <c r="Q55" s="150" t="s">
        <v>130</v>
      </c>
      <c r="R55" s="78"/>
    </row>
    <row r="60" spans="1:19" x14ac:dyDescent="0.25">
      <c r="K60" s="220">
        <f>R10+K36</f>
        <v>2218</v>
      </c>
    </row>
  </sheetData>
  <pageMargins left="0.1" right="0.1" top="0.1" bottom="0.1" header="0.3" footer="0.3"/>
  <pageSetup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29" workbookViewId="0">
      <selection activeCell="K51" sqref="K51"/>
    </sheetView>
  </sheetViews>
  <sheetFormatPr defaultRowHeight="15" x14ac:dyDescent="0.25"/>
  <cols>
    <col min="1" max="1" width="9.7109375" bestFit="1" customWidth="1"/>
    <col min="2" max="2" width="21.140625" bestFit="1" customWidth="1"/>
    <col min="3" max="3" width="11.140625" customWidth="1"/>
    <col min="4" max="4" width="8.140625" customWidth="1"/>
    <col min="5" max="5" width="12.140625" bestFit="1" customWidth="1"/>
    <col min="6" max="7" width="12.7109375" bestFit="1" customWidth="1"/>
    <col min="8" max="8" width="11" bestFit="1" customWidth="1"/>
  </cols>
  <sheetData>
    <row r="1" spans="1:10" ht="15.75" x14ac:dyDescent="0.25">
      <c r="B1" s="451"/>
      <c r="C1" s="451"/>
      <c r="D1" s="451"/>
      <c r="E1" s="451"/>
      <c r="F1" s="451"/>
      <c r="G1" s="451"/>
      <c r="H1" s="451"/>
      <c r="I1" s="451"/>
      <c r="J1" s="78"/>
    </row>
    <row r="2" spans="1:10" ht="15.75" x14ac:dyDescent="0.25">
      <c r="A2" s="451"/>
      <c r="B2" s="451"/>
      <c r="C2" s="251" t="s">
        <v>356</v>
      </c>
      <c r="D2" s="451"/>
      <c r="E2" s="451"/>
      <c r="F2" s="451"/>
      <c r="G2" s="451"/>
      <c r="H2" s="451"/>
      <c r="I2" s="451"/>
      <c r="J2" s="78"/>
    </row>
    <row r="3" spans="1:10" ht="15.75" x14ac:dyDescent="0.25">
      <c r="A3" s="451"/>
      <c r="B3" s="451"/>
      <c r="C3" s="250" t="s">
        <v>357</v>
      </c>
      <c r="D3" s="5"/>
      <c r="E3" s="451"/>
      <c r="F3" s="451"/>
      <c r="G3" s="451"/>
      <c r="H3" s="451"/>
      <c r="I3" s="451"/>
      <c r="J3" s="78"/>
    </row>
    <row r="4" spans="1:10" ht="15.75" x14ac:dyDescent="0.25">
      <c r="A4" s="451"/>
      <c r="B4" s="451"/>
      <c r="C4" s="5" t="s">
        <v>523</v>
      </c>
      <c r="D4" s="250"/>
      <c r="E4" s="451"/>
      <c r="F4" s="452"/>
      <c r="G4" s="451"/>
      <c r="H4" s="451"/>
      <c r="I4" s="451"/>
      <c r="J4" s="78"/>
    </row>
    <row r="5" spans="1:10" ht="15.75" x14ac:dyDescent="0.25">
      <c r="A5" s="451"/>
      <c r="B5" s="451"/>
      <c r="C5" s="451"/>
      <c r="D5" s="5" t="s">
        <v>346</v>
      </c>
      <c r="E5" s="451"/>
      <c r="F5" s="451"/>
      <c r="G5" s="451"/>
      <c r="H5" s="451"/>
      <c r="I5" s="451"/>
      <c r="J5" s="78"/>
    </row>
    <row r="6" spans="1:10" ht="15.75" x14ac:dyDescent="0.25">
      <c r="A6" s="453" t="s">
        <v>3</v>
      </c>
      <c r="B6" s="453" t="s">
        <v>4</v>
      </c>
      <c r="C6" s="453" t="s">
        <v>104</v>
      </c>
      <c r="D6" s="453" t="s">
        <v>8</v>
      </c>
      <c r="E6" s="453" t="s">
        <v>9</v>
      </c>
      <c r="F6" s="454" t="s">
        <v>11</v>
      </c>
      <c r="G6" s="453" t="s">
        <v>12</v>
      </c>
      <c r="H6" s="455" t="s">
        <v>105</v>
      </c>
      <c r="I6" s="451"/>
      <c r="J6" s="78"/>
    </row>
    <row r="7" spans="1:10" ht="24.75" customHeight="1" x14ac:dyDescent="0.25">
      <c r="A7" s="456" t="s">
        <v>106</v>
      </c>
      <c r="B7" s="457" t="s">
        <v>491</v>
      </c>
      <c r="C7" s="458">
        <v>3000</v>
      </c>
      <c r="D7" s="459">
        <v>1000</v>
      </c>
      <c r="E7" s="460">
        <v>3000</v>
      </c>
      <c r="F7" s="459">
        <f>C7+D7+E7</f>
        <v>7000</v>
      </c>
      <c r="G7" s="461">
        <f>2500+1150</f>
        <v>3650</v>
      </c>
      <c r="H7" s="462">
        <f t="shared" ref="H7:H16" si="0">F7-G7</f>
        <v>3350</v>
      </c>
      <c r="I7" s="451"/>
      <c r="J7" s="78"/>
    </row>
    <row r="8" spans="1:10" ht="15.75" x14ac:dyDescent="0.25">
      <c r="A8" s="456" t="s">
        <v>108</v>
      </c>
      <c r="B8" s="463" t="s">
        <v>284</v>
      </c>
      <c r="C8" s="458"/>
      <c r="D8" s="459"/>
      <c r="E8" s="460"/>
      <c r="F8" s="459">
        <f t="shared" ref="F8:F17" si="1">C8+D8+E8</f>
        <v>0</v>
      </c>
      <c r="G8" s="459"/>
      <c r="H8" s="462">
        <f t="shared" si="0"/>
        <v>0</v>
      </c>
      <c r="I8" s="451"/>
      <c r="J8" s="78"/>
    </row>
    <row r="9" spans="1:10" ht="15.75" x14ac:dyDescent="0.25">
      <c r="A9" s="456" t="s">
        <v>110</v>
      </c>
      <c r="B9" s="464" t="s">
        <v>467</v>
      </c>
      <c r="C9" s="464"/>
      <c r="D9" s="459"/>
      <c r="E9" s="464">
        <v>2500</v>
      </c>
      <c r="F9" s="459">
        <f t="shared" si="1"/>
        <v>2500</v>
      </c>
      <c r="G9" s="464">
        <v>2500</v>
      </c>
      <c r="H9" s="462">
        <f t="shared" si="0"/>
        <v>0</v>
      </c>
      <c r="I9" s="451"/>
      <c r="J9" s="78"/>
    </row>
    <row r="10" spans="1:10" ht="15.75" x14ac:dyDescent="0.25">
      <c r="A10" s="465" t="s">
        <v>112</v>
      </c>
      <c r="B10" s="463" t="s">
        <v>443</v>
      </c>
      <c r="C10" s="464"/>
      <c r="D10" s="459">
        <v>1200</v>
      </c>
      <c r="E10" s="466">
        <v>2500</v>
      </c>
      <c r="F10" s="459">
        <f t="shared" si="1"/>
        <v>3700</v>
      </c>
      <c r="G10" s="462">
        <v>1500</v>
      </c>
      <c r="H10" s="462">
        <f t="shared" si="0"/>
        <v>2200</v>
      </c>
      <c r="I10" s="451"/>
      <c r="J10" s="78"/>
    </row>
    <row r="11" spans="1:10" ht="15.75" x14ac:dyDescent="0.25">
      <c r="A11" s="467" t="s">
        <v>114</v>
      </c>
      <c r="B11" s="463" t="s">
        <v>427</v>
      </c>
      <c r="C11" s="458"/>
      <c r="D11" s="459"/>
      <c r="E11" s="460">
        <v>2500</v>
      </c>
      <c r="F11" s="459">
        <f t="shared" si="1"/>
        <v>2500</v>
      </c>
      <c r="G11" s="461">
        <v>2500</v>
      </c>
      <c r="H11" s="462"/>
      <c r="I11" s="451"/>
      <c r="J11" s="78"/>
    </row>
    <row r="12" spans="1:10" ht="18.75" customHeight="1" x14ac:dyDescent="0.25">
      <c r="A12" s="468" t="s">
        <v>116</v>
      </c>
      <c r="B12" s="457" t="s">
        <v>437</v>
      </c>
      <c r="C12" s="464">
        <v>1000</v>
      </c>
      <c r="D12" s="459"/>
      <c r="E12" s="469">
        <v>2500</v>
      </c>
      <c r="F12" s="459">
        <f t="shared" si="1"/>
        <v>3500</v>
      </c>
      <c r="G12" s="470">
        <v>2500</v>
      </c>
      <c r="H12" s="462">
        <f>F12-G12</f>
        <v>1000</v>
      </c>
      <c r="I12" s="451"/>
      <c r="J12" s="78"/>
    </row>
    <row r="13" spans="1:10" ht="15.75" x14ac:dyDescent="0.25">
      <c r="A13" s="456" t="s">
        <v>119</v>
      </c>
      <c r="B13" s="457" t="s">
        <v>120</v>
      </c>
      <c r="C13" s="458"/>
      <c r="D13" s="459"/>
      <c r="E13" s="460">
        <v>2500</v>
      </c>
      <c r="F13" s="459">
        <f t="shared" si="1"/>
        <v>2500</v>
      </c>
      <c r="G13" s="461">
        <v>2500</v>
      </c>
      <c r="H13" s="462">
        <f t="shared" si="0"/>
        <v>0</v>
      </c>
      <c r="I13" s="451"/>
      <c r="J13" s="78"/>
    </row>
    <row r="14" spans="1:10" ht="15" customHeight="1" x14ac:dyDescent="0.25">
      <c r="A14" s="456" t="s">
        <v>121</v>
      </c>
      <c r="B14" s="457" t="s">
        <v>420</v>
      </c>
      <c r="C14" s="458"/>
      <c r="D14" s="459"/>
      <c r="E14" s="460">
        <v>2500</v>
      </c>
      <c r="F14" s="459">
        <f>C14+D14+E14</f>
        <v>2500</v>
      </c>
      <c r="G14" s="461">
        <v>2500</v>
      </c>
      <c r="H14" s="462">
        <f t="shared" si="0"/>
        <v>0</v>
      </c>
      <c r="I14" s="451"/>
      <c r="J14" s="78"/>
    </row>
    <row r="15" spans="1:10" ht="15.75" x14ac:dyDescent="0.25">
      <c r="A15" s="456" t="s">
        <v>123</v>
      </c>
      <c r="B15" s="463" t="s">
        <v>396</v>
      </c>
      <c r="C15" s="458">
        <v>500</v>
      </c>
      <c r="D15" s="459"/>
      <c r="E15" s="460">
        <v>2500</v>
      </c>
      <c r="F15" s="459">
        <f t="shared" si="1"/>
        <v>3000</v>
      </c>
      <c r="G15" s="461">
        <v>2500</v>
      </c>
      <c r="H15" s="462">
        <f>F15-G15</f>
        <v>500</v>
      </c>
      <c r="I15" s="451"/>
      <c r="J15" s="78"/>
    </row>
    <row r="16" spans="1:10" ht="15.75" x14ac:dyDescent="0.25">
      <c r="A16" s="456" t="s">
        <v>125</v>
      </c>
      <c r="B16" s="463" t="s">
        <v>312</v>
      </c>
      <c r="C16" s="458"/>
      <c r="D16" s="459"/>
      <c r="E16" s="471">
        <v>1500</v>
      </c>
      <c r="F16" s="459">
        <f>C16+D16+E16</f>
        <v>1500</v>
      </c>
      <c r="G16" s="461">
        <v>1500</v>
      </c>
      <c r="H16" s="462">
        <f t="shared" si="0"/>
        <v>0</v>
      </c>
      <c r="I16" s="451"/>
      <c r="J16" s="78"/>
    </row>
    <row r="17" spans="1:10" ht="15.75" x14ac:dyDescent="0.25">
      <c r="A17" s="456"/>
      <c r="B17" s="472" t="s">
        <v>193</v>
      </c>
      <c r="C17" s="473">
        <f>SUM(C7:C16)</f>
        <v>4500</v>
      </c>
      <c r="D17" s="459">
        <f>SUM(D7:D16)</f>
        <v>2200</v>
      </c>
      <c r="E17" s="474">
        <f>SUM(E7:E16)</f>
        <v>22000</v>
      </c>
      <c r="F17" s="459">
        <f t="shared" si="1"/>
        <v>28700</v>
      </c>
      <c r="G17" s="475">
        <f>SUM(G7:G16)</f>
        <v>21650</v>
      </c>
      <c r="H17" s="476">
        <f>SUM(H7:H16)</f>
        <v>7050</v>
      </c>
      <c r="I17" s="451"/>
      <c r="J17" s="78"/>
    </row>
    <row r="18" spans="1:10" ht="15.75" x14ac:dyDescent="0.25">
      <c r="A18" s="451"/>
      <c r="B18" s="451"/>
      <c r="C18" s="5"/>
      <c r="D18" s="5" t="s">
        <v>481</v>
      </c>
      <c r="E18" s="5"/>
      <c r="F18" s="451"/>
      <c r="G18" s="451"/>
      <c r="H18" s="451"/>
      <c r="I18" s="451"/>
      <c r="J18" s="78"/>
    </row>
    <row r="19" spans="1:10" ht="15" customHeight="1" x14ac:dyDescent="0.25">
      <c r="A19" s="456">
        <v>1</v>
      </c>
      <c r="B19" s="463" t="s">
        <v>518</v>
      </c>
      <c r="C19" s="458"/>
      <c r="D19" s="459">
        <f>'NOVEMBER 19'!H19:H38</f>
        <v>0</v>
      </c>
      <c r="E19" s="460">
        <v>3500</v>
      </c>
      <c r="F19" s="459">
        <f t="shared" ref="F19:F36" si="2">C19+D19+E19</f>
        <v>3500</v>
      </c>
      <c r="G19" s="459">
        <v>3500</v>
      </c>
      <c r="H19" s="462">
        <f t="shared" ref="H19:H35" si="3">F19-G19</f>
        <v>0</v>
      </c>
      <c r="I19" s="451" t="s">
        <v>533</v>
      </c>
      <c r="J19" s="78"/>
    </row>
    <row r="20" spans="1:10" ht="18" customHeight="1" x14ac:dyDescent="0.25">
      <c r="A20" s="456">
        <v>2</v>
      </c>
      <c r="B20" s="463" t="s">
        <v>507</v>
      </c>
      <c r="C20" s="458"/>
      <c r="D20" s="459"/>
      <c r="E20" s="460">
        <v>3500</v>
      </c>
      <c r="F20" s="459">
        <f t="shared" si="2"/>
        <v>3500</v>
      </c>
      <c r="G20" s="459">
        <v>3500</v>
      </c>
      <c r="H20" s="462">
        <f t="shared" si="3"/>
        <v>0</v>
      </c>
      <c r="I20" s="451" t="s">
        <v>522</v>
      </c>
      <c r="J20" s="78"/>
    </row>
    <row r="21" spans="1:10" ht="15.75" x14ac:dyDescent="0.25">
      <c r="A21" s="456">
        <v>3</v>
      </c>
      <c r="B21" s="464" t="s">
        <v>498</v>
      </c>
      <c r="C21" s="464"/>
      <c r="D21" s="459">
        <f>'NOVEMBER 19'!H21:H40</f>
        <v>0</v>
      </c>
      <c r="E21" s="464">
        <v>3500</v>
      </c>
      <c r="F21" s="459">
        <f t="shared" si="2"/>
        <v>3500</v>
      </c>
      <c r="G21" s="464">
        <v>3500</v>
      </c>
      <c r="H21" s="462">
        <f t="shared" si="3"/>
        <v>0</v>
      </c>
      <c r="I21" s="451"/>
      <c r="J21" s="78"/>
    </row>
    <row r="22" spans="1:10" ht="13.5" customHeight="1" x14ac:dyDescent="0.25">
      <c r="A22" s="456">
        <v>4</v>
      </c>
      <c r="B22" s="463" t="s">
        <v>499</v>
      </c>
      <c r="C22" s="464"/>
      <c r="D22" s="459">
        <f>'NOVEMBER 19'!H22:H41</f>
        <v>0</v>
      </c>
      <c r="E22" s="466">
        <v>3500</v>
      </c>
      <c r="F22" s="459">
        <f t="shared" si="2"/>
        <v>3500</v>
      </c>
      <c r="G22" s="462">
        <v>3500</v>
      </c>
      <c r="H22" s="462">
        <f t="shared" si="3"/>
        <v>0</v>
      </c>
      <c r="I22" s="451"/>
      <c r="J22" s="78"/>
    </row>
    <row r="23" spans="1:10" ht="15.75" x14ac:dyDescent="0.25">
      <c r="A23" s="456">
        <v>5</v>
      </c>
      <c r="B23" s="463" t="s">
        <v>505</v>
      </c>
      <c r="C23" s="458"/>
      <c r="D23" s="459">
        <f>'NOVEMBER 19'!H23:H42</f>
        <v>0</v>
      </c>
      <c r="E23" s="460">
        <v>3500</v>
      </c>
      <c r="F23" s="459">
        <f t="shared" si="2"/>
        <v>3500</v>
      </c>
      <c r="G23" s="461">
        <v>3500</v>
      </c>
      <c r="H23" s="462">
        <f t="shared" si="3"/>
        <v>0</v>
      </c>
      <c r="I23" s="451"/>
      <c r="J23" s="78"/>
    </row>
    <row r="24" spans="1:10" ht="12" customHeight="1" x14ac:dyDescent="0.25">
      <c r="A24" s="456">
        <v>6</v>
      </c>
      <c r="B24" s="457" t="s">
        <v>501</v>
      </c>
      <c r="C24" s="464"/>
      <c r="D24" s="459">
        <f>'NOVEMBER 19'!H24:H43</f>
        <v>0</v>
      </c>
      <c r="E24" s="469">
        <v>3500</v>
      </c>
      <c r="F24" s="459">
        <f t="shared" si="2"/>
        <v>3500</v>
      </c>
      <c r="G24" s="470">
        <f>2000+1500</f>
        <v>3500</v>
      </c>
      <c r="H24" s="462">
        <f t="shared" si="3"/>
        <v>0</v>
      </c>
      <c r="I24" s="451"/>
      <c r="J24" s="78"/>
    </row>
    <row r="25" spans="1:10" ht="16.5" customHeight="1" x14ac:dyDescent="0.25">
      <c r="A25" s="456">
        <v>7</v>
      </c>
      <c r="B25" s="457" t="s">
        <v>517</v>
      </c>
      <c r="C25" s="458"/>
      <c r="D25" s="459">
        <f>'NOVEMBER 19'!H25:H44</f>
        <v>0</v>
      </c>
      <c r="E25" s="460">
        <v>3500</v>
      </c>
      <c r="F25" s="459">
        <f t="shared" si="2"/>
        <v>3500</v>
      </c>
      <c r="G25" s="461">
        <v>3500</v>
      </c>
      <c r="H25" s="462">
        <f t="shared" si="3"/>
        <v>0</v>
      </c>
      <c r="I25" s="451"/>
      <c r="J25" s="78"/>
    </row>
    <row r="26" spans="1:10" ht="16.5" customHeight="1" x14ac:dyDescent="0.25">
      <c r="A26" s="456">
        <v>8</v>
      </c>
      <c r="B26" s="457" t="s">
        <v>477</v>
      </c>
      <c r="C26" s="458"/>
      <c r="D26" s="459">
        <f>'NOVEMBER 19'!H26:H45</f>
        <v>0</v>
      </c>
      <c r="E26" s="460">
        <v>3500</v>
      </c>
      <c r="F26" s="459">
        <f t="shared" si="2"/>
        <v>3500</v>
      </c>
      <c r="G26" s="461">
        <v>3500</v>
      </c>
      <c r="H26" s="462">
        <f t="shared" si="3"/>
        <v>0</v>
      </c>
      <c r="I26" s="451"/>
      <c r="J26" s="78"/>
    </row>
    <row r="27" spans="1:10" ht="18" customHeight="1" x14ac:dyDescent="0.25">
      <c r="A27" s="456">
        <v>9</v>
      </c>
      <c r="B27" s="463" t="s">
        <v>496</v>
      </c>
      <c r="C27" s="458"/>
      <c r="D27" s="459">
        <f>'NOVEMBER 19'!H27:H46</f>
        <v>0</v>
      </c>
      <c r="E27" s="460">
        <v>3500</v>
      </c>
      <c r="F27" s="459">
        <f>C27+D27+E27</f>
        <v>3500</v>
      </c>
      <c r="G27" s="461">
        <v>3500</v>
      </c>
      <c r="H27" s="462">
        <f t="shared" si="3"/>
        <v>0</v>
      </c>
      <c r="I27" s="451"/>
      <c r="J27" s="78"/>
    </row>
    <row r="28" spans="1:10" ht="18" customHeight="1" x14ac:dyDescent="0.25">
      <c r="A28" s="456">
        <v>10</v>
      </c>
      <c r="B28" s="463" t="s">
        <v>490</v>
      </c>
      <c r="C28" s="458"/>
      <c r="D28" s="459">
        <f>'NOVEMBER 19'!H28:H47</f>
        <v>0</v>
      </c>
      <c r="E28" s="460">
        <v>3500</v>
      </c>
      <c r="F28" s="459">
        <f t="shared" si="2"/>
        <v>3500</v>
      </c>
      <c r="G28" s="461">
        <v>3500</v>
      </c>
      <c r="H28" s="462">
        <f t="shared" si="3"/>
        <v>0</v>
      </c>
      <c r="I28" s="451"/>
      <c r="J28" s="78"/>
    </row>
    <row r="29" spans="1:10" ht="21" customHeight="1" x14ac:dyDescent="0.25">
      <c r="A29" s="456">
        <v>11</v>
      </c>
      <c r="B29" s="457" t="s">
        <v>474</v>
      </c>
      <c r="C29" s="458"/>
      <c r="D29" s="459">
        <f>'NOVEMBER 19'!H29:H48</f>
        <v>0</v>
      </c>
      <c r="E29" s="460">
        <v>3500</v>
      </c>
      <c r="F29" s="459">
        <f>C29+D29+E29</f>
        <v>3500</v>
      </c>
      <c r="G29" s="461">
        <v>3500</v>
      </c>
      <c r="H29" s="462">
        <f>F29-G29</f>
        <v>0</v>
      </c>
      <c r="I29" s="451"/>
      <c r="J29" s="78"/>
    </row>
    <row r="30" spans="1:10" ht="21" customHeight="1" x14ac:dyDescent="0.25">
      <c r="A30" s="456">
        <v>12</v>
      </c>
      <c r="B30" s="463" t="s">
        <v>530</v>
      </c>
      <c r="C30" s="458">
        <v>3500</v>
      </c>
      <c r="D30" s="459">
        <f>'NOVEMBER 19'!H30:H49</f>
        <v>0</v>
      </c>
      <c r="E30" s="460">
        <v>3500</v>
      </c>
      <c r="F30" s="459">
        <f t="shared" si="2"/>
        <v>7000</v>
      </c>
      <c r="G30" s="461">
        <v>7000</v>
      </c>
      <c r="H30" s="462">
        <f t="shared" si="3"/>
        <v>0</v>
      </c>
      <c r="I30" s="451"/>
      <c r="J30" s="78"/>
    </row>
    <row r="31" spans="1:10" ht="23.25" customHeight="1" x14ac:dyDescent="0.25">
      <c r="A31" s="456">
        <v>13</v>
      </c>
      <c r="B31" s="463" t="s">
        <v>479</v>
      </c>
      <c r="C31" s="458"/>
      <c r="D31" s="459"/>
      <c r="E31" s="460">
        <v>3500</v>
      </c>
      <c r="F31" s="459">
        <f t="shared" si="2"/>
        <v>3500</v>
      </c>
      <c r="G31" s="461">
        <v>3500</v>
      </c>
      <c r="H31" s="462">
        <f>F31-G31</f>
        <v>0</v>
      </c>
      <c r="I31" s="451"/>
      <c r="J31" s="78"/>
    </row>
    <row r="32" spans="1:10" ht="23.25" customHeight="1" x14ac:dyDescent="0.25">
      <c r="A32" s="456">
        <v>14</v>
      </c>
      <c r="B32" s="463" t="s">
        <v>480</v>
      </c>
      <c r="C32" s="458"/>
      <c r="D32" s="459">
        <f>'NOVEMBER 19'!H32:H51</f>
        <v>0</v>
      </c>
      <c r="E32" s="460">
        <v>3500</v>
      </c>
      <c r="F32" s="459">
        <f t="shared" si="2"/>
        <v>3500</v>
      </c>
      <c r="G32" s="461">
        <v>3500</v>
      </c>
      <c r="H32" s="462">
        <f t="shared" si="3"/>
        <v>0</v>
      </c>
      <c r="I32" s="451"/>
      <c r="J32" s="78"/>
    </row>
    <row r="33" spans="1:10" ht="25.5" customHeight="1" x14ac:dyDescent="0.25">
      <c r="A33" s="456">
        <v>15</v>
      </c>
      <c r="B33" s="463" t="s">
        <v>512</v>
      </c>
      <c r="C33" s="458"/>
      <c r="D33" s="459"/>
      <c r="E33" s="460">
        <v>3500</v>
      </c>
      <c r="F33" s="459">
        <f>C33+D33+E33</f>
        <v>3500</v>
      </c>
      <c r="G33" s="461">
        <v>3500</v>
      </c>
      <c r="H33" s="462">
        <f>F33-G33</f>
        <v>0</v>
      </c>
      <c r="I33" s="451"/>
      <c r="J33" s="78"/>
    </row>
    <row r="34" spans="1:10" ht="22.5" customHeight="1" x14ac:dyDescent="0.25">
      <c r="A34" s="456">
        <v>16</v>
      </c>
      <c r="B34" s="463" t="s">
        <v>488</v>
      </c>
      <c r="C34" s="458"/>
      <c r="D34" s="459">
        <f>'NOVEMBER 19'!H34:H55</f>
        <v>0</v>
      </c>
      <c r="E34" s="460">
        <v>3500</v>
      </c>
      <c r="F34" s="459">
        <f>C34+D34+E34</f>
        <v>3500</v>
      </c>
      <c r="G34" s="461">
        <v>3500</v>
      </c>
      <c r="H34" s="462">
        <f>F34-G34</f>
        <v>0</v>
      </c>
      <c r="I34" s="451"/>
      <c r="J34" s="78"/>
    </row>
    <row r="35" spans="1:10" ht="25.5" customHeight="1" x14ac:dyDescent="0.25">
      <c r="A35" s="456">
        <v>17</v>
      </c>
      <c r="B35" s="463" t="s">
        <v>495</v>
      </c>
      <c r="C35" s="458"/>
      <c r="D35" s="459">
        <f>'NOVEMBER 19'!H35:H56</f>
        <v>0</v>
      </c>
      <c r="E35" s="460">
        <v>3500</v>
      </c>
      <c r="F35" s="459">
        <f t="shared" si="2"/>
        <v>3500</v>
      </c>
      <c r="G35" s="461">
        <v>3500</v>
      </c>
      <c r="H35" s="462">
        <f t="shared" si="3"/>
        <v>0</v>
      </c>
      <c r="I35" s="451"/>
      <c r="J35" s="78"/>
    </row>
    <row r="36" spans="1:10" ht="24" customHeight="1" x14ac:dyDescent="0.25">
      <c r="A36" s="456">
        <v>18</v>
      </c>
      <c r="B36" s="463" t="s">
        <v>538</v>
      </c>
      <c r="C36" s="458">
        <v>3500</v>
      </c>
      <c r="D36" s="459">
        <f>'NOVEMBER 19'!H36:H57</f>
        <v>0</v>
      </c>
      <c r="E36" s="460">
        <v>3500</v>
      </c>
      <c r="F36" s="459">
        <f t="shared" si="2"/>
        <v>7000</v>
      </c>
      <c r="G36" s="461">
        <v>7000</v>
      </c>
      <c r="H36" s="462">
        <f>F36-G36</f>
        <v>0</v>
      </c>
      <c r="I36" s="451"/>
      <c r="J36" s="78"/>
    </row>
    <row r="37" spans="1:10" ht="15.75" x14ac:dyDescent="0.25">
      <c r="A37" s="456">
        <v>19</v>
      </c>
      <c r="B37" s="463" t="s">
        <v>516</v>
      </c>
      <c r="C37" s="458"/>
      <c r="D37" s="459">
        <f>'NOVEMBER 19'!H37:H58</f>
        <v>0</v>
      </c>
      <c r="E37" s="460">
        <v>3500</v>
      </c>
      <c r="F37" s="459">
        <f>C37+D37+E37</f>
        <v>3500</v>
      </c>
      <c r="G37" s="461">
        <v>3500</v>
      </c>
      <c r="H37" s="462">
        <f>F37-G37</f>
        <v>0</v>
      </c>
      <c r="I37" s="451"/>
      <c r="J37" s="78"/>
    </row>
    <row r="38" spans="1:10" ht="18.75" customHeight="1" x14ac:dyDescent="0.25">
      <c r="A38" s="456">
        <v>20</v>
      </c>
      <c r="B38" s="463" t="s">
        <v>497</v>
      </c>
      <c r="C38" s="458"/>
      <c r="D38" s="459"/>
      <c r="E38" s="460">
        <v>3500</v>
      </c>
      <c r="F38" s="459">
        <f>C38+D38+E38</f>
        <v>3500</v>
      </c>
      <c r="G38" s="461">
        <v>3500</v>
      </c>
      <c r="H38" s="462">
        <f>F38-G38</f>
        <v>0</v>
      </c>
      <c r="I38" s="451" t="s">
        <v>522</v>
      </c>
      <c r="J38" s="78"/>
    </row>
    <row r="39" spans="1:10" ht="15.75" x14ac:dyDescent="0.25">
      <c r="A39" s="456"/>
      <c r="B39" s="472" t="s">
        <v>193</v>
      </c>
      <c r="C39" s="473">
        <f>SUM(C19:C38)</f>
        <v>7000</v>
      </c>
      <c r="D39" s="459">
        <f>SUM(D19:D38)</f>
        <v>0</v>
      </c>
      <c r="E39" s="474">
        <f>SUM(E19:E38)</f>
        <v>70000</v>
      </c>
      <c r="F39" s="459">
        <f>C39+D39+E39</f>
        <v>77000</v>
      </c>
      <c r="G39" s="475">
        <f>SUM(G19:G38)</f>
        <v>77000</v>
      </c>
      <c r="H39" s="462">
        <f>F39-G39</f>
        <v>0</v>
      </c>
      <c r="I39" s="451"/>
      <c r="J39" s="78"/>
    </row>
    <row r="40" spans="1:10" ht="15.75" x14ac:dyDescent="0.25">
      <c r="A40" s="5" t="s">
        <v>509</v>
      </c>
      <c r="B40" s="477"/>
      <c r="C40" s="478"/>
      <c r="D40" s="477"/>
      <c r="E40" s="479"/>
      <c r="F40" s="477"/>
      <c r="G40" s="451"/>
      <c r="H40" s="480"/>
      <c r="I40" s="451"/>
      <c r="J40" s="78"/>
    </row>
    <row r="41" spans="1:10" ht="15.75" x14ac:dyDescent="0.25">
      <c r="A41" s="481" t="s">
        <v>204</v>
      </c>
      <c r="B41" s="481" t="s">
        <v>205</v>
      </c>
      <c r="C41" s="481" t="s">
        <v>207</v>
      </c>
      <c r="D41" s="481" t="s">
        <v>208</v>
      </c>
      <c r="E41" s="481" t="s">
        <v>204</v>
      </c>
      <c r="F41" s="481" t="s">
        <v>205</v>
      </c>
      <c r="G41" s="481" t="s">
        <v>207</v>
      </c>
      <c r="H41" s="482" t="s">
        <v>306</v>
      </c>
      <c r="I41" s="451"/>
      <c r="J41" s="78"/>
    </row>
    <row r="42" spans="1:10" ht="15.75" x14ac:dyDescent="0.25">
      <c r="A42" s="483" t="s">
        <v>525</v>
      </c>
      <c r="B42" s="462">
        <f>E39+E17</f>
        <v>92000</v>
      </c>
      <c r="C42" s="464"/>
      <c r="D42" s="464"/>
      <c r="E42" s="483" t="s">
        <v>525</v>
      </c>
      <c r="F42" s="462">
        <f>G39+G17</f>
        <v>98650</v>
      </c>
      <c r="G42" s="464"/>
      <c r="H42" s="462"/>
      <c r="I42" s="451"/>
      <c r="J42" s="78"/>
    </row>
    <row r="43" spans="1:10" ht="15.75" x14ac:dyDescent="0.25">
      <c r="A43" s="483" t="s">
        <v>209</v>
      </c>
      <c r="B43" s="484">
        <v>0.1</v>
      </c>
      <c r="C43" s="485">
        <f>B42*B43</f>
        <v>9200</v>
      </c>
      <c r="D43" s="483"/>
      <c r="E43" s="483" t="s">
        <v>209</v>
      </c>
      <c r="F43" s="484">
        <v>0.1</v>
      </c>
      <c r="G43" s="485">
        <f>C43</f>
        <v>9200</v>
      </c>
      <c r="H43" s="462"/>
      <c r="I43" s="451"/>
      <c r="J43" s="78"/>
    </row>
    <row r="44" spans="1:10" ht="15.75" hidden="1" x14ac:dyDescent="0.25">
      <c r="A44" s="486"/>
      <c r="B44" s="485"/>
      <c r="C44" s="483"/>
      <c r="D44" s="483"/>
      <c r="E44" s="486"/>
      <c r="F44" s="485"/>
      <c r="G44" s="483"/>
      <c r="H44" s="462"/>
      <c r="I44" s="451"/>
      <c r="J44" s="78"/>
    </row>
    <row r="45" spans="1:10" ht="15.75" x14ac:dyDescent="0.25">
      <c r="A45" s="483" t="s">
        <v>408</v>
      </c>
      <c r="B45" s="484">
        <v>0.3</v>
      </c>
      <c r="C45" s="485">
        <f>B45*E30+(B45*E36)+(B45*E37)+(B45*E7)</f>
        <v>4050</v>
      </c>
      <c r="D45" s="483"/>
      <c r="E45" s="483" t="s">
        <v>408</v>
      </c>
      <c r="F45" s="484">
        <v>0.3</v>
      </c>
      <c r="G45" s="485">
        <f>F45*E30+(F45*E36)+(F45*E37)+(F45*E7)</f>
        <v>4050</v>
      </c>
      <c r="H45" s="462"/>
      <c r="I45" s="451"/>
      <c r="J45" s="78"/>
    </row>
    <row r="46" spans="1:10" ht="15.75" x14ac:dyDescent="0.25">
      <c r="A46" s="486" t="s">
        <v>470</v>
      </c>
      <c r="B46" s="485">
        <f>C39</f>
        <v>7000</v>
      </c>
      <c r="C46" s="483"/>
      <c r="D46" s="483"/>
      <c r="E46" s="486"/>
      <c r="F46" s="485"/>
      <c r="G46" s="483"/>
      <c r="H46" s="462"/>
      <c r="I46" s="451"/>
      <c r="J46" s="78"/>
    </row>
    <row r="47" spans="1:10" ht="15.75" x14ac:dyDescent="0.25">
      <c r="A47" s="486" t="s">
        <v>239</v>
      </c>
      <c r="B47" s="485">
        <f>'NOVEMBER 19'!N55</f>
        <v>-7000</v>
      </c>
      <c r="C47" s="483"/>
      <c r="D47" s="483"/>
      <c r="E47" s="486" t="s">
        <v>239</v>
      </c>
      <c r="F47" s="485">
        <f>'NOVEMBER 19'!R55</f>
        <v>-7000</v>
      </c>
      <c r="G47" s="483"/>
      <c r="H47" s="462"/>
      <c r="I47" s="451"/>
      <c r="J47" s="78"/>
    </row>
    <row r="48" spans="1:10" ht="15.75" x14ac:dyDescent="0.25">
      <c r="A48" s="486" t="s">
        <v>193</v>
      </c>
      <c r="B48" s="485">
        <f>B42+B44+B47+B46</f>
        <v>92000</v>
      </c>
      <c r="C48" s="483"/>
      <c r="D48" s="483"/>
      <c r="E48" s="486" t="s">
        <v>193</v>
      </c>
      <c r="F48" s="485">
        <f>F42+F44+F47+F45</f>
        <v>91650.3</v>
      </c>
      <c r="G48" s="483"/>
      <c r="H48" s="462"/>
      <c r="I48" s="451"/>
      <c r="J48" s="78"/>
    </row>
    <row r="49" spans="1:10" ht="13.5" customHeight="1" x14ac:dyDescent="0.25">
      <c r="A49" s="487" t="s">
        <v>194</v>
      </c>
      <c r="B49" s="484"/>
      <c r="C49" s="488"/>
      <c r="D49" s="483"/>
      <c r="E49" s="487" t="s">
        <v>194</v>
      </c>
      <c r="F49" s="484"/>
      <c r="G49" s="488"/>
      <c r="H49" s="462"/>
      <c r="I49" s="451"/>
      <c r="J49" s="78"/>
    </row>
    <row r="50" spans="1:10" ht="15.75" x14ac:dyDescent="0.25">
      <c r="A50" s="486" t="s">
        <v>532</v>
      </c>
      <c r="B50" s="484"/>
      <c r="C50" s="489">
        <f>3500</f>
        <v>3500</v>
      </c>
      <c r="D50" s="483"/>
      <c r="E50" s="486" t="s">
        <v>532</v>
      </c>
      <c r="F50" s="484"/>
      <c r="G50" s="489">
        <f>3500</f>
        <v>3500</v>
      </c>
      <c r="H50" s="462"/>
      <c r="I50" s="451"/>
      <c r="J50" s="78"/>
    </row>
    <row r="51" spans="1:10" ht="15.75" x14ac:dyDescent="0.25">
      <c r="A51" s="490" t="s">
        <v>534</v>
      </c>
      <c r="B51" s="464"/>
      <c r="C51" s="491">
        <f>E19</f>
        <v>3500</v>
      </c>
      <c r="D51" s="464"/>
      <c r="E51" s="490" t="s">
        <v>534</v>
      </c>
      <c r="F51" s="464"/>
      <c r="G51" s="491">
        <f>C51</f>
        <v>3500</v>
      </c>
      <c r="H51" s="462"/>
      <c r="I51" s="451"/>
      <c r="J51" s="78"/>
    </row>
    <row r="52" spans="1:10" ht="15.75" x14ac:dyDescent="0.25">
      <c r="A52" s="490" t="s">
        <v>537</v>
      </c>
      <c r="B52" s="464"/>
      <c r="C52" s="491">
        <v>68250</v>
      </c>
      <c r="D52" s="464"/>
      <c r="E52" s="490" t="s">
        <v>537</v>
      </c>
      <c r="F52" s="464"/>
      <c r="G52" s="491">
        <v>68250</v>
      </c>
      <c r="H52" s="462"/>
      <c r="I52" s="451"/>
      <c r="J52" s="78"/>
    </row>
    <row r="53" spans="1:10" ht="15.75" x14ac:dyDescent="0.25">
      <c r="A53" s="492" t="s">
        <v>193</v>
      </c>
      <c r="B53" s="493">
        <f>B42+B44+B45+B46+B47-C43-C45</f>
        <v>78750.3</v>
      </c>
      <c r="C53" s="494">
        <f>SUM(C50:C52)</f>
        <v>75250</v>
      </c>
      <c r="D53" s="494">
        <f>B53-C53</f>
        <v>3500.3000000000029</v>
      </c>
      <c r="E53" s="492" t="s">
        <v>193</v>
      </c>
      <c r="F53" s="493">
        <f>F42+F44+F45+F47-G43-G45</f>
        <v>78400.3</v>
      </c>
      <c r="G53" s="494">
        <f>SUM(G50:G52)</f>
        <v>75250</v>
      </c>
      <c r="H53" s="494">
        <f>F53-G53</f>
        <v>3150.3000000000029</v>
      </c>
      <c r="I53" s="451"/>
      <c r="J53" s="78"/>
    </row>
    <row r="54" spans="1:10" ht="15.75" x14ac:dyDescent="0.25">
      <c r="A54" s="451" t="s">
        <v>71</v>
      </c>
      <c r="B54" s="451"/>
      <c r="C54" s="451"/>
      <c r="D54" s="451" t="s">
        <v>72</v>
      </c>
      <c r="E54" s="451"/>
      <c r="F54" s="451"/>
      <c r="G54" s="451" t="s">
        <v>73</v>
      </c>
      <c r="H54" s="480"/>
      <c r="I54" s="451"/>
      <c r="J54" s="78"/>
    </row>
    <row r="55" spans="1:10" ht="17.25" customHeight="1" x14ac:dyDescent="0.25">
      <c r="A55" s="451" t="s">
        <v>471</v>
      </c>
      <c r="B55" s="451"/>
      <c r="C55" s="451"/>
      <c r="D55" s="451" t="s">
        <v>135</v>
      </c>
      <c r="E55" s="451"/>
      <c r="F55" s="451"/>
      <c r="G55" s="451" t="s">
        <v>130</v>
      </c>
      <c r="H55" s="451"/>
      <c r="I55" s="451"/>
      <c r="J55" s="78"/>
    </row>
    <row r="56" spans="1:10" ht="1.5" hidden="1" customHeight="1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</row>
    <row r="57" spans="1:10" hidden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</row>
    <row r="58" spans="1:10" ht="7.5" hidden="1" customHeight="1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</row>
    <row r="59" spans="1:10" ht="3" hidden="1" customHeight="1" x14ac:dyDescent="0.25"/>
    <row r="60" spans="1:10" hidden="1" x14ac:dyDescent="0.25"/>
    <row r="61" spans="1:10" hidden="1" x14ac:dyDescent="0.25"/>
    <row r="62" spans="1:10" hidden="1" x14ac:dyDescent="0.25"/>
    <row r="63" spans="1:10" hidden="1" x14ac:dyDescent="0.25"/>
    <row r="64" spans="1:10" hidden="1" x14ac:dyDescent="0.25"/>
    <row r="65" hidden="1" x14ac:dyDescent="0.25"/>
    <row r="66" hidden="1" x14ac:dyDescent="0.25"/>
  </sheetData>
  <pageMargins left="0" right="0" top="0.1" bottom="0.1" header="0.3" footer="0.3"/>
  <pageSetup paperSize="5" orientation="portrait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C19" workbookViewId="0">
      <selection activeCell="Q39" sqref="Q39"/>
    </sheetView>
  </sheetViews>
  <sheetFormatPr defaultRowHeight="15" x14ac:dyDescent="0.25"/>
  <cols>
    <col min="2" max="2" width="15.7109375" customWidth="1"/>
    <col min="3" max="3" width="8" bestFit="1" customWidth="1"/>
    <col min="4" max="4" width="11" customWidth="1"/>
    <col min="9" max="9" width="8.7109375" bestFit="1" customWidth="1"/>
    <col min="10" max="10" width="9.28515625" bestFit="1" customWidth="1"/>
    <col min="11" max="11" width="7.7109375" customWidth="1"/>
    <col min="12" max="12" width="20" customWidth="1"/>
    <col min="13" max="13" width="11" customWidth="1"/>
    <col min="14" max="14" width="8.5703125" customWidth="1"/>
    <col min="15" max="15" width="9.28515625" customWidth="1"/>
    <col min="16" max="16" width="9.42578125" bestFit="1" customWidth="1"/>
    <col min="17" max="17" width="9.140625" customWidth="1"/>
    <col min="18" max="18" width="8.7109375" customWidth="1"/>
  </cols>
  <sheetData>
    <row r="1" spans="1:19" ht="15.75" x14ac:dyDescent="0.25">
      <c r="A1" s="78"/>
      <c r="C1" s="150"/>
      <c r="D1" s="251" t="s">
        <v>356</v>
      </c>
      <c r="E1" s="150"/>
      <c r="F1" s="150"/>
      <c r="G1" s="150"/>
      <c r="H1" s="150"/>
      <c r="I1" s="150"/>
      <c r="J1" s="451"/>
      <c r="K1" s="451"/>
      <c r="L1" s="451"/>
      <c r="M1" s="451"/>
      <c r="N1" s="451"/>
      <c r="O1" s="451"/>
      <c r="P1" s="451"/>
      <c r="Q1" s="451"/>
      <c r="R1" s="451"/>
      <c r="S1" s="78"/>
    </row>
    <row r="2" spans="1:19" ht="15.75" x14ac:dyDescent="0.25">
      <c r="A2" s="150"/>
      <c r="B2" s="150"/>
      <c r="D2" s="250" t="s">
        <v>357</v>
      </c>
      <c r="E2" s="5"/>
      <c r="F2" s="150"/>
      <c r="G2" s="150"/>
      <c r="H2" s="150"/>
      <c r="I2" s="150"/>
      <c r="J2" s="451"/>
      <c r="K2" s="451"/>
      <c r="L2" s="451"/>
      <c r="M2" s="251" t="s">
        <v>356</v>
      </c>
      <c r="N2" s="451"/>
      <c r="O2" s="451"/>
      <c r="P2" s="451"/>
      <c r="Q2" s="451"/>
      <c r="R2" s="451"/>
      <c r="S2" s="78"/>
    </row>
    <row r="3" spans="1:19" ht="21" x14ac:dyDescent="0.25">
      <c r="A3" s="268"/>
      <c r="B3" s="150"/>
      <c r="C3" s="150"/>
      <c r="D3" s="5" t="s">
        <v>536</v>
      </c>
      <c r="E3" s="250"/>
      <c r="F3" s="103"/>
      <c r="G3" s="103"/>
      <c r="H3" s="103"/>
      <c r="I3" s="269"/>
      <c r="J3" s="451"/>
      <c r="K3" s="451"/>
      <c r="L3" s="451"/>
      <c r="M3" s="250" t="s">
        <v>357</v>
      </c>
      <c r="N3" s="5"/>
      <c r="O3" s="451"/>
      <c r="P3" s="451"/>
      <c r="Q3" s="451"/>
      <c r="R3" s="451"/>
      <c r="S3" s="78"/>
    </row>
    <row r="4" spans="1:19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451"/>
      <c r="K4" s="451"/>
      <c r="L4" s="451"/>
      <c r="M4" s="5" t="s">
        <v>536</v>
      </c>
      <c r="N4" s="250"/>
      <c r="O4" s="452"/>
      <c r="P4" s="452"/>
      <c r="Q4" s="451"/>
      <c r="R4" s="451"/>
      <c r="S4" s="78"/>
    </row>
    <row r="5" spans="1:19" ht="15.75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451"/>
      <c r="K5" s="451"/>
      <c r="L5" s="451"/>
      <c r="M5" s="451"/>
      <c r="N5" s="5" t="s">
        <v>346</v>
      </c>
      <c r="O5" s="451"/>
      <c r="P5" s="451"/>
      <c r="Q5" s="451"/>
      <c r="R5" s="451"/>
      <c r="S5" s="78"/>
    </row>
    <row r="6" spans="1:19" ht="15.75" x14ac:dyDescent="0.25">
      <c r="A6" s="279">
        <v>1</v>
      </c>
      <c r="B6" s="196" t="s">
        <v>352</v>
      </c>
      <c r="C6" s="274" t="s">
        <v>50</v>
      </c>
      <c r="E6" s="280">
        <v>3000</v>
      </c>
      <c r="F6" s="281">
        <v>100</v>
      </c>
      <c r="G6" s="276">
        <f t="shared" ref="G6:G15" si="0">D7+E6+F6</f>
        <v>3100</v>
      </c>
      <c r="H6" s="277">
        <v>3100</v>
      </c>
      <c r="I6" s="273">
        <f t="shared" ref="I6:I18" si="1">G6-H6</f>
        <v>0</v>
      </c>
      <c r="J6" s="451"/>
      <c r="K6" s="453" t="s">
        <v>3</v>
      </c>
      <c r="L6" s="453" t="s">
        <v>4</v>
      </c>
      <c r="M6" s="453" t="s">
        <v>104</v>
      </c>
      <c r="N6" s="453" t="s">
        <v>8</v>
      </c>
      <c r="O6" s="453" t="s">
        <v>9</v>
      </c>
      <c r="P6" s="454" t="s">
        <v>11</v>
      </c>
      <c r="Q6" s="453" t="s">
        <v>12</v>
      </c>
      <c r="R6" s="455" t="s">
        <v>105</v>
      </c>
      <c r="S6" s="78"/>
    </row>
    <row r="7" spans="1:19" ht="16.5" customHeight="1" x14ac:dyDescent="0.25">
      <c r="A7" s="279">
        <v>2</v>
      </c>
      <c r="B7" s="196" t="s">
        <v>433</v>
      </c>
      <c r="C7" s="274" t="s">
        <v>52</v>
      </c>
      <c r="D7" s="275">
        <f>'DECEMBER 19'!I6:I17</f>
        <v>0</v>
      </c>
      <c r="E7" s="280">
        <v>3000</v>
      </c>
      <c r="F7" s="281">
        <v>100</v>
      </c>
      <c r="G7" s="276">
        <f t="shared" si="0"/>
        <v>3100</v>
      </c>
      <c r="H7" s="277">
        <v>3100</v>
      </c>
      <c r="I7" s="273">
        <f t="shared" si="1"/>
        <v>0</v>
      </c>
      <c r="J7" s="451"/>
      <c r="K7" s="456" t="s">
        <v>106</v>
      </c>
      <c r="L7" s="457" t="s">
        <v>491</v>
      </c>
      <c r="M7" s="458">
        <v>3000</v>
      </c>
      <c r="N7" s="459">
        <v>350</v>
      </c>
      <c r="O7" s="460">
        <v>3000</v>
      </c>
      <c r="P7" s="459">
        <f>M7+N7+O7</f>
        <v>6350</v>
      </c>
      <c r="Q7" s="461">
        <f>2350+1000</f>
        <v>3350</v>
      </c>
      <c r="R7" s="462">
        <f>P7-Q7</f>
        <v>3000</v>
      </c>
      <c r="S7" s="78"/>
    </row>
    <row r="8" spans="1:19" ht="12" customHeight="1" x14ac:dyDescent="0.25">
      <c r="A8" s="279">
        <v>3</v>
      </c>
      <c r="B8" s="282" t="s">
        <v>465</v>
      </c>
      <c r="C8" s="274" t="s">
        <v>54</v>
      </c>
      <c r="D8" s="275">
        <f>'DECEMBER 19'!I7:I18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451"/>
      <c r="K8" s="456" t="s">
        <v>108</v>
      </c>
      <c r="L8" s="463" t="s">
        <v>284</v>
      </c>
      <c r="M8" s="458"/>
      <c r="N8" s="459">
        <f>'DECEMBER 19'!R8:R17</f>
        <v>0</v>
      </c>
      <c r="O8" s="460"/>
      <c r="P8" s="459">
        <f t="shared" ref="P8:P18" si="2">M8+N8+O8</f>
        <v>0</v>
      </c>
      <c r="Q8" s="459"/>
      <c r="R8" s="462">
        <f>P8-Q8</f>
        <v>0</v>
      </c>
      <c r="S8" s="78"/>
    </row>
    <row r="9" spans="1:19" ht="15.75" x14ac:dyDescent="0.25">
      <c r="A9" s="279">
        <v>4</v>
      </c>
      <c r="B9" s="196" t="s">
        <v>228</v>
      </c>
      <c r="C9" s="274" t="s">
        <v>56</v>
      </c>
      <c r="D9" s="275">
        <f>'DECEMBER 19'!I8:I19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451"/>
      <c r="K9" s="456" t="s">
        <v>110</v>
      </c>
      <c r="L9" s="464" t="s">
        <v>467</v>
      </c>
      <c r="M9" s="464"/>
      <c r="N9" s="459">
        <f>'DECEMBER 19'!R9:R18</f>
        <v>0</v>
      </c>
      <c r="O9" s="464">
        <v>2500</v>
      </c>
      <c r="P9" s="459">
        <f t="shared" si="2"/>
        <v>2500</v>
      </c>
      <c r="Q9" s="464">
        <v>2500</v>
      </c>
      <c r="R9" s="462">
        <f t="shared" ref="R9:R16" si="3">P9-Q9</f>
        <v>0</v>
      </c>
      <c r="S9" s="78"/>
    </row>
    <row r="10" spans="1:19" ht="14.25" customHeight="1" x14ac:dyDescent="0.25">
      <c r="A10" s="279">
        <v>5</v>
      </c>
      <c r="B10" s="282" t="s">
        <v>291</v>
      </c>
      <c r="C10" s="274" t="s">
        <v>58</v>
      </c>
      <c r="D10" s="275">
        <f>'DECEMBER 19'!I9:I20</f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451"/>
      <c r="K10" s="465" t="s">
        <v>112</v>
      </c>
      <c r="L10" s="463" t="s">
        <v>443</v>
      </c>
      <c r="M10" s="464"/>
      <c r="N10" s="459">
        <f>'DECEMBER 19'!R10:R19</f>
        <v>2200</v>
      </c>
      <c r="O10" s="466">
        <v>2500</v>
      </c>
      <c r="P10" s="459">
        <f t="shared" si="2"/>
        <v>4700</v>
      </c>
      <c r="Q10" s="462">
        <v>2500</v>
      </c>
      <c r="R10" s="462">
        <f t="shared" si="3"/>
        <v>2200</v>
      </c>
      <c r="S10" s="78"/>
    </row>
    <row r="11" spans="1:19" ht="15.75" customHeight="1" x14ac:dyDescent="0.25">
      <c r="A11" s="279">
        <v>6</v>
      </c>
      <c r="B11" s="282" t="s">
        <v>283</v>
      </c>
      <c r="C11" s="274" t="s">
        <v>60</v>
      </c>
      <c r="D11" s="275">
        <f>'DECEMBER 19'!I10:I21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451"/>
      <c r="K11" s="467" t="s">
        <v>114</v>
      </c>
      <c r="L11" s="463" t="s">
        <v>427</v>
      </c>
      <c r="M11" s="458"/>
      <c r="N11" s="459">
        <f>'DECEMBER 19'!R11:R20</f>
        <v>0</v>
      </c>
      <c r="O11" s="460">
        <v>2500</v>
      </c>
      <c r="P11" s="459">
        <f t="shared" si="2"/>
        <v>2500</v>
      </c>
      <c r="Q11" s="461">
        <v>2500</v>
      </c>
      <c r="R11" s="462">
        <f t="shared" si="3"/>
        <v>0</v>
      </c>
      <c r="S11" s="78"/>
    </row>
    <row r="12" spans="1:19" ht="12.75" customHeight="1" x14ac:dyDescent="0.25">
      <c r="A12" s="279">
        <v>7</v>
      </c>
      <c r="B12" s="282" t="s">
        <v>310</v>
      </c>
      <c r="C12" s="274" t="s">
        <v>62</v>
      </c>
      <c r="D12" s="275">
        <f>'DECEMBER 19'!I11:I22</f>
        <v>0</v>
      </c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451"/>
      <c r="K12" s="468" t="s">
        <v>116</v>
      </c>
      <c r="L12" s="457" t="s">
        <v>437</v>
      </c>
      <c r="M12" s="464">
        <f>'OCTOBER 19'!R12</f>
        <v>1000</v>
      </c>
      <c r="N12" s="459"/>
      <c r="O12" s="469">
        <v>2500</v>
      </c>
      <c r="P12" s="459">
        <f t="shared" si="2"/>
        <v>3500</v>
      </c>
      <c r="Q12" s="470">
        <v>2500</v>
      </c>
      <c r="R12" s="462">
        <f>P12-Q12</f>
        <v>1000</v>
      </c>
      <c r="S12" s="78"/>
    </row>
    <row r="13" spans="1:19" ht="14.25" customHeight="1" x14ac:dyDescent="0.25">
      <c r="A13" s="283">
        <v>8</v>
      </c>
      <c r="B13" s="196" t="s">
        <v>519</v>
      </c>
      <c r="C13" s="284" t="s">
        <v>64</v>
      </c>
      <c r="D13" s="275">
        <f>'DECEMBER 19'!I12:I23</f>
        <v>0</v>
      </c>
      <c r="E13" s="285">
        <v>3000</v>
      </c>
      <c r="F13" s="286">
        <v>100</v>
      </c>
      <c r="G13" s="276">
        <f>E13+F13</f>
        <v>3100</v>
      </c>
      <c r="H13" s="277">
        <v>3100</v>
      </c>
      <c r="I13" s="273">
        <f t="shared" si="1"/>
        <v>0</v>
      </c>
      <c r="J13" s="451"/>
      <c r="K13" s="456" t="s">
        <v>119</v>
      </c>
      <c r="L13" s="457" t="s">
        <v>120</v>
      </c>
      <c r="M13" s="458"/>
      <c r="N13" s="459">
        <f>'DECEMBER 19'!R13:R22</f>
        <v>0</v>
      </c>
      <c r="O13" s="460">
        <v>2500</v>
      </c>
      <c r="P13" s="459">
        <f t="shared" si="2"/>
        <v>2500</v>
      </c>
      <c r="Q13" s="461">
        <v>2500</v>
      </c>
      <c r="R13" s="462">
        <f t="shared" si="3"/>
        <v>0</v>
      </c>
      <c r="S13" s="78"/>
    </row>
    <row r="14" spans="1:19" ht="14.25" customHeight="1" x14ac:dyDescent="0.25">
      <c r="A14" s="283">
        <v>9</v>
      </c>
      <c r="B14" s="196" t="s">
        <v>494</v>
      </c>
      <c r="C14" s="284" t="s">
        <v>18</v>
      </c>
      <c r="D14" s="275">
        <f>'DECEMBER 19'!I13:I24</f>
        <v>100</v>
      </c>
      <c r="E14" s="285">
        <v>3000</v>
      </c>
      <c r="F14" s="286">
        <v>100</v>
      </c>
      <c r="G14" s="276">
        <f>E14+F14</f>
        <v>3100</v>
      </c>
      <c r="H14" s="277">
        <v>3100</v>
      </c>
      <c r="I14" s="273">
        <f t="shared" si="1"/>
        <v>0</v>
      </c>
      <c r="J14" s="527">
        <v>400</v>
      </c>
      <c r="K14" s="456" t="s">
        <v>121</v>
      </c>
      <c r="L14" s="457" t="s">
        <v>420</v>
      </c>
      <c r="M14" s="458"/>
      <c r="N14" s="459">
        <f>'DECEMBER 19'!R14:R23</f>
        <v>0</v>
      </c>
      <c r="O14" s="460">
        <v>2500</v>
      </c>
      <c r="P14" s="459">
        <f t="shared" si="2"/>
        <v>2500</v>
      </c>
      <c r="Q14" s="461">
        <v>2500</v>
      </c>
      <c r="R14" s="462">
        <f t="shared" si="3"/>
        <v>0</v>
      </c>
      <c r="S14" s="78"/>
    </row>
    <row r="15" spans="1:19" ht="10.5" customHeight="1" x14ac:dyDescent="0.25">
      <c r="A15" s="283">
        <v>10</v>
      </c>
      <c r="B15" s="196" t="s">
        <v>460</v>
      </c>
      <c r="C15" s="284" t="s">
        <v>20</v>
      </c>
      <c r="D15" s="275">
        <f>'DECEMBER 19'!I14:I25</f>
        <v>400</v>
      </c>
      <c r="E15" s="285">
        <v>3000</v>
      </c>
      <c r="F15" s="286">
        <v>100</v>
      </c>
      <c r="G15" s="276">
        <f t="shared" si="0"/>
        <v>3100</v>
      </c>
      <c r="H15" s="277">
        <v>3080</v>
      </c>
      <c r="I15" s="273">
        <f t="shared" si="1"/>
        <v>20</v>
      </c>
      <c r="J15" s="451"/>
      <c r="K15" s="456" t="s">
        <v>123</v>
      </c>
      <c r="L15" s="463" t="s">
        <v>396</v>
      </c>
      <c r="M15" s="458">
        <v>500</v>
      </c>
      <c r="N15" s="459"/>
      <c r="O15" s="460">
        <v>2500</v>
      </c>
      <c r="P15" s="459">
        <f t="shared" si="2"/>
        <v>3000</v>
      </c>
      <c r="Q15" s="461">
        <f>1500+1000</f>
        <v>2500</v>
      </c>
      <c r="R15" s="462">
        <f t="shared" si="3"/>
        <v>500</v>
      </c>
      <c r="S15" s="78"/>
    </row>
    <row r="16" spans="1:19" ht="14.25" customHeight="1" x14ac:dyDescent="0.25">
      <c r="A16" s="283">
        <v>11</v>
      </c>
      <c r="B16" s="196" t="s">
        <v>531</v>
      </c>
      <c r="C16" s="284" t="s">
        <v>22</v>
      </c>
      <c r="D16" s="275">
        <f>'DECEMBER 19'!I15:I26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451"/>
      <c r="K16" s="456" t="s">
        <v>125</v>
      </c>
      <c r="L16" s="463" t="s">
        <v>312</v>
      </c>
      <c r="M16" s="458"/>
      <c r="N16" s="459">
        <f>'DECEMBER 19'!R16:R25</f>
        <v>0</v>
      </c>
      <c r="O16" s="471">
        <v>1500</v>
      </c>
      <c r="P16" s="459">
        <f>M16+N16+O16</f>
        <v>1500</v>
      </c>
      <c r="Q16" s="461">
        <v>1500</v>
      </c>
      <c r="R16" s="462">
        <f t="shared" si="3"/>
        <v>0</v>
      </c>
      <c r="S16" s="78"/>
    </row>
    <row r="17" spans="1:19" s="78" customFormat="1" ht="11.25" customHeight="1" x14ac:dyDescent="0.25">
      <c r="A17" s="283"/>
      <c r="B17" s="524" t="s">
        <v>520</v>
      </c>
      <c r="C17" s="284" t="s">
        <v>24</v>
      </c>
      <c r="D17" s="275">
        <v>200</v>
      </c>
      <c r="E17" s="285">
        <v>3000</v>
      </c>
      <c r="F17" s="286">
        <v>100</v>
      </c>
      <c r="G17" s="276">
        <f>D17+E17+F17</f>
        <v>3300</v>
      </c>
      <c r="H17" s="277"/>
      <c r="I17" s="273">
        <f t="shared" si="1"/>
        <v>3300</v>
      </c>
      <c r="J17" s="451"/>
      <c r="K17" s="456"/>
      <c r="L17" s="463"/>
      <c r="M17" s="458"/>
      <c r="N17" s="459"/>
      <c r="O17" s="471"/>
      <c r="P17" s="459"/>
      <c r="Q17" s="461"/>
      <c r="R17" s="528"/>
    </row>
    <row r="18" spans="1:19" ht="15.75" x14ac:dyDescent="0.25">
      <c r="A18" s="283">
        <v>12</v>
      </c>
      <c r="B18" s="523" t="s">
        <v>327</v>
      </c>
      <c r="C18" s="284" t="s">
        <v>26</v>
      </c>
      <c r="D18" s="275"/>
      <c r="E18" s="285">
        <v>6000</v>
      </c>
      <c r="F18" s="286">
        <v>100</v>
      </c>
      <c r="G18" s="276">
        <f>D18+E18+F18</f>
        <v>6100</v>
      </c>
      <c r="H18" s="277">
        <v>6100</v>
      </c>
      <c r="I18" s="273">
        <f t="shared" si="1"/>
        <v>0</v>
      </c>
      <c r="J18" s="451"/>
      <c r="K18" s="456"/>
      <c r="L18" s="472" t="s">
        <v>193</v>
      </c>
      <c r="M18" s="473">
        <f>SUM(M7:M16)</f>
        <v>4500</v>
      </c>
      <c r="N18" s="459">
        <f>SUM(N7:N16)</f>
        <v>2550</v>
      </c>
      <c r="O18" s="474">
        <f>SUM(O7:O16)</f>
        <v>22000</v>
      </c>
      <c r="P18" s="459">
        <f t="shared" si="2"/>
        <v>29050</v>
      </c>
      <c r="Q18" s="475">
        <f>SUM(Q7:Q16)</f>
        <v>22350</v>
      </c>
      <c r="R18" s="476">
        <f>SUM(R7:R16)</f>
        <v>6700</v>
      </c>
      <c r="S18" s="78"/>
    </row>
    <row r="19" spans="1:19" ht="15.75" x14ac:dyDescent="0.25">
      <c r="A19" s="293"/>
      <c r="B19" s="294" t="s">
        <v>193</v>
      </c>
      <c r="C19" s="293"/>
      <c r="D19" s="275">
        <f>SUM(D6:D18)</f>
        <v>700</v>
      </c>
      <c r="E19" s="240">
        <f>SUM(E6:E18)</f>
        <v>42000</v>
      </c>
      <c r="F19" s="240">
        <f>SUM(F6:F18)</f>
        <v>1300</v>
      </c>
      <c r="G19" s="276">
        <f>D19+E19+F19</f>
        <v>44000</v>
      </c>
      <c r="H19" s="361">
        <f>SUM(H6:H18)</f>
        <v>40180</v>
      </c>
      <c r="I19" s="273">
        <f>SUM(I6:I18)</f>
        <v>3320</v>
      </c>
      <c r="J19" s="451"/>
      <c r="K19" s="451"/>
      <c r="L19" s="451"/>
      <c r="M19" s="5"/>
      <c r="N19" s="5" t="s">
        <v>481</v>
      </c>
      <c r="O19" s="5"/>
      <c r="P19" s="451"/>
      <c r="Q19" s="451"/>
      <c r="R19" s="451"/>
      <c r="S19" s="78"/>
    </row>
    <row r="20" spans="1:19" ht="14.25" customHeight="1" x14ac:dyDescent="0.25">
      <c r="A20" s="447"/>
      <c r="B20" s="448"/>
      <c r="C20" s="448"/>
      <c r="D20" s="275">
        <f>'DECEMBER 19'!I18:I29</f>
        <v>0</v>
      </c>
      <c r="E20" s="345" t="s">
        <v>247</v>
      </c>
      <c r="F20" s="448"/>
      <c r="G20" s="448"/>
      <c r="H20" s="344"/>
      <c r="I20" s="273">
        <f>G20-H20</f>
        <v>0</v>
      </c>
      <c r="J20" s="451"/>
      <c r="K20" s="456">
        <v>1</v>
      </c>
      <c r="L20" s="463" t="s">
        <v>281</v>
      </c>
      <c r="M20" s="458"/>
      <c r="N20" s="459"/>
      <c r="O20" s="460"/>
      <c r="P20" s="459">
        <f t="shared" ref="P20:P37" si="4">M20+N20+O20</f>
        <v>0</v>
      </c>
      <c r="Q20" s="459"/>
      <c r="R20" s="462">
        <f t="shared" ref="R20:R36" si="5">P20-Q20</f>
        <v>0</v>
      </c>
      <c r="S20" s="78" t="s">
        <v>533</v>
      </c>
    </row>
    <row r="21" spans="1:19" ht="14.25" customHeight="1" x14ac:dyDescent="0.25">
      <c r="A21" s="166"/>
      <c r="B21" s="166"/>
      <c r="C21" s="166"/>
      <c r="D21" s="166"/>
      <c r="E21" s="166" t="s">
        <v>9</v>
      </c>
      <c r="F21" s="166" t="s">
        <v>11</v>
      </c>
      <c r="G21" s="166" t="s">
        <v>12</v>
      </c>
      <c r="H21" s="166" t="s">
        <v>306</v>
      </c>
      <c r="I21" s="318"/>
      <c r="J21" s="451"/>
      <c r="K21" s="456">
        <v>2</v>
      </c>
      <c r="L21" s="463" t="s">
        <v>507</v>
      </c>
      <c r="M21" s="458"/>
      <c r="N21" s="459"/>
      <c r="O21" s="460">
        <v>3500</v>
      </c>
      <c r="P21" s="459">
        <f t="shared" si="4"/>
        <v>3500</v>
      </c>
      <c r="Q21" s="459">
        <v>3500</v>
      </c>
      <c r="R21" s="462">
        <f t="shared" si="5"/>
        <v>0</v>
      </c>
      <c r="S21" s="78"/>
    </row>
    <row r="22" spans="1:19" ht="15.75" x14ac:dyDescent="0.25">
      <c r="A22" s="83">
        <v>1</v>
      </c>
      <c r="B22" s="191" t="s">
        <v>313</v>
      </c>
      <c r="C22" s="85"/>
      <c r="D22" s="86">
        <f>'NOVEMBER 19'!H21:H29</f>
        <v>0</v>
      </c>
      <c r="E22" s="232">
        <v>3500</v>
      </c>
      <c r="F22" s="232">
        <f>C22+E22</f>
        <v>3500</v>
      </c>
      <c r="G22" s="232">
        <v>3500</v>
      </c>
      <c r="H22" s="273">
        <f>F22-G22</f>
        <v>0</v>
      </c>
      <c r="I22" s="273"/>
      <c r="J22" s="451"/>
      <c r="K22" s="456">
        <v>3</v>
      </c>
      <c r="L22" s="464" t="s">
        <v>498</v>
      </c>
      <c r="M22" s="464"/>
      <c r="N22" s="459">
        <f>'DECEMBER 19'!R21:R41</f>
        <v>0</v>
      </c>
      <c r="O22" s="464">
        <v>3500</v>
      </c>
      <c r="P22" s="459">
        <f t="shared" si="4"/>
        <v>3500</v>
      </c>
      <c r="Q22" s="464">
        <v>3500</v>
      </c>
      <c r="R22" s="462">
        <f t="shared" si="5"/>
        <v>0</v>
      </c>
      <c r="S22" s="78"/>
    </row>
    <row r="23" spans="1:19" ht="13.5" customHeight="1" x14ac:dyDescent="0.25">
      <c r="A23" s="83">
        <v>2</v>
      </c>
      <c r="B23" s="110" t="s">
        <v>451</v>
      </c>
      <c r="C23" s="113"/>
      <c r="D23" s="86">
        <f>'NOVEMBER 19'!H22:H30</f>
        <v>0</v>
      </c>
      <c r="E23" s="110">
        <v>4000</v>
      </c>
      <c r="F23" s="232">
        <f t="shared" ref="F23:F29" si="6">C23+E23</f>
        <v>4000</v>
      </c>
      <c r="G23" s="110">
        <v>4000</v>
      </c>
      <c r="H23" s="273">
        <f t="shared" ref="H23:H29" si="7">F23-G23</f>
        <v>0</v>
      </c>
      <c r="I23" s="273"/>
      <c r="J23" s="451"/>
      <c r="K23" s="456">
        <v>4</v>
      </c>
      <c r="L23" s="463" t="s">
        <v>499</v>
      </c>
      <c r="M23" s="464"/>
      <c r="N23" s="459">
        <f>'DECEMBER 19'!R22:R42</f>
        <v>0</v>
      </c>
      <c r="O23" s="466">
        <v>3500</v>
      </c>
      <c r="P23" s="459">
        <f t="shared" si="4"/>
        <v>3500</v>
      </c>
      <c r="Q23" s="462">
        <v>3500</v>
      </c>
      <c r="R23" s="462">
        <f t="shared" si="5"/>
        <v>0</v>
      </c>
      <c r="S23" s="78"/>
    </row>
    <row r="24" spans="1:19" ht="13.5" customHeight="1" x14ac:dyDescent="0.25">
      <c r="A24" s="83">
        <v>3</v>
      </c>
      <c r="B24" s="191" t="s">
        <v>411</v>
      </c>
      <c r="C24" s="85"/>
      <c r="D24" s="86">
        <f>'NOVEMBER 19'!H23:H31</f>
        <v>0</v>
      </c>
      <c r="E24" s="231">
        <v>4000</v>
      </c>
      <c r="F24" s="232">
        <f t="shared" si="6"/>
        <v>4000</v>
      </c>
      <c r="G24" s="78">
        <v>4000</v>
      </c>
      <c r="H24" s="273">
        <f>F24-G24</f>
        <v>0</v>
      </c>
      <c r="I24" s="273"/>
      <c r="J24" s="451"/>
      <c r="K24" s="456">
        <v>5</v>
      </c>
      <c r="L24" s="463" t="s">
        <v>505</v>
      </c>
      <c r="M24" s="458"/>
      <c r="N24" s="459">
        <f>'DECEMBER 19'!R23:R43</f>
        <v>0</v>
      </c>
      <c r="O24" s="460">
        <v>3500</v>
      </c>
      <c r="P24" s="459">
        <f t="shared" si="4"/>
        <v>3500</v>
      </c>
      <c r="Q24" s="461"/>
      <c r="R24" s="462">
        <f t="shared" si="5"/>
        <v>3500</v>
      </c>
      <c r="S24" s="78"/>
    </row>
    <row r="25" spans="1:19" ht="9" customHeight="1" x14ac:dyDescent="0.25">
      <c r="A25" s="83"/>
      <c r="B25" s="191"/>
      <c r="C25" s="85"/>
      <c r="D25" s="86">
        <f>'NOVEMBER 19'!H24:H32</f>
        <v>0</v>
      </c>
      <c r="E25" s="231"/>
      <c r="F25" s="232"/>
      <c r="G25" s="110"/>
      <c r="H25" s="273"/>
      <c r="I25" s="273"/>
      <c r="J25" s="451"/>
      <c r="K25" s="456">
        <v>6</v>
      </c>
      <c r="L25" s="457" t="s">
        <v>501</v>
      </c>
      <c r="M25" s="464"/>
      <c r="N25" s="459">
        <f>'DECEMBER 19'!R24:R44</f>
        <v>0</v>
      </c>
      <c r="O25" s="469">
        <v>3500</v>
      </c>
      <c r="P25" s="459">
        <f t="shared" si="4"/>
        <v>3500</v>
      </c>
      <c r="Q25" s="470">
        <v>3500</v>
      </c>
      <c r="R25" s="462">
        <f t="shared" si="5"/>
        <v>0</v>
      </c>
      <c r="S25" s="78"/>
    </row>
    <row r="26" spans="1:19" ht="16.5" customHeight="1" x14ac:dyDescent="0.25">
      <c r="A26" s="83">
        <v>4</v>
      </c>
      <c r="B26" s="191" t="s">
        <v>350</v>
      </c>
      <c r="C26" s="86"/>
      <c r="D26" s="86">
        <f>'NOVEMBER 19'!H25:H33</f>
        <v>0</v>
      </c>
      <c r="E26" s="231">
        <v>4000</v>
      </c>
      <c r="F26" s="232">
        <f t="shared" si="6"/>
        <v>4000</v>
      </c>
      <c r="G26" s="110">
        <v>4000</v>
      </c>
      <c r="H26" s="273">
        <f t="shared" si="7"/>
        <v>0</v>
      </c>
      <c r="I26" s="273"/>
      <c r="J26" s="451"/>
      <c r="K26" s="456">
        <v>7</v>
      </c>
      <c r="L26" s="457" t="s">
        <v>517</v>
      </c>
      <c r="M26" s="458"/>
      <c r="N26" s="459">
        <f>'DECEMBER 19'!R25:R45</f>
        <v>0</v>
      </c>
      <c r="O26" s="460">
        <v>3500</v>
      </c>
      <c r="P26" s="459">
        <f t="shared" si="4"/>
        <v>3500</v>
      </c>
      <c r="Q26" s="461">
        <v>3500</v>
      </c>
      <c r="R26" s="462">
        <f t="shared" si="5"/>
        <v>0</v>
      </c>
      <c r="S26" s="78"/>
    </row>
    <row r="27" spans="1:19" ht="12.75" customHeight="1" x14ac:dyDescent="0.25">
      <c r="A27" s="99">
        <v>5</v>
      </c>
      <c r="B27" s="191" t="s">
        <v>392</v>
      </c>
      <c r="C27" s="85"/>
      <c r="D27" s="86">
        <f>'NOVEMBER 19'!H26:H34</f>
        <v>0</v>
      </c>
      <c r="E27" s="231">
        <v>4000</v>
      </c>
      <c r="F27" s="232">
        <f t="shared" si="6"/>
        <v>4000</v>
      </c>
      <c r="G27" s="110">
        <v>4000</v>
      </c>
      <c r="H27" s="273">
        <f t="shared" si="7"/>
        <v>0</v>
      </c>
      <c r="I27" s="273"/>
      <c r="J27" s="451"/>
      <c r="K27" s="456">
        <v>8</v>
      </c>
      <c r="L27" s="457" t="s">
        <v>477</v>
      </c>
      <c r="M27" s="458"/>
      <c r="N27" s="459">
        <f>'DECEMBER 19'!R26:R46</f>
        <v>0</v>
      </c>
      <c r="O27" s="460">
        <v>3500</v>
      </c>
      <c r="P27" s="459">
        <f t="shared" si="4"/>
        <v>3500</v>
      </c>
      <c r="Q27" s="461">
        <v>3500</v>
      </c>
      <c r="R27" s="462">
        <f t="shared" si="5"/>
        <v>0</v>
      </c>
      <c r="S27" s="78"/>
    </row>
    <row r="28" spans="1:19" ht="12.75" customHeight="1" x14ac:dyDescent="0.25">
      <c r="A28" s="93">
        <v>6</v>
      </c>
      <c r="B28" s="218" t="s">
        <v>539</v>
      </c>
      <c r="C28" s="85"/>
      <c r="D28" s="86">
        <f>'NOVEMBER 19'!H27:H35</f>
        <v>0</v>
      </c>
      <c r="E28" s="231">
        <v>4000</v>
      </c>
      <c r="F28" s="232">
        <f t="shared" si="6"/>
        <v>4000</v>
      </c>
      <c r="G28" s="110">
        <v>4000</v>
      </c>
      <c r="H28" s="273">
        <f t="shared" si="7"/>
        <v>0</v>
      </c>
      <c r="I28" s="273"/>
      <c r="J28" s="451"/>
      <c r="K28" s="456">
        <v>9</v>
      </c>
      <c r="L28" s="463" t="s">
        <v>496</v>
      </c>
      <c r="M28" s="458"/>
      <c r="N28" s="459">
        <f>'DECEMBER 19'!R27:R47</f>
        <v>0</v>
      </c>
      <c r="O28" s="460">
        <v>3500</v>
      </c>
      <c r="P28" s="459">
        <f>M28+N28+O28</f>
        <v>3500</v>
      </c>
      <c r="Q28" s="461">
        <v>3500</v>
      </c>
      <c r="R28" s="462">
        <f t="shared" si="5"/>
        <v>0</v>
      </c>
      <c r="S28" s="78"/>
    </row>
    <row r="29" spans="1:19" ht="15" customHeight="1" x14ac:dyDescent="0.25">
      <c r="A29" s="83">
        <v>7</v>
      </c>
      <c r="B29" s="210" t="s">
        <v>456</v>
      </c>
      <c r="C29" s="85">
        <v>0</v>
      </c>
      <c r="D29" s="86">
        <f>'NOVEMBER 19'!H28:H36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7"/>
        <v>0</v>
      </c>
      <c r="I29" s="273"/>
      <c r="J29" s="451"/>
      <c r="K29" s="456">
        <v>10</v>
      </c>
      <c r="L29" s="463" t="s">
        <v>490</v>
      </c>
      <c r="M29" s="458"/>
      <c r="N29" s="459">
        <f>'DECEMBER 19'!R28:R48</f>
        <v>0</v>
      </c>
      <c r="O29" s="460">
        <v>3500</v>
      </c>
      <c r="P29" s="459">
        <f t="shared" si="4"/>
        <v>3500</v>
      </c>
      <c r="Q29" s="461">
        <v>3500</v>
      </c>
      <c r="R29" s="462">
        <f t="shared" si="5"/>
        <v>0</v>
      </c>
      <c r="S29" s="78"/>
    </row>
    <row r="30" spans="1:19" ht="15" customHeight="1" x14ac:dyDescent="0.25">
      <c r="A30" s="164"/>
      <c r="B30" s="339" t="s">
        <v>193</v>
      </c>
      <c r="C30" s="42"/>
      <c r="D30" s="86">
        <f>'NOVEMBER 19'!H29:H37</f>
        <v>0</v>
      </c>
      <c r="E30" s="240">
        <f>SUM(E22:E29)</f>
        <v>27500</v>
      </c>
      <c r="F30" s="322">
        <f>SUM(F22:F29)</f>
        <v>27500</v>
      </c>
      <c r="G30" s="240">
        <f>SUM(G22:G29)</f>
        <v>27500</v>
      </c>
      <c r="H30" s="273">
        <f>F30-G30</f>
        <v>0</v>
      </c>
      <c r="I30" s="273"/>
      <c r="J30" s="451"/>
      <c r="K30" s="456">
        <v>11</v>
      </c>
      <c r="L30" s="457" t="s">
        <v>474</v>
      </c>
      <c r="M30" s="458"/>
      <c r="N30" s="459">
        <f>'DECEMBER 19'!R29:R49</f>
        <v>0</v>
      </c>
      <c r="O30" s="460">
        <v>3500</v>
      </c>
      <c r="P30" s="459">
        <f>M30+N30+O30</f>
        <v>3500</v>
      </c>
      <c r="Q30" s="461">
        <v>3500</v>
      </c>
      <c r="R30" s="462">
        <f>P30-Q30</f>
        <v>0</v>
      </c>
      <c r="S30" s="78"/>
    </row>
    <row r="31" spans="1:19" ht="14.25" customHeight="1" x14ac:dyDescent="0.25">
      <c r="A31" s="79"/>
      <c r="B31" s="79"/>
      <c r="C31" s="106"/>
      <c r="D31" s="107"/>
      <c r="E31" s="106"/>
      <c r="F31" s="108"/>
      <c r="G31" s="106"/>
      <c r="H31" s="150"/>
      <c r="I31" s="269"/>
      <c r="J31" s="451"/>
      <c r="K31" s="456">
        <v>12</v>
      </c>
      <c r="L31" s="463" t="s">
        <v>530</v>
      </c>
      <c r="M31" s="458"/>
      <c r="N31" s="459">
        <f>'DECEMBER 19'!R30:R50</f>
        <v>0</v>
      </c>
      <c r="O31" s="460">
        <v>3500</v>
      </c>
      <c r="P31" s="459">
        <f t="shared" si="4"/>
        <v>3500</v>
      </c>
      <c r="Q31" s="461">
        <v>3500</v>
      </c>
      <c r="R31" s="462">
        <f t="shared" si="5"/>
        <v>0</v>
      </c>
      <c r="S31" s="78"/>
    </row>
    <row r="32" spans="1:19" ht="13.5" customHeight="1" x14ac:dyDescent="0.25">
      <c r="A32" s="303"/>
      <c r="B32" s="359" t="s">
        <v>204</v>
      </c>
      <c r="C32" s="359" t="s">
        <v>205</v>
      </c>
      <c r="D32" s="359" t="s">
        <v>207</v>
      </c>
      <c r="E32" s="359" t="s">
        <v>208</v>
      </c>
      <c r="F32" s="359" t="s">
        <v>204</v>
      </c>
      <c r="G32" s="359" t="s">
        <v>205</v>
      </c>
      <c r="H32" s="359" t="s">
        <v>207</v>
      </c>
      <c r="I32" s="360" t="s">
        <v>306</v>
      </c>
      <c r="J32" s="451"/>
      <c r="K32" s="456">
        <v>13</v>
      </c>
      <c r="L32" s="463" t="s">
        <v>479</v>
      </c>
      <c r="M32" s="458"/>
      <c r="N32" s="459">
        <f>'DECEMBER 19'!R31:R51</f>
        <v>0</v>
      </c>
      <c r="O32" s="460">
        <v>3500</v>
      </c>
      <c r="P32" s="459">
        <f t="shared" si="4"/>
        <v>3500</v>
      </c>
      <c r="Q32" s="461">
        <v>3500</v>
      </c>
      <c r="R32" s="462">
        <f>P32-Q32</f>
        <v>0</v>
      </c>
      <c r="S32" s="78"/>
    </row>
    <row r="33" spans="1:19" ht="15" customHeight="1" x14ac:dyDescent="0.25">
      <c r="A33" s="304"/>
      <c r="B33" s="211" t="s">
        <v>535</v>
      </c>
      <c r="C33" s="273">
        <f>E30+E19</f>
        <v>69500</v>
      </c>
      <c r="D33" s="164"/>
      <c r="E33" s="164"/>
      <c r="F33" s="211" t="s">
        <v>535</v>
      </c>
      <c r="G33" s="273">
        <f>G30+H19</f>
        <v>67680</v>
      </c>
      <c r="H33" s="164"/>
      <c r="I33" s="273"/>
      <c r="J33" s="451"/>
      <c r="K33" s="456">
        <v>14</v>
      </c>
      <c r="L33" s="463" t="s">
        <v>480</v>
      </c>
      <c r="M33" s="458"/>
      <c r="N33" s="459">
        <f>'DECEMBER 19'!R32:R52</f>
        <v>0</v>
      </c>
      <c r="O33" s="460">
        <v>3500</v>
      </c>
      <c r="P33" s="459">
        <f t="shared" si="4"/>
        <v>3500</v>
      </c>
      <c r="Q33" s="461">
        <v>3500</v>
      </c>
      <c r="R33" s="462">
        <f t="shared" si="5"/>
        <v>0</v>
      </c>
      <c r="S33" s="78"/>
    </row>
    <row r="34" spans="1:19" ht="14.25" customHeight="1" x14ac:dyDescent="0.25">
      <c r="A34" s="304"/>
      <c r="B34" s="211" t="s">
        <v>209</v>
      </c>
      <c r="C34" s="307">
        <v>0.1</v>
      </c>
      <c r="D34" s="308">
        <f>C33*C34</f>
        <v>6950</v>
      </c>
      <c r="E34" s="211"/>
      <c r="F34" s="211" t="s">
        <v>209</v>
      </c>
      <c r="G34" s="307">
        <v>0.1</v>
      </c>
      <c r="H34" s="308">
        <f>D34</f>
        <v>6950</v>
      </c>
      <c r="I34" s="273"/>
      <c r="J34" s="451"/>
      <c r="K34" s="456">
        <v>15</v>
      </c>
      <c r="L34" s="463" t="s">
        <v>512</v>
      </c>
      <c r="M34" s="458"/>
      <c r="N34" s="459">
        <f>'DECEMBER 19'!R33:R53</f>
        <v>0</v>
      </c>
      <c r="O34" s="460">
        <v>3500</v>
      </c>
      <c r="P34" s="459">
        <f>M34+N34+O34</f>
        <v>3500</v>
      </c>
      <c r="Q34" s="461">
        <v>3500</v>
      </c>
      <c r="R34" s="462">
        <f>P34-Q34</f>
        <v>0</v>
      </c>
      <c r="S34" s="78"/>
    </row>
    <row r="35" spans="1:19" ht="13.5" customHeight="1" x14ac:dyDescent="0.25">
      <c r="A35" s="304"/>
      <c r="B35" s="309" t="s">
        <v>232</v>
      </c>
      <c r="C35" s="308">
        <f>F19</f>
        <v>1300</v>
      </c>
      <c r="D35" s="211"/>
      <c r="E35" s="309"/>
      <c r="F35" s="78"/>
      <c r="G35" s="308"/>
      <c r="H35" s="211"/>
      <c r="I35" s="273"/>
      <c r="J35" s="451"/>
      <c r="K35" s="456">
        <v>16</v>
      </c>
      <c r="L35" s="463" t="s">
        <v>488</v>
      </c>
      <c r="M35" s="458"/>
      <c r="N35" s="459">
        <f>'DECEMBER 19'!R34:R54</f>
        <v>0</v>
      </c>
      <c r="O35" s="460">
        <v>3500</v>
      </c>
      <c r="P35" s="459">
        <f>M35+N35+O35</f>
        <v>3500</v>
      </c>
      <c r="Q35" s="461">
        <v>3500</v>
      </c>
      <c r="R35" s="462">
        <f t="shared" si="5"/>
        <v>0</v>
      </c>
      <c r="S35" s="78"/>
    </row>
    <row r="36" spans="1:19" ht="15" customHeight="1" x14ac:dyDescent="0.25">
      <c r="A36" s="304"/>
      <c r="B36" s="309" t="s">
        <v>468</v>
      </c>
      <c r="C36" s="308">
        <v>3000</v>
      </c>
      <c r="D36" s="211"/>
      <c r="E36" s="211"/>
      <c r="F36" s="309" t="s">
        <v>468</v>
      </c>
      <c r="G36" s="308">
        <v>3000</v>
      </c>
      <c r="H36" s="211"/>
      <c r="I36" s="273"/>
      <c r="J36" s="451"/>
      <c r="K36" s="456">
        <v>17</v>
      </c>
      <c r="L36" s="463" t="s">
        <v>495</v>
      </c>
      <c r="M36" s="458"/>
      <c r="N36" s="459">
        <f>'DECEMBER 19'!R35:R55</f>
        <v>0</v>
      </c>
      <c r="O36" s="460">
        <v>3500</v>
      </c>
      <c r="P36" s="459">
        <f t="shared" si="4"/>
        <v>3500</v>
      </c>
      <c r="Q36" s="461">
        <v>3500</v>
      </c>
      <c r="R36" s="462">
        <f t="shared" si="5"/>
        <v>0</v>
      </c>
      <c r="S36" s="78"/>
    </row>
    <row r="37" spans="1:19" ht="12.75" customHeight="1" x14ac:dyDescent="0.25">
      <c r="A37" s="304"/>
      <c r="B37" s="309" t="s">
        <v>470</v>
      </c>
      <c r="C37" s="308">
        <v>4000</v>
      </c>
      <c r="D37" s="211"/>
      <c r="E37" s="211"/>
      <c r="F37" s="309" t="s">
        <v>323</v>
      </c>
      <c r="G37" s="308">
        <v>4000</v>
      </c>
      <c r="H37" s="211"/>
      <c r="I37" s="273"/>
      <c r="J37" s="451"/>
      <c r="K37" s="456">
        <v>18</v>
      </c>
      <c r="L37" s="463" t="s">
        <v>526</v>
      </c>
      <c r="M37" s="458"/>
      <c r="N37" s="459">
        <f>'DECEMBER 19'!R36:R56</f>
        <v>0</v>
      </c>
      <c r="O37" s="460">
        <v>3500</v>
      </c>
      <c r="P37" s="459">
        <f t="shared" si="4"/>
        <v>3500</v>
      </c>
      <c r="Q37" s="461">
        <v>3500</v>
      </c>
      <c r="R37" s="462">
        <f>P37-Q37</f>
        <v>0</v>
      </c>
      <c r="S37" s="78"/>
    </row>
    <row r="38" spans="1:19" ht="12" customHeight="1" x14ac:dyDescent="0.25">
      <c r="A38" s="304"/>
      <c r="B38" s="309" t="s">
        <v>239</v>
      </c>
      <c r="C38" s="308">
        <f>'DECEMBER 19'!E48</f>
        <v>0.34230528003536165</v>
      </c>
      <c r="D38" s="211"/>
      <c r="E38" s="211"/>
      <c r="F38" s="309" t="s">
        <v>239</v>
      </c>
      <c r="G38" s="308">
        <f>'DECEMBER 19'!I48</f>
        <v>-2443.7247999999672</v>
      </c>
      <c r="H38" s="211"/>
      <c r="I38" s="273"/>
      <c r="J38" s="451"/>
      <c r="K38" s="456">
        <v>19</v>
      </c>
      <c r="L38" s="463" t="s">
        <v>516</v>
      </c>
      <c r="M38" s="458"/>
      <c r="N38" s="459">
        <f>'DECEMBER 19'!R37:R57</f>
        <v>0</v>
      </c>
      <c r="O38" s="460">
        <v>3500</v>
      </c>
      <c r="P38" s="459">
        <f>M38+N38+O38</f>
        <v>3500</v>
      </c>
      <c r="Q38" s="461">
        <v>3500</v>
      </c>
      <c r="R38" s="462">
        <f>P38-Q38</f>
        <v>0</v>
      </c>
      <c r="S38" s="78"/>
    </row>
    <row r="39" spans="1:19" ht="14.25" customHeight="1" x14ac:dyDescent="0.25">
      <c r="A39" s="304"/>
      <c r="B39" s="309" t="s">
        <v>193</v>
      </c>
      <c r="C39" s="308">
        <f>C33+C35+C38+C36</f>
        <v>73800.342305280035</v>
      </c>
      <c r="D39" s="211"/>
      <c r="E39" s="211"/>
      <c r="F39" s="309" t="s">
        <v>193</v>
      </c>
      <c r="G39" s="308">
        <f>G33+G35+G38+G36</f>
        <v>68236.275200000033</v>
      </c>
      <c r="H39" s="211"/>
      <c r="I39" s="273"/>
      <c r="J39" s="451"/>
      <c r="K39" s="456">
        <v>20</v>
      </c>
      <c r="L39" s="463" t="s">
        <v>497</v>
      </c>
      <c r="M39" s="458"/>
      <c r="N39" s="459"/>
      <c r="O39" s="460">
        <v>3500</v>
      </c>
      <c r="P39" s="459">
        <f>M39+N39+O39</f>
        <v>3500</v>
      </c>
      <c r="Q39" s="461"/>
      <c r="R39" s="462">
        <f>P39-Q39</f>
        <v>3500</v>
      </c>
      <c r="S39" s="220"/>
    </row>
    <row r="40" spans="1:19" ht="15.75" x14ac:dyDescent="0.25">
      <c r="A40" s="304"/>
      <c r="B40" s="365"/>
      <c r="C40" s="366"/>
      <c r="D40" s="367"/>
      <c r="E40" s="366"/>
      <c r="F40" s="309"/>
      <c r="G40" s="308"/>
      <c r="H40" s="367"/>
      <c r="I40" s="368"/>
      <c r="J40" s="451"/>
      <c r="K40" s="456"/>
      <c r="L40" s="472" t="s">
        <v>193</v>
      </c>
      <c r="M40" s="473">
        <f>SUM(M20:M39)</f>
        <v>0</v>
      </c>
      <c r="N40" s="459">
        <f>SUM(N20:N39)</f>
        <v>0</v>
      </c>
      <c r="O40" s="474">
        <f>SUM(O20:O39)</f>
        <v>66500</v>
      </c>
      <c r="P40" s="459">
        <f>M40+N40+O40</f>
        <v>66500</v>
      </c>
      <c r="Q40" s="475">
        <f>SUM(Q20:Q39)</f>
        <v>59500</v>
      </c>
      <c r="R40" s="462">
        <f>P40-Q40</f>
        <v>7000</v>
      </c>
      <c r="S40" s="78"/>
    </row>
    <row r="41" spans="1:19" ht="15.75" x14ac:dyDescent="0.25">
      <c r="A41" s="304"/>
      <c r="B41" s="446" t="s">
        <v>194</v>
      </c>
      <c r="C41" s="366"/>
      <c r="D41" s="367"/>
      <c r="E41" s="366"/>
      <c r="F41" s="446" t="s">
        <v>194</v>
      </c>
      <c r="G41" s="366"/>
      <c r="H41" s="367"/>
      <c r="I41" s="368"/>
      <c r="J41" s="451"/>
      <c r="K41" s="5" t="s">
        <v>509</v>
      </c>
      <c r="L41" s="477"/>
      <c r="M41" s="478"/>
      <c r="N41" s="477"/>
      <c r="O41" s="479"/>
      <c r="P41" s="477"/>
      <c r="Q41" s="451"/>
      <c r="R41" s="480"/>
      <c r="S41" s="78"/>
    </row>
    <row r="42" spans="1:19" ht="15.75" x14ac:dyDescent="0.25">
      <c r="A42" s="150"/>
      <c r="B42" s="369" t="s">
        <v>468</v>
      </c>
      <c r="C42" s="78"/>
      <c r="D42" s="371">
        <v>3000</v>
      </c>
      <c r="E42" s="370"/>
      <c r="F42" s="369" t="s">
        <v>468</v>
      </c>
      <c r="G42" s="78"/>
      <c r="H42" s="371">
        <v>3000</v>
      </c>
      <c r="I42" s="368"/>
      <c r="J42" s="451"/>
      <c r="K42" s="481" t="s">
        <v>204</v>
      </c>
      <c r="L42" s="481" t="s">
        <v>205</v>
      </c>
      <c r="M42" s="481" t="s">
        <v>207</v>
      </c>
      <c r="N42" s="481" t="s">
        <v>208</v>
      </c>
      <c r="O42" s="481" t="s">
        <v>204</v>
      </c>
      <c r="P42" s="481" t="s">
        <v>205</v>
      </c>
      <c r="Q42" s="481" t="s">
        <v>207</v>
      </c>
      <c r="R42" s="482" t="s">
        <v>306</v>
      </c>
      <c r="S42" s="78"/>
    </row>
    <row r="43" spans="1:19" ht="15.75" x14ac:dyDescent="0.25">
      <c r="A43" s="150"/>
      <c r="B43" s="369"/>
      <c r="C43" s="370"/>
      <c r="D43" s="371"/>
      <c r="E43" s="370"/>
      <c r="F43" s="369"/>
      <c r="G43" s="370"/>
      <c r="H43" s="371"/>
      <c r="I43" s="368"/>
      <c r="J43" s="451"/>
      <c r="K43" s="483" t="s">
        <v>535</v>
      </c>
      <c r="L43" s="462">
        <f>O40+O18</f>
        <v>88500</v>
      </c>
      <c r="M43" s="464"/>
      <c r="N43" s="464"/>
      <c r="O43" s="483" t="s">
        <v>535</v>
      </c>
      <c r="P43" s="462">
        <f>Q40+Q18</f>
        <v>81850</v>
      </c>
      <c r="Q43" s="464"/>
      <c r="R43" s="462"/>
      <c r="S43" s="78"/>
    </row>
    <row r="44" spans="1:19" ht="15.75" x14ac:dyDescent="0.25">
      <c r="A44" s="150"/>
      <c r="B44" s="370" t="s">
        <v>408</v>
      </c>
      <c r="C44" s="449">
        <v>0.3</v>
      </c>
      <c r="D44" s="368">
        <f>C44*E16+(C44*E28)</f>
        <v>2100</v>
      </c>
      <c r="E44" s="370"/>
      <c r="F44" s="370" t="s">
        <v>408</v>
      </c>
      <c r="G44" s="449">
        <v>0.3</v>
      </c>
      <c r="H44" s="368">
        <f>G44*E16+(G44*E28)</f>
        <v>2100</v>
      </c>
      <c r="I44" s="368"/>
      <c r="J44" s="451"/>
      <c r="K44" s="483" t="s">
        <v>209</v>
      </c>
      <c r="L44" s="484">
        <v>0.1</v>
      </c>
      <c r="M44" s="485">
        <f>L43*L44</f>
        <v>8850</v>
      </c>
      <c r="N44" s="483"/>
      <c r="O44" s="483" t="s">
        <v>209</v>
      </c>
      <c r="P44" s="484">
        <v>0.1</v>
      </c>
      <c r="Q44" s="485">
        <f>M44</f>
        <v>8850</v>
      </c>
      <c r="R44" s="462"/>
      <c r="S44" s="78"/>
    </row>
    <row r="45" spans="1:19" ht="13.5" customHeight="1" x14ac:dyDescent="0.25">
      <c r="A45" s="150"/>
      <c r="B45" s="370" t="s">
        <v>546</v>
      </c>
      <c r="C45" s="370"/>
      <c r="D45" s="368">
        <v>60750</v>
      </c>
      <c r="E45" s="370"/>
      <c r="F45" s="370" t="s">
        <v>546</v>
      </c>
      <c r="G45" s="370"/>
      <c r="H45" s="368">
        <v>60750</v>
      </c>
      <c r="I45" s="367"/>
      <c r="J45" s="451"/>
      <c r="K45" s="486"/>
      <c r="L45" s="485"/>
      <c r="M45" s="483"/>
      <c r="N45" s="483"/>
      <c r="O45" s="486"/>
      <c r="P45" s="485"/>
      <c r="Q45" s="483"/>
      <c r="R45" s="462"/>
      <c r="S45" s="78"/>
    </row>
    <row r="46" spans="1:19" ht="11.25" customHeight="1" x14ac:dyDescent="0.25">
      <c r="A46" s="150"/>
      <c r="B46" s="369"/>
      <c r="C46" s="370"/>
      <c r="D46" s="371"/>
      <c r="E46" s="370"/>
      <c r="F46" s="369"/>
      <c r="G46" s="370"/>
      <c r="H46" s="371"/>
      <c r="I46" s="368"/>
      <c r="J46" s="451"/>
      <c r="K46" s="483" t="s">
        <v>408</v>
      </c>
      <c r="L46" s="484">
        <v>0.3</v>
      </c>
      <c r="M46" s="485"/>
      <c r="N46" s="483"/>
      <c r="O46" s="483" t="s">
        <v>408</v>
      </c>
      <c r="P46" s="484">
        <v>0.3</v>
      </c>
      <c r="Q46" s="485"/>
      <c r="R46" s="462"/>
      <c r="S46" s="78"/>
    </row>
    <row r="47" spans="1:19" ht="15" customHeight="1" x14ac:dyDescent="0.25">
      <c r="A47" s="150"/>
      <c r="B47" s="369"/>
      <c r="C47" s="370"/>
      <c r="D47" s="371"/>
      <c r="E47" s="370"/>
      <c r="F47" s="369"/>
      <c r="G47" s="370"/>
      <c r="H47" s="371"/>
      <c r="I47" s="368"/>
      <c r="J47" s="451"/>
      <c r="K47" s="486" t="s">
        <v>470</v>
      </c>
      <c r="L47" s="485"/>
      <c r="M47" s="483"/>
      <c r="N47" s="483"/>
      <c r="O47" s="486"/>
      <c r="P47" s="485"/>
      <c r="Q47" s="483"/>
      <c r="R47" s="462"/>
      <c r="S47" s="78"/>
    </row>
    <row r="48" spans="1:19" ht="11.25" customHeight="1" x14ac:dyDescent="0.25">
      <c r="A48" s="150"/>
      <c r="B48" s="369"/>
      <c r="C48" s="370"/>
      <c r="D48" s="371"/>
      <c r="E48" s="370"/>
      <c r="F48" s="369"/>
      <c r="G48" s="370"/>
      <c r="H48" s="371"/>
      <c r="I48" s="368"/>
      <c r="J48" s="451"/>
      <c r="K48" s="486" t="s">
        <v>239</v>
      </c>
      <c r="L48" s="485">
        <f>'DECEMBER 19'!N53</f>
        <v>3500.3000000000029</v>
      </c>
      <c r="M48" s="483"/>
      <c r="N48" s="483"/>
      <c r="O48" s="486" t="s">
        <v>239</v>
      </c>
      <c r="P48" s="485">
        <f>'DECEMBER 19'!R53</f>
        <v>3150.3000000000029</v>
      </c>
      <c r="Q48" s="483"/>
      <c r="R48" s="462"/>
      <c r="S48" s="78"/>
    </row>
    <row r="49" spans="1:19" ht="15.75" x14ac:dyDescent="0.25">
      <c r="A49" s="150"/>
      <c r="B49" s="166" t="s">
        <v>193</v>
      </c>
      <c r="C49" s="317">
        <f>C33+C35+C36+C37+C38-D34</f>
        <v>70850.342305280035</v>
      </c>
      <c r="D49" s="318">
        <f>SUM(D40:D48)</f>
        <v>65850</v>
      </c>
      <c r="E49" s="318">
        <f>C49-D49</f>
        <v>5000.3423052800354</v>
      </c>
      <c r="F49" s="166" t="s">
        <v>193</v>
      </c>
      <c r="G49" s="317">
        <f>G33+G36++G37+G38-H34</f>
        <v>65286.275200000033</v>
      </c>
      <c r="H49" s="318">
        <f>SUM(H40:H48)</f>
        <v>65850</v>
      </c>
      <c r="I49" s="318">
        <f>G49-H49</f>
        <v>-563.72479999996722</v>
      </c>
      <c r="J49" s="451"/>
      <c r="K49" s="486" t="s">
        <v>193</v>
      </c>
      <c r="L49" s="485">
        <f>L43+L45+L48+L47</f>
        <v>92000.3</v>
      </c>
      <c r="M49" s="483"/>
      <c r="N49" s="483"/>
      <c r="O49" s="486" t="s">
        <v>193</v>
      </c>
      <c r="P49" s="485">
        <f>P43+P48</f>
        <v>85000.3</v>
      </c>
      <c r="Q49" s="483"/>
      <c r="R49" s="462"/>
      <c r="S49" s="78"/>
    </row>
    <row r="50" spans="1:19" ht="12" customHeight="1" x14ac:dyDescent="0.25">
      <c r="A50" s="150"/>
      <c r="B50" s="150"/>
      <c r="C50" s="150"/>
      <c r="D50" s="150"/>
      <c r="E50" s="150"/>
      <c r="F50" s="150"/>
      <c r="G50" s="79"/>
      <c r="H50" s="150"/>
      <c r="I50" s="269"/>
      <c r="J50" s="451"/>
      <c r="K50" s="487" t="s">
        <v>194</v>
      </c>
      <c r="L50" s="484"/>
      <c r="M50" s="488"/>
      <c r="N50" s="483"/>
      <c r="O50" s="487" t="s">
        <v>194</v>
      </c>
      <c r="P50" s="484"/>
      <c r="Q50" s="488"/>
      <c r="R50" s="462"/>
      <c r="S50" s="220">
        <f>R24+R39+1000</f>
        <v>8000</v>
      </c>
    </row>
    <row r="51" spans="1:19" ht="14.25" customHeight="1" x14ac:dyDescent="0.25">
      <c r="A51" s="150"/>
      <c r="B51" s="150" t="s">
        <v>71</v>
      </c>
      <c r="C51" s="79"/>
      <c r="D51" s="78"/>
      <c r="E51" s="150" t="s">
        <v>72</v>
      </c>
      <c r="F51" s="78"/>
      <c r="G51" s="78"/>
      <c r="H51" s="150" t="s">
        <v>73</v>
      </c>
      <c r="I51" s="269"/>
      <c r="J51" s="451"/>
      <c r="K51" s="486" t="s">
        <v>540</v>
      </c>
      <c r="L51" s="484"/>
      <c r="M51" s="489">
        <v>3500</v>
      </c>
      <c r="N51" s="483"/>
      <c r="O51" s="486" t="s">
        <v>540</v>
      </c>
      <c r="P51" s="484"/>
      <c r="Q51" s="489"/>
      <c r="R51" s="462"/>
      <c r="S51" s="78"/>
    </row>
    <row r="52" spans="1:19" ht="11.25" customHeight="1" x14ac:dyDescent="0.25">
      <c r="A52" s="78"/>
      <c r="B52" s="78"/>
      <c r="C52" s="78"/>
      <c r="D52" s="78"/>
      <c r="F52" s="78"/>
      <c r="G52" s="78"/>
      <c r="J52" s="451"/>
      <c r="K52" s="486" t="s">
        <v>541</v>
      </c>
      <c r="L52" s="484"/>
      <c r="M52" s="489">
        <v>3500</v>
      </c>
      <c r="N52" s="483"/>
      <c r="O52" s="486" t="s">
        <v>541</v>
      </c>
      <c r="P52" s="484"/>
      <c r="Q52" s="489">
        <v>3500</v>
      </c>
      <c r="R52" s="462"/>
      <c r="S52" s="78"/>
    </row>
    <row r="53" spans="1:19" s="78" customFormat="1" ht="12.75" customHeight="1" x14ac:dyDescent="0.25">
      <c r="J53" s="451"/>
      <c r="K53" s="486" t="s">
        <v>244</v>
      </c>
      <c r="L53" s="484"/>
      <c r="M53" s="489">
        <v>2500</v>
      </c>
      <c r="N53" s="483"/>
      <c r="O53" s="486" t="s">
        <v>244</v>
      </c>
      <c r="P53" s="484"/>
      <c r="Q53" s="489">
        <v>2500</v>
      </c>
      <c r="R53" s="462"/>
      <c r="S53" s="220"/>
    </row>
    <row r="54" spans="1:19" ht="15.75" x14ac:dyDescent="0.25">
      <c r="A54" s="150"/>
      <c r="B54" s="150"/>
      <c r="C54" s="150"/>
      <c r="D54" s="150"/>
      <c r="E54" s="150"/>
      <c r="F54" s="269"/>
      <c r="G54" s="150"/>
      <c r="H54" s="150"/>
      <c r="I54" s="150"/>
      <c r="J54" s="451"/>
      <c r="K54" s="490" t="s">
        <v>546</v>
      </c>
      <c r="L54" s="464"/>
      <c r="M54" s="491">
        <v>73650</v>
      </c>
      <c r="N54" s="464"/>
      <c r="O54" s="490" t="s">
        <v>546</v>
      </c>
      <c r="P54" s="464"/>
      <c r="Q54" s="491">
        <v>73650</v>
      </c>
      <c r="R54" s="462"/>
      <c r="S54" s="78"/>
    </row>
    <row r="55" spans="1:19" ht="15.7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451"/>
      <c r="K55" s="492" t="s">
        <v>193</v>
      </c>
      <c r="L55" s="493">
        <f>L43+L47+L48-M44-M46</f>
        <v>83150.3</v>
      </c>
      <c r="M55" s="494">
        <f>SUM(M51:M54)</f>
        <v>83150</v>
      </c>
      <c r="N55" s="494">
        <f>L55-M55</f>
        <v>0.30000000000291038</v>
      </c>
      <c r="O55" s="492" t="s">
        <v>193</v>
      </c>
      <c r="P55" s="493">
        <f>P43+P48-Q44-Q46</f>
        <v>76150.3</v>
      </c>
      <c r="Q55" s="494">
        <f>SUM(Q51:Q54)</f>
        <v>79650</v>
      </c>
      <c r="R55" s="494">
        <f>P55-Q55</f>
        <v>-3499.6999999999971</v>
      </c>
      <c r="S55" s="220">
        <f>P43+R40+1000</f>
        <v>89850</v>
      </c>
    </row>
    <row r="56" spans="1:19" ht="15.75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451"/>
      <c r="K56" s="451" t="s">
        <v>71</v>
      </c>
      <c r="L56" s="451"/>
      <c r="M56" s="451"/>
      <c r="N56" s="451" t="s">
        <v>72</v>
      </c>
      <c r="O56" s="451"/>
      <c r="P56" s="451"/>
      <c r="Q56" s="451" t="s">
        <v>73</v>
      </c>
      <c r="R56" s="480"/>
      <c r="S56" s="78"/>
    </row>
    <row r="57" spans="1:19" ht="15.75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451"/>
      <c r="K57" s="451" t="s">
        <v>471</v>
      </c>
      <c r="L57" s="451"/>
      <c r="M57" s="451"/>
      <c r="N57" s="451" t="s">
        <v>135</v>
      </c>
      <c r="O57" s="451"/>
      <c r="P57" s="451"/>
      <c r="Q57" s="451" t="s">
        <v>130</v>
      </c>
      <c r="R57" s="451"/>
      <c r="S57" s="78"/>
    </row>
    <row r="58" spans="1:19" ht="15.75" x14ac:dyDescent="0.25">
      <c r="J58" s="451"/>
      <c r="K58" s="451"/>
      <c r="L58" s="451"/>
      <c r="M58" s="451"/>
      <c r="N58" s="451"/>
      <c r="O58" s="451"/>
      <c r="P58" s="451"/>
      <c r="Q58" s="451"/>
      <c r="R58" s="451"/>
    </row>
    <row r="59" spans="1:19" ht="15.75" x14ac:dyDescent="0.25">
      <c r="D59" s="220">
        <f>E49+N55</f>
        <v>5000.6423052800383</v>
      </c>
      <c r="J59" s="451"/>
      <c r="K59" s="451"/>
      <c r="L59" s="451"/>
      <c r="M59" s="451"/>
      <c r="N59" s="451"/>
      <c r="O59" s="451"/>
      <c r="P59" s="451"/>
      <c r="Q59" s="451"/>
      <c r="R59" s="451"/>
    </row>
    <row r="65" spans="16:16" x14ac:dyDescent="0.25">
      <c r="P65" t="s">
        <v>545</v>
      </c>
    </row>
  </sheetData>
  <pageMargins left="0.7" right="0.7" top="0" bottom="0" header="0.3" footer="0.3"/>
  <pageSetup orientation="portrait" horizontalDpi="203" verticalDpi="203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8" workbookViewId="0">
      <selection activeCell="Q56" sqref="Q56"/>
    </sheetView>
  </sheetViews>
  <sheetFormatPr defaultRowHeight="15" x14ac:dyDescent="0.25"/>
  <cols>
    <col min="2" max="2" width="15.85546875" bestFit="1" customWidth="1"/>
    <col min="7" max="7" width="10" customWidth="1"/>
  </cols>
  <sheetData>
    <row r="1" spans="1:18" ht="15.75" x14ac:dyDescent="0.25">
      <c r="A1" s="78"/>
      <c r="B1" s="78"/>
      <c r="C1" s="150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</row>
    <row r="3" spans="1:18" ht="21" x14ac:dyDescent="0.25">
      <c r="A3" s="268"/>
      <c r="B3" s="150"/>
      <c r="C3" s="150"/>
      <c r="D3" s="5" t="s">
        <v>543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</row>
    <row r="4" spans="1:18" ht="21" x14ac:dyDescent="0.25">
      <c r="A4" s="268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542</v>
      </c>
      <c r="N4" s="250"/>
      <c r="O4" s="103"/>
      <c r="P4" s="103"/>
      <c r="Q4" s="78"/>
      <c r="R4" s="78"/>
    </row>
    <row r="5" spans="1:18" x14ac:dyDescent="0.25">
      <c r="A5" s="332" t="s">
        <v>3</v>
      </c>
      <c r="B5" s="332" t="s">
        <v>4</v>
      </c>
      <c r="C5" s="332" t="s">
        <v>5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</row>
    <row r="6" spans="1:18" x14ac:dyDescent="0.25">
      <c r="A6" s="279">
        <v>1</v>
      </c>
      <c r="B6" s="196" t="s">
        <v>352</v>
      </c>
      <c r="C6" s="274" t="s">
        <v>50</v>
      </c>
      <c r="D6" s="78">
        <f>'JANUARY 20'!I6:I18</f>
        <v>0</v>
      </c>
      <c r="E6" s="280">
        <v>3000</v>
      </c>
      <c r="F6" s="281">
        <v>100</v>
      </c>
      <c r="G6" s="276">
        <f t="shared" ref="G6:G15" si="0">D7+E6+F6</f>
        <v>3100</v>
      </c>
      <c r="H6" s="277">
        <v>3100</v>
      </c>
      <c r="I6" s="273">
        <f t="shared" ref="I6:I19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ht="33.75" x14ac:dyDescent="0.25">
      <c r="A7" s="279">
        <v>2</v>
      </c>
      <c r="B7" s="196" t="s">
        <v>433</v>
      </c>
      <c r="C7" s="274" t="s">
        <v>52</v>
      </c>
      <c r="D7" s="78">
        <f>'JANUARY 20'!I7:I19</f>
        <v>0</v>
      </c>
      <c r="E7" s="280">
        <v>3000</v>
      </c>
      <c r="F7" s="281">
        <v>100</v>
      </c>
      <c r="G7" s="276">
        <f t="shared" si="0"/>
        <v>3100</v>
      </c>
      <c r="H7" s="277">
        <v>3100</v>
      </c>
      <c r="I7" s="273">
        <f t="shared" si="1"/>
        <v>0</v>
      </c>
      <c r="J7" s="150"/>
      <c r="K7" s="83" t="s">
        <v>106</v>
      </c>
      <c r="L7" s="249" t="s">
        <v>491</v>
      </c>
      <c r="M7" s="85"/>
      <c r="N7" s="232">
        <v>0</v>
      </c>
      <c r="O7" s="320">
        <v>3000</v>
      </c>
      <c r="P7" s="232">
        <f>M7+N7+O7</f>
        <v>3000</v>
      </c>
      <c r="Q7" s="234">
        <f>2000+500</f>
        <v>2500</v>
      </c>
      <c r="R7" s="319">
        <f>P7-Q7</f>
        <v>500</v>
      </c>
    </row>
    <row r="8" spans="1:18" x14ac:dyDescent="0.25">
      <c r="A8" s="279">
        <v>3</v>
      </c>
      <c r="B8" s="282" t="s">
        <v>465</v>
      </c>
      <c r="C8" s="274" t="s">
        <v>54</v>
      </c>
      <c r="D8" s="78">
        <f>'JANUARY 20'!I8:I20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'JANUARY 20'!R8:R16</f>
        <v>0</v>
      </c>
      <c r="O8" s="320"/>
      <c r="P8" s="232">
        <f t="shared" ref="P8:P19" si="2">M8+N8+O8</f>
        <v>0</v>
      </c>
      <c r="Q8" s="232"/>
      <c r="R8" s="319">
        <f>P8-Q8</f>
        <v>0</v>
      </c>
    </row>
    <row r="9" spans="1:18" x14ac:dyDescent="0.25">
      <c r="A9" s="279">
        <v>4</v>
      </c>
      <c r="B9" s="196" t="s">
        <v>228</v>
      </c>
      <c r="C9" s="274" t="s">
        <v>56</v>
      </c>
      <c r="D9" s="78">
        <f>'JANUARY 20'!I9:I21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'JANUARY 20'!R9:R17</f>
        <v>0</v>
      </c>
      <c r="O9" s="110">
        <v>2500</v>
      </c>
      <c r="P9" s="232">
        <f t="shared" si="2"/>
        <v>2500</v>
      </c>
      <c r="Q9" s="110">
        <v>2500</v>
      </c>
      <c r="R9" s="319">
        <f t="shared" ref="R9:R16" si="3">P9-Q9</f>
        <v>0</v>
      </c>
    </row>
    <row r="10" spans="1:18" ht="22.5" x14ac:dyDescent="0.25">
      <c r="A10" s="279">
        <v>5</v>
      </c>
      <c r="B10" s="282" t="s">
        <v>291</v>
      </c>
      <c r="C10" s="274" t="s">
        <v>58</v>
      </c>
      <c r="D10" s="78">
        <f>'JANUARY 20'!I10:I22</f>
        <v>0</v>
      </c>
      <c r="E10" s="280">
        <v>3000</v>
      </c>
      <c r="F10" s="281">
        <v>100</v>
      </c>
      <c r="G10" s="276">
        <f t="shared" si="0"/>
        <v>3100</v>
      </c>
      <c r="H10" s="277">
        <v>3100</v>
      </c>
      <c r="I10" s="273">
        <f t="shared" si="1"/>
        <v>0</v>
      </c>
      <c r="J10" s="150"/>
      <c r="K10" s="87" t="s">
        <v>112</v>
      </c>
      <c r="L10" s="200" t="s">
        <v>443</v>
      </c>
      <c r="M10" s="110"/>
      <c r="N10" s="232"/>
      <c r="O10" s="321"/>
      <c r="P10" s="232">
        <f t="shared" si="2"/>
        <v>0</v>
      </c>
      <c r="Q10" s="319"/>
      <c r="R10" s="319">
        <f t="shared" si="3"/>
        <v>0</v>
      </c>
    </row>
    <row r="11" spans="1:18" ht="22.5" x14ac:dyDescent="0.25">
      <c r="A11" s="279">
        <v>6</v>
      </c>
      <c r="B11" s="282" t="s">
        <v>283</v>
      </c>
      <c r="C11" s="274" t="s">
        <v>60</v>
      </c>
      <c r="D11" s="78">
        <f>'JANUARY 20'!I11:I23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'JANUARY 20'!R11:R19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ht="22.5" x14ac:dyDescent="0.25">
      <c r="A12" s="279">
        <v>7</v>
      </c>
      <c r="B12" s="282" t="s">
        <v>310</v>
      </c>
      <c r="C12" s="274" t="s">
        <v>62</v>
      </c>
      <c r="D12" s="78">
        <f>'JANUARY 20'!I12:I24</f>
        <v>0</v>
      </c>
      <c r="E12" s="280">
        <v>3000</v>
      </c>
      <c r="F12" s="281">
        <v>100</v>
      </c>
      <c r="G12" s="276">
        <f t="shared" si="0"/>
        <v>3100</v>
      </c>
      <c r="H12" s="277">
        <v>3100</v>
      </c>
      <c r="I12" s="273">
        <f t="shared" si="1"/>
        <v>0</v>
      </c>
      <c r="J12" s="150"/>
      <c r="K12" s="93" t="s">
        <v>116</v>
      </c>
      <c r="L12" s="249" t="s">
        <v>437</v>
      </c>
      <c r="M12" s="110">
        <f>'OCTOBER 19'!R12</f>
        <v>1000</v>
      </c>
      <c r="N12" s="232">
        <v>0</v>
      </c>
      <c r="O12" s="325">
        <v>2500</v>
      </c>
      <c r="P12" s="232">
        <f t="shared" si="2"/>
        <v>3500</v>
      </c>
      <c r="Q12" s="326">
        <v>2500</v>
      </c>
      <c r="R12" s="319">
        <f>P12-Q12</f>
        <v>1000</v>
      </c>
    </row>
    <row r="13" spans="1:18" ht="22.5" x14ac:dyDescent="0.25">
      <c r="A13" s="283">
        <v>8</v>
      </c>
      <c r="B13" s="196" t="s">
        <v>519</v>
      </c>
      <c r="C13" s="284" t="s">
        <v>64</v>
      </c>
      <c r="D13" s="78">
        <f>'JANUARY 20'!I13:I25</f>
        <v>0</v>
      </c>
      <c r="E13" s="285">
        <v>3000</v>
      </c>
      <c r="F13" s="286">
        <v>100</v>
      </c>
      <c r="G13" s="276">
        <f>E13+F13</f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'JANUARY 20'!R13:R21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ht="22.5" x14ac:dyDescent="0.25">
      <c r="A14" s="283">
        <v>9</v>
      </c>
      <c r="B14" s="196" t="s">
        <v>494</v>
      </c>
      <c r="C14" s="284" t="s">
        <v>18</v>
      </c>
      <c r="D14" s="78">
        <f>'JANUARY 20'!I14:I26</f>
        <v>0</v>
      </c>
      <c r="E14" s="285">
        <v>3000</v>
      </c>
      <c r="F14" s="286">
        <v>100</v>
      </c>
      <c r="G14" s="276">
        <f>E14+F14</f>
        <v>3100</v>
      </c>
      <c r="H14" s="277">
        <v>3100</v>
      </c>
      <c r="I14" s="273">
        <f t="shared" si="1"/>
        <v>0</v>
      </c>
      <c r="J14" s="445">
        <v>400</v>
      </c>
      <c r="K14" s="83" t="s">
        <v>121</v>
      </c>
      <c r="L14" s="249" t="s">
        <v>420</v>
      </c>
      <c r="M14" s="85"/>
      <c r="N14" s="232">
        <f>'JANUARY 20'!R14:R22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</row>
    <row r="15" spans="1:18" ht="22.5" x14ac:dyDescent="0.25">
      <c r="A15" s="283">
        <v>10</v>
      </c>
      <c r="B15" s="196" t="s">
        <v>460</v>
      </c>
      <c r="C15" s="284" t="s">
        <v>20</v>
      </c>
      <c r="D15" s="78">
        <f>'JANUARY 20'!I15:I27</f>
        <v>20</v>
      </c>
      <c r="E15" s="285">
        <v>3000</v>
      </c>
      <c r="F15" s="286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>
        <v>2500</v>
      </c>
      <c r="R15" s="319">
        <f t="shared" si="3"/>
        <v>500</v>
      </c>
    </row>
    <row r="16" spans="1:18" x14ac:dyDescent="0.25">
      <c r="A16" s="283">
        <v>11</v>
      </c>
      <c r="B16" s="196" t="s">
        <v>531</v>
      </c>
      <c r="C16" s="284" t="s">
        <v>22</v>
      </c>
      <c r="D16" s="78">
        <f>'JANUARY 20'!I16:I28</f>
        <v>0</v>
      </c>
      <c r="E16" s="285">
        <v>3000</v>
      </c>
      <c r="F16" s="286">
        <v>100</v>
      </c>
      <c r="G16" s="276">
        <f>D16+E16+F16</f>
        <v>3100</v>
      </c>
      <c r="H16" s="277">
        <v>3100</v>
      </c>
      <c r="I16" s="273">
        <f t="shared" si="1"/>
        <v>0</v>
      </c>
      <c r="J16" s="150"/>
      <c r="K16" s="83" t="s">
        <v>125</v>
      </c>
      <c r="L16" s="200" t="s">
        <v>281</v>
      </c>
      <c r="M16" s="85"/>
      <c r="N16" s="232">
        <f>'JANUARY 20'!R16:R24</f>
        <v>0</v>
      </c>
      <c r="O16" s="231"/>
      <c r="P16" s="232">
        <f>M16+N16+O16</f>
        <v>0</v>
      </c>
      <c r="Q16" s="234"/>
      <c r="R16" s="319">
        <f t="shared" si="3"/>
        <v>0</v>
      </c>
    </row>
    <row r="17" spans="1:19" s="78" customFormat="1" x14ac:dyDescent="0.25">
      <c r="A17" s="283"/>
      <c r="B17" s="524" t="s">
        <v>520</v>
      </c>
      <c r="C17" s="284" t="s">
        <v>24</v>
      </c>
      <c r="D17" s="78">
        <f>'JANUARY 20'!I16:I28</f>
        <v>3300</v>
      </c>
      <c r="E17" s="285">
        <v>3000</v>
      </c>
      <c r="F17" s="286"/>
      <c r="G17" s="276">
        <f>D17+E17+F17</f>
        <v>6300</v>
      </c>
      <c r="H17" s="277">
        <v>6300</v>
      </c>
      <c r="I17" s="273">
        <f>G17-H17</f>
        <v>0</v>
      </c>
      <c r="J17" s="150" t="s">
        <v>551</v>
      </c>
      <c r="K17" s="83"/>
      <c r="L17" s="200"/>
      <c r="M17" s="85"/>
      <c r="N17" s="232"/>
      <c r="O17" s="231"/>
      <c r="P17" s="232"/>
      <c r="Q17" s="234"/>
      <c r="R17" s="450"/>
    </row>
    <row r="18" spans="1:19" x14ac:dyDescent="0.25">
      <c r="A18" s="283"/>
      <c r="B18" s="524" t="s">
        <v>549</v>
      </c>
      <c r="C18" s="284" t="s">
        <v>24</v>
      </c>
      <c r="D18" s="78"/>
      <c r="E18" s="285">
        <v>1000</v>
      </c>
      <c r="F18" s="286"/>
      <c r="G18" s="276">
        <f>D18+E18+F18</f>
        <v>1000</v>
      </c>
      <c r="H18" s="277">
        <v>1000</v>
      </c>
      <c r="I18" s="273">
        <f t="shared" si="1"/>
        <v>0</v>
      </c>
      <c r="J18" s="150"/>
      <c r="K18" s="83"/>
      <c r="L18" s="200"/>
      <c r="M18" s="85"/>
      <c r="N18" s="232"/>
      <c r="O18" s="231"/>
      <c r="P18" s="232"/>
      <c r="Q18" s="234"/>
      <c r="R18" s="450"/>
    </row>
    <row r="19" spans="1:19" x14ac:dyDescent="0.25">
      <c r="A19" s="283">
        <v>12</v>
      </c>
      <c r="B19" s="523" t="s">
        <v>327</v>
      </c>
      <c r="C19" s="284" t="s">
        <v>26</v>
      </c>
      <c r="D19" s="78"/>
      <c r="E19" s="285">
        <v>3000</v>
      </c>
      <c r="F19" s="286">
        <v>100</v>
      </c>
      <c r="G19" s="276">
        <f>D19+E19+F19</f>
        <v>3100</v>
      </c>
      <c r="H19" s="277">
        <v>3100</v>
      </c>
      <c r="I19" s="273">
        <f t="shared" si="1"/>
        <v>0</v>
      </c>
      <c r="J19" s="150"/>
      <c r="K19" s="83"/>
      <c r="L19" s="204" t="s">
        <v>193</v>
      </c>
      <c r="M19" s="205">
        <f>SUM(M7:M16)</f>
        <v>1500</v>
      </c>
      <c r="N19" s="232">
        <f>SUM(N7:N16)</f>
        <v>0</v>
      </c>
      <c r="O19" s="239">
        <f>SUM(O7:O16)</f>
        <v>18000</v>
      </c>
      <c r="P19" s="232">
        <f t="shared" si="2"/>
        <v>19500</v>
      </c>
      <c r="Q19" s="240">
        <f>SUM(Q7:Q16)</f>
        <v>17500</v>
      </c>
      <c r="R19" s="323">
        <f>SUM(R7:R16)</f>
        <v>2000</v>
      </c>
    </row>
    <row r="20" spans="1:19" x14ac:dyDescent="0.25">
      <c r="A20" s="293"/>
      <c r="B20" s="294" t="s">
        <v>193</v>
      </c>
      <c r="C20" s="293"/>
      <c r="D20" s="275">
        <f>SUM(D6:D19)</f>
        <v>3320</v>
      </c>
      <c r="E20" s="240">
        <f>SUM(E6:E19)</f>
        <v>40000</v>
      </c>
      <c r="F20" s="240">
        <f>SUM(F6:F19)</f>
        <v>1200</v>
      </c>
      <c r="G20" s="276">
        <f>D20+E20+F20</f>
        <v>44520</v>
      </c>
      <c r="H20" s="361">
        <f>SUM(H6:H19)</f>
        <v>44500</v>
      </c>
      <c r="I20" s="273">
        <f>SUM(I6:I19)</f>
        <v>0</v>
      </c>
      <c r="J20" s="150"/>
      <c r="K20" s="78"/>
      <c r="L20" s="78"/>
      <c r="M20" s="384"/>
      <c r="N20" s="384" t="s">
        <v>481</v>
      </c>
      <c r="O20" s="384"/>
      <c r="P20" s="78"/>
      <c r="Q20" s="78"/>
      <c r="R20" s="78"/>
    </row>
    <row r="21" spans="1:19" ht="18.75" x14ac:dyDescent="0.25">
      <c r="A21" s="525"/>
      <c r="B21" s="526"/>
      <c r="C21" s="526"/>
      <c r="D21" s="275">
        <f>'DECEMBER 19'!I18:I29</f>
        <v>0</v>
      </c>
      <c r="E21" s="345" t="s">
        <v>247</v>
      </c>
      <c r="F21" s="526"/>
      <c r="G21" s="526"/>
      <c r="H21" s="344"/>
      <c r="I21" s="273">
        <f>G21-H21</f>
        <v>0</v>
      </c>
      <c r="J21" s="78"/>
      <c r="K21" s="83">
        <v>1</v>
      </c>
      <c r="L21" s="200" t="s">
        <v>281</v>
      </c>
      <c r="M21" s="85"/>
      <c r="N21" s="232">
        <f>'JANUARY 20'!R20:R39</f>
        <v>0</v>
      </c>
      <c r="O21" s="320"/>
      <c r="P21" s="232">
        <f t="shared" ref="P21:P38" si="4">M21+N21+O21</f>
        <v>0</v>
      </c>
      <c r="Q21" s="232"/>
      <c r="R21" s="319">
        <f t="shared" ref="R21:R37" si="5">P21-Q21</f>
        <v>0</v>
      </c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>
        <v>3500</v>
      </c>
      <c r="N22" s="232">
        <f>'JANUARY 20'!R21:R40</f>
        <v>0</v>
      </c>
      <c r="O22" s="320">
        <v>3500</v>
      </c>
      <c r="P22" s="232">
        <f t="shared" si="4"/>
        <v>7000</v>
      </c>
      <c r="Q22" s="232">
        <v>7000</v>
      </c>
      <c r="R22" s="319">
        <f t="shared" si="5"/>
        <v>0</v>
      </c>
    </row>
    <row r="23" spans="1:19" x14ac:dyDescent="0.25">
      <c r="A23" s="83">
        <v>1</v>
      </c>
      <c r="B23" s="191" t="s">
        <v>313</v>
      </c>
      <c r="C23" s="85"/>
      <c r="D23" s="86">
        <f>'JANUARY 20'!H22:H30</f>
        <v>0</v>
      </c>
      <c r="E23" s="232">
        <v>3500</v>
      </c>
      <c r="F23" s="232">
        <f>C23+E23</f>
        <v>3500</v>
      </c>
      <c r="G23" s="232">
        <v>3500</v>
      </c>
      <c r="H23" s="273">
        <f>F23-G23</f>
        <v>0</v>
      </c>
      <c r="I23" s="273"/>
      <c r="J23" s="78"/>
      <c r="K23" s="83">
        <v>3</v>
      </c>
      <c r="L23" s="110" t="s">
        <v>498</v>
      </c>
      <c r="M23" s="110"/>
      <c r="N23" s="232">
        <f>'JANUARY 20'!R22:R41</f>
        <v>0</v>
      </c>
      <c r="O23" s="110">
        <v>3500</v>
      </c>
      <c r="P23" s="232">
        <f t="shared" si="4"/>
        <v>3500</v>
      </c>
      <c r="Q23" s="110">
        <v>3500</v>
      </c>
      <c r="R23" s="319">
        <f t="shared" si="5"/>
        <v>0</v>
      </c>
    </row>
    <row r="24" spans="1:19" ht="22.5" x14ac:dyDescent="0.25">
      <c r="A24" s="83">
        <v>2</v>
      </c>
      <c r="B24" s="110" t="s">
        <v>451</v>
      </c>
      <c r="C24" s="113"/>
      <c r="D24" s="86">
        <f>'JANUARY 20'!H23:H31</f>
        <v>0</v>
      </c>
      <c r="E24" s="110">
        <v>4000</v>
      </c>
      <c r="F24" s="232">
        <f t="shared" ref="F24:F30" si="6">C24+E24</f>
        <v>4000</v>
      </c>
      <c r="G24" s="110">
        <v>4000</v>
      </c>
      <c r="H24" s="273">
        <f t="shared" ref="H24:H30" si="7">F24-G24</f>
        <v>0</v>
      </c>
      <c r="I24" s="273"/>
      <c r="J24" s="78"/>
      <c r="K24" s="83">
        <v>4</v>
      </c>
      <c r="L24" s="200" t="s">
        <v>499</v>
      </c>
      <c r="M24" s="110"/>
      <c r="N24" s="232"/>
      <c r="O24" s="321">
        <v>3500</v>
      </c>
      <c r="P24" s="232">
        <f t="shared" si="4"/>
        <v>3500</v>
      </c>
      <c r="Q24" s="319">
        <v>3500</v>
      </c>
      <c r="R24" s="319">
        <f t="shared" si="5"/>
        <v>0</v>
      </c>
    </row>
    <row r="25" spans="1:19" ht="22.5" x14ac:dyDescent="0.25">
      <c r="A25" s="83">
        <v>3</v>
      </c>
      <c r="B25" s="191" t="s">
        <v>411</v>
      </c>
      <c r="C25" s="85"/>
      <c r="D25" s="86">
        <f>'JANUARY 20'!H24:H32</f>
        <v>0</v>
      </c>
      <c r="E25" s="231">
        <v>4000</v>
      </c>
      <c r="F25" s="232">
        <f t="shared" si="6"/>
        <v>4000</v>
      </c>
      <c r="G25" s="78">
        <v>4000</v>
      </c>
      <c r="H25" s="273">
        <f>F25-G25</f>
        <v>0</v>
      </c>
      <c r="I25" s="273"/>
      <c r="J25" s="78"/>
      <c r="K25" s="83">
        <v>5</v>
      </c>
      <c r="L25" s="200" t="s">
        <v>505</v>
      </c>
      <c r="M25" s="85"/>
      <c r="N25" s="232">
        <f>'JANUARY 20'!R24</f>
        <v>3500</v>
      </c>
      <c r="O25" s="320">
        <v>3500</v>
      </c>
      <c r="P25" s="232">
        <f t="shared" si="4"/>
        <v>7000</v>
      </c>
      <c r="Q25" s="234">
        <v>7000</v>
      </c>
      <c r="R25" s="319">
        <f t="shared" si="5"/>
        <v>0</v>
      </c>
    </row>
    <row r="26" spans="1:19" ht="22.5" x14ac:dyDescent="0.25">
      <c r="A26" s="83"/>
      <c r="B26" s="191"/>
      <c r="C26" s="85"/>
      <c r="D26" s="86">
        <f>'JANUARY 20'!H25:H33</f>
        <v>0</v>
      </c>
      <c r="E26" s="231"/>
      <c r="F26" s="232"/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'JANUARY 20'!R25:R44</f>
        <v>0</v>
      </c>
      <c r="O26" s="325">
        <v>3500</v>
      </c>
      <c r="P26" s="232">
        <f t="shared" si="4"/>
        <v>3500</v>
      </c>
      <c r="Q26" s="326">
        <v>3500</v>
      </c>
      <c r="R26" s="319">
        <f t="shared" si="5"/>
        <v>0</v>
      </c>
    </row>
    <row r="27" spans="1:19" ht="22.5" x14ac:dyDescent="0.25">
      <c r="A27" s="83">
        <v>4</v>
      </c>
      <c r="B27" s="191" t="s">
        <v>350</v>
      </c>
      <c r="C27" s="86"/>
      <c r="D27" s="86">
        <f>'JANUARY 20'!H26:H34</f>
        <v>0</v>
      </c>
      <c r="E27" s="231">
        <v>4000</v>
      </c>
      <c r="F27" s="232">
        <f t="shared" si="6"/>
        <v>4000</v>
      </c>
      <c r="G27" s="110">
        <v>4000</v>
      </c>
      <c r="H27" s="273">
        <f t="shared" si="7"/>
        <v>0</v>
      </c>
      <c r="I27" s="273"/>
      <c r="J27" s="78"/>
      <c r="K27" s="83">
        <v>7</v>
      </c>
      <c r="L27" s="249" t="s">
        <v>517</v>
      </c>
      <c r="M27" s="85"/>
      <c r="N27" s="232">
        <f>'JANUARY 20'!R26:R45</f>
        <v>0</v>
      </c>
      <c r="O27" s="320">
        <v>3500</v>
      </c>
      <c r="P27" s="232">
        <f t="shared" si="4"/>
        <v>3500</v>
      </c>
      <c r="Q27" s="234">
        <v>3500</v>
      </c>
      <c r="R27" s="319">
        <f t="shared" si="5"/>
        <v>0</v>
      </c>
      <c r="S27" s="220">
        <f>Q19+Q41</f>
        <v>91000</v>
      </c>
    </row>
    <row r="28" spans="1:19" ht="22.5" x14ac:dyDescent="0.25">
      <c r="A28" s="99">
        <v>5</v>
      </c>
      <c r="B28" s="191" t="s">
        <v>392</v>
      </c>
      <c r="C28" s="85"/>
      <c r="D28" s="86">
        <f>'JANUARY 20'!H27:H35</f>
        <v>0</v>
      </c>
      <c r="E28" s="231">
        <v>4000</v>
      </c>
      <c r="F28" s="232">
        <f t="shared" si="6"/>
        <v>4000</v>
      </c>
      <c r="G28" s="110">
        <v>4000</v>
      </c>
      <c r="H28" s="273">
        <f t="shared" si="7"/>
        <v>0</v>
      </c>
      <c r="I28" s="273"/>
      <c r="J28" s="78"/>
      <c r="K28" s="83">
        <v>8</v>
      </c>
      <c r="L28" s="249" t="s">
        <v>477</v>
      </c>
      <c r="M28" s="85"/>
      <c r="N28" s="232">
        <f>'JANUARY 20'!R27:R46</f>
        <v>0</v>
      </c>
      <c r="O28" s="320">
        <v>3500</v>
      </c>
      <c r="P28" s="232">
        <f t="shared" si="4"/>
        <v>3500</v>
      </c>
      <c r="Q28" s="234">
        <v>3500</v>
      </c>
      <c r="R28" s="319">
        <f t="shared" si="5"/>
        <v>0</v>
      </c>
    </row>
    <row r="29" spans="1:19" ht="22.5" x14ac:dyDescent="0.25">
      <c r="A29" s="93">
        <v>6</v>
      </c>
      <c r="B29" s="218" t="s">
        <v>539</v>
      </c>
      <c r="C29" s="85"/>
      <c r="D29" s="86">
        <f>'JANUARY 20'!H28:H36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'JANUARY 20'!R28:R47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5"/>
        <v>0</v>
      </c>
    </row>
    <row r="30" spans="1:19" ht="22.5" x14ac:dyDescent="0.25">
      <c r="A30" s="83">
        <v>7</v>
      </c>
      <c r="B30" s="210" t="s">
        <v>456</v>
      </c>
      <c r="C30" s="85">
        <v>0</v>
      </c>
      <c r="D30" s="86">
        <f>'JANUARY 20'!H29:H37</f>
        <v>0</v>
      </c>
      <c r="E30" s="231">
        <v>4000</v>
      </c>
      <c r="F30" s="232">
        <f t="shared" si="6"/>
        <v>4000</v>
      </c>
      <c r="G30" s="110">
        <v>4000</v>
      </c>
      <c r="H30" s="273">
        <f t="shared" si="7"/>
        <v>0</v>
      </c>
      <c r="I30" s="273"/>
      <c r="J30" s="78"/>
      <c r="K30" s="83">
        <v>10</v>
      </c>
      <c r="L30" s="200" t="s">
        <v>490</v>
      </c>
      <c r="M30" s="85"/>
      <c r="N30" s="232">
        <f>'JANUARY 20'!R29:R48</f>
        <v>0</v>
      </c>
      <c r="O30" s="320">
        <v>3500</v>
      </c>
      <c r="P30" s="232">
        <f t="shared" si="4"/>
        <v>3500</v>
      </c>
      <c r="Q30" s="234">
        <v>3500</v>
      </c>
      <c r="R30" s="319">
        <f t="shared" si="5"/>
        <v>0</v>
      </c>
    </row>
    <row r="31" spans="1:19" ht="22.5" x14ac:dyDescent="0.25">
      <c r="A31" s="164"/>
      <c r="B31" s="339" t="s">
        <v>193</v>
      </c>
      <c r="C31" s="42"/>
      <c r="D31" s="86">
        <f>SUM(D23:D30)</f>
        <v>0</v>
      </c>
      <c r="E31" s="240">
        <f>SUM(E23:E30)</f>
        <v>27500</v>
      </c>
      <c r="F31" s="322">
        <f>SUM(F23:F30)</f>
        <v>27500</v>
      </c>
      <c r="G31" s="240">
        <f>SUM(G23:G30)</f>
        <v>27500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'JANUARY 20'!R30:R49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9" ht="22.5" x14ac:dyDescent="0.25">
      <c r="A32" s="79"/>
      <c r="B32" s="79"/>
      <c r="C32" s="106"/>
      <c r="D32" s="107"/>
      <c r="E32" s="106"/>
      <c r="F32" s="108"/>
      <c r="G32" s="106"/>
      <c r="H32" s="150"/>
      <c r="I32" s="269"/>
      <c r="J32" s="78"/>
      <c r="K32" s="83">
        <v>12</v>
      </c>
      <c r="L32" s="200" t="s">
        <v>530</v>
      </c>
      <c r="M32" s="85"/>
      <c r="N32" s="232">
        <f>'JANUARY 20'!R31:R50</f>
        <v>0</v>
      </c>
      <c r="O32" s="320">
        <v>3500</v>
      </c>
      <c r="P32" s="232">
        <f t="shared" si="4"/>
        <v>3500</v>
      </c>
      <c r="Q32" s="234">
        <v>3500</v>
      </c>
      <c r="R32" s="319">
        <f t="shared" si="5"/>
        <v>0</v>
      </c>
    </row>
    <row r="33" spans="1:18" ht="22.5" x14ac:dyDescent="0.25">
      <c r="A33" s="303"/>
      <c r="B33" s="359" t="s">
        <v>204</v>
      </c>
      <c r="C33" s="359" t="s">
        <v>205</v>
      </c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479</v>
      </c>
      <c r="M33" s="85"/>
      <c r="N33" s="232">
        <f>'JANUARY 20'!R32:R51</f>
        <v>0</v>
      </c>
      <c r="O33" s="320">
        <v>3500</v>
      </c>
      <c r="P33" s="232">
        <f t="shared" si="4"/>
        <v>3500</v>
      </c>
      <c r="Q33" s="234">
        <v>3500</v>
      </c>
      <c r="R33" s="319">
        <f>P33-Q33</f>
        <v>0</v>
      </c>
    </row>
    <row r="34" spans="1:18" ht="22.5" x14ac:dyDescent="0.25">
      <c r="A34" s="304"/>
      <c r="B34" s="211" t="s">
        <v>544</v>
      </c>
      <c r="C34" s="273">
        <f>E31+E20</f>
        <v>67500</v>
      </c>
      <c r="D34" s="164"/>
      <c r="E34" s="164"/>
      <c r="F34" s="211" t="s">
        <v>544</v>
      </c>
      <c r="G34" s="273">
        <f>G31+H20</f>
        <v>72000</v>
      </c>
      <c r="H34" s="164"/>
      <c r="I34" s="273"/>
      <c r="J34" s="78"/>
      <c r="K34" s="83">
        <v>14</v>
      </c>
      <c r="L34" s="200" t="s">
        <v>480</v>
      </c>
      <c r="M34" s="85"/>
      <c r="N34" s="232">
        <f>'JANUARY 20'!R33:R52</f>
        <v>0</v>
      </c>
      <c r="O34" s="320">
        <v>3500</v>
      </c>
      <c r="P34" s="232">
        <f t="shared" si="4"/>
        <v>3500</v>
      </c>
      <c r="Q34" s="234">
        <v>3500</v>
      </c>
      <c r="R34" s="319">
        <f t="shared" si="5"/>
        <v>0</v>
      </c>
    </row>
    <row r="35" spans="1:18" ht="22.5" x14ac:dyDescent="0.25">
      <c r="A35" s="304"/>
      <c r="B35" s="211" t="s">
        <v>209</v>
      </c>
      <c r="C35" s="307">
        <v>0.1</v>
      </c>
      <c r="D35" s="308">
        <f>C34*C35</f>
        <v>6750</v>
      </c>
      <c r="E35" s="211"/>
      <c r="F35" s="211" t="s">
        <v>209</v>
      </c>
      <c r="G35" s="307">
        <v>0.1</v>
      </c>
      <c r="H35" s="308">
        <f>D35</f>
        <v>6750</v>
      </c>
      <c r="I35" s="273"/>
      <c r="J35" s="78"/>
      <c r="K35" s="83">
        <v>15</v>
      </c>
      <c r="L35" s="200" t="s">
        <v>512</v>
      </c>
      <c r="M35" s="85"/>
      <c r="N35" s="232">
        <f>'JANUARY 20'!R34:R54</f>
        <v>0</v>
      </c>
      <c r="O35" s="320">
        <v>3500</v>
      </c>
      <c r="P35" s="232">
        <f>M35+N35+O35</f>
        <v>3500</v>
      </c>
      <c r="Q35" s="234">
        <v>3500</v>
      </c>
      <c r="R35" s="319">
        <f>P35-Q35</f>
        <v>0</v>
      </c>
    </row>
    <row r="36" spans="1:18" ht="22.5" x14ac:dyDescent="0.25">
      <c r="A36" s="304"/>
      <c r="B36" s="309" t="s">
        <v>232</v>
      </c>
      <c r="C36" s="308">
        <f>F20</f>
        <v>1200</v>
      </c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'JANUARY 20'!R35:R55</f>
        <v>0</v>
      </c>
      <c r="O36" s="320">
        <v>3500</v>
      </c>
      <c r="P36" s="232">
        <f>M36+N36+O36</f>
        <v>3500</v>
      </c>
      <c r="Q36" s="234">
        <v>3500</v>
      </c>
      <c r="R36" s="319">
        <f t="shared" si="5"/>
        <v>0</v>
      </c>
    </row>
    <row r="37" spans="1:18" ht="22.5" x14ac:dyDescent="0.25">
      <c r="A37" s="304"/>
      <c r="B37" s="309" t="s">
        <v>468</v>
      </c>
      <c r="C37" s="308">
        <v>3000</v>
      </c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495</v>
      </c>
      <c r="M37" s="85"/>
      <c r="N37" s="232">
        <f>'JANUARY 20'!R36:R56</f>
        <v>0</v>
      </c>
      <c r="O37" s="320">
        <v>3500</v>
      </c>
      <c r="P37" s="232">
        <f t="shared" si="4"/>
        <v>3500</v>
      </c>
      <c r="Q37" s="234">
        <v>3500</v>
      </c>
      <c r="R37" s="319">
        <f t="shared" si="5"/>
        <v>0</v>
      </c>
    </row>
    <row r="38" spans="1:18" ht="22.5" x14ac:dyDescent="0.25">
      <c r="A38" s="304"/>
      <c r="B38" s="309" t="s">
        <v>470</v>
      </c>
      <c r="C38" s="308">
        <v>3000</v>
      </c>
      <c r="D38" s="211"/>
      <c r="E38" s="211"/>
      <c r="F38" s="309" t="s">
        <v>323</v>
      </c>
      <c r="G38" s="308">
        <v>3000</v>
      </c>
      <c r="H38" s="211"/>
      <c r="I38" s="273"/>
      <c r="J38" s="78"/>
      <c r="K38" s="83">
        <v>18</v>
      </c>
      <c r="L38" s="200" t="s">
        <v>526</v>
      </c>
      <c r="M38" s="85"/>
      <c r="N38" s="232">
        <f>'JANUARY 20'!R37:R57</f>
        <v>0</v>
      </c>
      <c r="O38" s="320">
        <v>3500</v>
      </c>
      <c r="P38" s="232">
        <f t="shared" si="4"/>
        <v>3500</v>
      </c>
      <c r="Q38" s="234">
        <v>3500</v>
      </c>
      <c r="R38" s="319">
        <f>P38-Q38</f>
        <v>0</v>
      </c>
    </row>
    <row r="39" spans="1:18" ht="22.5" x14ac:dyDescent="0.25">
      <c r="A39" s="304"/>
      <c r="B39" s="309" t="s">
        <v>239</v>
      </c>
      <c r="C39" s="308">
        <f>'JANUARY 20'!E49</f>
        <v>5000.3423052800354</v>
      </c>
      <c r="D39" s="211"/>
      <c r="E39" s="211"/>
      <c r="F39" s="309" t="s">
        <v>239</v>
      </c>
      <c r="G39" s="308">
        <f>'JANUARY 20'!I49</f>
        <v>-563.72479999996722</v>
      </c>
      <c r="H39" s="211"/>
      <c r="I39" s="273"/>
      <c r="J39" s="78"/>
      <c r="K39" s="83">
        <v>19</v>
      </c>
      <c r="L39" s="200" t="s">
        <v>516</v>
      </c>
      <c r="M39" s="85"/>
      <c r="N39" s="232"/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8" ht="22.5" x14ac:dyDescent="0.25">
      <c r="A40" s="304"/>
      <c r="B40" s="309" t="s">
        <v>193</v>
      </c>
      <c r="C40" s="308">
        <f>C34+C36+C39+C37+C38</f>
        <v>79700.342305280035</v>
      </c>
      <c r="D40" s="211"/>
      <c r="E40" s="211"/>
      <c r="F40" s="309" t="s">
        <v>193</v>
      </c>
      <c r="G40" s="308">
        <f>G34+G36+G39+G37+G38</f>
        <v>77436.275200000033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'JANUARY 20'!R39</f>
        <v>3500</v>
      </c>
      <c r="O40" s="320">
        <v>3500</v>
      </c>
      <c r="P40" s="232">
        <f>M40+N40+O40</f>
        <v>7000</v>
      </c>
      <c r="Q40" s="234">
        <f>2000+1500</f>
        <v>3500</v>
      </c>
      <c r="R40" s="319">
        <f>P40-Q40</f>
        <v>3500</v>
      </c>
    </row>
    <row r="41" spans="1:18" x14ac:dyDescent="0.25">
      <c r="A41" s="304"/>
      <c r="B41" s="365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3500</v>
      </c>
      <c r="N41" s="232">
        <f>SUM(N21:N40)</f>
        <v>7000</v>
      </c>
      <c r="O41" s="239">
        <f>SUM(O21:O40)</f>
        <v>66500</v>
      </c>
      <c r="P41" s="232">
        <f>M41+N41+O41</f>
        <v>77000</v>
      </c>
      <c r="Q41" s="240">
        <f>SUM(Q21:Q40)</f>
        <v>73500</v>
      </c>
      <c r="R41" s="319">
        <f>P41-Q41</f>
        <v>3500</v>
      </c>
    </row>
    <row r="42" spans="1:18" x14ac:dyDescent="0.25">
      <c r="A42" s="304"/>
      <c r="B42" s="446" t="s">
        <v>194</v>
      </c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106"/>
      <c r="O42" s="108"/>
      <c r="P42" s="106"/>
      <c r="Q42" s="150"/>
      <c r="R42" s="269"/>
    </row>
    <row r="43" spans="1:18" x14ac:dyDescent="0.25">
      <c r="A43" s="150"/>
      <c r="B43" s="369" t="s">
        <v>468</v>
      </c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359" t="s">
        <v>208</v>
      </c>
      <c r="O43" s="359" t="s">
        <v>204</v>
      </c>
      <c r="P43" s="359" t="s">
        <v>205</v>
      </c>
      <c r="Q43" s="359" t="s">
        <v>207</v>
      </c>
      <c r="R43" s="360" t="s">
        <v>306</v>
      </c>
    </row>
    <row r="44" spans="1:18" x14ac:dyDescent="0.25">
      <c r="A44" s="150"/>
      <c r="B44" s="369"/>
      <c r="C44" s="370"/>
      <c r="D44" s="371"/>
      <c r="E44" s="370"/>
      <c r="F44" s="369"/>
      <c r="G44" s="370"/>
      <c r="H44" s="371"/>
      <c r="I44" s="368"/>
      <c r="J44" s="78"/>
      <c r="K44" s="211" t="s">
        <v>544</v>
      </c>
      <c r="L44" s="273">
        <f>O41+O19</f>
        <v>84500</v>
      </c>
      <c r="M44" s="164"/>
      <c r="N44" s="164"/>
      <c r="O44" s="211" t="s">
        <v>544</v>
      </c>
      <c r="P44" s="273">
        <f>Q41+Q19</f>
        <v>91000</v>
      </c>
      <c r="Q44" s="164"/>
      <c r="R44" s="273"/>
    </row>
    <row r="45" spans="1:18" x14ac:dyDescent="0.25">
      <c r="A45" s="150"/>
      <c r="B45" s="370" t="s">
        <v>408</v>
      </c>
      <c r="C45" s="449">
        <v>0.3</v>
      </c>
      <c r="D45" s="368">
        <f>C45*E19+(C45*3000)</f>
        <v>1800</v>
      </c>
      <c r="E45" s="370"/>
      <c r="F45" s="370" t="s">
        <v>408</v>
      </c>
      <c r="G45" s="449">
        <v>0.3</v>
      </c>
      <c r="H45" s="368">
        <f>D45</f>
        <v>1800</v>
      </c>
      <c r="I45" s="368"/>
      <c r="J45" s="78"/>
      <c r="K45" s="211" t="s">
        <v>209</v>
      </c>
      <c r="L45" s="307">
        <v>0.1</v>
      </c>
      <c r="M45" s="308">
        <f>L44*L45</f>
        <v>8450</v>
      </c>
      <c r="N45" s="211"/>
      <c r="O45" s="211" t="s">
        <v>209</v>
      </c>
      <c r="P45" s="307">
        <v>0.1</v>
      </c>
      <c r="Q45" s="308">
        <f>M45</f>
        <v>8450</v>
      </c>
      <c r="R45" s="273"/>
    </row>
    <row r="46" spans="1:18" x14ac:dyDescent="0.25">
      <c r="A46" s="150"/>
      <c r="B46" s="370" t="s">
        <v>520</v>
      </c>
      <c r="C46" s="370"/>
      <c r="D46" s="368">
        <f>G17</f>
        <v>6300</v>
      </c>
      <c r="E46" s="370"/>
      <c r="F46" s="370" t="s">
        <v>520</v>
      </c>
      <c r="G46" s="370"/>
      <c r="H46" s="368">
        <f>D46</f>
        <v>6300</v>
      </c>
      <c r="I46" s="367"/>
      <c r="J46" s="78"/>
      <c r="K46" s="309"/>
      <c r="L46" s="308"/>
      <c r="M46" s="211"/>
      <c r="N46" s="211"/>
      <c r="O46" s="309"/>
      <c r="P46" s="308"/>
      <c r="Q46" s="211"/>
      <c r="R46" s="273"/>
    </row>
    <row r="47" spans="1:18" x14ac:dyDescent="0.25">
      <c r="A47" s="150"/>
      <c r="B47" s="369" t="s">
        <v>548</v>
      </c>
      <c r="C47" s="370"/>
      <c r="D47" s="371">
        <v>4000</v>
      </c>
      <c r="E47" s="370"/>
      <c r="F47" s="369" t="s">
        <v>548</v>
      </c>
      <c r="G47" s="370"/>
      <c r="H47" s="371">
        <v>4000</v>
      </c>
      <c r="I47" s="368"/>
      <c r="J47" s="78"/>
      <c r="K47" s="211" t="s">
        <v>408</v>
      </c>
      <c r="L47" s="307">
        <v>0.3</v>
      </c>
      <c r="M47" s="308">
        <f>L47*M22</f>
        <v>1050</v>
      </c>
      <c r="N47" s="211"/>
      <c r="O47" s="211" t="s">
        <v>408</v>
      </c>
      <c r="P47" s="307">
        <v>0.3</v>
      </c>
      <c r="Q47" s="308">
        <f>P47*M22</f>
        <v>1050</v>
      </c>
      <c r="R47" s="273"/>
    </row>
    <row r="48" spans="1:18" x14ac:dyDescent="0.25">
      <c r="A48" s="150"/>
      <c r="B48" s="369" t="s">
        <v>552</v>
      </c>
      <c r="C48" s="370"/>
      <c r="D48" s="371">
        <v>57850</v>
      </c>
      <c r="E48" s="370"/>
      <c r="F48" s="369" t="s">
        <v>552</v>
      </c>
      <c r="G48" s="370"/>
      <c r="H48" s="371">
        <v>57850</v>
      </c>
      <c r="I48" s="368"/>
      <c r="J48" s="78"/>
      <c r="K48" s="309" t="s">
        <v>470</v>
      </c>
      <c r="L48" s="308">
        <f>M41</f>
        <v>3500</v>
      </c>
      <c r="M48" s="211"/>
      <c r="N48" s="211"/>
      <c r="O48" s="309"/>
      <c r="P48" s="308"/>
      <c r="Q48" s="211"/>
      <c r="R48" s="273"/>
    </row>
    <row r="49" spans="1:19" x14ac:dyDescent="0.25">
      <c r="A49" s="150"/>
      <c r="B49" s="369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'JANUARY 20'!N55</f>
        <v>0.30000000000291038</v>
      </c>
      <c r="M49" s="211"/>
      <c r="N49" s="211"/>
      <c r="O49" s="309" t="s">
        <v>239</v>
      </c>
      <c r="P49" s="308">
        <f>'JANUARY 20'!R55</f>
        <v>-3499.6999999999971</v>
      </c>
      <c r="Q49" s="211"/>
      <c r="R49" s="273"/>
      <c r="S49" s="220"/>
    </row>
    <row r="50" spans="1:19" x14ac:dyDescent="0.25">
      <c r="A50" s="150"/>
      <c r="B50" s="166" t="s">
        <v>193</v>
      </c>
      <c r="C50" s="317">
        <f>C34+C36+C37+C38+C39-D35</f>
        <v>72950.342305280035</v>
      </c>
      <c r="D50" s="318">
        <f>SUM(D41:D49)</f>
        <v>72950</v>
      </c>
      <c r="E50" s="318">
        <f>C50-D50</f>
        <v>0.34230528003536165</v>
      </c>
      <c r="F50" s="166" t="s">
        <v>193</v>
      </c>
      <c r="G50" s="317">
        <f>G34+G37+G38+G39-H35</f>
        <v>70686.275200000033</v>
      </c>
      <c r="H50" s="318">
        <f>SUM(H41:H49)</f>
        <v>72950</v>
      </c>
      <c r="I50" s="318">
        <f>G50-H50</f>
        <v>-2263.7247999999672</v>
      </c>
      <c r="J50" s="78"/>
      <c r="K50" s="309" t="s">
        <v>193</v>
      </c>
      <c r="L50" s="308">
        <f>L44+L46+L49+L48</f>
        <v>88000.3</v>
      </c>
      <c r="M50" s="211"/>
      <c r="N50" s="211"/>
      <c r="O50" s="309" t="s">
        <v>193</v>
      </c>
      <c r="P50" s="308">
        <f>P44+P46+P49+P47</f>
        <v>87500.6</v>
      </c>
      <c r="Q50" s="211"/>
      <c r="R50" s="273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214"/>
      <c r="N51" s="211"/>
      <c r="O51" s="212" t="s">
        <v>194</v>
      </c>
      <c r="P51" s="307"/>
      <c r="Q51" s="214"/>
      <c r="R51" s="273"/>
    </row>
    <row r="52" spans="1:19" x14ac:dyDescent="0.25">
      <c r="A52" s="150"/>
      <c r="B52" s="150" t="s">
        <v>71</v>
      </c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/>
      <c r="L52" s="380"/>
      <c r="M52" s="367"/>
      <c r="N52" s="366"/>
      <c r="O52" s="365"/>
      <c r="P52" s="380"/>
      <c r="Q52" s="367"/>
      <c r="R52" s="368"/>
    </row>
    <row r="53" spans="1:19" x14ac:dyDescent="0.25">
      <c r="A53" s="78"/>
      <c r="B53" s="78"/>
      <c r="C53" s="220"/>
      <c r="D53" s="78"/>
      <c r="E53" s="78"/>
      <c r="F53" s="78"/>
      <c r="G53" s="78"/>
      <c r="H53" s="78"/>
      <c r="I53" s="78"/>
      <c r="J53" s="78"/>
      <c r="K53" s="369"/>
      <c r="L53" s="370"/>
      <c r="M53" s="371"/>
      <c r="N53" s="366"/>
      <c r="O53" s="369"/>
      <c r="P53" s="370"/>
      <c r="Q53" s="371"/>
      <c r="R53" s="368"/>
    </row>
    <row r="54" spans="1:19" x14ac:dyDescent="0.25">
      <c r="A54" s="150"/>
      <c r="B54" s="150"/>
      <c r="C54" s="150"/>
      <c r="D54" s="150"/>
      <c r="E54" s="150"/>
      <c r="F54" s="269"/>
      <c r="G54" s="269"/>
      <c r="H54" s="150"/>
      <c r="I54" s="150"/>
      <c r="J54" s="78"/>
      <c r="K54" s="369" t="s">
        <v>552</v>
      </c>
      <c r="L54" s="370"/>
      <c r="M54" s="371">
        <v>73000</v>
      </c>
      <c r="N54" s="370"/>
      <c r="O54" s="369" t="s">
        <v>552</v>
      </c>
      <c r="P54" s="370"/>
      <c r="Q54" s="371">
        <v>73000</v>
      </c>
      <c r="R54" s="368"/>
    </row>
    <row r="55" spans="1:19" x14ac:dyDescent="0.25">
      <c r="A55" s="78"/>
      <c r="B55" s="78"/>
      <c r="C55" s="78"/>
      <c r="D55" s="78"/>
      <c r="E55" s="78"/>
      <c r="F55" s="78"/>
      <c r="G55" s="220">
        <f>G40-H35-H43-H45-H46-H47-H48</f>
        <v>-2263.7247999999672</v>
      </c>
      <c r="H55" s="78"/>
      <c r="I55" s="78"/>
      <c r="J55" s="78"/>
      <c r="K55" s="166" t="s">
        <v>193</v>
      </c>
      <c r="L55" s="317">
        <f>L44+L48+L49-M45-M47</f>
        <v>78500.3</v>
      </c>
      <c r="M55" s="318">
        <f>SUM(M52:M54)</f>
        <v>73000</v>
      </c>
      <c r="N55" s="318">
        <f>L55-M55</f>
        <v>5500.3000000000029</v>
      </c>
      <c r="O55" s="166" t="s">
        <v>193</v>
      </c>
      <c r="P55" s="317">
        <f>P44+P46+P47+P49-Q45</f>
        <v>79050.600000000006</v>
      </c>
      <c r="Q55" s="318">
        <f>SUM(Q47:Q54)</f>
        <v>74050</v>
      </c>
      <c r="R55" s="318">
        <f>P55-Q55</f>
        <v>5000.6000000000058</v>
      </c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</row>
    <row r="58" spans="1:19" x14ac:dyDescent="0.25">
      <c r="A58" s="78"/>
      <c r="B58" s="78"/>
      <c r="C58" s="78"/>
      <c r="D58" s="78"/>
      <c r="E58" s="78"/>
      <c r="F58" s="78"/>
      <c r="G58" s="220">
        <f>E50+N55</f>
        <v>5500.6423052800383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9" x14ac:dyDescent="0.25">
      <c r="I59" s="220">
        <f>E50+N55</f>
        <v>5500.6423052800383</v>
      </c>
      <c r="L59" s="220"/>
    </row>
    <row r="60" spans="1:19" x14ac:dyDescent="0.25">
      <c r="H60" s="220"/>
      <c r="N60" s="220"/>
    </row>
    <row r="61" spans="1:19" x14ac:dyDescent="0.25">
      <c r="G61" s="220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25" workbookViewId="0">
      <selection activeCell="R54" sqref="R54"/>
    </sheetView>
  </sheetViews>
  <sheetFormatPr defaultRowHeight="15" x14ac:dyDescent="0.25"/>
  <cols>
    <col min="1" max="1" width="14.5703125" customWidth="1"/>
    <col min="11" max="11" width="14.42578125" customWidth="1"/>
  </cols>
  <sheetData>
    <row r="1" spans="1:18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550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542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78">
        <f>'FEBRUARY 20'!I6:I19</f>
        <v>0</v>
      </c>
      <c r="D6" s="280">
        <v>3000</v>
      </c>
      <c r="E6" s="281">
        <v>100</v>
      </c>
      <c r="F6" s="276">
        <f t="shared" ref="F6:F15" si="0">C7+D6+E6</f>
        <v>3100</v>
      </c>
      <c r="G6" s="277">
        <v>3100</v>
      </c>
      <c r="H6" s="273">
        <f t="shared" ref="H6:H19" si="1">F6-G6</f>
        <v>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78">
        <f>'FEBRUARY 20'!I7:I20</f>
        <v>0</v>
      </c>
      <c r="D7" s="280">
        <v>3000</v>
      </c>
      <c r="E7" s="281">
        <v>100</v>
      </c>
      <c r="F7" s="276">
        <f t="shared" si="0"/>
        <v>3100</v>
      </c>
      <c r="G7" s="277">
        <v>3100</v>
      </c>
      <c r="H7" s="273">
        <f t="shared" si="1"/>
        <v>0</v>
      </c>
      <c r="I7" s="150"/>
      <c r="J7" s="83" t="s">
        <v>106</v>
      </c>
      <c r="K7" s="249" t="s">
        <v>491</v>
      </c>
      <c r="L7" s="85"/>
      <c r="M7" s="232">
        <f>'FEBRUARY 20'!R7:R18</f>
        <v>500</v>
      </c>
      <c r="N7" s="320">
        <v>3000</v>
      </c>
      <c r="O7" s="232">
        <f>L7+M7+N7</f>
        <v>3500</v>
      </c>
      <c r="P7" s="234">
        <v>3000</v>
      </c>
      <c r="Q7" s="319">
        <f>O7-P7</f>
        <v>500</v>
      </c>
      <c r="R7" s="78"/>
    </row>
    <row r="8" spans="1:18" x14ac:dyDescent="0.25">
      <c r="A8" s="282" t="s">
        <v>465</v>
      </c>
      <c r="B8" s="274" t="s">
        <v>54</v>
      </c>
      <c r="C8" s="78">
        <f>'FEBRUARY 20'!I8:I21</f>
        <v>0</v>
      </c>
      <c r="D8" s="280">
        <v>3000</v>
      </c>
      <c r="E8" s="281">
        <v>100</v>
      </c>
      <c r="F8" s="276">
        <f t="shared" si="0"/>
        <v>3100</v>
      </c>
      <c r="G8" s="277">
        <v>3100</v>
      </c>
      <c r="H8" s="273">
        <f t="shared" si="1"/>
        <v>0</v>
      </c>
      <c r="I8" s="150"/>
      <c r="J8" s="83" t="s">
        <v>108</v>
      </c>
      <c r="K8" s="200" t="s">
        <v>284</v>
      </c>
      <c r="L8" s="85"/>
      <c r="M8" s="232">
        <f>'FEBRUARY 20'!R8:R19</f>
        <v>0</v>
      </c>
      <c r="N8" s="320"/>
      <c r="O8" s="232">
        <f t="shared" ref="O8:O19" si="2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78">
        <f>'FEBRUARY 20'!I9:I22</f>
        <v>0</v>
      </c>
      <c r="D9" s="280">
        <v>3000</v>
      </c>
      <c r="E9" s="281">
        <v>100</v>
      </c>
      <c r="F9" s="276">
        <f t="shared" si="0"/>
        <v>3100</v>
      </c>
      <c r="G9" s="277">
        <v>3100</v>
      </c>
      <c r="H9" s="273">
        <f t="shared" si="1"/>
        <v>0</v>
      </c>
      <c r="I9" s="150"/>
      <c r="J9" s="83" t="s">
        <v>110</v>
      </c>
      <c r="K9" s="110" t="s">
        <v>467</v>
      </c>
      <c r="L9" s="110"/>
      <c r="M9" s="232">
        <f>'FEBRUARY 20'!R9:R20</f>
        <v>0</v>
      </c>
      <c r="N9" s="110">
        <v>2500</v>
      </c>
      <c r="O9" s="232">
        <f t="shared" si="2"/>
        <v>2500</v>
      </c>
      <c r="P9" s="110">
        <v>2500</v>
      </c>
      <c r="Q9" s="319">
        <f t="shared" ref="Q9:Q16" si="3">O9-P9</f>
        <v>0</v>
      </c>
      <c r="R9" s="78"/>
    </row>
    <row r="10" spans="1:18" x14ac:dyDescent="0.25">
      <c r="A10" s="282" t="s">
        <v>281</v>
      </c>
      <c r="B10" s="274" t="s">
        <v>58</v>
      </c>
      <c r="C10" s="78">
        <f>'FEBRUARY 20'!I10:I23</f>
        <v>0</v>
      </c>
      <c r="D10" s="280"/>
      <c r="E10" s="281"/>
      <c r="F10" s="276">
        <f t="shared" si="0"/>
        <v>0</v>
      </c>
      <c r="G10" s="277"/>
      <c r="H10" s="273">
        <f t="shared" si="1"/>
        <v>0</v>
      </c>
      <c r="I10" s="150"/>
      <c r="J10" s="87" t="s">
        <v>112</v>
      </c>
      <c r="K10" s="200" t="s">
        <v>188</v>
      </c>
      <c r="L10" s="110"/>
      <c r="M10" s="232"/>
      <c r="N10" s="321">
        <v>2500</v>
      </c>
      <c r="O10" s="232">
        <f t="shared" si="2"/>
        <v>2500</v>
      </c>
      <c r="P10" s="319">
        <v>2500</v>
      </c>
      <c r="Q10" s="319">
        <f t="shared" si="3"/>
        <v>0</v>
      </c>
      <c r="R10" s="78"/>
    </row>
    <row r="11" spans="1:18" x14ac:dyDescent="0.25">
      <c r="A11" s="282" t="s">
        <v>283</v>
      </c>
      <c r="B11" s="274" t="s">
        <v>60</v>
      </c>
      <c r="C11" s="78">
        <f>'FEBRUARY 20'!I11:I24</f>
        <v>0</v>
      </c>
      <c r="D11" s="280">
        <v>3000</v>
      </c>
      <c r="E11" s="281">
        <v>100</v>
      </c>
      <c r="F11" s="276">
        <f t="shared" si="0"/>
        <v>3100</v>
      </c>
      <c r="G11" s="277">
        <v>3100</v>
      </c>
      <c r="H11" s="273">
        <f t="shared" si="1"/>
        <v>0</v>
      </c>
      <c r="I11" s="150"/>
      <c r="J11" s="99" t="s">
        <v>114</v>
      </c>
      <c r="K11" s="200" t="s">
        <v>427</v>
      </c>
      <c r="L11" s="85"/>
      <c r="M11" s="232">
        <f>'FEBRUARY 20'!R11:R22</f>
        <v>0</v>
      </c>
      <c r="N11" s="320">
        <v>2500</v>
      </c>
      <c r="O11" s="232">
        <f t="shared" si="2"/>
        <v>2500</v>
      </c>
      <c r="P11" s="234">
        <v>2500</v>
      </c>
      <c r="Q11" s="319">
        <f t="shared" si="3"/>
        <v>0</v>
      </c>
      <c r="R11" s="78"/>
    </row>
    <row r="12" spans="1:18" x14ac:dyDescent="0.25">
      <c r="A12" s="282" t="s">
        <v>310</v>
      </c>
      <c r="B12" s="274" t="s">
        <v>62</v>
      </c>
      <c r="C12" s="78">
        <f>'FEBRUARY 20'!I12:I25</f>
        <v>0</v>
      </c>
      <c r="D12" s="280">
        <v>3000</v>
      </c>
      <c r="E12" s="281">
        <v>100</v>
      </c>
      <c r="F12" s="276">
        <f t="shared" si="0"/>
        <v>3100</v>
      </c>
      <c r="G12" s="277">
        <v>3100</v>
      </c>
      <c r="H12" s="273">
        <f t="shared" si="1"/>
        <v>0</v>
      </c>
      <c r="I12" s="150"/>
      <c r="J12" s="93" t="s">
        <v>116</v>
      </c>
      <c r="K12" s="249" t="s">
        <v>437</v>
      </c>
      <c r="L12" s="110">
        <v>1000</v>
      </c>
      <c r="M12" s="232"/>
      <c r="N12" s="325">
        <v>2500</v>
      </c>
      <c r="O12" s="232">
        <f t="shared" si="2"/>
        <v>3500</v>
      </c>
      <c r="P12" s="326">
        <v>2500</v>
      </c>
      <c r="Q12" s="319">
        <f>O12-P12</f>
        <v>1000</v>
      </c>
      <c r="R12" s="78"/>
    </row>
    <row r="13" spans="1:18" x14ac:dyDescent="0.25">
      <c r="A13" s="196" t="s">
        <v>519</v>
      </c>
      <c r="B13" s="284" t="s">
        <v>64</v>
      </c>
      <c r="C13" s="78">
        <f>'FEBRUARY 20'!I13:I26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1"/>
        <v>0</v>
      </c>
      <c r="I13" s="150"/>
      <c r="J13" s="83" t="s">
        <v>119</v>
      </c>
      <c r="K13" s="249" t="s">
        <v>120</v>
      </c>
      <c r="L13" s="85"/>
      <c r="M13" s="232">
        <f>'FEBRUARY 20'!R13:R24</f>
        <v>0</v>
      </c>
      <c r="N13" s="320">
        <v>2500</v>
      </c>
      <c r="O13" s="232">
        <f t="shared" si="2"/>
        <v>2500</v>
      </c>
      <c r="P13" s="234">
        <v>2500</v>
      </c>
      <c r="Q13" s="319">
        <f t="shared" si="3"/>
        <v>0</v>
      </c>
      <c r="R13" s="78"/>
    </row>
    <row r="14" spans="1:18" x14ac:dyDescent="0.25">
      <c r="A14" s="196" t="s">
        <v>559</v>
      </c>
      <c r="B14" s="284" t="s">
        <v>18</v>
      </c>
      <c r="C14" s="78">
        <f>'FEBRUARY 20'!I14:I27</f>
        <v>0</v>
      </c>
      <c r="D14" s="285">
        <v>3000</v>
      </c>
      <c r="E14" s="286"/>
      <c r="F14" s="276">
        <f>D14+E14</f>
        <v>3000</v>
      </c>
      <c r="G14" s="277">
        <v>3000</v>
      </c>
      <c r="H14" s="273">
        <f t="shared" si="1"/>
        <v>0</v>
      </c>
      <c r="I14" s="445">
        <v>400</v>
      </c>
      <c r="J14" s="83" t="s">
        <v>121</v>
      </c>
      <c r="K14" s="249" t="s">
        <v>420</v>
      </c>
      <c r="L14" s="85"/>
      <c r="M14" s="232">
        <f>'FEBRUARY 20'!R14:R25</f>
        <v>0</v>
      </c>
      <c r="N14" s="320">
        <v>2500</v>
      </c>
      <c r="O14" s="232">
        <f t="shared" si="2"/>
        <v>2500</v>
      </c>
      <c r="P14" s="234">
        <v>2500</v>
      </c>
      <c r="Q14" s="319">
        <f t="shared" si="3"/>
        <v>0</v>
      </c>
      <c r="R14" s="78"/>
    </row>
    <row r="15" spans="1:18" x14ac:dyDescent="0.25">
      <c r="A15" s="196" t="s">
        <v>460</v>
      </c>
      <c r="B15" s="284" t="s">
        <v>20</v>
      </c>
      <c r="C15" s="78">
        <f>'FEBRUARY 20'!I15:I28</f>
        <v>0</v>
      </c>
      <c r="D15" s="285">
        <v>3000</v>
      </c>
      <c r="E15" s="286">
        <v>100</v>
      </c>
      <c r="F15" s="276">
        <f t="shared" si="0"/>
        <v>3100</v>
      </c>
      <c r="G15" s="277">
        <v>3100</v>
      </c>
      <c r="H15" s="273">
        <f t="shared" si="1"/>
        <v>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2"/>
        <v>3000</v>
      </c>
      <c r="P15" s="234">
        <f>1500+1000</f>
        <v>2500</v>
      </c>
      <c r="Q15" s="319">
        <f t="shared" si="3"/>
        <v>500</v>
      </c>
      <c r="R15" s="78"/>
    </row>
    <row r="16" spans="1:18" x14ac:dyDescent="0.25">
      <c r="A16" s="196" t="s">
        <v>531</v>
      </c>
      <c r="B16" s="284" t="s">
        <v>22</v>
      </c>
      <c r="C16" s="78">
        <f>'FEBRUARY 20'!I16:I29</f>
        <v>0</v>
      </c>
      <c r="D16" s="285">
        <v>3000</v>
      </c>
      <c r="E16" s="286">
        <v>100</v>
      </c>
      <c r="F16" s="276">
        <f>C16+D16+E16</f>
        <v>3100</v>
      </c>
      <c r="G16" s="277">
        <v>3100</v>
      </c>
      <c r="H16" s="273">
        <f t="shared" si="1"/>
        <v>0</v>
      </c>
      <c r="I16" s="150"/>
      <c r="J16" s="83" t="s">
        <v>125</v>
      </c>
      <c r="K16" s="200" t="s">
        <v>556</v>
      </c>
      <c r="L16" s="85"/>
      <c r="M16" s="232">
        <f>'FEBRUARY 20'!R16:R27</f>
        <v>0</v>
      </c>
      <c r="N16" s="231">
        <v>1500</v>
      </c>
      <c r="O16" s="232">
        <f>L16+M16+N16</f>
        <v>1500</v>
      </c>
      <c r="P16" s="234">
        <f>1000+500</f>
        <v>1500</v>
      </c>
      <c r="Q16" s="319">
        <f t="shared" si="3"/>
        <v>0</v>
      </c>
      <c r="R16" s="78"/>
    </row>
    <row r="17" spans="1:18" x14ac:dyDescent="0.25">
      <c r="A17" s="524" t="s">
        <v>549</v>
      </c>
      <c r="B17" s="284" t="s">
        <v>24</v>
      </c>
      <c r="C17" s="78"/>
      <c r="D17" s="285">
        <v>3000</v>
      </c>
      <c r="E17" s="286">
        <v>100</v>
      </c>
      <c r="F17" s="276">
        <f>C17+D17+E17</f>
        <v>3100</v>
      </c>
      <c r="G17" s="277">
        <v>3100</v>
      </c>
      <c r="H17" s="273">
        <f t="shared" si="1"/>
        <v>0</v>
      </c>
      <c r="I17" s="150"/>
      <c r="J17" s="83"/>
      <c r="K17" s="200"/>
      <c r="L17" s="85"/>
      <c r="M17" s="232"/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78">
        <f>'FEBRUARY 20'!I18:I31</f>
        <v>0</v>
      </c>
      <c r="D18" s="285"/>
      <c r="E18" s="286"/>
      <c r="F18" s="276">
        <f>C18+D18+E18</f>
        <v>0</v>
      </c>
      <c r="G18" s="277"/>
      <c r="H18" s="273">
        <f t="shared" si="1"/>
        <v>0</v>
      </c>
      <c r="I18" s="150"/>
      <c r="J18" s="83"/>
      <c r="K18" s="200"/>
      <c r="L18" s="85"/>
      <c r="M18" s="232"/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78">
        <f>'FEBRUARY 20'!I19:I32</f>
        <v>0</v>
      </c>
      <c r="D19" s="285">
        <v>3000</v>
      </c>
      <c r="E19" s="286">
        <v>100</v>
      </c>
      <c r="F19" s="276">
        <f>C19+D19+E19</f>
        <v>3100</v>
      </c>
      <c r="G19" s="277">
        <v>3100</v>
      </c>
      <c r="H19" s="273">
        <f t="shared" si="1"/>
        <v>0</v>
      </c>
      <c r="I19" s="150"/>
      <c r="J19" s="83"/>
      <c r="K19" s="204" t="s">
        <v>193</v>
      </c>
      <c r="L19" s="205">
        <f>SUM(L7:L16)</f>
        <v>1500</v>
      </c>
      <c r="M19" s="232">
        <f>SUM(M7:M16)</f>
        <v>500</v>
      </c>
      <c r="N19" s="239">
        <f>SUM(N7:N16)</f>
        <v>22000</v>
      </c>
      <c r="O19" s="232">
        <f t="shared" si="2"/>
        <v>24000</v>
      </c>
      <c r="P19" s="240">
        <f>SUM(P7:P16)</f>
        <v>22000</v>
      </c>
      <c r="Q19" s="323">
        <f>SUM(Q7:Q16)</f>
        <v>2000</v>
      </c>
      <c r="R19" s="78"/>
    </row>
    <row r="20" spans="1:18" x14ac:dyDescent="0.25">
      <c r="A20" s="294" t="s">
        <v>193</v>
      </c>
      <c r="B20" s="293"/>
      <c r="C20" s="275">
        <f>SUM(C6:C19)</f>
        <v>0</v>
      </c>
      <c r="D20" s="240">
        <f>SUM(D6:D19)</f>
        <v>36000</v>
      </c>
      <c r="E20" s="240">
        <f>SUM(E6:E19)</f>
        <v>1100</v>
      </c>
      <c r="F20" s="276">
        <f>C20+D20+E20</f>
        <v>37100</v>
      </c>
      <c r="G20" s="361">
        <f>SUM(G6:G19)</f>
        <v>37100</v>
      </c>
      <c r="H20" s="273">
        <f>SUM(H6:H19)</f>
        <v>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18.75" x14ac:dyDescent="0.25">
      <c r="A21" s="529"/>
      <c r="B21" s="529"/>
      <c r="C21" s="275">
        <f>'DECEMBER 19'!H18:H29</f>
        <v>0</v>
      </c>
      <c r="D21" s="345" t="s">
        <v>247</v>
      </c>
      <c r="E21" s="529"/>
      <c r="F21" s="529"/>
      <c r="G21" s="344"/>
      <c r="H21" s="273">
        <f>F21-G21</f>
        <v>0</v>
      </c>
      <c r="I21" s="78"/>
      <c r="J21" s="83">
        <v>1</v>
      </c>
      <c r="K21" s="200" t="s">
        <v>553</v>
      </c>
      <c r="L21" s="85">
        <v>3500</v>
      </c>
      <c r="M21" s="232">
        <f>'FEBRUARY 20'!R21:R40</f>
        <v>0</v>
      </c>
      <c r="N21" s="320">
        <v>3500</v>
      </c>
      <c r="O21" s="232">
        <f t="shared" ref="O21:O38" si="4">L21+M21+N21</f>
        <v>7000</v>
      </c>
      <c r="P21" s="232">
        <v>7000</v>
      </c>
      <c r="Q21" s="319">
        <f t="shared" ref="Q21:Q37" si="5">O21-P21</f>
        <v>0</v>
      </c>
      <c r="R21" s="78"/>
    </row>
    <row r="22" spans="1:18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'FEBRUARY 20'!R22:R41</f>
        <v>0</v>
      </c>
      <c r="N22" s="320">
        <v>3500</v>
      </c>
      <c r="O22" s="232">
        <f t="shared" si="4"/>
        <v>3500</v>
      </c>
      <c r="P22" s="232">
        <v>3500</v>
      </c>
      <c r="Q22" s="319">
        <f t="shared" si="5"/>
        <v>0</v>
      </c>
      <c r="R22" s="78"/>
    </row>
    <row r="23" spans="1:18" x14ac:dyDescent="0.25">
      <c r="A23" s="191" t="s">
        <v>313</v>
      </c>
      <c r="B23" s="85"/>
      <c r="C23" s="86">
        <f>'FEBRUARY 20'!H23:H31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 t="s">
        <v>498</v>
      </c>
      <c r="L23" s="110"/>
      <c r="M23" s="232">
        <f>'FEBRUARY 20'!R23:R42</f>
        <v>0</v>
      </c>
      <c r="N23" s="110">
        <v>3500</v>
      </c>
      <c r="O23" s="232">
        <f t="shared" si="4"/>
        <v>3500</v>
      </c>
      <c r="P23" s="110">
        <v>3500</v>
      </c>
      <c r="Q23" s="319">
        <f t="shared" si="5"/>
        <v>0</v>
      </c>
      <c r="R23" s="78" t="s">
        <v>473</v>
      </c>
    </row>
    <row r="24" spans="1:18" x14ac:dyDescent="0.25">
      <c r="A24" s="110" t="s">
        <v>451</v>
      </c>
      <c r="B24" s="113"/>
      <c r="C24" s="86">
        <f>'FEBRUARY 20'!H24:H32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499</v>
      </c>
      <c r="L24" s="110"/>
      <c r="M24" s="232">
        <f>'FEBRUARY 20'!R24:R43</f>
        <v>0</v>
      </c>
      <c r="N24" s="321">
        <v>3500</v>
      </c>
      <c r="O24" s="232">
        <f t="shared" si="4"/>
        <v>3500</v>
      </c>
      <c r="P24" s="319">
        <v>3500</v>
      </c>
      <c r="Q24" s="319">
        <f t="shared" si="5"/>
        <v>0</v>
      </c>
      <c r="R24" s="78"/>
    </row>
    <row r="25" spans="1:18" x14ac:dyDescent="0.25">
      <c r="A25" s="191" t="s">
        <v>411</v>
      </c>
      <c r="B25" s="85"/>
      <c r="C25" s="86">
        <f>'FEBRUARY 20'!H25:H33</f>
        <v>0</v>
      </c>
      <c r="D25" s="231">
        <v>4000</v>
      </c>
      <c r="E25" s="232">
        <f t="shared" si="6"/>
        <v>4000</v>
      </c>
      <c r="F25" s="78">
        <v>4000</v>
      </c>
      <c r="G25" s="273">
        <f>E25-F25</f>
        <v>0</v>
      </c>
      <c r="H25" s="273"/>
      <c r="I25" s="78"/>
      <c r="J25" s="83">
        <v>5</v>
      </c>
      <c r="K25" s="200" t="s">
        <v>505</v>
      </c>
      <c r="L25" s="85"/>
      <c r="M25" s="232">
        <f>'FEBRUARY 20'!R25:R44</f>
        <v>0</v>
      </c>
      <c r="N25" s="320">
        <v>3500</v>
      </c>
      <c r="O25" s="232">
        <f t="shared" si="4"/>
        <v>3500</v>
      </c>
      <c r="P25" s="234">
        <v>3500</v>
      </c>
      <c r="Q25" s="319">
        <f t="shared" si="5"/>
        <v>0</v>
      </c>
      <c r="R25" s="78"/>
    </row>
    <row r="26" spans="1:18" x14ac:dyDescent="0.25">
      <c r="A26" s="191"/>
      <c r="B26" s="85"/>
      <c r="C26" s="86">
        <f>'FEBRUARY 20'!H26:H34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'FEBRUARY 20'!R26:R45</f>
        <v>0</v>
      </c>
      <c r="N26" s="325">
        <v>3500</v>
      </c>
      <c r="O26" s="232">
        <f t="shared" si="4"/>
        <v>3500</v>
      </c>
      <c r="P26" s="326">
        <f>2000</f>
        <v>2000</v>
      </c>
      <c r="Q26" s="319">
        <f t="shared" si="5"/>
        <v>1500</v>
      </c>
      <c r="R26" s="78"/>
    </row>
    <row r="27" spans="1:18" x14ac:dyDescent="0.25">
      <c r="A27" s="191" t="s">
        <v>350</v>
      </c>
      <c r="B27" s="86"/>
      <c r="C27" s="86">
        <f>'FEBRUARY 20'!H27:H35</f>
        <v>0</v>
      </c>
      <c r="D27" s="231">
        <v>4000</v>
      </c>
      <c r="E27" s="232">
        <f t="shared" si="6"/>
        <v>4000</v>
      </c>
      <c r="F27" s="110">
        <v>4000</v>
      </c>
      <c r="G27" s="273">
        <f t="shared" si="7"/>
        <v>0</v>
      </c>
      <c r="H27" s="273"/>
      <c r="I27" s="78"/>
      <c r="J27" s="83">
        <v>7</v>
      </c>
      <c r="K27" s="249" t="s">
        <v>554</v>
      </c>
      <c r="L27" s="85">
        <v>3500</v>
      </c>
      <c r="M27" s="232">
        <f>'FEBRUARY 20'!R27:R46</f>
        <v>0</v>
      </c>
      <c r="N27" s="320">
        <v>3500</v>
      </c>
      <c r="O27" s="232">
        <f t="shared" si="4"/>
        <v>7000</v>
      </c>
      <c r="P27" s="234">
        <v>7000</v>
      </c>
      <c r="Q27" s="319">
        <f t="shared" si="5"/>
        <v>0</v>
      </c>
      <c r="R27" s="220">
        <f>P19+P41</f>
        <v>101000</v>
      </c>
    </row>
    <row r="28" spans="1:18" x14ac:dyDescent="0.25">
      <c r="A28" s="191" t="s">
        <v>392</v>
      </c>
      <c r="B28" s="85"/>
      <c r="C28" s="86">
        <f>'FEBRUARY 20'!H28:H36</f>
        <v>0</v>
      </c>
      <c r="D28" s="231">
        <v>4000</v>
      </c>
      <c r="E28" s="232">
        <f t="shared" si="6"/>
        <v>4000</v>
      </c>
      <c r="F28" s="110">
        <v>4000</v>
      </c>
      <c r="G28" s="273">
        <f t="shared" si="7"/>
        <v>0</v>
      </c>
      <c r="H28" s="273"/>
      <c r="I28" s="78"/>
      <c r="J28" s="83">
        <v>8</v>
      </c>
      <c r="K28" s="249" t="s">
        <v>555</v>
      </c>
      <c r="L28" s="85"/>
      <c r="M28" s="232">
        <f>'FEBRUARY 20'!R28:R47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</row>
    <row r="29" spans="1:18" x14ac:dyDescent="0.25">
      <c r="A29" s="218" t="s">
        <v>539</v>
      </c>
      <c r="B29" s="85"/>
      <c r="C29" s="86">
        <f>'FEBRUARY 20'!H29:H37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'FEBRUARY 20'!R29:R48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x14ac:dyDescent="0.25">
      <c r="A30" s="210" t="s">
        <v>456</v>
      </c>
      <c r="B30" s="85">
        <v>0</v>
      </c>
      <c r="C30" s="86">
        <f>'FEBRUARY 20'!H30:H38</f>
        <v>0</v>
      </c>
      <c r="D30" s="231">
        <v>4000</v>
      </c>
      <c r="E30" s="232">
        <f t="shared" si="6"/>
        <v>4000</v>
      </c>
      <c r="F30" s="110"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'FEBRUARY 20'!R30:R49</f>
        <v>0</v>
      </c>
      <c r="N30" s="320">
        <v>3500</v>
      </c>
      <c r="O30" s="232">
        <f t="shared" si="4"/>
        <v>3500</v>
      </c>
      <c r="P30" s="234">
        <v>3500</v>
      </c>
      <c r="Q30" s="319">
        <f t="shared" si="5"/>
        <v>0</v>
      </c>
      <c r="R30" s="78"/>
    </row>
    <row r="31" spans="1:18" x14ac:dyDescent="0.25">
      <c r="A31" s="339" t="s">
        <v>193</v>
      </c>
      <c r="B31" s="42"/>
      <c r="C31" s="86">
        <f>SUM(C23:C30)</f>
        <v>0</v>
      </c>
      <c r="D31" s="240">
        <f>SUM(D23:D30)</f>
        <v>27500</v>
      </c>
      <c r="E31" s="322">
        <f>SUM(E23:E30)</f>
        <v>27500</v>
      </c>
      <c r="F31" s="240">
        <f>SUM(F23:F30)</f>
        <v>27500</v>
      </c>
      <c r="G31" s="273">
        <f>E31-F31</f>
        <v>0</v>
      </c>
      <c r="H31" s="273"/>
      <c r="I31" s="78"/>
      <c r="J31" s="83">
        <v>11</v>
      </c>
      <c r="K31" s="249" t="s">
        <v>474</v>
      </c>
      <c r="L31" s="85"/>
      <c r="M31" s="232">
        <f>'FEBRUARY 20'!R31:R50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'FEBRUARY 20'!R32:R51</f>
        <v>0</v>
      </c>
      <c r="N32" s="320">
        <v>3500</v>
      </c>
      <c r="O32" s="232">
        <f t="shared" si="4"/>
        <v>3500</v>
      </c>
      <c r="P32" s="234">
        <v>3500</v>
      </c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>
        <v>3500</v>
      </c>
      <c r="M33" s="232"/>
      <c r="N33" s="320">
        <v>3500</v>
      </c>
      <c r="O33" s="232">
        <f t="shared" si="4"/>
        <v>7000</v>
      </c>
      <c r="P33" s="234">
        <v>7000</v>
      </c>
      <c r="Q33" s="319">
        <f>O33-P33</f>
        <v>0</v>
      </c>
      <c r="R33" s="78"/>
    </row>
    <row r="34" spans="1:18" x14ac:dyDescent="0.25">
      <c r="A34" s="211" t="s">
        <v>432</v>
      </c>
      <c r="B34" s="273">
        <f>D31+D20</f>
        <v>63500</v>
      </c>
      <c r="C34" s="164"/>
      <c r="D34" s="164"/>
      <c r="E34" s="211" t="s">
        <v>432</v>
      </c>
      <c r="F34" s="273">
        <f>F31+G20</f>
        <v>64600</v>
      </c>
      <c r="G34" s="164"/>
      <c r="H34" s="273"/>
      <c r="I34" s="78"/>
      <c r="J34" s="83">
        <v>14</v>
      </c>
      <c r="K34" s="200" t="s">
        <v>480</v>
      </c>
      <c r="L34" s="85"/>
      <c r="M34" s="232">
        <f>'FEBRUARY 20'!R34:R53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x14ac:dyDescent="0.25">
      <c r="A35" s="211" t="s">
        <v>209</v>
      </c>
      <c r="B35" s="307">
        <v>0.1</v>
      </c>
      <c r="C35" s="308">
        <f>B34*B35</f>
        <v>6350</v>
      </c>
      <c r="D35" s="211"/>
      <c r="E35" s="211" t="s">
        <v>209</v>
      </c>
      <c r="F35" s="307">
        <v>0.1</v>
      </c>
      <c r="G35" s="308">
        <f>C35</f>
        <v>6350</v>
      </c>
      <c r="H35" s="273"/>
      <c r="I35" s="78"/>
      <c r="J35" s="83">
        <v>15</v>
      </c>
      <c r="K35" s="200" t="s">
        <v>512</v>
      </c>
      <c r="L35" s="85"/>
      <c r="M35" s="232">
        <f>'FEBRUARY 20'!R35:R54</f>
        <v>0</v>
      </c>
      <c r="N35" s="320">
        <v>3500</v>
      </c>
      <c r="O35" s="232">
        <f>L35+M35+N35</f>
        <v>3500</v>
      </c>
      <c r="P35" s="234">
        <v>3500</v>
      </c>
      <c r="Q35" s="319">
        <f>O35-P35</f>
        <v>0</v>
      </c>
      <c r="R35" s="78"/>
    </row>
    <row r="36" spans="1:18" x14ac:dyDescent="0.25">
      <c r="A36" s="309" t="s">
        <v>232</v>
      </c>
      <c r="B36" s="308">
        <f>E20</f>
        <v>1100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'FEBRUARY 20'!R36:R55</f>
        <v>0</v>
      </c>
      <c r="N36" s="320">
        <v>3500</v>
      </c>
      <c r="O36" s="232">
        <f>L36+M36+N36</f>
        <v>3500</v>
      </c>
      <c r="P36" s="234">
        <v>3500</v>
      </c>
      <c r="Q36" s="319">
        <f t="shared" si="5"/>
        <v>0</v>
      </c>
      <c r="R36" s="78"/>
    </row>
    <row r="37" spans="1:18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495</v>
      </c>
      <c r="L37" s="85"/>
      <c r="M37" s="232">
        <f>'FEBRUARY 20'!R37:R56</f>
        <v>0</v>
      </c>
      <c r="N37" s="320">
        <v>3500</v>
      </c>
      <c r="O37" s="232">
        <f t="shared" si="4"/>
        <v>3500</v>
      </c>
      <c r="P37" s="234">
        <v>3500</v>
      </c>
      <c r="Q37" s="319">
        <f t="shared" si="5"/>
        <v>0</v>
      </c>
      <c r="R37" s="78"/>
    </row>
    <row r="38" spans="1:18" x14ac:dyDescent="0.25">
      <c r="A38" s="309" t="s">
        <v>470</v>
      </c>
      <c r="B38" s="308">
        <v>2000</v>
      </c>
      <c r="C38" s="211"/>
      <c r="D38" s="211"/>
      <c r="E38" s="309" t="s">
        <v>323</v>
      </c>
      <c r="F38" s="308">
        <v>2000</v>
      </c>
      <c r="G38" s="211"/>
      <c r="H38" s="273"/>
      <c r="I38" s="78"/>
      <c r="J38" s="83">
        <v>18</v>
      </c>
      <c r="K38" s="200" t="s">
        <v>526</v>
      </c>
      <c r="L38" s="85"/>
      <c r="M38" s="232">
        <f>'FEBRUARY 20'!R38:R57</f>
        <v>0</v>
      </c>
      <c r="N38" s="320">
        <v>3500</v>
      </c>
      <c r="O38" s="232">
        <f t="shared" si="4"/>
        <v>3500</v>
      </c>
      <c r="P38" s="234">
        <v>3500</v>
      </c>
      <c r="Q38" s="319">
        <f>O38-P38</f>
        <v>0</v>
      </c>
      <c r="R38" s="78"/>
    </row>
    <row r="39" spans="1:18" x14ac:dyDescent="0.25">
      <c r="A39" s="309" t="s">
        <v>239</v>
      </c>
      <c r="B39" s="308">
        <f>'FEBRUARY 20'!E50</f>
        <v>0.34230528003536165</v>
      </c>
      <c r="C39" s="211"/>
      <c r="D39" s="211"/>
      <c r="E39" s="309" t="s">
        <v>239</v>
      </c>
      <c r="F39" s="308">
        <f>'FEBRUARY 20'!I50</f>
        <v>-2263.7247999999672</v>
      </c>
      <c r="G39" s="211"/>
      <c r="H39" s="273"/>
      <c r="I39" s="78"/>
      <c r="J39" s="83">
        <v>19</v>
      </c>
      <c r="K39" s="200" t="s">
        <v>516</v>
      </c>
      <c r="L39" s="85"/>
      <c r="M39" s="232">
        <f>'FEBRUARY 20'!R39:R58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</row>
    <row r="40" spans="1:18" x14ac:dyDescent="0.25">
      <c r="A40" s="309" t="s">
        <v>193</v>
      </c>
      <c r="B40" s="308">
        <f>B34+B36+B39+B37</f>
        <v>67600.342305280035</v>
      </c>
      <c r="C40" s="211"/>
      <c r="D40" s="211"/>
      <c r="E40" s="309" t="s">
        <v>193</v>
      </c>
      <c r="F40" s="308">
        <f>F34+F36+F39+F37+F38</f>
        <v>67336.275200000033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'FEBRUARY 20'!R40</f>
        <v>3500</v>
      </c>
      <c r="N40" s="320">
        <v>3500</v>
      </c>
      <c r="O40" s="232">
        <f>L40+M40+N40</f>
        <v>7000</v>
      </c>
      <c r="P40" s="234">
        <f>2000+1500</f>
        <v>3500</v>
      </c>
      <c r="Q40" s="319">
        <f>O40-P40</f>
        <v>3500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SUM(M21:M40)</f>
        <v>3500</v>
      </c>
      <c r="N41" s="239">
        <f>SUM(N21:N40)</f>
        <v>70000</v>
      </c>
      <c r="O41" s="232">
        <f>L41+M41+N41</f>
        <v>84000</v>
      </c>
      <c r="P41" s="240">
        <f>SUM(P21:P40)</f>
        <v>79000</v>
      </c>
      <c r="Q41" s="319">
        <f>O41-P41</f>
        <v>5000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432</v>
      </c>
      <c r="K44" s="273">
        <f>N41+N19</f>
        <v>92000</v>
      </c>
      <c r="L44" s="164"/>
      <c r="M44" s="164"/>
      <c r="N44" s="211" t="s">
        <v>432</v>
      </c>
      <c r="O44" s="273">
        <f>P41+P19</f>
        <v>101000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900</v>
      </c>
      <c r="D45" s="370"/>
      <c r="E45" s="370" t="s">
        <v>408</v>
      </c>
      <c r="F45" s="449">
        <v>0.3</v>
      </c>
      <c r="G45" s="368">
        <f>F45*D14</f>
        <v>900</v>
      </c>
      <c r="H45" s="368"/>
      <c r="I45" s="78"/>
      <c r="J45" s="211" t="s">
        <v>209</v>
      </c>
      <c r="K45" s="307">
        <v>0.1</v>
      </c>
      <c r="L45" s="308">
        <f>K44*K45</f>
        <v>9200</v>
      </c>
      <c r="M45" s="211"/>
      <c r="N45" s="211" t="s">
        <v>209</v>
      </c>
      <c r="O45" s="307">
        <v>0.1</v>
      </c>
      <c r="P45" s="308">
        <f>L45</f>
        <v>9200</v>
      </c>
      <c r="Q45" s="273"/>
      <c r="R45" s="78"/>
    </row>
    <row r="46" spans="1:18" x14ac:dyDescent="0.25">
      <c r="A46" s="370" t="s">
        <v>562</v>
      </c>
      <c r="B46" s="370"/>
      <c r="C46" s="368">
        <v>59350</v>
      </c>
      <c r="D46" s="370"/>
      <c r="E46" s="370" t="s">
        <v>562</v>
      </c>
      <c r="F46" s="370"/>
      <c r="G46" s="368">
        <v>59350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3150</v>
      </c>
      <c r="M47" s="211"/>
      <c r="N47" s="211" t="s">
        <v>408</v>
      </c>
      <c r="O47" s="307">
        <v>0.3</v>
      </c>
      <c r="P47" s="308">
        <f>O47*L21+(O47*L27)+(O47*L33)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211"/>
      <c r="M48" s="211"/>
      <c r="N48" s="309"/>
      <c r="O48" s="308"/>
      <c r="P48" s="211"/>
      <c r="Q48" s="273"/>
      <c r="R48" s="220">
        <f>O44+Q41</f>
        <v>106000</v>
      </c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'FEBRUARY 20'!N55</f>
        <v>5500.3000000000029</v>
      </c>
      <c r="L49" s="211"/>
      <c r="M49" s="211"/>
      <c r="N49" s="309" t="s">
        <v>239</v>
      </c>
      <c r="O49" s="308">
        <f>'FEBRUARY 20'!R55</f>
        <v>5000.6000000000058</v>
      </c>
      <c r="P49" s="211"/>
      <c r="Q49" s="273"/>
      <c r="R49" s="78"/>
      <c r="S49" s="220"/>
    </row>
    <row r="50" spans="1:19" x14ac:dyDescent="0.25">
      <c r="A50" s="166" t="s">
        <v>193</v>
      </c>
      <c r="B50" s="317">
        <f>B34+B36+B37+B38+B39-C35</f>
        <v>63250.342305280035</v>
      </c>
      <c r="C50" s="318">
        <f>SUM(C41:C49)</f>
        <v>63250</v>
      </c>
      <c r="D50" s="318">
        <f>B50-C50</f>
        <v>0.34230528003536165</v>
      </c>
      <c r="E50" s="166" t="s">
        <v>193</v>
      </c>
      <c r="F50" s="317">
        <f>F34+F36+F37+F38+F39-G35</f>
        <v>60986.275200000033</v>
      </c>
      <c r="G50" s="318">
        <f>SUM(G41:G49)</f>
        <v>63250</v>
      </c>
      <c r="H50" s="318">
        <f>F50-G50</f>
        <v>-2263.7247999999672</v>
      </c>
      <c r="I50" s="78"/>
      <c r="J50" s="309" t="s">
        <v>193</v>
      </c>
      <c r="K50" s="308">
        <f>K44+K46+K49+K48</f>
        <v>108000.3</v>
      </c>
      <c r="L50" s="211"/>
      <c r="M50" s="211"/>
      <c r="N50" s="309" t="s">
        <v>193</v>
      </c>
      <c r="O50" s="308">
        <f>O44+O46+O49+O47</f>
        <v>106000.90000000001</v>
      </c>
      <c r="P50" s="211"/>
      <c r="Q50" s="273"/>
      <c r="R50" s="78"/>
      <c r="S50" s="220"/>
    </row>
    <row r="51" spans="1:19" x14ac:dyDescent="0.25">
      <c r="A51" s="150"/>
      <c r="B51" s="150"/>
      <c r="C51" s="150"/>
      <c r="D51" s="150"/>
      <c r="E51" s="150"/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9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217</v>
      </c>
      <c r="K52" s="380"/>
      <c r="L52" s="367">
        <v>3500</v>
      </c>
      <c r="M52" s="366"/>
      <c r="N52" s="365" t="s">
        <v>217</v>
      </c>
      <c r="O52" s="380"/>
      <c r="P52" s="367"/>
      <c r="Q52" s="368"/>
      <c r="R52" s="78"/>
    </row>
    <row r="53" spans="1:19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563</v>
      </c>
      <c r="K53" s="370"/>
      <c r="L53" s="371">
        <f>3500+3500</f>
        <v>7000</v>
      </c>
      <c r="M53" s="366"/>
      <c r="N53" s="369" t="s">
        <v>81</v>
      </c>
      <c r="O53" s="370"/>
      <c r="P53" s="371">
        <f>3500+3500</f>
        <v>7000</v>
      </c>
      <c r="Q53" s="368"/>
      <c r="R53" s="78"/>
    </row>
    <row r="54" spans="1:19" s="78" customFormat="1" x14ac:dyDescent="0.25">
      <c r="J54" s="369" t="s">
        <v>498</v>
      </c>
      <c r="K54" s="370"/>
      <c r="L54" s="371">
        <v>7000</v>
      </c>
      <c r="M54" s="366"/>
      <c r="N54" s="369" t="s">
        <v>498</v>
      </c>
      <c r="O54" s="370"/>
      <c r="P54" s="371">
        <v>7000</v>
      </c>
      <c r="Q54" s="368"/>
      <c r="R54" s="220"/>
    </row>
    <row r="55" spans="1:19" s="78" customFormat="1" x14ac:dyDescent="0.25">
      <c r="J55" s="369" t="s">
        <v>561</v>
      </c>
      <c r="K55" s="370"/>
      <c r="L55" s="371">
        <v>3500</v>
      </c>
      <c r="M55" s="366"/>
      <c r="N55" s="369" t="s">
        <v>561</v>
      </c>
      <c r="O55" s="370"/>
      <c r="P55" s="371">
        <v>3500</v>
      </c>
      <c r="Q55" s="368"/>
    </row>
    <row r="56" spans="1:19" x14ac:dyDescent="0.25">
      <c r="A56" s="150"/>
      <c r="B56" s="150"/>
      <c r="C56" s="150"/>
      <c r="D56" s="150"/>
      <c r="E56" s="269"/>
      <c r="F56" s="150"/>
      <c r="G56" s="150"/>
      <c r="H56" s="269">
        <f>K44+K48</f>
        <v>102500</v>
      </c>
      <c r="I56" s="78"/>
      <c r="J56" s="369" t="s">
        <v>562</v>
      </c>
      <c r="K56" s="370"/>
      <c r="L56" s="371">
        <v>74650</v>
      </c>
      <c r="M56" s="370"/>
      <c r="N56" s="369" t="s">
        <v>562</v>
      </c>
      <c r="O56" s="370"/>
      <c r="P56" s="371">
        <v>74650</v>
      </c>
      <c r="Q56" s="368"/>
      <c r="R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66" t="s">
        <v>193</v>
      </c>
      <c r="K57" s="317">
        <f>K44+K48+K49-L45</f>
        <v>98800.3</v>
      </c>
      <c r="L57" s="318">
        <f>SUM(L47:L56)</f>
        <v>98800</v>
      </c>
      <c r="M57" s="318">
        <f>K57-L57</f>
        <v>0.30000000000291038</v>
      </c>
      <c r="N57" s="166" t="s">
        <v>193</v>
      </c>
      <c r="O57" s="317">
        <f>O44+O46+O47+O49-P45</f>
        <v>96800.900000000009</v>
      </c>
      <c r="P57" s="318">
        <f>SUM(P47:P56)</f>
        <v>95300</v>
      </c>
      <c r="Q57" s="318">
        <f>O57-P57</f>
        <v>1500.9000000000087</v>
      </c>
      <c r="R57" s="78"/>
    </row>
    <row r="58" spans="1:19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150" t="s">
        <v>71</v>
      </c>
      <c r="K58" s="79"/>
      <c r="L58" s="78"/>
      <c r="M58" s="150" t="s">
        <v>72</v>
      </c>
      <c r="N58" s="78"/>
      <c r="O58" s="78"/>
      <c r="P58" s="150" t="s">
        <v>73</v>
      </c>
      <c r="Q58" s="269"/>
      <c r="R58" s="220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150" t="s">
        <v>471</v>
      </c>
      <c r="K59" s="150"/>
      <c r="L59" s="78"/>
      <c r="M59" s="150" t="s">
        <v>135</v>
      </c>
      <c r="N59" s="78"/>
      <c r="O59" s="78"/>
      <c r="P59" s="150" t="s">
        <v>130</v>
      </c>
      <c r="Q59" s="78"/>
      <c r="R59" s="220"/>
    </row>
    <row r="60" spans="1:19" x14ac:dyDescent="0.25">
      <c r="A60" s="78"/>
      <c r="B60" s="78"/>
      <c r="C60" s="78"/>
      <c r="D60" s="78"/>
      <c r="E60" s="78"/>
      <c r="F60" s="220">
        <f>D50+M57</f>
        <v>0.64230528003827203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</row>
    <row r="62" spans="1:19" x14ac:dyDescent="0.25">
      <c r="A62" s="78"/>
      <c r="B62" s="78"/>
      <c r="C62" s="78"/>
      <c r="D62" s="78"/>
      <c r="E62" s="78"/>
      <c r="F62" s="78"/>
      <c r="G62" s="220"/>
      <c r="H62" s="78"/>
      <c r="I62" s="78"/>
      <c r="J62" s="78"/>
      <c r="K62" s="78"/>
      <c r="L62" s="78"/>
      <c r="M62" s="220"/>
      <c r="N62" s="78"/>
      <c r="O62" s="78"/>
      <c r="P62" s="78"/>
      <c r="Q62" s="78"/>
      <c r="R62" s="78"/>
    </row>
    <row r="63" spans="1:19" x14ac:dyDescent="0.25">
      <c r="A63" s="78"/>
      <c r="B63" s="78"/>
      <c r="C63" s="78"/>
      <c r="D63" s="78"/>
      <c r="E63" s="78"/>
      <c r="F63" s="220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19" workbookViewId="0">
      <selection activeCell="R58" sqref="R58"/>
    </sheetView>
  </sheetViews>
  <sheetFormatPr defaultRowHeight="15" x14ac:dyDescent="0.25"/>
  <cols>
    <col min="1" max="1" width="14.140625" customWidth="1"/>
    <col min="5" max="5" width="11.85546875" customWidth="1"/>
  </cols>
  <sheetData>
    <row r="1" spans="1:18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560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560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78">
        <f>'MARCH 20'!H6:H19</f>
        <v>0</v>
      </c>
      <c r="D6" s="280">
        <v>3000</v>
      </c>
      <c r="E6" s="281">
        <v>100</v>
      </c>
      <c r="F6" s="276">
        <f t="shared" ref="F6:F15" si="0">C7+D6+E6</f>
        <v>3100</v>
      </c>
      <c r="G6" s="277">
        <v>3000</v>
      </c>
      <c r="H6" s="273">
        <f t="shared" ref="H6:H19" si="1">F6-G6</f>
        <v>100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33.75" x14ac:dyDescent="0.25">
      <c r="A7" s="196" t="s">
        <v>433</v>
      </c>
      <c r="B7" s="274" t="s">
        <v>52</v>
      </c>
      <c r="C7" s="78">
        <f>'MARCH 20'!H7:H20</f>
        <v>0</v>
      </c>
      <c r="D7" s="280">
        <v>3000</v>
      </c>
      <c r="E7" s="281">
        <v>100</v>
      </c>
      <c r="F7" s="276">
        <f t="shared" si="0"/>
        <v>3100</v>
      </c>
      <c r="G7" s="277">
        <v>2500</v>
      </c>
      <c r="H7" s="273">
        <f t="shared" si="1"/>
        <v>600</v>
      </c>
      <c r="I7" s="150"/>
      <c r="J7" s="83" t="s">
        <v>106</v>
      </c>
      <c r="K7" s="249" t="s">
        <v>491</v>
      </c>
      <c r="L7" s="85"/>
      <c r="M7" s="232">
        <f>'MARCH 20'!Q7:Q18</f>
        <v>500</v>
      </c>
      <c r="N7" s="320"/>
      <c r="O7" s="232">
        <f>L7+M7+N7</f>
        <v>500</v>
      </c>
      <c r="P7" s="234">
        <v>500</v>
      </c>
      <c r="Q7" s="319">
        <f>O7-P7</f>
        <v>0</v>
      </c>
      <c r="R7" s="78" t="s">
        <v>473</v>
      </c>
    </row>
    <row r="8" spans="1:18" x14ac:dyDescent="0.25">
      <c r="A8" s="282" t="s">
        <v>465</v>
      </c>
      <c r="B8" s="274" t="s">
        <v>54</v>
      </c>
      <c r="C8" s="78">
        <f>'MARCH 20'!H8:H21</f>
        <v>0</v>
      </c>
      <c r="D8" s="280"/>
      <c r="E8" s="281"/>
      <c r="F8" s="276">
        <f t="shared" si="0"/>
        <v>0</v>
      </c>
      <c r="G8" s="277"/>
      <c r="H8" s="273">
        <f t="shared" si="1"/>
        <v>0</v>
      </c>
      <c r="I8" s="150"/>
      <c r="J8" s="83" t="s">
        <v>108</v>
      </c>
      <c r="K8" s="200" t="s">
        <v>284</v>
      </c>
      <c r="L8" s="85"/>
      <c r="M8" s="232">
        <f>'MARCH 20'!Q8:Q19</f>
        <v>0</v>
      </c>
      <c r="N8" s="320"/>
      <c r="O8" s="232">
        <f t="shared" ref="O8:O19" si="2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78">
        <f>'MARCH 20'!H9:H22</f>
        <v>0</v>
      </c>
      <c r="D9" s="280">
        <v>3000</v>
      </c>
      <c r="E9" s="281">
        <v>100</v>
      </c>
      <c r="F9" s="276">
        <f t="shared" si="0"/>
        <v>3100</v>
      </c>
      <c r="G9" s="277">
        <v>3100</v>
      </c>
      <c r="H9" s="273">
        <f t="shared" si="1"/>
        <v>0</v>
      </c>
      <c r="I9" s="150"/>
      <c r="J9" s="83" t="s">
        <v>557</v>
      </c>
      <c r="K9" s="110" t="s">
        <v>467</v>
      </c>
      <c r="L9" s="110"/>
      <c r="M9" s="232">
        <f>'MARCH 20'!Q9:Q20</f>
        <v>0</v>
      </c>
      <c r="N9" s="110">
        <v>2500</v>
      </c>
      <c r="O9" s="232">
        <f t="shared" si="2"/>
        <v>2500</v>
      </c>
      <c r="P9" s="110">
        <v>2000</v>
      </c>
      <c r="Q9" s="319">
        <f t="shared" ref="Q9:Q16" si="3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78">
        <f>'MARCH 20'!H10:H23</f>
        <v>0</v>
      </c>
      <c r="D10" s="280"/>
      <c r="E10" s="281"/>
      <c r="F10" s="276">
        <f t="shared" si="0"/>
        <v>0</v>
      </c>
      <c r="G10" s="277"/>
      <c r="H10" s="273">
        <f t="shared" si="1"/>
        <v>0</v>
      </c>
      <c r="I10" s="150"/>
      <c r="J10" s="87" t="s">
        <v>112</v>
      </c>
      <c r="K10" s="200" t="s">
        <v>566</v>
      </c>
      <c r="L10" s="110"/>
      <c r="M10" s="232">
        <f>'MARCH 20'!Q10:Q21</f>
        <v>0</v>
      </c>
      <c r="N10" s="321">
        <v>2500</v>
      </c>
      <c r="O10" s="232">
        <f t="shared" si="2"/>
        <v>2500</v>
      </c>
      <c r="P10" s="319">
        <v>2500</v>
      </c>
      <c r="Q10" s="319">
        <f t="shared" si="3"/>
        <v>0</v>
      </c>
      <c r="R10" s="78"/>
    </row>
    <row r="11" spans="1:18" ht="22.5" x14ac:dyDescent="0.25">
      <c r="A11" s="282" t="s">
        <v>283</v>
      </c>
      <c r="B11" s="274" t="s">
        <v>60</v>
      </c>
      <c r="C11" s="78">
        <f>'MARCH 20'!H11:H24</f>
        <v>0</v>
      </c>
      <c r="D11" s="280">
        <v>3000</v>
      </c>
      <c r="E11" s="281">
        <v>100</v>
      </c>
      <c r="F11" s="276">
        <f t="shared" si="0"/>
        <v>3100</v>
      </c>
      <c r="G11" s="277">
        <v>3100</v>
      </c>
      <c r="H11" s="273">
        <f t="shared" si="1"/>
        <v>0</v>
      </c>
      <c r="I11" s="150"/>
      <c r="J11" s="99" t="s">
        <v>114</v>
      </c>
      <c r="K11" s="200" t="s">
        <v>427</v>
      </c>
      <c r="L11" s="85"/>
      <c r="M11" s="232">
        <f>'MARCH 20'!Q11:Q22</f>
        <v>0</v>
      </c>
      <c r="N11" s="320">
        <v>2500</v>
      </c>
      <c r="O11" s="232">
        <f t="shared" si="2"/>
        <v>2500</v>
      </c>
      <c r="P11" s="234">
        <v>2500</v>
      </c>
      <c r="Q11" s="319">
        <f t="shared" si="3"/>
        <v>0</v>
      </c>
      <c r="R11" s="78"/>
    </row>
    <row r="12" spans="1:18" ht="22.5" x14ac:dyDescent="0.25">
      <c r="A12" s="282" t="s">
        <v>281</v>
      </c>
      <c r="B12" s="274" t="s">
        <v>62</v>
      </c>
      <c r="C12" s="78">
        <f>'MARCH 20'!H12:H25</f>
        <v>0</v>
      </c>
      <c r="D12" s="280"/>
      <c r="E12" s="281"/>
      <c r="F12" s="276">
        <f t="shared" si="0"/>
        <v>0</v>
      </c>
      <c r="G12" s="277"/>
      <c r="H12" s="273">
        <f t="shared" si="1"/>
        <v>0</v>
      </c>
      <c r="I12" s="150"/>
      <c r="J12" s="93" t="s">
        <v>116</v>
      </c>
      <c r="K12" s="249" t="s">
        <v>437</v>
      </c>
      <c r="L12" s="110">
        <v>1000</v>
      </c>
      <c r="M12" s="232"/>
      <c r="N12" s="325">
        <v>2500</v>
      </c>
      <c r="O12" s="232">
        <f t="shared" si="2"/>
        <v>3500</v>
      </c>
      <c r="P12" s="326"/>
      <c r="Q12" s="319">
        <f>O12-P12</f>
        <v>3500</v>
      </c>
      <c r="R12" s="78" t="s">
        <v>573</v>
      </c>
    </row>
    <row r="13" spans="1:18" ht="22.5" x14ac:dyDescent="0.25">
      <c r="A13" s="196" t="s">
        <v>519</v>
      </c>
      <c r="B13" s="284" t="s">
        <v>64</v>
      </c>
      <c r="C13" s="78">
        <f>'MARCH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1"/>
        <v>0</v>
      </c>
      <c r="I13" s="150"/>
      <c r="J13" s="83" t="s">
        <v>119</v>
      </c>
      <c r="K13" s="249" t="s">
        <v>120</v>
      </c>
      <c r="L13" s="85"/>
      <c r="M13" s="232">
        <f>'MARCH 20'!Q13:Q24</f>
        <v>0</v>
      </c>
      <c r="N13" s="320">
        <v>2500</v>
      </c>
      <c r="O13" s="232">
        <f t="shared" si="2"/>
        <v>2500</v>
      </c>
      <c r="P13" s="234">
        <v>2500</v>
      </c>
      <c r="Q13" s="319">
        <f t="shared" si="3"/>
        <v>0</v>
      </c>
      <c r="R13" s="78"/>
    </row>
    <row r="14" spans="1:18" ht="22.5" x14ac:dyDescent="0.25">
      <c r="A14" s="196" t="s">
        <v>281</v>
      </c>
      <c r="B14" s="284" t="s">
        <v>18</v>
      </c>
      <c r="C14" s="78">
        <f>'MARCH 20'!H14:H27</f>
        <v>0</v>
      </c>
      <c r="D14" s="285"/>
      <c r="E14" s="286"/>
      <c r="F14" s="276">
        <f>D14+E14</f>
        <v>0</v>
      </c>
      <c r="G14" s="277"/>
      <c r="H14" s="273">
        <f t="shared" si="1"/>
        <v>0</v>
      </c>
      <c r="I14" s="445"/>
      <c r="J14" s="83" t="s">
        <v>121</v>
      </c>
      <c r="K14" s="249" t="s">
        <v>420</v>
      </c>
      <c r="L14" s="85"/>
      <c r="M14" s="232">
        <f>'MARCH 20'!Q14:Q25</f>
        <v>0</v>
      </c>
      <c r="N14" s="320">
        <v>2500</v>
      </c>
      <c r="O14" s="232">
        <f t="shared" si="2"/>
        <v>2500</v>
      </c>
      <c r="P14" s="234">
        <f>2000+500</f>
        <v>2500</v>
      </c>
      <c r="Q14" s="319">
        <f t="shared" si="3"/>
        <v>0</v>
      </c>
      <c r="R14" s="78"/>
    </row>
    <row r="15" spans="1:18" ht="22.5" x14ac:dyDescent="0.25">
      <c r="A15" s="196" t="s">
        <v>460</v>
      </c>
      <c r="B15" s="284" t="s">
        <v>20</v>
      </c>
      <c r="C15" s="78">
        <f>'MARCH 20'!H15:H28</f>
        <v>0</v>
      </c>
      <c r="D15" s="285">
        <v>3000</v>
      </c>
      <c r="E15" s="286">
        <v>100</v>
      </c>
      <c r="F15" s="276">
        <f t="shared" si="0"/>
        <v>3100</v>
      </c>
      <c r="G15" s="277">
        <v>1500</v>
      </c>
      <c r="H15" s="273">
        <f t="shared" si="1"/>
        <v>1600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2"/>
        <v>3000</v>
      </c>
      <c r="P15" s="234">
        <v>2500</v>
      </c>
      <c r="Q15" s="319">
        <f t="shared" si="3"/>
        <v>500</v>
      </c>
      <c r="R15" s="78"/>
    </row>
    <row r="16" spans="1:18" ht="22.5" x14ac:dyDescent="0.25">
      <c r="A16" s="196" t="s">
        <v>531</v>
      </c>
      <c r="B16" s="284" t="s">
        <v>22</v>
      </c>
      <c r="C16" s="78">
        <f>'MARCH 20'!H16:H29</f>
        <v>0</v>
      </c>
      <c r="D16" s="285">
        <v>3000</v>
      </c>
      <c r="E16" s="286">
        <v>100</v>
      </c>
      <c r="F16" s="276">
        <f>C16+D16+E16</f>
        <v>3100</v>
      </c>
      <c r="G16" s="277">
        <v>2000</v>
      </c>
      <c r="H16" s="273">
        <f t="shared" si="1"/>
        <v>1100</v>
      </c>
      <c r="I16" s="150"/>
      <c r="J16" s="83" t="s">
        <v>125</v>
      </c>
      <c r="K16" s="200" t="s">
        <v>556</v>
      </c>
      <c r="L16" s="85"/>
      <c r="M16" s="232">
        <f>'MARCH 20'!Q16:Q27</f>
        <v>0</v>
      </c>
      <c r="N16" s="231">
        <v>1500</v>
      </c>
      <c r="O16" s="232">
        <f>L16+M16+N16</f>
        <v>1500</v>
      </c>
      <c r="P16" s="234">
        <v>1500</v>
      </c>
      <c r="Q16" s="319">
        <f t="shared" si="3"/>
        <v>0</v>
      </c>
      <c r="R16" s="78"/>
    </row>
    <row r="17" spans="1:18" x14ac:dyDescent="0.25">
      <c r="A17" s="524" t="s">
        <v>549</v>
      </c>
      <c r="B17" s="284" t="s">
        <v>24</v>
      </c>
      <c r="C17" s="78">
        <f>'MARCH 20'!H17:H30</f>
        <v>0</v>
      </c>
      <c r="D17" s="285">
        <v>3000</v>
      </c>
      <c r="E17" s="286">
        <v>100</v>
      </c>
      <c r="F17" s="276">
        <f>C17+D17+E17</f>
        <v>3100</v>
      </c>
      <c r="G17" s="277">
        <v>3100</v>
      </c>
      <c r="H17" s="273">
        <f t="shared" si="1"/>
        <v>0</v>
      </c>
      <c r="I17" s="150"/>
      <c r="J17" s="83"/>
      <c r="K17" s="200"/>
      <c r="L17" s="85"/>
      <c r="M17" s="232">
        <f>'MARCH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78">
        <f>'MARCH 20'!H18:H31</f>
        <v>0</v>
      </c>
      <c r="D18" s="285">
        <v>3000</v>
      </c>
      <c r="E18" s="286">
        <v>100</v>
      </c>
      <c r="F18" s="276">
        <f>C18+D18+E18</f>
        <v>3100</v>
      </c>
      <c r="G18" s="277">
        <v>3000</v>
      </c>
      <c r="H18" s="273">
        <f t="shared" si="1"/>
        <v>100</v>
      </c>
      <c r="I18" s="150"/>
      <c r="J18" s="83"/>
      <c r="K18" s="200"/>
      <c r="L18" s="85"/>
      <c r="M18" s="232">
        <f>'MARCH 20'!Q18:Q29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78">
        <f>'MARCH 20'!H19:H32</f>
        <v>0</v>
      </c>
      <c r="D19" s="285">
        <v>3000</v>
      </c>
      <c r="E19" s="286">
        <v>100</v>
      </c>
      <c r="F19" s="276">
        <f>C19+D19+E19</f>
        <v>3100</v>
      </c>
      <c r="G19" s="277">
        <v>3100</v>
      </c>
      <c r="H19" s="273">
        <f t="shared" si="1"/>
        <v>0</v>
      </c>
      <c r="I19" s="150"/>
      <c r="J19" s="83"/>
      <c r="K19" s="204" t="s">
        <v>193</v>
      </c>
      <c r="L19" s="205">
        <f>SUM(L7:L16)</f>
        <v>1500</v>
      </c>
      <c r="M19" s="232">
        <f>SUM(M7:M16)</f>
        <v>500</v>
      </c>
      <c r="N19" s="239">
        <f>SUM(N7:N16)</f>
        <v>19000</v>
      </c>
      <c r="O19" s="232">
        <f t="shared" si="2"/>
        <v>21000</v>
      </c>
      <c r="P19" s="240">
        <f>SUM(P7:P16)</f>
        <v>16500</v>
      </c>
      <c r="Q19" s="323">
        <f>SUM(Q7:Q16)</f>
        <v>4500</v>
      </c>
      <c r="R19" s="220">
        <f>N12+Q9</f>
        <v>3000</v>
      </c>
    </row>
    <row r="20" spans="1:18" x14ac:dyDescent="0.25">
      <c r="A20" s="294" t="s">
        <v>193</v>
      </c>
      <c r="B20" s="293"/>
      <c r="C20" s="275">
        <f>SUM(C6:C19)</f>
        <v>0</v>
      </c>
      <c r="D20" s="240">
        <f>SUM(D6:D19)</f>
        <v>30000</v>
      </c>
      <c r="E20" s="240">
        <f>SUM(E6:E19)</f>
        <v>1000</v>
      </c>
      <c r="F20" s="276">
        <f>C20+D20+E20</f>
        <v>31000</v>
      </c>
      <c r="G20" s="361">
        <f>SUM(G6:G19)</f>
        <v>27500</v>
      </c>
      <c r="H20" s="273">
        <f>SUM(H6:H19)</f>
        <v>3500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0"/>
      <c r="B21" s="530"/>
      <c r="C21" s="275">
        <f>'DECEMBER 19'!H18:H29</f>
        <v>0</v>
      </c>
      <c r="D21" s="345" t="s">
        <v>247</v>
      </c>
      <c r="E21" s="530"/>
      <c r="F21" s="530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'MARCH 20'!Q21:Q40</f>
        <v>0</v>
      </c>
      <c r="N21" s="320">
        <v>3500</v>
      </c>
      <c r="O21" s="232">
        <f t="shared" ref="O21:O38" si="4">L21+M21+N21</f>
        <v>3500</v>
      </c>
      <c r="P21" s="232">
        <v>2500</v>
      </c>
      <c r="Q21" s="319">
        <f t="shared" ref="Q21:Q37" si="5">O21-P21</f>
        <v>1000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'MARCH 20'!Q22:Q41</f>
        <v>0</v>
      </c>
      <c r="N22" s="320">
        <v>3500</v>
      </c>
      <c r="O22" s="232">
        <f t="shared" si="4"/>
        <v>3500</v>
      </c>
      <c r="P22" s="232">
        <v>3500</v>
      </c>
      <c r="Q22" s="319">
        <f t="shared" si="5"/>
        <v>0</v>
      </c>
      <c r="R22" s="78"/>
    </row>
    <row r="23" spans="1:18" x14ac:dyDescent="0.25">
      <c r="A23" s="191" t="s">
        <v>313</v>
      </c>
      <c r="B23" s="85"/>
      <c r="C23" s="86">
        <f>'MARCH 20'!G23:G30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 t="s">
        <v>498</v>
      </c>
      <c r="L23" s="110"/>
      <c r="M23" s="232">
        <f>'MARCH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'FEBRUARY 20'!H24:H32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>
        <v>3500</v>
      </c>
      <c r="M24" s="232"/>
      <c r="N24" s="321">
        <v>3500</v>
      </c>
      <c r="O24" s="232">
        <f t="shared" si="4"/>
        <v>7000</v>
      </c>
      <c r="P24" s="319">
        <v>6000</v>
      </c>
      <c r="Q24" s="319">
        <f t="shared" si="5"/>
        <v>1000</v>
      </c>
      <c r="R24" s="78"/>
    </row>
    <row r="25" spans="1:18" ht="22.5" x14ac:dyDescent="0.25">
      <c r="A25" s="191" t="s">
        <v>411</v>
      </c>
      <c r="B25" s="85"/>
      <c r="C25" s="86">
        <f>'FEBRUARY 20'!H25:H33</f>
        <v>0</v>
      </c>
      <c r="D25" s="231">
        <v>4000</v>
      </c>
      <c r="E25" s="232">
        <f t="shared" si="6"/>
        <v>4000</v>
      </c>
      <c r="F25" s="78"/>
      <c r="G25" s="273">
        <f>E25-F25</f>
        <v>4000</v>
      </c>
      <c r="H25" s="273"/>
      <c r="I25" s="78" t="s">
        <v>577</v>
      </c>
      <c r="J25" s="83">
        <v>5</v>
      </c>
      <c r="K25" s="200" t="s">
        <v>505</v>
      </c>
      <c r="L25" s="85"/>
      <c r="M25" s="232">
        <f>'MARCH 20'!Q25:Q44</f>
        <v>0</v>
      </c>
      <c r="N25" s="320">
        <v>3500</v>
      </c>
      <c r="O25" s="232">
        <f t="shared" si="4"/>
        <v>3500</v>
      </c>
      <c r="P25" s="234"/>
      <c r="Q25" s="319">
        <f t="shared" si="5"/>
        <v>3500</v>
      </c>
      <c r="R25" s="78" t="s">
        <v>574</v>
      </c>
    </row>
    <row r="26" spans="1:18" ht="22.5" x14ac:dyDescent="0.25">
      <c r="A26" s="191"/>
      <c r="B26" s="85"/>
      <c r="C26" s="86">
        <f>'FEBRUARY 20'!H26:H34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'MARCH 20'!Q26:Q45</f>
        <v>1500</v>
      </c>
      <c r="N26" s="325">
        <v>3500</v>
      </c>
      <c r="O26" s="232">
        <f t="shared" si="4"/>
        <v>5000</v>
      </c>
      <c r="P26" s="326">
        <v>3500</v>
      </c>
      <c r="Q26" s="319">
        <f t="shared" si="5"/>
        <v>1500</v>
      </c>
      <c r="R26" s="78"/>
    </row>
    <row r="27" spans="1:18" ht="22.5" x14ac:dyDescent="0.25">
      <c r="A27" s="191" t="s">
        <v>350</v>
      </c>
      <c r="B27" s="86"/>
      <c r="C27" s="86">
        <f>'FEBRUARY 20'!H27:H35</f>
        <v>0</v>
      </c>
      <c r="D27" s="231">
        <v>4000</v>
      </c>
      <c r="E27" s="232">
        <f t="shared" si="6"/>
        <v>4000</v>
      </c>
      <c r="F27" s="110"/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'MARCH 20'!Q27:Q46</f>
        <v>0</v>
      </c>
      <c r="N27" s="320">
        <v>3500</v>
      </c>
      <c r="O27" s="232">
        <f t="shared" si="4"/>
        <v>3500</v>
      </c>
      <c r="P27" s="234">
        <v>3500</v>
      </c>
      <c r="Q27" s="319">
        <f t="shared" si="5"/>
        <v>0</v>
      </c>
      <c r="R27" s="220"/>
    </row>
    <row r="28" spans="1:18" ht="22.5" x14ac:dyDescent="0.25">
      <c r="A28" s="191" t="s">
        <v>392</v>
      </c>
      <c r="B28" s="85"/>
      <c r="C28" s="86">
        <f>'FEBRUARY 20'!H28:H36</f>
        <v>0</v>
      </c>
      <c r="D28" s="231">
        <v>4000</v>
      </c>
      <c r="E28" s="232">
        <f t="shared" si="6"/>
        <v>4000</v>
      </c>
      <c r="F28" s="110"/>
      <c r="G28" s="273">
        <f t="shared" si="7"/>
        <v>4000</v>
      </c>
      <c r="H28" s="273"/>
      <c r="I28" s="78" t="s">
        <v>573</v>
      </c>
      <c r="J28" s="83">
        <v>8</v>
      </c>
      <c r="K28" s="249" t="s">
        <v>555</v>
      </c>
      <c r="L28" s="85"/>
      <c r="M28" s="232">
        <f>'MARCH 20'!Q28:Q47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'FEBRUARY 20'!H29:H37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'MARCH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'FEBRUARY 20'!H30:H38</f>
        <v>0</v>
      </c>
      <c r="D30" s="231">
        <v>4000</v>
      </c>
      <c r="E30" s="232">
        <f t="shared" si="6"/>
        <v>4000</v>
      </c>
      <c r="F30" s="110"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'MARCH 20'!Q30:Q49</f>
        <v>0</v>
      </c>
      <c r="N30" s="320">
        <v>3500</v>
      </c>
      <c r="O30" s="232">
        <f t="shared" si="4"/>
        <v>3500</v>
      </c>
      <c r="P30" s="234">
        <f>2400+1100</f>
        <v>3500</v>
      </c>
      <c r="Q30" s="319">
        <f t="shared" si="5"/>
        <v>0</v>
      </c>
      <c r="R30" s="78"/>
    </row>
    <row r="31" spans="1:18" ht="22.5" x14ac:dyDescent="0.25">
      <c r="A31" s="339" t="s">
        <v>193</v>
      </c>
      <c r="B31" s="42"/>
      <c r="C31" s="86">
        <f>SUM(C23:C30)</f>
        <v>0</v>
      </c>
      <c r="D31" s="240">
        <f>SUM(D23:D30)</f>
        <v>27500</v>
      </c>
      <c r="E31" s="322">
        <f>SUM(E23:E30)</f>
        <v>27500</v>
      </c>
      <c r="F31" s="240">
        <f>SUM(F23:F30)</f>
        <v>15500</v>
      </c>
      <c r="G31" s="273">
        <f>E31-F31</f>
        <v>12000</v>
      </c>
      <c r="H31" s="273"/>
      <c r="I31" s="78"/>
      <c r="J31" s="83">
        <v>11</v>
      </c>
      <c r="K31" s="249" t="s">
        <v>474</v>
      </c>
      <c r="L31" s="85"/>
      <c r="M31" s="232">
        <f>'MARCH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>
        <f>4300-2850</f>
        <v>1450</v>
      </c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'MARCH 20'!Q32:Q51</f>
        <v>0</v>
      </c>
      <c r="N32" s="320">
        <v>3500</v>
      </c>
      <c r="O32" s="232">
        <f t="shared" si="4"/>
        <v>3500</v>
      </c>
      <c r="P32" s="234">
        <v>2000</v>
      </c>
      <c r="Q32" s="319">
        <f t="shared" si="5"/>
        <v>1500</v>
      </c>
      <c r="R32" s="78">
        <f>R31-1100</f>
        <v>350</v>
      </c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512</v>
      </c>
      <c r="L33" s="85"/>
      <c r="M33" s="232">
        <f>'MARCH 20'!Q33:Q52</f>
        <v>0</v>
      </c>
      <c r="N33" s="320">
        <v>3500</v>
      </c>
      <c r="O33" s="232">
        <f t="shared" si="4"/>
        <v>3500</v>
      </c>
      <c r="P33" s="234">
        <v>1500</v>
      </c>
      <c r="Q33" s="319">
        <f>O33-P33</f>
        <v>2000</v>
      </c>
      <c r="R33" s="78"/>
    </row>
    <row r="34" spans="1:18" ht="22.5" x14ac:dyDescent="0.25">
      <c r="A34" s="211" t="s">
        <v>338</v>
      </c>
      <c r="B34" s="273">
        <f>D31+D20</f>
        <v>57500</v>
      </c>
      <c r="C34" s="164"/>
      <c r="D34" s="164"/>
      <c r="E34" s="211" t="s">
        <v>338</v>
      </c>
      <c r="F34" s="273">
        <f>F31+G20</f>
        <v>43000</v>
      </c>
      <c r="G34" s="164"/>
      <c r="H34" s="273"/>
      <c r="I34" s="78"/>
      <c r="J34" s="83">
        <v>14</v>
      </c>
      <c r="K34" s="200" t="s">
        <v>480</v>
      </c>
      <c r="L34" s="85"/>
      <c r="M34" s="232">
        <f>'MARCH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5750</v>
      </c>
      <c r="D35" s="211"/>
      <c r="E35" s="211" t="s">
        <v>209</v>
      </c>
      <c r="F35" s="307">
        <v>0.1</v>
      </c>
      <c r="G35" s="308">
        <f>C35</f>
        <v>5750</v>
      </c>
      <c r="H35" s="273"/>
      <c r="I35" s="78"/>
      <c r="J35" s="83">
        <v>15</v>
      </c>
      <c r="K35" s="200" t="s">
        <v>558</v>
      </c>
      <c r="L35" s="85"/>
      <c r="M35" s="232">
        <f>'MARCH 20'!Q35:Q56</f>
        <v>0</v>
      </c>
      <c r="N35" s="320">
        <v>3500</v>
      </c>
      <c r="O35" s="232">
        <f>L35+M35+N35</f>
        <v>3500</v>
      </c>
      <c r="P35" s="234"/>
      <c r="Q35" s="319">
        <f>O35-P35</f>
        <v>3500</v>
      </c>
      <c r="R35" s="78" t="s">
        <v>522</v>
      </c>
    </row>
    <row r="36" spans="1:18" ht="22.5" x14ac:dyDescent="0.25">
      <c r="A36" s="309" t="s">
        <v>232</v>
      </c>
      <c r="B36" s="308">
        <f>E20</f>
        <v>1000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'MARCH 20'!Q36:Q57</f>
        <v>0</v>
      </c>
      <c r="N36" s="320">
        <v>3500</v>
      </c>
      <c r="O36" s="232">
        <f>L36+M36+N36</f>
        <v>3500</v>
      </c>
      <c r="P36" s="234">
        <v>2000</v>
      </c>
      <c r="Q36" s="319">
        <f t="shared" si="5"/>
        <v>1500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565</v>
      </c>
      <c r="L37" s="85">
        <v>3500</v>
      </c>
      <c r="M37" s="232">
        <f>'MARCH 20'!Q37:Q58</f>
        <v>0</v>
      </c>
      <c r="N37" s="320">
        <v>3500</v>
      </c>
      <c r="O37" s="232">
        <f t="shared" si="4"/>
        <v>7000</v>
      </c>
      <c r="P37" s="234">
        <v>6000</v>
      </c>
      <c r="Q37" s="319">
        <f t="shared" si="5"/>
        <v>1000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'MARCH 20'!Q38:Q59</f>
        <v>0</v>
      </c>
      <c r="N38" s="320">
        <v>3500</v>
      </c>
      <c r="O38" s="232">
        <f t="shared" si="4"/>
        <v>3500</v>
      </c>
      <c r="P38" s="234"/>
      <c r="Q38" s="319">
        <f>O38-P38</f>
        <v>3500</v>
      </c>
      <c r="R38" s="78" t="s">
        <v>573</v>
      </c>
    </row>
    <row r="39" spans="1:18" ht="22.5" x14ac:dyDescent="0.25">
      <c r="A39" s="309" t="s">
        <v>239</v>
      </c>
      <c r="B39" s="308">
        <f>'MARCH 20'!D50</f>
        <v>0.34230528003536165</v>
      </c>
      <c r="C39" s="211"/>
      <c r="D39" s="211"/>
      <c r="E39" s="309" t="s">
        <v>239</v>
      </c>
      <c r="F39" s="308">
        <f>'MARCH 20'!H50</f>
        <v>-2263.7247999999672</v>
      </c>
      <c r="G39" s="211"/>
      <c r="H39" s="273"/>
      <c r="I39" s="78"/>
      <c r="J39" s="83">
        <v>19</v>
      </c>
      <c r="K39" s="200" t="s">
        <v>516</v>
      </c>
      <c r="L39" s="85"/>
      <c r="M39" s="232">
        <f>'MARCH 20'!Q39:Q60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 t="s">
        <v>573</v>
      </c>
    </row>
    <row r="40" spans="1:18" ht="22.5" x14ac:dyDescent="0.25">
      <c r="A40" s="309" t="s">
        <v>193</v>
      </c>
      <c r="B40" s="308">
        <f>B34+B36+B39+B37</f>
        <v>61500.342305280035</v>
      </c>
      <c r="C40" s="211"/>
      <c r="D40" s="211"/>
      <c r="E40" s="309" t="s">
        <v>193</v>
      </c>
      <c r="F40" s="308">
        <f>F34+F36+F39+F37</f>
        <v>43736.275200000033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'MARCH 20'!Q40:Q61</f>
        <v>3500</v>
      </c>
      <c r="N40" s="320">
        <v>3500</v>
      </c>
      <c r="O40" s="232">
        <f>L40+M40+N40</f>
        <v>7000</v>
      </c>
      <c r="P40" s="234"/>
      <c r="Q40" s="319">
        <f>O40-P40</f>
        <v>7000</v>
      </c>
      <c r="R40" s="78" t="s">
        <v>575</v>
      </c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7000</v>
      </c>
      <c r="M41" s="232">
        <f>SUM(M21:M40)</f>
        <v>5000</v>
      </c>
      <c r="N41" s="239">
        <f>SUM(N21:N40)</f>
        <v>66500</v>
      </c>
      <c r="O41" s="232">
        <f>L41+M41+N41</f>
        <v>78500</v>
      </c>
      <c r="P41" s="240">
        <f>SUM(P21:P40)</f>
        <v>51500</v>
      </c>
      <c r="Q41" s="319">
        <f>O41-P41</f>
        <v>27000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338</v>
      </c>
      <c r="K44" s="273">
        <f>N41+N19</f>
        <v>85500</v>
      </c>
      <c r="L44" s="164"/>
      <c r="M44" s="164"/>
      <c r="N44" s="211" t="s">
        <v>338</v>
      </c>
      <c r="O44" s="273">
        <f>P41+P19</f>
        <v>68000</v>
      </c>
      <c r="P44" s="164"/>
      <c r="Q44" s="273"/>
      <c r="R44" s="78"/>
    </row>
    <row r="45" spans="1:18" ht="12.75" customHeight="1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8550</v>
      </c>
      <c r="M45" s="211"/>
      <c r="N45" s="211" t="s">
        <v>209</v>
      </c>
      <c r="O45" s="307">
        <v>0.1</v>
      </c>
      <c r="P45" s="308">
        <f>L45</f>
        <v>8550</v>
      </c>
      <c r="Q45" s="273"/>
      <c r="R45" s="78"/>
    </row>
    <row r="46" spans="1:18" x14ac:dyDescent="0.25">
      <c r="A46" s="370" t="s">
        <v>571</v>
      </c>
      <c r="B46" s="370"/>
      <c r="C46" s="368">
        <v>3000</v>
      </c>
      <c r="D46" s="370"/>
      <c r="E46" s="370" t="s">
        <v>571</v>
      </c>
      <c r="F46" s="370"/>
      <c r="G46" s="368">
        <v>3000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572</v>
      </c>
      <c r="B47" s="370"/>
      <c r="C47" s="371">
        <v>3000</v>
      </c>
      <c r="D47" s="370"/>
      <c r="E47" s="369" t="s">
        <v>572</v>
      </c>
      <c r="F47" s="370"/>
      <c r="G47" s="371">
        <v>3000</v>
      </c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 t="s">
        <v>576</v>
      </c>
      <c r="B48" s="370"/>
      <c r="C48" s="371">
        <v>28986</v>
      </c>
      <c r="D48" s="370"/>
      <c r="E48" s="369" t="s">
        <v>576</v>
      </c>
      <c r="F48" s="370"/>
      <c r="G48" s="371">
        <v>28986</v>
      </c>
      <c r="H48" s="368"/>
      <c r="I48" s="78"/>
      <c r="J48" s="309" t="s">
        <v>470</v>
      </c>
      <c r="K48" s="308">
        <f>L41</f>
        <v>7000</v>
      </c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'MARCH 20'!M57</f>
        <v>0.30000000000291038</v>
      </c>
      <c r="L49" s="211"/>
      <c r="M49" s="211"/>
      <c r="N49" s="309" t="s">
        <v>239</v>
      </c>
      <c r="O49" s="308">
        <f>'MARCH 20'!Q57</f>
        <v>1500.9000000000087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55750.342305280035</v>
      </c>
      <c r="C50" s="318">
        <f>SUM(C41:C49)</f>
        <v>37986</v>
      </c>
      <c r="D50" s="318">
        <f>B50-C50</f>
        <v>17764.342305280035</v>
      </c>
      <c r="E50" s="166" t="s">
        <v>193</v>
      </c>
      <c r="F50" s="317">
        <f>F34+F36+F37+F39-G35</f>
        <v>37986.275200000033</v>
      </c>
      <c r="G50" s="318">
        <f>SUM(G41:G49)</f>
        <v>37986</v>
      </c>
      <c r="H50" s="318">
        <f>F50-G50</f>
        <v>0.27520000003278255</v>
      </c>
      <c r="I50" s="78"/>
      <c r="J50" s="309" t="s">
        <v>193</v>
      </c>
      <c r="K50" s="308">
        <f>K44+K46+K49+K48</f>
        <v>92500.3</v>
      </c>
      <c r="L50" s="211"/>
      <c r="M50" s="211"/>
      <c r="N50" s="309" t="s">
        <v>193</v>
      </c>
      <c r="O50" s="308">
        <f>O44+O46+O49+O47</f>
        <v>69501.200000000012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295</v>
      </c>
      <c r="K52" s="380"/>
      <c r="L52" s="367">
        <v>3500</v>
      </c>
      <c r="M52" s="366"/>
      <c r="N52" s="365" t="s">
        <v>295</v>
      </c>
      <c r="O52" s="380"/>
      <c r="P52" s="367">
        <v>3500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576</v>
      </c>
      <c r="K53" s="370"/>
      <c r="L53" s="371">
        <v>50450</v>
      </c>
      <c r="M53" s="366"/>
      <c r="N53" s="369" t="s">
        <v>576</v>
      </c>
      <c r="O53" s="370"/>
      <c r="P53" s="371">
        <v>50450</v>
      </c>
      <c r="Q53" s="368"/>
      <c r="R53" s="78"/>
    </row>
    <row r="54" spans="1:18" s="78" customFormat="1" x14ac:dyDescent="0.25">
      <c r="J54" s="369" t="s">
        <v>568</v>
      </c>
      <c r="K54" s="370"/>
      <c r="L54" s="371">
        <v>500</v>
      </c>
      <c r="M54" s="370"/>
      <c r="N54" s="369" t="s">
        <v>568</v>
      </c>
      <c r="O54" s="370"/>
      <c r="P54" s="371">
        <v>500</v>
      </c>
      <c r="Q54" s="368"/>
    </row>
    <row r="55" spans="1:18" x14ac:dyDescent="0.25">
      <c r="A55" s="150"/>
      <c r="B55" s="150"/>
      <c r="C55" s="150"/>
      <c r="D55" s="150"/>
      <c r="E55" s="269"/>
      <c r="F55" s="150"/>
      <c r="G55" s="150"/>
      <c r="H55" s="269"/>
      <c r="I55" s="78"/>
      <c r="J55" s="369" t="s">
        <v>516</v>
      </c>
      <c r="K55" s="370"/>
      <c r="L55" s="371">
        <f>N39</f>
        <v>3500</v>
      </c>
      <c r="M55" s="370"/>
      <c r="N55" s="369" t="s">
        <v>516</v>
      </c>
      <c r="O55" s="370"/>
      <c r="P55" s="371">
        <f>L55</f>
        <v>3500</v>
      </c>
      <c r="Q55" s="368"/>
      <c r="R55" s="78"/>
    </row>
    <row r="56" spans="1:18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66" t="s">
        <v>193</v>
      </c>
      <c r="K56" s="317">
        <f>K44+K48+K49-L45-L47</f>
        <v>83950.3</v>
      </c>
      <c r="L56" s="318">
        <f>SUM(L52:L55)</f>
        <v>57950</v>
      </c>
      <c r="M56" s="318">
        <f>K56-L56</f>
        <v>26000.300000000003</v>
      </c>
      <c r="N56" s="166" t="s">
        <v>193</v>
      </c>
      <c r="O56" s="317">
        <f>O44+O46+O47+O49-P45-P47</f>
        <v>60951.200000000012</v>
      </c>
      <c r="P56" s="318">
        <f>SUM(P52:P55)</f>
        <v>57950</v>
      </c>
      <c r="Q56" s="318">
        <f>O56-P56</f>
        <v>3001.2000000000116</v>
      </c>
      <c r="R56" s="78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71</v>
      </c>
      <c r="K57" s="79"/>
      <c r="L57" s="78"/>
      <c r="M57" s="150" t="s">
        <v>72</v>
      </c>
      <c r="N57" s="78"/>
      <c r="O57" s="78"/>
      <c r="P57" s="150" t="s">
        <v>73</v>
      </c>
      <c r="Q57" s="269"/>
      <c r="R57" s="220"/>
    </row>
    <row r="58" spans="1:18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150" t="s">
        <v>471</v>
      </c>
      <c r="K58" s="150"/>
      <c r="L58" s="78"/>
      <c r="M58" s="150" t="s">
        <v>135</v>
      </c>
      <c r="N58" s="78"/>
      <c r="O58" s="78"/>
      <c r="P58" s="150" t="s">
        <v>130</v>
      </c>
      <c r="Q58" s="78"/>
      <c r="R58" s="220"/>
    </row>
    <row r="59" spans="1:18" x14ac:dyDescent="0.25">
      <c r="A59" s="78"/>
      <c r="B59" s="78"/>
      <c r="C59" s="78"/>
      <c r="D59" s="78"/>
      <c r="E59" s="78"/>
      <c r="F59" s="220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  <row r="61" spans="1:18" x14ac:dyDescent="0.25">
      <c r="A61" s="78"/>
      <c r="B61" s="78"/>
      <c r="C61" s="78"/>
      <c r="D61" s="78"/>
      <c r="E61" s="78"/>
      <c r="F61" s="78"/>
      <c r="G61" s="220"/>
      <c r="H61" s="78"/>
      <c r="I61" s="78"/>
      <c r="J61" s="78"/>
      <c r="K61" s="78"/>
      <c r="L61" s="78"/>
      <c r="M61" s="220"/>
      <c r="N61" s="78"/>
      <c r="O61" s="78"/>
      <c r="P61" s="78"/>
      <c r="Q61" s="78"/>
      <c r="R61" s="78"/>
    </row>
    <row r="62" spans="1:18" x14ac:dyDescent="0.25">
      <c r="A62" s="78"/>
      <c r="B62" s="78"/>
      <c r="C62" s="78"/>
      <c r="D62" s="78"/>
      <c r="E62" s="78"/>
      <c r="F62" s="220"/>
      <c r="G62" s="78"/>
      <c r="H62" s="78"/>
      <c r="I62" s="220">
        <f>Q56+H50</f>
        <v>3001.4752000000444</v>
      </c>
      <c r="J62" s="78"/>
      <c r="K62" s="78"/>
      <c r="L62" s="78"/>
      <c r="M62" s="78"/>
      <c r="N62" s="78"/>
      <c r="O62" s="78"/>
      <c r="P62" s="78"/>
      <c r="Q62" s="78"/>
      <c r="R62" s="78"/>
    </row>
    <row r="63" spans="1:18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6" spans="8:8" x14ac:dyDescent="0.25">
      <c r="H66" s="220">
        <f>Q56+H50</f>
        <v>3001.4752000000444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13" workbookViewId="0">
      <selection activeCell="D79" sqref="D79"/>
    </sheetView>
  </sheetViews>
  <sheetFormatPr defaultRowHeight="15" x14ac:dyDescent="0.25"/>
  <cols>
    <col min="2" max="2" width="20.28515625" customWidth="1"/>
    <col min="4" max="4" width="11.28515625" customWidth="1"/>
    <col min="7" max="7" width="11.425781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1" x14ac:dyDescent="0.25">
      <c r="A3" s="8"/>
      <c r="B3" s="64" t="s">
        <v>144</v>
      </c>
      <c r="C3" s="11"/>
      <c r="D3" s="11"/>
      <c r="E3" s="11"/>
      <c r="F3" s="103"/>
      <c r="G3" s="103"/>
      <c r="H3" s="103"/>
      <c r="J3" s="80"/>
      <c r="K3" s="80"/>
      <c r="L3" s="80"/>
    </row>
    <row r="4" spans="1:12" ht="26.25" x14ac:dyDescent="0.25">
      <c r="A4" s="8"/>
      <c r="B4" s="9"/>
      <c r="C4" s="64"/>
      <c r="D4" s="11"/>
      <c r="E4" s="11"/>
      <c r="F4" s="11"/>
      <c r="G4" s="103"/>
      <c r="H4" s="103"/>
      <c r="I4" s="103"/>
      <c r="J4" s="80"/>
      <c r="K4" s="80"/>
      <c r="L4" s="80"/>
    </row>
    <row r="5" spans="1:12" x14ac:dyDescent="0.25">
      <c r="A5" s="13" t="s">
        <v>3</v>
      </c>
      <c r="B5" s="14" t="s">
        <v>4</v>
      </c>
      <c r="C5" s="14" t="s">
        <v>5</v>
      </c>
      <c r="D5" s="14" t="s">
        <v>97</v>
      </c>
      <c r="E5" s="14" t="s">
        <v>9</v>
      </c>
      <c r="F5" s="15" t="s">
        <v>10</v>
      </c>
      <c r="G5" s="15" t="s">
        <v>11</v>
      </c>
      <c r="H5" s="14" t="s">
        <v>12</v>
      </c>
      <c r="I5" s="14" t="s">
        <v>13</v>
      </c>
      <c r="J5" s="15" t="s">
        <v>14</v>
      </c>
      <c r="K5" s="15" t="s">
        <v>15</v>
      </c>
      <c r="L5" s="15" t="s">
        <v>16</v>
      </c>
    </row>
    <row r="6" spans="1:12" x14ac:dyDescent="0.25">
      <c r="A6" s="16">
        <v>1</v>
      </c>
      <c r="B6" s="116" t="s">
        <v>83</v>
      </c>
      <c r="C6" s="17" t="s">
        <v>18</v>
      </c>
      <c r="D6" s="18"/>
      <c r="E6" s="18">
        <v>2500</v>
      </c>
      <c r="F6" s="18">
        <v>100</v>
      </c>
      <c r="G6" s="18">
        <f>D6+E6+F6</f>
        <v>2600</v>
      </c>
      <c r="H6" s="19">
        <v>2500</v>
      </c>
      <c r="I6" s="19">
        <v>100</v>
      </c>
      <c r="J6" s="18"/>
      <c r="K6" s="18">
        <v>0</v>
      </c>
      <c r="L6" s="18">
        <f>G6-H6-I6</f>
        <v>0</v>
      </c>
    </row>
    <row r="7" spans="1:12" x14ac:dyDescent="0.25">
      <c r="A7" s="16">
        <v>2</v>
      </c>
      <c r="B7" s="116" t="s">
        <v>84</v>
      </c>
      <c r="C7" s="17" t="s">
        <v>20</v>
      </c>
      <c r="D7" s="18"/>
      <c r="E7" s="18">
        <v>2500</v>
      </c>
      <c r="F7" s="18">
        <v>100</v>
      </c>
      <c r="G7" s="18">
        <f t="shared" ref="G7:G29" si="0">D7+E7+F7</f>
        <v>2600</v>
      </c>
      <c r="H7" s="19">
        <v>2500</v>
      </c>
      <c r="I7" s="19">
        <v>100</v>
      </c>
      <c r="J7" s="18"/>
      <c r="K7" s="18"/>
      <c r="L7" s="18">
        <f t="shared" ref="L7:L29" si="1">G7-H7-I7</f>
        <v>0</v>
      </c>
    </row>
    <row r="8" spans="1:12" x14ac:dyDescent="0.25">
      <c r="A8" s="16">
        <v>3</v>
      </c>
      <c r="B8" s="116" t="s">
        <v>85</v>
      </c>
      <c r="C8" s="17" t="s">
        <v>22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68"/>
      <c r="K8" s="68"/>
      <c r="L8" s="18">
        <f t="shared" si="1"/>
        <v>0</v>
      </c>
    </row>
    <row r="9" spans="1:12" x14ac:dyDescent="0.25">
      <c r="A9" s="16">
        <v>4</v>
      </c>
      <c r="B9" s="116" t="s">
        <v>23</v>
      </c>
      <c r="C9" s="17" t="s">
        <v>24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5</v>
      </c>
      <c r="B10" s="116" t="s">
        <v>25</v>
      </c>
      <c r="C10" s="17" t="s">
        <v>26</v>
      </c>
      <c r="D10" s="18">
        <v>0</v>
      </c>
      <c r="E10" s="18">
        <v>2500</v>
      </c>
      <c r="F10" s="18">
        <v>100</v>
      </c>
      <c r="G10" s="18">
        <f t="shared" si="0"/>
        <v>2600</v>
      </c>
      <c r="H10" s="19">
        <v>2500</v>
      </c>
      <c r="I10" s="19">
        <v>100</v>
      </c>
      <c r="J10" s="74"/>
      <c r="K10" s="75"/>
      <c r="L10" s="18">
        <f t="shared" si="1"/>
        <v>0</v>
      </c>
    </row>
    <row r="11" spans="1:12" x14ac:dyDescent="0.25">
      <c r="A11" s="16">
        <v>6</v>
      </c>
      <c r="B11" s="116" t="s">
        <v>27</v>
      </c>
      <c r="C11" s="17" t="s">
        <v>28</v>
      </c>
      <c r="D11" s="18"/>
      <c r="E11" s="18">
        <v>2500</v>
      </c>
      <c r="F11" s="18">
        <v>100</v>
      </c>
      <c r="G11" s="18">
        <f t="shared" si="0"/>
        <v>2600</v>
      </c>
      <c r="H11" s="19">
        <v>4100</v>
      </c>
      <c r="I11" s="19">
        <v>0</v>
      </c>
      <c r="J11" s="74"/>
      <c r="K11" s="75"/>
      <c r="L11" s="18">
        <f t="shared" si="1"/>
        <v>-1500</v>
      </c>
    </row>
    <row r="12" spans="1:12" x14ac:dyDescent="0.25">
      <c r="A12" s="16">
        <v>7</v>
      </c>
      <c r="B12" s="116" t="s">
        <v>86</v>
      </c>
      <c r="C12" s="17" t="s">
        <v>30</v>
      </c>
      <c r="D12" s="18">
        <v>0</v>
      </c>
      <c r="E12" s="18">
        <v>2500</v>
      </c>
      <c r="F12" s="18">
        <v>100</v>
      </c>
      <c r="G12" s="18">
        <f t="shared" si="0"/>
        <v>2600</v>
      </c>
      <c r="H12" s="19">
        <v>2500</v>
      </c>
      <c r="I12" s="19">
        <v>100</v>
      </c>
      <c r="J12" s="74"/>
      <c r="K12" s="76"/>
      <c r="L12" s="18">
        <f t="shared" si="1"/>
        <v>0</v>
      </c>
    </row>
    <row r="13" spans="1:12" x14ac:dyDescent="0.25">
      <c r="A13" s="16">
        <v>8</v>
      </c>
      <c r="B13" s="124" t="s">
        <v>138</v>
      </c>
      <c r="C13" s="17" t="s">
        <v>32</v>
      </c>
      <c r="D13" s="18"/>
      <c r="E13" s="18">
        <v>2500</v>
      </c>
      <c r="F13" s="18">
        <v>100</v>
      </c>
      <c r="G13" s="18">
        <f t="shared" si="0"/>
        <v>2600</v>
      </c>
      <c r="H13" s="19">
        <v>5200</v>
      </c>
      <c r="I13" s="19">
        <v>0</v>
      </c>
      <c r="J13" s="113"/>
      <c r="K13" s="113"/>
      <c r="L13" s="18">
        <f t="shared" si="1"/>
        <v>-2600</v>
      </c>
    </row>
    <row r="14" spans="1:12" x14ac:dyDescent="0.25">
      <c r="A14" s="16">
        <v>9</v>
      </c>
      <c r="B14" s="116" t="s">
        <v>87</v>
      </c>
      <c r="C14" s="17" t="s">
        <v>34</v>
      </c>
      <c r="D14" s="18">
        <v>0</v>
      </c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>
        <v>0</v>
      </c>
      <c r="K14" s="18">
        <v>0</v>
      </c>
      <c r="L14" s="18">
        <f t="shared" si="1"/>
        <v>0</v>
      </c>
    </row>
    <row r="15" spans="1:12" x14ac:dyDescent="0.25">
      <c r="A15" s="16">
        <v>10</v>
      </c>
      <c r="B15" s="116" t="s">
        <v>95</v>
      </c>
      <c r="C15" s="17" t="s">
        <v>36</v>
      </c>
      <c r="D15" s="18"/>
      <c r="E15" s="18">
        <v>2500</v>
      </c>
      <c r="F15" s="18">
        <v>100</v>
      </c>
      <c r="G15" s="18">
        <f t="shared" si="0"/>
        <v>2600</v>
      </c>
      <c r="H15" s="19">
        <v>2500</v>
      </c>
      <c r="I15" s="19">
        <v>100</v>
      </c>
      <c r="J15" s="18"/>
      <c r="K15" s="18">
        <v>0</v>
      </c>
      <c r="L15" s="18">
        <f t="shared" si="1"/>
        <v>0</v>
      </c>
    </row>
    <row r="16" spans="1:12" x14ac:dyDescent="0.25">
      <c r="A16" s="16">
        <v>11</v>
      </c>
      <c r="B16" s="116" t="s">
        <v>145</v>
      </c>
      <c r="C16" s="17" t="s">
        <v>38</v>
      </c>
      <c r="D16" s="18">
        <v>2500</v>
      </c>
      <c r="E16" s="18">
        <v>2500</v>
      </c>
      <c r="F16" s="18"/>
      <c r="G16" s="18">
        <v>2500</v>
      </c>
      <c r="H16" s="19">
        <v>2500</v>
      </c>
      <c r="I16" s="19"/>
      <c r="J16" s="18">
        <v>0</v>
      </c>
      <c r="K16" s="18">
        <v>0</v>
      </c>
      <c r="L16" s="18">
        <f t="shared" si="1"/>
        <v>0</v>
      </c>
    </row>
    <row r="17" spans="1:12" x14ac:dyDescent="0.25">
      <c r="A17" s="16">
        <v>12</v>
      </c>
      <c r="B17" s="116" t="s">
        <v>89</v>
      </c>
      <c r="C17" s="17" t="s">
        <v>40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/>
      <c r="K17" s="18">
        <v>0</v>
      </c>
      <c r="L17" s="18">
        <f t="shared" si="1"/>
        <v>0</v>
      </c>
    </row>
    <row r="18" spans="1:12" x14ac:dyDescent="0.25">
      <c r="A18" s="16">
        <v>13</v>
      </c>
      <c r="B18" s="116" t="s">
        <v>41</v>
      </c>
      <c r="C18" s="17" t="s">
        <v>42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>
        <v>0</v>
      </c>
      <c r="K18" s="18">
        <v>0</v>
      </c>
      <c r="L18" s="18">
        <f t="shared" si="1"/>
        <v>0</v>
      </c>
    </row>
    <row r="19" spans="1:12" x14ac:dyDescent="0.25">
      <c r="A19" s="16">
        <v>14</v>
      </c>
      <c r="B19" s="116" t="s">
        <v>43</v>
      </c>
      <c r="C19" s="17" t="s">
        <v>44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/>
      <c r="L19" s="18">
        <f t="shared" si="1"/>
        <v>0</v>
      </c>
    </row>
    <row r="20" spans="1:12" x14ac:dyDescent="0.25">
      <c r="A20" s="16">
        <v>15</v>
      </c>
      <c r="B20" s="116" t="s">
        <v>45</v>
      </c>
      <c r="C20" s="17" t="s">
        <v>46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/>
      <c r="K20" s="18">
        <v>0</v>
      </c>
      <c r="L20" s="18">
        <f t="shared" si="1"/>
        <v>0</v>
      </c>
    </row>
    <row r="21" spans="1:12" x14ac:dyDescent="0.25">
      <c r="A21" s="16">
        <v>16</v>
      </c>
      <c r="B21" s="116" t="s">
        <v>47</v>
      </c>
      <c r="C21" s="17" t="s">
        <v>48</v>
      </c>
      <c r="D21" s="18">
        <v>0</v>
      </c>
      <c r="E21" s="18">
        <v>2500</v>
      </c>
      <c r="F21" s="18">
        <v>100</v>
      </c>
      <c r="G21" s="18">
        <f t="shared" si="0"/>
        <v>2600</v>
      </c>
      <c r="H21" s="19">
        <v>2500</v>
      </c>
      <c r="I21" s="19">
        <v>100</v>
      </c>
      <c r="J21" s="18">
        <v>0</v>
      </c>
      <c r="K21" s="18">
        <v>0</v>
      </c>
      <c r="L21" s="18">
        <f t="shared" si="1"/>
        <v>0</v>
      </c>
    </row>
    <row r="22" spans="1:12" x14ac:dyDescent="0.25">
      <c r="A22" s="21">
        <v>17</v>
      </c>
      <c r="B22" s="117" t="s">
        <v>90</v>
      </c>
      <c r="C22" s="17" t="s">
        <v>50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18</v>
      </c>
      <c r="B23" s="117" t="s">
        <v>91</v>
      </c>
      <c r="C23" s="17" t="s">
        <v>52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19</v>
      </c>
      <c r="B24" s="118" t="s">
        <v>55</v>
      </c>
      <c r="C24" s="17" t="s">
        <v>54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20</v>
      </c>
      <c r="B25" s="117" t="s">
        <v>92</v>
      </c>
      <c r="C25" s="17" t="s">
        <v>56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>
        <v>3000</v>
      </c>
      <c r="I25" s="19">
        <v>100</v>
      </c>
      <c r="J25" s="22"/>
      <c r="K25" s="113"/>
      <c r="L25" s="18">
        <f t="shared" si="1"/>
        <v>0</v>
      </c>
    </row>
    <row r="26" spans="1:12" x14ac:dyDescent="0.25">
      <c r="A26" s="21">
        <v>21</v>
      </c>
      <c r="B26" s="118" t="s">
        <v>101</v>
      </c>
      <c r="C26" s="17" t="s">
        <v>58</v>
      </c>
      <c r="D26" s="18">
        <v>0</v>
      </c>
      <c r="E26" s="23">
        <v>3000</v>
      </c>
      <c r="F26" s="24">
        <v>0</v>
      </c>
      <c r="G26" s="18">
        <f t="shared" si="0"/>
        <v>3000</v>
      </c>
      <c r="H26" s="19">
        <v>6000</v>
      </c>
      <c r="I26" s="19">
        <v>0</v>
      </c>
      <c r="J26" s="22"/>
      <c r="K26" s="113"/>
      <c r="L26" s="18">
        <f t="shared" si="1"/>
        <v>-3000</v>
      </c>
    </row>
    <row r="27" spans="1:12" x14ac:dyDescent="0.25">
      <c r="A27" s="21">
        <v>22</v>
      </c>
      <c r="B27" s="118" t="s">
        <v>93</v>
      </c>
      <c r="C27" s="17" t="s">
        <v>60</v>
      </c>
      <c r="D27" s="18">
        <v>0</v>
      </c>
      <c r="E27" s="23">
        <v>3000</v>
      </c>
      <c r="F27" s="24">
        <v>100</v>
      </c>
      <c r="G27" s="18">
        <f t="shared" si="0"/>
        <v>3100</v>
      </c>
      <c r="H27" s="19">
        <v>3000</v>
      </c>
      <c r="I27" s="19">
        <v>100</v>
      </c>
      <c r="J27" s="22"/>
      <c r="K27" s="113"/>
      <c r="L27" s="18">
        <f t="shared" si="1"/>
        <v>0</v>
      </c>
    </row>
    <row r="28" spans="1:12" x14ac:dyDescent="0.25">
      <c r="A28" s="21">
        <v>23</v>
      </c>
      <c r="B28" s="118" t="s">
        <v>149</v>
      </c>
      <c r="C28" s="17" t="s">
        <v>62</v>
      </c>
      <c r="D28" s="18"/>
      <c r="E28" s="23">
        <v>3000</v>
      </c>
      <c r="F28" s="24">
        <v>100</v>
      </c>
      <c r="G28" s="18">
        <v>3100</v>
      </c>
      <c r="H28" s="19">
        <v>3100</v>
      </c>
      <c r="I28" s="19"/>
      <c r="J28" s="22"/>
      <c r="K28" s="113"/>
      <c r="L28" s="18">
        <f t="shared" si="1"/>
        <v>0</v>
      </c>
    </row>
    <row r="29" spans="1:12" x14ac:dyDescent="0.25">
      <c r="A29" s="28">
        <v>24</v>
      </c>
      <c r="B29" s="119" t="s">
        <v>94</v>
      </c>
      <c r="C29" s="29" t="s">
        <v>64</v>
      </c>
      <c r="D29" s="18">
        <v>0</v>
      </c>
      <c r="E29" s="32">
        <v>3000</v>
      </c>
      <c r="F29" s="33">
        <v>100</v>
      </c>
      <c r="G29" s="18">
        <f t="shared" si="0"/>
        <v>3100</v>
      </c>
      <c r="H29" s="34">
        <v>3000</v>
      </c>
      <c r="I29" s="34">
        <v>100</v>
      </c>
      <c r="J29" s="35"/>
      <c r="K29" s="36"/>
      <c r="L29" s="18">
        <f t="shared" si="1"/>
        <v>0</v>
      </c>
    </row>
    <row r="30" spans="1:12" x14ac:dyDescent="0.25">
      <c r="A30" s="37"/>
      <c r="B30" s="18"/>
      <c r="C30" s="18"/>
      <c r="D30" s="18">
        <v>0</v>
      </c>
      <c r="E30" s="18"/>
      <c r="F30" s="18"/>
      <c r="G30" s="18">
        <f>D30+E30+F30</f>
        <v>0</v>
      </c>
      <c r="H30" s="19"/>
      <c r="I30" s="18"/>
      <c r="J30" s="18"/>
      <c r="K30" s="18"/>
      <c r="L30" s="18"/>
    </row>
    <row r="31" spans="1:12" x14ac:dyDescent="0.25">
      <c r="A31" s="38"/>
      <c r="B31" s="39" t="s">
        <v>65</v>
      </c>
      <c r="C31" s="38"/>
      <c r="D31" s="18">
        <v>0</v>
      </c>
      <c r="E31" s="40">
        <f>SUM(E6:E30)</f>
        <v>64000</v>
      </c>
      <c r="F31" s="42">
        <f>SUM(F6:F29)</f>
        <v>2200</v>
      </c>
      <c r="G31" s="18">
        <f>SUM(G6:G30)</f>
        <v>66200</v>
      </c>
      <c r="H31" s="40">
        <f>SUM(H6:H30)</f>
        <v>71400</v>
      </c>
      <c r="I31" s="40">
        <f>SUM(I6:I29)</f>
        <v>1900</v>
      </c>
      <c r="J31" s="41">
        <f>SUM(J6:J21)</f>
        <v>0</v>
      </c>
      <c r="K31" s="41">
        <f>SUM(K6:K21)</f>
        <v>0</v>
      </c>
      <c r="L31" s="42">
        <f>SUM(L6:L21)</f>
        <v>-4100</v>
      </c>
    </row>
    <row r="32" spans="1:12" x14ac:dyDescent="0.25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</row>
    <row r="33" spans="1:13" ht="21" x14ac:dyDescent="0.25">
      <c r="A33" s="80"/>
      <c r="B33" s="80"/>
      <c r="C33" s="104" t="s">
        <v>103</v>
      </c>
      <c r="D33" s="78"/>
      <c r="E33" s="103"/>
      <c r="F33" s="103"/>
      <c r="G33" s="103"/>
      <c r="H33" s="78"/>
      <c r="I33" s="78"/>
      <c r="J33" s="78"/>
      <c r="K33" s="78"/>
      <c r="L33" s="78"/>
    </row>
    <row r="34" spans="1:13" ht="21" x14ac:dyDescent="0.25">
      <c r="A34" s="80"/>
      <c r="B34" s="80"/>
      <c r="C34" s="103"/>
      <c r="D34" s="104"/>
      <c r="E34" s="103"/>
      <c r="F34" s="103"/>
      <c r="G34" s="103"/>
      <c r="H34" s="78"/>
      <c r="I34" s="78"/>
      <c r="J34" s="78"/>
      <c r="K34" s="78"/>
      <c r="L34" s="78"/>
    </row>
    <row r="35" spans="1:13" x14ac:dyDescent="0.25">
      <c r="A35" s="81" t="s">
        <v>3</v>
      </c>
      <c r="B35" s="81" t="s">
        <v>4</v>
      </c>
      <c r="C35" s="81" t="s">
        <v>104</v>
      </c>
      <c r="D35" s="81" t="s">
        <v>8</v>
      </c>
      <c r="E35" s="81" t="s">
        <v>9</v>
      </c>
      <c r="F35" s="82" t="s">
        <v>11</v>
      </c>
      <c r="G35" s="81" t="s">
        <v>12</v>
      </c>
      <c r="H35" s="82" t="s">
        <v>105</v>
      </c>
      <c r="I35" s="78"/>
      <c r="J35" s="78"/>
      <c r="K35" s="78"/>
      <c r="L35" s="78"/>
    </row>
    <row r="36" spans="1:13" x14ac:dyDescent="0.25">
      <c r="A36" s="83" t="s">
        <v>106</v>
      </c>
      <c r="B36" s="84" t="s">
        <v>139</v>
      </c>
      <c r="C36" s="85"/>
      <c r="D36" s="86">
        <v>0</v>
      </c>
      <c r="E36" s="85">
        <v>3000</v>
      </c>
      <c r="F36" s="86"/>
      <c r="G36" s="86"/>
      <c r="H36" s="113"/>
      <c r="I36" s="78"/>
      <c r="J36" s="78"/>
      <c r="K36" s="78"/>
      <c r="L36" s="78"/>
    </row>
    <row r="37" spans="1:13" x14ac:dyDescent="0.25">
      <c r="A37" s="83" t="s">
        <v>108</v>
      </c>
      <c r="B37" s="84" t="s">
        <v>109</v>
      </c>
      <c r="C37" s="85">
        <v>0</v>
      </c>
      <c r="D37" s="86">
        <v>0</v>
      </c>
      <c r="E37" s="85"/>
      <c r="F37" s="86"/>
      <c r="G37" s="86"/>
      <c r="H37" s="113"/>
      <c r="I37" s="78"/>
      <c r="J37" s="78"/>
      <c r="K37" s="78"/>
      <c r="L37" s="78"/>
    </row>
    <row r="38" spans="1:13" x14ac:dyDescent="0.25">
      <c r="A38" s="83" t="s">
        <v>110</v>
      </c>
      <c r="B38" s="121" t="s">
        <v>149</v>
      </c>
      <c r="C38" s="85">
        <v>2500</v>
      </c>
      <c r="D38" s="86"/>
      <c r="E38" s="85">
        <v>2500</v>
      </c>
      <c r="F38" s="86">
        <v>2500</v>
      </c>
      <c r="G38" s="98">
        <v>2500</v>
      </c>
      <c r="H38" s="113"/>
      <c r="I38" s="78"/>
      <c r="J38" s="78"/>
      <c r="K38" s="78"/>
      <c r="L38" s="78"/>
    </row>
    <row r="39" spans="1:13" x14ac:dyDescent="0.25">
      <c r="A39" s="87" t="s">
        <v>112</v>
      </c>
      <c r="B39" s="123" t="s">
        <v>113</v>
      </c>
      <c r="C39" s="89"/>
      <c r="D39" s="90"/>
      <c r="E39" s="89">
        <v>2500</v>
      </c>
      <c r="F39" s="90">
        <v>2500</v>
      </c>
      <c r="G39" s="114">
        <v>2500</v>
      </c>
      <c r="H39" s="113"/>
      <c r="I39" s="78"/>
      <c r="J39" s="78"/>
      <c r="K39" s="78"/>
      <c r="L39" s="78"/>
    </row>
    <row r="40" spans="1:13" x14ac:dyDescent="0.25">
      <c r="A40" s="99" t="s">
        <v>114</v>
      </c>
      <c r="B40" s="122" t="s">
        <v>115</v>
      </c>
      <c r="C40" s="86"/>
      <c r="D40" s="86">
        <v>0</v>
      </c>
      <c r="E40" s="86">
        <v>2500</v>
      </c>
      <c r="F40" s="86">
        <v>2500</v>
      </c>
      <c r="G40" s="98">
        <v>2500</v>
      </c>
      <c r="H40" s="113"/>
      <c r="I40" s="78"/>
      <c r="J40" s="78"/>
      <c r="K40" s="78"/>
      <c r="L40" s="78"/>
    </row>
    <row r="41" spans="1:13" x14ac:dyDescent="0.25">
      <c r="A41" s="93" t="s">
        <v>116</v>
      </c>
      <c r="B41" s="84" t="s">
        <v>149</v>
      </c>
      <c r="C41" s="94">
        <v>2500</v>
      </c>
      <c r="D41" s="92">
        <v>0</v>
      </c>
      <c r="E41" s="94">
        <v>2500</v>
      </c>
      <c r="F41" s="95">
        <v>2500</v>
      </c>
      <c r="G41" s="115">
        <v>2500</v>
      </c>
      <c r="H41" s="113"/>
      <c r="I41" s="78"/>
      <c r="J41" s="78"/>
      <c r="K41" s="78">
        <v>2500</v>
      </c>
      <c r="L41" s="78">
        <v>4</v>
      </c>
      <c r="M41">
        <f>K41*L41</f>
        <v>10000</v>
      </c>
    </row>
    <row r="42" spans="1:13" x14ac:dyDescent="0.25">
      <c r="A42" s="83" t="s">
        <v>119</v>
      </c>
      <c r="B42" s="120" t="s">
        <v>120</v>
      </c>
      <c r="C42" s="85">
        <v>0</v>
      </c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3" x14ac:dyDescent="0.25">
      <c r="A43" s="83" t="s">
        <v>121</v>
      </c>
      <c r="B43" s="121" t="s">
        <v>149</v>
      </c>
      <c r="C43" s="85">
        <v>2500</v>
      </c>
      <c r="D43" s="92">
        <v>0</v>
      </c>
      <c r="E43" s="85">
        <v>2500</v>
      </c>
      <c r="F43" s="86">
        <v>2500</v>
      </c>
      <c r="G43" s="98">
        <v>2500</v>
      </c>
      <c r="H43" s="113"/>
      <c r="I43" s="78"/>
      <c r="J43" s="78"/>
      <c r="K43" s="78"/>
      <c r="L43" s="78"/>
    </row>
    <row r="44" spans="1:13" x14ac:dyDescent="0.25">
      <c r="A44" s="83" t="s">
        <v>123</v>
      </c>
      <c r="B44" s="121"/>
      <c r="C44" s="85"/>
      <c r="D44" s="92"/>
      <c r="E44" s="85"/>
      <c r="F44" s="86"/>
      <c r="G44" s="98"/>
      <c r="H44" s="113"/>
      <c r="I44" s="78"/>
      <c r="J44" s="78"/>
      <c r="K44" s="78"/>
      <c r="L44" s="78"/>
    </row>
    <row r="45" spans="1:13" x14ac:dyDescent="0.25">
      <c r="A45" s="83" t="s">
        <v>125</v>
      </c>
      <c r="B45" s="121" t="s">
        <v>107</v>
      </c>
      <c r="C45" s="85"/>
      <c r="D45" s="92">
        <v>0</v>
      </c>
      <c r="E45" s="85">
        <v>1500</v>
      </c>
      <c r="F45" s="86">
        <v>1500</v>
      </c>
      <c r="G45" s="98"/>
      <c r="H45" s="113"/>
      <c r="I45" s="78"/>
      <c r="J45" s="78"/>
      <c r="K45" s="78"/>
      <c r="L45" s="78"/>
    </row>
    <row r="46" spans="1:13" x14ac:dyDescent="0.25">
      <c r="A46" s="83"/>
      <c r="B46" s="91"/>
      <c r="C46" s="85">
        <v>0</v>
      </c>
      <c r="D46" s="92">
        <v>0</v>
      </c>
      <c r="E46" s="85"/>
      <c r="F46" s="86"/>
      <c r="G46" s="86"/>
      <c r="H46" s="113"/>
      <c r="I46" s="78"/>
      <c r="J46" s="78"/>
      <c r="K46" s="78"/>
      <c r="L46" s="78"/>
    </row>
    <row r="47" spans="1:13" x14ac:dyDescent="0.25">
      <c r="A47" s="96"/>
      <c r="B47" s="84"/>
      <c r="C47" s="86"/>
      <c r="D47" s="92"/>
      <c r="E47" s="86"/>
      <c r="F47" s="86"/>
      <c r="G47" s="86"/>
      <c r="H47" s="113"/>
      <c r="I47" s="78"/>
      <c r="J47" s="78"/>
      <c r="K47" s="78"/>
      <c r="L47" s="78"/>
    </row>
    <row r="48" spans="1:13" x14ac:dyDescent="0.25">
      <c r="A48" s="97"/>
      <c r="B48" s="97"/>
      <c r="C48" s="98"/>
      <c r="D48" s="100"/>
      <c r="E48" s="98">
        <f>SUM(E36:E47)</f>
        <v>19500</v>
      </c>
      <c r="F48" s="98">
        <v>19000</v>
      </c>
      <c r="G48" s="98">
        <v>19000</v>
      </c>
      <c r="H48" s="113"/>
      <c r="I48" s="78"/>
      <c r="J48" s="78"/>
      <c r="K48" s="78"/>
      <c r="L48" s="78"/>
    </row>
    <row r="49" spans="1:12" x14ac:dyDescent="0.25">
      <c r="A49" s="109"/>
      <c r="B49" s="109"/>
      <c r="C49" s="111"/>
      <c r="D49" s="112"/>
      <c r="E49" s="111"/>
      <c r="F49" s="111"/>
      <c r="G49" s="111"/>
      <c r="H49" s="78"/>
      <c r="I49" s="78"/>
      <c r="J49" s="78"/>
      <c r="K49" s="78"/>
      <c r="L49" s="78"/>
    </row>
    <row r="50" spans="1:12" x14ac:dyDescent="0.25">
      <c r="A50" s="83">
        <v>1</v>
      </c>
      <c r="B50" s="116" t="s">
        <v>127</v>
      </c>
      <c r="C50" s="85"/>
      <c r="D50" s="86">
        <v>4500</v>
      </c>
      <c r="E50" s="86">
        <v>4500</v>
      </c>
      <c r="F50" s="86">
        <v>4500</v>
      </c>
      <c r="G50" s="86">
        <v>4500</v>
      </c>
      <c r="H50" s="78"/>
      <c r="I50" s="78"/>
      <c r="J50" s="78"/>
      <c r="K50" s="78"/>
      <c r="L50" s="78"/>
    </row>
    <row r="51" spans="1:12" x14ac:dyDescent="0.25">
      <c r="A51" s="83">
        <v>2</v>
      </c>
      <c r="B51" s="116" t="s">
        <v>128</v>
      </c>
      <c r="C51" s="85"/>
      <c r="D51" s="86">
        <v>4500</v>
      </c>
      <c r="E51" s="85">
        <v>4500</v>
      </c>
      <c r="F51" s="86">
        <v>4500</v>
      </c>
      <c r="G51" s="86">
        <v>4500</v>
      </c>
      <c r="H51" s="78"/>
      <c r="I51" s="78"/>
      <c r="J51" s="78"/>
      <c r="K51" s="78"/>
      <c r="L51" s="78"/>
    </row>
    <row r="52" spans="1:12" x14ac:dyDescent="0.25">
      <c r="A52" s="83">
        <v>3</v>
      </c>
      <c r="B52" s="116" t="s">
        <v>129</v>
      </c>
      <c r="C52" s="85"/>
      <c r="D52" s="86">
        <v>4500</v>
      </c>
      <c r="E52" s="85">
        <v>4500</v>
      </c>
      <c r="F52" s="86">
        <v>4500</v>
      </c>
      <c r="G52" s="86">
        <v>4500</v>
      </c>
      <c r="H52" s="78"/>
      <c r="I52" s="78"/>
      <c r="J52" s="78"/>
      <c r="K52" s="78"/>
      <c r="L52" s="78"/>
    </row>
    <row r="53" spans="1:12" x14ac:dyDescent="0.25">
      <c r="A53" s="87">
        <v>4</v>
      </c>
      <c r="B53" s="116" t="s">
        <v>107</v>
      </c>
      <c r="C53" s="85"/>
      <c r="D53" s="86"/>
      <c r="E53" s="85"/>
      <c r="F53" s="86"/>
      <c r="G53" s="86"/>
      <c r="H53" s="78"/>
      <c r="I53" s="78"/>
      <c r="J53" s="78"/>
      <c r="K53" s="78"/>
      <c r="L53" s="78"/>
    </row>
    <row r="54" spans="1:12" x14ac:dyDescent="0.25">
      <c r="A54" s="99">
        <v>5</v>
      </c>
      <c r="B54" s="116" t="s">
        <v>99</v>
      </c>
      <c r="C54" s="85"/>
      <c r="D54" s="86">
        <v>4500</v>
      </c>
      <c r="E54" s="85">
        <v>4500</v>
      </c>
      <c r="F54" s="86">
        <v>4500</v>
      </c>
      <c r="G54" s="86">
        <v>4500</v>
      </c>
      <c r="H54" s="78"/>
      <c r="I54" s="78"/>
      <c r="J54" s="78"/>
      <c r="K54" s="78"/>
      <c r="L54" s="78"/>
    </row>
    <row r="55" spans="1:12" x14ac:dyDescent="0.25">
      <c r="A55" s="93">
        <v>6</v>
      </c>
      <c r="B55" s="116" t="s">
        <v>98</v>
      </c>
      <c r="C55" s="85"/>
      <c r="D55" s="86">
        <v>4500</v>
      </c>
      <c r="E55" s="85">
        <v>4500</v>
      </c>
      <c r="F55" s="86">
        <v>4500</v>
      </c>
      <c r="G55" s="86">
        <v>4500</v>
      </c>
      <c r="H55" s="78"/>
      <c r="I55" s="78"/>
      <c r="J55" s="78"/>
      <c r="K55" s="78"/>
      <c r="L55" s="78"/>
    </row>
    <row r="56" spans="1:12" x14ac:dyDescent="0.25">
      <c r="A56" s="83"/>
      <c r="B56" s="91"/>
      <c r="C56" s="85">
        <v>0</v>
      </c>
      <c r="D56" s="92">
        <v>0</v>
      </c>
      <c r="E56" s="85"/>
      <c r="F56" s="86"/>
      <c r="G56" s="86"/>
      <c r="H56" s="78"/>
      <c r="I56" s="78"/>
      <c r="J56" s="78"/>
      <c r="K56" s="78"/>
      <c r="L56" s="78"/>
    </row>
    <row r="57" spans="1:12" x14ac:dyDescent="0.25">
      <c r="A57" s="96"/>
      <c r="B57" s="84"/>
      <c r="C57" s="86"/>
      <c r="D57" s="92"/>
      <c r="E57" s="86"/>
      <c r="F57" s="86"/>
      <c r="G57" s="86"/>
      <c r="H57" s="78"/>
      <c r="I57" s="78"/>
      <c r="J57" s="78"/>
      <c r="K57" s="78"/>
      <c r="L57" s="78"/>
    </row>
    <row r="58" spans="1:12" x14ac:dyDescent="0.25">
      <c r="A58" s="97"/>
      <c r="B58" s="97"/>
      <c r="C58" s="98"/>
      <c r="D58" s="98">
        <v>27000</v>
      </c>
      <c r="E58" s="98">
        <v>27000</v>
      </c>
      <c r="F58" s="98">
        <v>27000</v>
      </c>
      <c r="G58" s="98">
        <v>27000</v>
      </c>
      <c r="H58" s="78"/>
      <c r="I58" s="78"/>
      <c r="J58" s="78"/>
      <c r="K58" s="78"/>
      <c r="L58" s="78"/>
    </row>
    <row r="59" spans="1:12" x14ac:dyDescent="0.25">
      <c r="A59" s="79"/>
      <c r="B59" s="79"/>
      <c r="C59" s="106"/>
      <c r="D59" s="107"/>
      <c r="E59" s="106"/>
      <c r="F59" s="108"/>
      <c r="G59" s="106"/>
      <c r="H59" s="78"/>
      <c r="I59" s="78"/>
      <c r="J59" s="78"/>
      <c r="K59" s="78"/>
      <c r="L59" s="78"/>
    </row>
    <row r="60" spans="1:12" ht="15.75" x14ac:dyDescent="0.3">
      <c r="A60" s="43"/>
      <c r="B60" s="44" t="s">
        <v>66</v>
      </c>
      <c r="C60" s="43"/>
      <c r="D60" s="45"/>
      <c r="E60" s="46"/>
      <c r="F60" s="79"/>
      <c r="G60" s="79"/>
      <c r="H60" s="78"/>
      <c r="I60" s="45"/>
      <c r="J60" s="48"/>
      <c r="K60" s="49"/>
      <c r="L60" s="49"/>
    </row>
    <row r="61" spans="1:12" x14ac:dyDescent="0.25">
      <c r="A61" s="50"/>
      <c r="B61" s="46" t="s">
        <v>67</v>
      </c>
      <c r="C61" s="50"/>
      <c r="D61" s="102">
        <f>E31+E48+E58</f>
        <v>110500</v>
      </c>
      <c r="E61" s="78"/>
      <c r="F61" s="78"/>
      <c r="G61" s="78"/>
      <c r="H61" s="78"/>
      <c r="I61" s="78"/>
      <c r="J61" s="79"/>
      <c r="K61" s="50"/>
      <c r="L61" s="78"/>
    </row>
    <row r="62" spans="1:12" s="78" customFormat="1" x14ac:dyDescent="0.25">
      <c r="A62" s="50"/>
      <c r="B62" s="46" t="s">
        <v>150</v>
      </c>
      <c r="C62" s="50"/>
      <c r="D62" s="102">
        <v>10000</v>
      </c>
      <c r="J62" s="79"/>
      <c r="K62" s="50"/>
    </row>
    <row r="63" spans="1:12" x14ac:dyDescent="0.25">
      <c r="A63" s="50"/>
      <c r="B63" s="46" t="s">
        <v>10</v>
      </c>
      <c r="C63" s="78"/>
      <c r="D63" s="79">
        <v>2300</v>
      </c>
      <c r="E63" s="79"/>
      <c r="F63" s="78"/>
      <c r="G63" s="78"/>
      <c r="H63" s="54"/>
      <c r="I63" s="46"/>
      <c r="J63" s="55"/>
      <c r="K63" s="78"/>
      <c r="L63" s="78"/>
    </row>
    <row r="64" spans="1:12" x14ac:dyDescent="0.25">
      <c r="A64" s="78"/>
      <c r="B64" s="46" t="s">
        <v>69</v>
      </c>
      <c r="C64" s="78"/>
      <c r="D64" s="102">
        <f>D61+D62</f>
        <v>120500</v>
      </c>
      <c r="E64" s="78"/>
      <c r="F64" s="78"/>
      <c r="G64" s="78"/>
      <c r="H64" s="78"/>
      <c r="I64" s="78"/>
      <c r="J64" s="78"/>
      <c r="K64" s="78"/>
      <c r="L64" s="78"/>
    </row>
    <row r="65" spans="1:12" x14ac:dyDescent="0.25">
      <c r="A65" s="50"/>
      <c r="B65" s="57" t="s">
        <v>70</v>
      </c>
      <c r="C65" s="46"/>
      <c r="D65" s="78"/>
      <c r="E65" s="78"/>
      <c r="F65" s="78"/>
      <c r="G65" s="78"/>
      <c r="H65" s="79"/>
      <c r="I65" s="78"/>
      <c r="J65" s="78"/>
      <c r="K65" s="79"/>
      <c r="L65" s="78"/>
    </row>
    <row r="66" spans="1:12" x14ac:dyDescent="0.25">
      <c r="A66" s="50" t="s">
        <v>102</v>
      </c>
      <c r="B66" s="77">
        <v>0.08</v>
      </c>
      <c r="C66" s="46"/>
      <c r="D66" s="102">
        <f>D61*B66</f>
        <v>8840</v>
      </c>
      <c r="E66" s="79" t="s">
        <v>71</v>
      </c>
      <c r="F66" s="79"/>
      <c r="G66" s="102"/>
      <c r="H66" s="78"/>
      <c r="I66" s="79"/>
      <c r="J66" s="78"/>
      <c r="K66" s="78"/>
      <c r="L66" s="78"/>
    </row>
    <row r="67" spans="1:12" x14ac:dyDescent="0.25">
      <c r="A67" s="50"/>
      <c r="B67" s="50" t="s">
        <v>151</v>
      </c>
      <c r="C67" s="46"/>
      <c r="D67" s="126">
        <v>11385</v>
      </c>
      <c r="E67" s="79" t="s">
        <v>134</v>
      </c>
      <c r="F67" s="79"/>
      <c r="G67" s="78"/>
      <c r="H67" s="79"/>
      <c r="I67" s="78"/>
      <c r="J67" s="78"/>
      <c r="K67" s="79"/>
      <c r="L67" s="78"/>
    </row>
    <row r="68" spans="1:12" s="78" customFormat="1" x14ac:dyDescent="0.25">
      <c r="A68" s="50"/>
      <c r="B68" s="50"/>
      <c r="C68" s="46"/>
      <c r="D68" s="126">
        <f>SUM(D66:D67)</f>
        <v>20225</v>
      </c>
      <c r="E68" s="79"/>
      <c r="F68" s="79"/>
      <c r="H68" s="79"/>
      <c r="K68" s="79"/>
    </row>
    <row r="69" spans="1:12" x14ac:dyDescent="0.25">
      <c r="A69" s="50"/>
      <c r="B69" s="128" t="s">
        <v>142</v>
      </c>
      <c r="C69" s="46"/>
      <c r="D69" s="102"/>
      <c r="E69" s="59" t="s">
        <v>78</v>
      </c>
      <c r="F69" s="79"/>
      <c r="G69" s="78"/>
      <c r="H69" s="79"/>
      <c r="I69" s="79"/>
      <c r="J69" s="78"/>
      <c r="K69" s="79"/>
      <c r="L69" s="78"/>
    </row>
    <row r="70" spans="1:12" x14ac:dyDescent="0.25">
      <c r="A70" s="50"/>
      <c r="B70" s="78" t="s">
        <v>137</v>
      </c>
      <c r="C70" s="46"/>
      <c r="D70" s="102">
        <f>D64-D68</f>
        <v>100275</v>
      </c>
      <c r="E70" s="78"/>
      <c r="F70" s="78"/>
      <c r="G70" s="78"/>
      <c r="H70" s="78"/>
      <c r="I70" s="78"/>
      <c r="J70" s="78"/>
      <c r="K70" s="78"/>
      <c r="L70" s="78"/>
    </row>
    <row r="71" spans="1:12" x14ac:dyDescent="0.25">
      <c r="A71" s="50"/>
      <c r="B71" s="78" t="s">
        <v>10</v>
      </c>
      <c r="C71" s="46"/>
      <c r="D71" s="102">
        <v>2300</v>
      </c>
      <c r="E71" s="78"/>
      <c r="F71" s="78"/>
      <c r="G71" s="78"/>
      <c r="H71" s="78"/>
      <c r="I71" s="78"/>
      <c r="J71" s="78"/>
      <c r="K71" s="78"/>
      <c r="L71" s="78"/>
    </row>
    <row r="72" spans="1:12" x14ac:dyDescent="0.25">
      <c r="A72" s="50"/>
      <c r="B72" s="78" t="s">
        <v>141</v>
      </c>
      <c r="C72" s="46"/>
      <c r="D72" s="147">
        <v>3000</v>
      </c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50"/>
      <c r="B73" s="78" t="s">
        <v>152</v>
      </c>
      <c r="C73" s="46"/>
      <c r="D73">
        <v>1360</v>
      </c>
      <c r="E73" s="78"/>
      <c r="F73" s="78"/>
      <c r="G73" s="78"/>
      <c r="H73" s="78"/>
      <c r="I73" s="78"/>
      <c r="J73" s="78"/>
      <c r="K73" s="78"/>
      <c r="L73" s="78"/>
    </row>
    <row r="74" spans="1:12" s="78" customFormat="1" x14ac:dyDescent="0.25">
      <c r="A74" s="50"/>
      <c r="B74" s="78" t="s">
        <v>153</v>
      </c>
      <c r="C74" s="46"/>
      <c r="D74" s="102">
        <v>8680</v>
      </c>
    </row>
    <row r="75" spans="1:12" x14ac:dyDescent="0.25">
      <c r="A75" s="50"/>
      <c r="B75" s="78" t="s">
        <v>142</v>
      </c>
      <c r="C75" s="46"/>
      <c r="D75" s="102">
        <f>SUM(D70:D74)</f>
        <v>115615</v>
      </c>
      <c r="E75" s="78"/>
      <c r="F75" s="78"/>
      <c r="G75" s="78"/>
      <c r="H75" s="78"/>
      <c r="I75" s="78"/>
      <c r="J75" s="78"/>
      <c r="K75" s="78"/>
      <c r="L75" s="78"/>
    </row>
    <row r="76" spans="1:12" ht="17.25" x14ac:dyDescent="0.4">
      <c r="A76" s="78"/>
      <c r="B76" s="78" t="s">
        <v>154</v>
      </c>
      <c r="C76" s="78"/>
      <c r="D76" s="129">
        <v>100000</v>
      </c>
      <c r="E76" s="79"/>
      <c r="F76" s="78"/>
      <c r="G76" s="78"/>
      <c r="H76" s="78"/>
      <c r="I76" s="78"/>
      <c r="J76" s="78"/>
      <c r="K76" s="78"/>
      <c r="L76" s="78"/>
    </row>
    <row r="77" spans="1:12" x14ac:dyDescent="0.25">
      <c r="A77" s="79" t="s">
        <v>131</v>
      </c>
      <c r="B77" s="78" t="s">
        <v>137</v>
      </c>
      <c r="C77" s="78"/>
      <c r="D77" s="102">
        <f>D75-D76</f>
        <v>15615</v>
      </c>
      <c r="E77" s="79"/>
      <c r="F77" s="79" t="s">
        <v>135</v>
      </c>
      <c r="G77" s="79"/>
      <c r="H77" s="79" t="s">
        <v>130</v>
      </c>
      <c r="I77" s="78"/>
      <c r="J77" s="78"/>
      <c r="K77" s="78"/>
      <c r="L77" s="78"/>
    </row>
    <row r="78" spans="1:12" x14ac:dyDescent="0.25">
      <c r="A78" s="78"/>
      <c r="B78" s="78"/>
      <c r="C78" s="102"/>
      <c r="D78" s="102"/>
      <c r="E78" s="78"/>
      <c r="F78" s="79" t="s">
        <v>132</v>
      </c>
      <c r="G78" s="79"/>
      <c r="H78" s="79" t="s">
        <v>133</v>
      </c>
      <c r="I78" s="78"/>
      <c r="J78" s="78"/>
      <c r="K78" s="78"/>
      <c r="L78" s="78"/>
    </row>
    <row r="79" spans="1:12" x14ac:dyDescent="0.25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</row>
    <row r="80" spans="1:12" x14ac:dyDescent="0.25">
      <c r="A80" s="78"/>
      <c r="B80" s="78"/>
      <c r="C80" s="78"/>
      <c r="D80" s="102"/>
      <c r="E80" s="78"/>
      <c r="F80" s="78"/>
      <c r="G80" s="78"/>
      <c r="H80" s="78"/>
      <c r="I80" s="78"/>
      <c r="J80" s="78"/>
      <c r="K80" s="78"/>
      <c r="L80" s="78"/>
    </row>
  </sheetData>
  <pageMargins left="0.7" right="0.7" top="0.75" bottom="0.75" header="0.3" footer="0.3"/>
  <pageSetup orientation="portrait" horizontalDpi="120" verticalDpi="72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>
      <selection activeCell="E26" sqref="E26"/>
    </sheetView>
  </sheetViews>
  <sheetFormatPr defaultRowHeight="15" x14ac:dyDescent="0.25"/>
  <cols>
    <col min="1" max="1" width="14.5703125" customWidth="1"/>
    <col min="5" max="5" width="12.5703125" customWidth="1"/>
    <col min="10" max="10" width="12.140625" customWidth="1"/>
    <col min="14" max="14" width="11.42578125" customWidth="1"/>
  </cols>
  <sheetData>
    <row r="1" spans="1:19" ht="15.75" x14ac:dyDescent="0.25">
      <c r="A1" s="78"/>
      <c r="B1" s="150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  <c r="S2" s="78"/>
    </row>
    <row r="3" spans="1:19" ht="21" x14ac:dyDescent="0.25">
      <c r="A3" s="150"/>
      <c r="B3" s="150"/>
      <c r="C3" s="5" t="s">
        <v>569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  <c r="S3" s="78"/>
    </row>
    <row r="4" spans="1:19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570</v>
      </c>
      <c r="M4" s="250"/>
      <c r="N4" s="103"/>
      <c r="O4" s="103"/>
      <c r="P4" s="78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113">
        <f>'APRIL 20'!H6:H19</f>
        <v>100</v>
      </c>
      <c r="D6" s="280">
        <v>3000</v>
      </c>
      <c r="E6" s="281">
        <v>100</v>
      </c>
      <c r="F6" s="276">
        <f>C6+D6+E6</f>
        <v>3200</v>
      </c>
      <c r="G6" s="277">
        <f>2000</f>
        <v>2000</v>
      </c>
      <c r="H6" s="273">
        <f t="shared" ref="H6:H19" si="0">F6-G6</f>
        <v>1200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  <c r="S6" s="78"/>
    </row>
    <row r="7" spans="1:19" ht="22.5" x14ac:dyDescent="0.25">
      <c r="A7" s="196" t="s">
        <v>433</v>
      </c>
      <c r="B7" s="274" t="s">
        <v>52</v>
      </c>
      <c r="C7" s="113">
        <f>'APRIL 20'!H7:H20</f>
        <v>600</v>
      </c>
      <c r="D7" s="280">
        <v>3000</v>
      </c>
      <c r="E7" s="281">
        <v>100</v>
      </c>
      <c r="F7" s="276">
        <f>C7+D7+E7</f>
        <v>3700</v>
      </c>
      <c r="G7" s="277">
        <f>2200</f>
        <v>2200</v>
      </c>
      <c r="H7" s="273">
        <f t="shared" si="0"/>
        <v>1500</v>
      </c>
      <c r="I7" s="150"/>
      <c r="J7" s="83" t="s">
        <v>106</v>
      </c>
      <c r="K7" s="249" t="s">
        <v>578</v>
      </c>
      <c r="L7" s="85"/>
      <c r="M7" s="232">
        <f>'APRIL 20'!Q7:Q17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  <c r="S7" s="78"/>
    </row>
    <row r="8" spans="1:19" x14ac:dyDescent="0.25">
      <c r="A8" s="282"/>
      <c r="B8" s="274" t="s">
        <v>54</v>
      </c>
      <c r="C8" s="113">
        <f>'APRIL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'APRIL 20'!Q8:Q18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  <c r="S8" s="78"/>
    </row>
    <row r="9" spans="1:19" x14ac:dyDescent="0.25">
      <c r="A9" s="196" t="s">
        <v>228</v>
      </c>
      <c r="B9" s="274" t="s">
        <v>56</v>
      </c>
      <c r="C9" s="113">
        <f>'APRIL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'APRIL 20'!Q9:Q19</f>
        <v>500</v>
      </c>
      <c r="N9" s="110">
        <v>2500</v>
      </c>
      <c r="O9" s="232">
        <f t="shared" si="1"/>
        <v>3000</v>
      </c>
      <c r="P9" s="110">
        <f>2500</f>
        <v>2500</v>
      </c>
      <c r="Q9" s="319">
        <f t="shared" ref="Q9:Q16" si="2">O9-P9</f>
        <v>500</v>
      </c>
      <c r="R9" s="78"/>
      <c r="S9" s="78"/>
    </row>
    <row r="10" spans="1:19" ht="22.5" x14ac:dyDescent="0.25">
      <c r="A10" s="282" t="s">
        <v>281</v>
      </c>
      <c r="B10" s="274" t="s">
        <v>58</v>
      </c>
      <c r="C10" s="113">
        <f>'APRIL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'APRIL 20'!Q10:Q20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  <c r="S10" s="78"/>
    </row>
    <row r="11" spans="1:19" ht="22.5" x14ac:dyDescent="0.25">
      <c r="A11" s="282" t="s">
        <v>283</v>
      </c>
      <c r="B11" s="274" t="s">
        <v>60</v>
      </c>
      <c r="C11" s="113">
        <f>'APRIL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'APRIL 20'!Q11:Q21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  <c r="S11" s="78"/>
    </row>
    <row r="12" spans="1:19" ht="22.5" x14ac:dyDescent="0.25">
      <c r="A12" s="282" t="s">
        <v>281</v>
      </c>
      <c r="B12" s="274" t="s">
        <v>62</v>
      </c>
      <c r="C12" s="113">
        <f>'APRIL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437</v>
      </c>
      <c r="L12" s="110"/>
      <c r="M12" s="232">
        <v>2500</v>
      </c>
      <c r="N12" s="325">
        <v>2500</v>
      </c>
      <c r="O12" s="232">
        <f t="shared" si="1"/>
        <v>5000</v>
      </c>
      <c r="P12" s="326"/>
      <c r="Q12" s="319">
        <f>O12-P12</f>
        <v>5000</v>
      </c>
      <c r="R12" s="78"/>
      <c r="S12" s="78"/>
    </row>
    <row r="13" spans="1:19" ht="22.5" x14ac:dyDescent="0.25">
      <c r="A13" s="196" t="s">
        <v>519</v>
      </c>
      <c r="B13" s="284" t="s">
        <v>64</v>
      </c>
      <c r="C13" s="113">
        <f>'APRIL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'APRIL 20'!Q13:Q23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  <c r="S13" s="78"/>
    </row>
    <row r="14" spans="1:19" ht="22.5" x14ac:dyDescent="0.25">
      <c r="A14" s="196" t="s">
        <v>281</v>
      </c>
      <c r="B14" s="284" t="s">
        <v>18</v>
      </c>
      <c r="C14" s="113">
        <f>'APRIL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'APRIL 20'!Q14:Q24</f>
        <v>0</v>
      </c>
      <c r="N14" s="320">
        <v>2500</v>
      </c>
      <c r="O14" s="232">
        <f t="shared" si="1"/>
        <v>2500</v>
      </c>
      <c r="P14" s="234">
        <f>2000+500</f>
        <v>2500</v>
      </c>
      <c r="Q14" s="319">
        <f t="shared" si="2"/>
        <v>0</v>
      </c>
      <c r="R14" s="78"/>
      <c r="S14" s="78"/>
    </row>
    <row r="15" spans="1:19" ht="22.5" x14ac:dyDescent="0.25">
      <c r="A15" s="196" t="s">
        <v>460</v>
      </c>
      <c r="B15" s="284" t="s">
        <v>20</v>
      </c>
      <c r="C15" s="113">
        <f>'APRIL 20'!H15:H28</f>
        <v>1600</v>
      </c>
      <c r="D15" s="285">
        <v>3000</v>
      </c>
      <c r="E15" s="286">
        <v>100</v>
      </c>
      <c r="F15" s="276">
        <f t="shared" ref="F15:F20" si="3">C15+D15+E15</f>
        <v>4700</v>
      </c>
      <c r="G15" s="277">
        <f>1400+1500</f>
        <v>2900</v>
      </c>
      <c r="H15" s="273">
        <f t="shared" si="0"/>
        <v>1800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1"/>
        <v>3000</v>
      </c>
      <c r="P15" s="234">
        <f>2500</f>
        <v>2500</v>
      </c>
      <c r="Q15" s="319">
        <f t="shared" si="2"/>
        <v>500</v>
      </c>
      <c r="R15" s="78"/>
      <c r="S15" s="78"/>
    </row>
    <row r="16" spans="1:19" ht="22.5" x14ac:dyDescent="0.25">
      <c r="A16" s="196" t="s">
        <v>531</v>
      </c>
      <c r="B16" s="284" t="s">
        <v>22</v>
      </c>
      <c r="C16" s="113">
        <f>'APRIL 20'!H16:H29</f>
        <v>1100</v>
      </c>
      <c r="D16" s="285">
        <v>3000</v>
      </c>
      <c r="E16" s="286">
        <v>100</v>
      </c>
      <c r="F16" s="276">
        <f t="shared" si="3"/>
        <v>4200</v>
      </c>
      <c r="G16" s="277">
        <v>3100</v>
      </c>
      <c r="H16" s="273">
        <f t="shared" si="0"/>
        <v>1100</v>
      </c>
      <c r="I16" s="150"/>
      <c r="J16" s="83" t="s">
        <v>125</v>
      </c>
      <c r="K16" s="200" t="s">
        <v>556</v>
      </c>
      <c r="L16" s="85"/>
      <c r="M16" s="232">
        <f>'APRIL 20'!Q16:Q26</f>
        <v>0</v>
      </c>
      <c r="N16" s="231">
        <v>1500</v>
      </c>
      <c r="O16" s="232">
        <f>L16+M16+N16</f>
        <v>1500</v>
      </c>
      <c r="P16" s="234"/>
      <c r="Q16" s="319">
        <f t="shared" si="2"/>
        <v>1500</v>
      </c>
      <c r="R16" s="78"/>
      <c r="S16" s="78"/>
    </row>
    <row r="17" spans="1:19" x14ac:dyDescent="0.25">
      <c r="A17" s="524" t="s">
        <v>549</v>
      </c>
      <c r="B17" s="284" t="s">
        <v>24</v>
      </c>
      <c r="C17" s="113">
        <f>'APRIL 20'!H17:H30</f>
        <v>0</v>
      </c>
      <c r="D17" s="285">
        <v>3000</v>
      </c>
      <c r="E17" s="286">
        <v>100</v>
      </c>
      <c r="F17" s="276">
        <f t="shared" si="3"/>
        <v>3100</v>
      </c>
      <c r="G17" s="277">
        <v>3100</v>
      </c>
      <c r="H17" s="273">
        <f t="shared" si="0"/>
        <v>0</v>
      </c>
      <c r="I17" s="150"/>
      <c r="J17" s="83"/>
      <c r="K17" s="200"/>
      <c r="L17" s="85"/>
      <c r="M17" s="232">
        <f>'APRIL 20'!Q17:Q27</f>
        <v>0</v>
      </c>
      <c r="N17" s="231"/>
      <c r="O17" s="232"/>
      <c r="P17" s="234"/>
      <c r="Q17" s="450"/>
      <c r="R17" s="78"/>
      <c r="S17" s="78"/>
    </row>
    <row r="18" spans="1:19" x14ac:dyDescent="0.25">
      <c r="A18" s="524" t="s">
        <v>567</v>
      </c>
      <c r="B18" s="284" t="s">
        <v>26</v>
      </c>
      <c r="C18" s="113">
        <f>'APRIL 20'!H18:H31</f>
        <v>100</v>
      </c>
      <c r="D18" s="285">
        <v>3000</v>
      </c>
      <c r="E18" s="286">
        <v>100</v>
      </c>
      <c r="F18" s="276">
        <f t="shared" si="3"/>
        <v>3200</v>
      </c>
      <c r="G18" s="277">
        <v>3000</v>
      </c>
      <c r="H18" s="273">
        <f t="shared" si="0"/>
        <v>200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/>
      <c r="S18" s="78"/>
    </row>
    <row r="19" spans="1:19" x14ac:dyDescent="0.25">
      <c r="A19" s="523" t="s">
        <v>327</v>
      </c>
      <c r="B19" s="284" t="s">
        <v>28</v>
      </c>
      <c r="C19" s="113">
        <f>'APRIL 20'!H19:H32</f>
        <v>0</v>
      </c>
      <c r="D19" s="285">
        <v>3000</v>
      </c>
      <c r="E19" s="286">
        <v>100</v>
      </c>
      <c r="F19" s="276">
        <f t="shared" si="3"/>
        <v>3100</v>
      </c>
      <c r="G19" s="277"/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3000</v>
      </c>
      <c r="N19" s="239">
        <f>SUM(N7:N16)</f>
        <v>22000</v>
      </c>
      <c r="O19" s="232">
        <f t="shared" si="1"/>
        <v>25500</v>
      </c>
      <c r="P19" s="240">
        <f>SUM(P7:P16)</f>
        <v>18000</v>
      </c>
      <c r="Q19" s="323">
        <f>SUM(Q7:Q16)</f>
        <v>7500</v>
      </c>
      <c r="R19" s="78"/>
      <c r="S19" s="78"/>
    </row>
    <row r="20" spans="1:19" x14ac:dyDescent="0.25">
      <c r="A20" s="294" t="s">
        <v>193</v>
      </c>
      <c r="B20" s="293"/>
      <c r="C20" s="275">
        <f>SUM(C6:C19)</f>
        <v>3500</v>
      </c>
      <c r="D20" s="240">
        <f>SUM(D6:D19)</f>
        <v>30000</v>
      </c>
      <c r="E20" s="240">
        <f>SUM(E6:E19)</f>
        <v>1000</v>
      </c>
      <c r="F20" s="276">
        <f t="shared" si="3"/>
        <v>34500</v>
      </c>
      <c r="G20" s="361">
        <f>SUM(G6:G19)</f>
        <v>25600</v>
      </c>
      <c r="H20" s="273">
        <f>SUM(H6:H19)</f>
        <v>8900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  <c r="S20" s="78"/>
    </row>
    <row r="21" spans="1:19" ht="22.5" x14ac:dyDescent="0.25">
      <c r="A21" s="531"/>
      <c r="B21" s="531"/>
      <c r="C21" s="275">
        <f>'DECEMBER 19'!H18:H29</f>
        <v>0</v>
      </c>
      <c r="D21" s="345" t="s">
        <v>247</v>
      </c>
      <c r="E21" s="531"/>
      <c r="F21" s="531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'APRIL 20'!Q21:Q40</f>
        <v>1000</v>
      </c>
      <c r="N21" s="320">
        <v>3500</v>
      </c>
      <c r="O21" s="232">
        <f t="shared" ref="O21:O38" si="4">L21+M21+N21</f>
        <v>4500</v>
      </c>
      <c r="P21" s="232">
        <f>4500</f>
        <v>4500</v>
      </c>
      <c r="Q21" s="319">
        <f t="shared" ref="Q21:Q37" si="5">O21-P21</f>
        <v>0</v>
      </c>
      <c r="R21" s="78"/>
      <c r="S21" s="78"/>
    </row>
    <row r="22" spans="1:19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'APRIL 20'!Q22:Q41</f>
        <v>0</v>
      </c>
      <c r="N22" s="320">
        <v>3500</v>
      </c>
      <c r="O22" s="232">
        <f t="shared" si="4"/>
        <v>3500</v>
      </c>
      <c r="P22" s="232">
        <f>150</f>
        <v>150</v>
      </c>
      <c r="Q22" s="319">
        <f t="shared" si="5"/>
        <v>3350</v>
      </c>
      <c r="R22" s="78"/>
      <c r="S22" s="78"/>
    </row>
    <row r="23" spans="1:19" x14ac:dyDescent="0.25">
      <c r="A23" s="191" t="s">
        <v>313</v>
      </c>
      <c r="B23" s="85"/>
      <c r="C23" s="86">
        <f>'APRIL 20'!G23:G30</f>
        <v>0</v>
      </c>
      <c r="D23" s="232">
        <v>3500</v>
      </c>
      <c r="E23" s="232">
        <f>B23+D23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'APRIL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  <c r="S23" s="78"/>
    </row>
    <row r="24" spans="1:19" ht="22.5" x14ac:dyDescent="0.25">
      <c r="A24" s="110" t="s">
        <v>451</v>
      </c>
      <c r="B24" s="113"/>
      <c r="C24" s="86">
        <f>'APRIL 20'!G24:G31</f>
        <v>0</v>
      </c>
      <c r="D24" s="110">
        <v>4000</v>
      </c>
      <c r="E24" s="232">
        <f t="shared" ref="E24:E30" si="6">B24+D24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'APRIL 20'!Q24:Q43</f>
        <v>1000</v>
      </c>
      <c r="N24" s="321">
        <v>3500</v>
      </c>
      <c r="O24" s="232">
        <f t="shared" si="4"/>
        <v>4500</v>
      </c>
      <c r="P24" s="319">
        <f>3000</f>
        <v>3000</v>
      </c>
      <c r="Q24" s="319">
        <f t="shared" si="5"/>
        <v>1500</v>
      </c>
      <c r="R24" s="78"/>
      <c r="S24" s="78"/>
    </row>
    <row r="25" spans="1:19" ht="22.5" x14ac:dyDescent="0.25">
      <c r="A25" s="191" t="s">
        <v>411</v>
      </c>
      <c r="B25" s="85"/>
      <c r="C25" s="86">
        <f>'APRIL 20'!G25:G32</f>
        <v>4000</v>
      </c>
      <c r="D25" s="231">
        <v>4000</v>
      </c>
      <c r="E25" s="232">
        <f>B25+D25+C25</f>
        <v>8000</v>
      </c>
      <c r="F25" s="78">
        <f>4000</f>
        <v>4000</v>
      </c>
      <c r="G25" s="273">
        <f>E25-F25</f>
        <v>4000</v>
      </c>
      <c r="H25" s="273"/>
      <c r="I25" s="78"/>
      <c r="J25" s="83">
        <v>5</v>
      </c>
      <c r="K25" s="200" t="s">
        <v>505</v>
      </c>
      <c r="L25" s="85"/>
      <c r="M25" s="232">
        <f>'APRIL 20'!Q25:Q44</f>
        <v>3500</v>
      </c>
      <c r="N25" s="320">
        <v>3500</v>
      </c>
      <c r="O25" s="232">
        <f t="shared" si="4"/>
        <v>7000</v>
      </c>
      <c r="P25" s="234">
        <f>2000+1500</f>
        <v>3500</v>
      </c>
      <c r="Q25" s="319">
        <f t="shared" si="5"/>
        <v>3500</v>
      </c>
      <c r="R25" s="78"/>
      <c r="S25" s="78"/>
    </row>
    <row r="26" spans="1:19" ht="22.5" x14ac:dyDescent="0.25">
      <c r="A26" s="191"/>
      <c r="B26" s="85"/>
      <c r="C26" s="86">
        <f>'APRIL 20'!G26:G33</f>
        <v>0</v>
      </c>
      <c r="D26" s="231"/>
      <c r="E26" s="232"/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'APRIL 20'!Q26:Q45</f>
        <v>1500</v>
      </c>
      <c r="N26" s="325">
        <v>3500</v>
      </c>
      <c r="O26" s="232">
        <f t="shared" si="4"/>
        <v>5000</v>
      </c>
      <c r="P26" s="326">
        <v>3500</v>
      </c>
      <c r="Q26" s="319">
        <f t="shared" si="5"/>
        <v>1500</v>
      </c>
      <c r="R26" s="78"/>
      <c r="S26" s="78"/>
    </row>
    <row r="27" spans="1:19" ht="22.5" x14ac:dyDescent="0.25">
      <c r="A27" s="191" t="s">
        <v>350</v>
      </c>
      <c r="B27" s="86"/>
      <c r="C27" s="86">
        <f>'APRIL 20'!G27:G34</f>
        <v>4000</v>
      </c>
      <c r="D27" s="231">
        <v>4000</v>
      </c>
      <c r="E27" s="232">
        <f>C27+D27</f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'APRIL 20'!Q27:Q46</f>
        <v>0</v>
      </c>
      <c r="N27" s="320">
        <v>3500</v>
      </c>
      <c r="O27" s="232">
        <f t="shared" si="4"/>
        <v>3500</v>
      </c>
      <c r="P27" s="234">
        <v>3500</v>
      </c>
      <c r="Q27" s="319">
        <f t="shared" si="5"/>
        <v>0</v>
      </c>
      <c r="R27" s="220"/>
      <c r="S27" s="78"/>
    </row>
    <row r="28" spans="1:19" ht="22.5" x14ac:dyDescent="0.25">
      <c r="A28" s="191" t="s">
        <v>392</v>
      </c>
      <c r="B28" s="85"/>
      <c r="C28" s="86">
        <f>'APRIL 20'!G28:G35</f>
        <v>4000</v>
      </c>
      <c r="D28" s="231">
        <v>4000</v>
      </c>
      <c r="E28" s="232">
        <f>B28+D28+C28</f>
        <v>8000</v>
      </c>
      <c r="F28" s="110"/>
      <c r="G28" s="273">
        <f>E28-F28</f>
        <v>8000</v>
      </c>
      <c r="H28" s="273"/>
      <c r="I28" s="78"/>
      <c r="J28" s="83">
        <v>8</v>
      </c>
      <c r="K28" s="249" t="s">
        <v>555</v>
      </c>
      <c r="L28" s="85"/>
      <c r="M28" s="232">
        <f>'APRIL 20'!Q28:Q47</f>
        <v>0</v>
      </c>
      <c r="N28" s="320">
        <v>3500</v>
      </c>
      <c r="O28" s="232">
        <f t="shared" si="4"/>
        <v>3500</v>
      </c>
      <c r="P28" s="234">
        <v>3500</v>
      </c>
      <c r="Q28" s="319">
        <f t="shared" si="5"/>
        <v>0</v>
      </c>
      <c r="R28" s="78"/>
      <c r="S28" s="78"/>
    </row>
    <row r="29" spans="1:19" ht="22.5" x14ac:dyDescent="0.25">
      <c r="A29" s="218" t="s">
        <v>539</v>
      </c>
      <c r="B29" s="85"/>
      <c r="C29" s="86">
        <f>'APRIL 20'!G29:G36</f>
        <v>0</v>
      </c>
      <c r="D29" s="231">
        <v>4000</v>
      </c>
      <c r="E29" s="232">
        <f t="shared" si="6"/>
        <v>4000</v>
      </c>
      <c r="F29" s="110">
        <v>2000</v>
      </c>
      <c r="G29" s="273">
        <f t="shared" si="7"/>
        <v>2000</v>
      </c>
      <c r="H29" s="273"/>
      <c r="I29" s="78"/>
      <c r="J29" s="83">
        <v>9</v>
      </c>
      <c r="K29" s="200" t="s">
        <v>496</v>
      </c>
      <c r="L29" s="85"/>
      <c r="M29" s="232">
        <f>'APRIL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  <c r="S29" s="78"/>
    </row>
    <row r="30" spans="1:19" ht="22.5" x14ac:dyDescent="0.25">
      <c r="A30" s="210" t="s">
        <v>456</v>
      </c>
      <c r="B30" s="85">
        <v>0</v>
      </c>
      <c r="C30" s="86">
        <f>'APRIL 20'!G30:G37</f>
        <v>0</v>
      </c>
      <c r="D30" s="231">
        <v>4000</v>
      </c>
      <c r="E30" s="232">
        <f t="shared" si="6"/>
        <v>4000</v>
      </c>
      <c r="F30" s="110">
        <f>2000+2000</f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'APRIL 20'!Q30:Q49</f>
        <v>0</v>
      </c>
      <c r="N30" s="320">
        <v>3500</v>
      </c>
      <c r="O30" s="232">
        <f t="shared" si="4"/>
        <v>3500</v>
      </c>
      <c r="P30" s="234">
        <f>2850</f>
        <v>2850</v>
      </c>
      <c r="Q30" s="319">
        <f t="shared" si="5"/>
        <v>650</v>
      </c>
      <c r="R30" s="78"/>
      <c r="S30" s="78"/>
    </row>
    <row r="31" spans="1:19" ht="22.5" x14ac:dyDescent="0.25">
      <c r="A31" s="339" t="s">
        <v>193</v>
      </c>
      <c r="B31" s="42"/>
      <c r="C31" s="86">
        <f>SUM(C23:C30)</f>
        <v>12000</v>
      </c>
      <c r="D31" s="240">
        <f>SUM(D23:D30)</f>
        <v>27500</v>
      </c>
      <c r="E31" s="322">
        <f>SUM(E23:E30)</f>
        <v>39500</v>
      </c>
      <c r="F31" s="240">
        <f>SUM(F23:F30)</f>
        <v>21500</v>
      </c>
      <c r="G31" s="273">
        <f>E31-F31</f>
        <v>18000</v>
      </c>
      <c r="H31" s="273"/>
      <c r="I31" s="78"/>
      <c r="J31" s="83">
        <v>11</v>
      </c>
      <c r="K31" s="249" t="s">
        <v>474</v>
      </c>
      <c r="L31" s="85"/>
      <c r="M31" s="232">
        <f>'APRIL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  <c r="S31" s="78"/>
    </row>
    <row r="32" spans="1:19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'APRIL 20'!Q32:Q51</f>
        <v>1500</v>
      </c>
      <c r="N32" s="320">
        <v>3500</v>
      </c>
      <c r="O32" s="232">
        <f t="shared" si="4"/>
        <v>5000</v>
      </c>
      <c r="P32" s="234">
        <f>1000+1500</f>
        <v>2500</v>
      </c>
      <c r="Q32" s="319">
        <f t="shared" si="5"/>
        <v>2500</v>
      </c>
      <c r="R32" s="78"/>
      <c r="S32" s="78"/>
    </row>
    <row r="33" spans="1:19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v>3500</v>
      </c>
      <c r="N33" s="320">
        <v>3500</v>
      </c>
      <c r="O33" s="232">
        <f t="shared" si="4"/>
        <v>7000</v>
      </c>
      <c r="P33" s="234"/>
      <c r="Q33" s="319">
        <f>O33-P33</f>
        <v>7000</v>
      </c>
      <c r="R33" s="78"/>
      <c r="S33" s="78"/>
    </row>
    <row r="34" spans="1:19" ht="22.5" x14ac:dyDescent="0.25">
      <c r="A34" s="211" t="s">
        <v>339</v>
      </c>
      <c r="B34" s="273">
        <f>D31+D20</f>
        <v>57500</v>
      </c>
      <c r="C34" s="164"/>
      <c r="D34" s="164"/>
      <c r="E34" s="211" t="s">
        <v>339</v>
      </c>
      <c r="F34" s="273">
        <f>F31+G20</f>
        <v>47100</v>
      </c>
      <c r="G34" s="164"/>
      <c r="H34" s="273"/>
      <c r="I34" s="78"/>
      <c r="J34" s="83">
        <v>14</v>
      </c>
      <c r="K34" s="200" t="s">
        <v>480</v>
      </c>
      <c r="L34" s="85"/>
      <c r="M34" s="232">
        <f>'APRIL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  <c r="S34" s="78"/>
    </row>
    <row r="35" spans="1:19" ht="22.5" x14ac:dyDescent="0.25">
      <c r="A35" s="211" t="s">
        <v>209</v>
      </c>
      <c r="B35" s="307">
        <v>0.1</v>
      </c>
      <c r="C35" s="308">
        <f>B34*B35</f>
        <v>5750</v>
      </c>
      <c r="D35" s="211"/>
      <c r="E35" s="211" t="s">
        <v>209</v>
      </c>
      <c r="F35" s="307">
        <v>0.1</v>
      </c>
      <c r="G35" s="308">
        <f>C35</f>
        <v>5750</v>
      </c>
      <c r="H35" s="273"/>
      <c r="I35" s="78"/>
      <c r="J35" s="83">
        <v>15</v>
      </c>
      <c r="K35" s="200" t="s">
        <v>512</v>
      </c>
      <c r="L35" s="85"/>
      <c r="M35" s="232">
        <v>2000</v>
      </c>
      <c r="N35" s="320">
        <v>3500</v>
      </c>
      <c r="O35" s="232">
        <f>L35+M35+N35</f>
        <v>5500</v>
      </c>
      <c r="P35" s="234">
        <f>1500</f>
        <v>1500</v>
      </c>
      <c r="Q35" s="319">
        <f>O35-P35</f>
        <v>4000</v>
      </c>
      <c r="R35" s="78"/>
      <c r="S35" s="78"/>
    </row>
    <row r="36" spans="1:19" ht="22.5" x14ac:dyDescent="0.25">
      <c r="A36" s="309" t="s">
        <v>232</v>
      </c>
      <c r="B36" s="308">
        <f>E20</f>
        <v>1000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'APRIL 20'!Q36:Q56</f>
        <v>1500</v>
      </c>
      <c r="N36" s="320">
        <v>3500</v>
      </c>
      <c r="O36" s="232">
        <f>L36+M36+N36</f>
        <v>5000</v>
      </c>
      <c r="P36" s="234">
        <f>4000</f>
        <v>4000</v>
      </c>
      <c r="Q36" s="319">
        <f t="shared" si="5"/>
        <v>1000</v>
      </c>
      <c r="R36" s="78"/>
      <c r="S36" s="78"/>
    </row>
    <row r="37" spans="1:19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'APRIL 20'!Q37:Q57</f>
        <v>1000</v>
      </c>
      <c r="N37" s="320">
        <v>3500</v>
      </c>
      <c r="O37" s="232">
        <f t="shared" si="4"/>
        <v>4500</v>
      </c>
      <c r="P37" s="234"/>
      <c r="Q37" s="319">
        <f t="shared" si="5"/>
        <v>4500</v>
      </c>
      <c r="R37" s="78"/>
      <c r="S37" s="78"/>
    </row>
    <row r="38" spans="1:19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'APRIL 20'!Q38:Q58</f>
        <v>3500</v>
      </c>
      <c r="N38" s="320">
        <v>3500</v>
      </c>
      <c r="O38" s="232">
        <f t="shared" si="4"/>
        <v>7000</v>
      </c>
      <c r="P38" s="234"/>
      <c r="Q38" s="319">
        <f>O38-P38</f>
        <v>7000</v>
      </c>
      <c r="R38" s="78"/>
      <c r="S38" s="78"/>
    </row>
    <row r="39" spans="1:19" x14ac:dyDescent="0.25">
      <c r="A39" s="309" t="s">
        <v>239</v>
      </c>
      <c r="B39" s="308">
        <f>'APRIL 20'!D50</f>
        <v>17764.342305280035</v>
      </c>
      <c r="C39" s="211"/>
      <c r="D39" s="211"/>
      <c r="E39" s="309" t="s">
        <v>239</v>
      </c>
      <c r="F39" s="308">
        <f>'APRIL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'APRIL 20'!Q39:Q59</f>
        <v>0</v>
      </c>
      <c r="N39" s="320"/>
      <c r="O39" s="232">
        <f>L39+M39+N39</f>
        <v>0</v>
      </c>
      <c r="P39" s="234"/>
      <c r="Q39" s="319">
        <f>O39-P39</f>
        <v>0</v>
      </c>
      <c r="R39" s="78"/>
      <c r="S39" s="78"/>
    </row>
    <row r="40" spans="1:19" ht="22.5" x14ac:dyDescent="0.25">
      <c r="A40" s="309" t="s">
        <v>193</v>
      </c>
      <c r="B40" s="308">
        <f>B34+B36+B39+B37</f>
        <v>79264.342305280035</v>
      </c>
      <c r="C40" s="211"/>
      <c r="D40" s="211"/>
      <c r="E40" s="309" t="s">
        <v>193</v>
      </c>
      <c r="F40" s="308">
        <f>F34+F36+F39+F37</f>
        <v>50100.275200000033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'APRIL 20'!Q40:Q60</f>
        <v>7000</v>
      </c>
      <c r="N40" s="320">
        <v>3500</v>
      </c>
      <c r="O40" s="232">
        <f>L40+M40+N40</f>
        <v>10500</v>
      </c>
      <c r="P40" s="234">
        <f>2000</f>
        <v>2000</v>
      </c>
      <c r="Q40" s="319">
        <f>O40-P40</f>
        <v>8500</v>
      </c>
      <c r="R40" s="78"/>
      <c r="S40" s="78"/>
    </row>
    <row r="41" spans="1:19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27000</v>
      </c>
      <c r="N41" s="239">
        <f>SUM(N21:N40)</f>
        <v>63000</v>
      </c>
      <c r="O41" s="232">
        <f>L41+M41+N41</f>
        <v>90000</v>
      </c>
      <c r="P41" s="240">
        <f>SUM(P21:P40)</f>
        <v>45000</v>
      </c>
      <c r="Q41" s="319">
        <f>O41-P41</f>
        <v>45000</v>
      </c>
      <c r="R41" s="78"/>
      <c r="S41" s="78"/>
    </row>
    <row r="42" spans="1:19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  <c r="S42" s="78"/>
    </row>
    <row r="43" spans="1:19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  <c r="S43" s="78"/>
    </row>
    <row r="44" spans="1:19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339</v>
      </c>
      <c r="K44" s="273">
        <f>N41+N19</f>
        <v>85000</v>
      </c>
      <c r="L44" s="164"/>
      <c r="M44" s="164"/>
      <c r="N44" s="211" t="s">
        <v>339</v>
      </c>
      <c r="O44" s="273">
        <f>P41+P19</f>
        <v>63000</v>
      </c>
      <c r="P44" s="164"/>
      <c r="Q44" s="273"/>
      <c r="R44" s="78"/>
      <c r="S44" s="78"/>
    </row>
    <row r="45" spans="1:19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8500</v>
      </c>
      <c r="M45" s="211"/>
      <c r="N45" s="211" t="s">
        <v>209</v>
      </c>
      <c r="O45" s="307">
        <v>0.1</v>
      </c>
      <c r="P45" s="308">
        <f>L45</f>
        <v>8500</v>
      </c>
      <c r="Q45" s="273"/>
      <c r="R45" s="78"/>
      <c r="S45" s="78"/>
    </row>
    <row r="46" spans="1:19" x14ac:dyDescent="0.25">
      <c r="A46" s="370" t="s">
        <v>582</v>
      </c>
      <c r="B46" s="370"/>
      <c r="C46" s="368">
        <v>41350</v>
      </c>
      <c r="D46" s="370"/>
      <c r="E46" s="370" t="s">
        <v>582</v>
      </c>
      <c r="F46" s="370"/>
      <c r="G46" s="368">
        <v>41350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  <c r="S46" s="78"/>
    </row>
    <row r="47" spans="1:19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  <c r="S47" s="78"/>
    </row>
    <row r="48" spans="1:19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  <c r="S48" s="78"/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'APRIL 20'!M56</f>
        <v>26000.300000000003</v>
      </c>
      <c r="L49" s="211"/>
      <c r="M49" s="211"/>
      <c r="N49" s="309" t="s">
        <v>239</v>
      </c>
      <c r="O49" s="308">
        <f>'APRIL 20'!Q56</f>
        <v>3001.2000000000116</v>
      </c>
      <c r="P49" s="211"/>
      <c r="Q49" s="273"/>
      <c r="R49" s="78"/>
      <c r="S49" s="78"/>
    </row>
    <row r="50" spans="1:19" x14ac:dyDescent="0.25">
      <c r="A50" s="166" t="s">
        <v>193</v>
      </c>
      <c r="B50" s="317">
        <f>B34+B36+B37+B38+B39-C35</f>
        <v>73514.342305280035</v>
      </c>
      <c r="C50" s="318">
        <f>SUM(C41:C49)</f>
        <v>44350</v>
      </c>
      <c r="D50" s="318">
        <f>B50-C50</f>
        <v>29164.342305280035</v>
      </c>
      <c r="E50" s="166" t="s">
        <v>193</v>
      </c>
      <c r="F50" s="317">
        <f>F34+F36+F37+F39-G35</f>
        <v>44350.275200000033</v>
      </c>
      <c r="G50" s="318">
        <f>SUM(G41:G49)</f>
        <v>44350</v>
      </c>
      <c r="H50" s="318">
        <f>F50-G50</f>
        <v>0.27520000003278255</v>
      </c>
      <c r="I50" s="78"/>
      <c r="J50" s="309" t="s">
        <v>193</v>
      </c>
      <c r="K50" s="308">
        <f>K44+K46+K49+K48</f>
        <v>111000.3</v>
      </c>
      <c r="L50" s="211"/>
      <c r="M50" s="211"/>
      <c r="N50" s="309" t="s">
        <v>193</v>
      </c>
      <c r="O50" s="308">
        <f>O44+O46+O49+O47</f>
        <v>66001.500000000015</v>
      </c>
      <c r="P50" s="211"/>
      <c r="Q50" s="273"/>
      <c r="R50" s="78"/>
      <c r="S50" s="78"/>
    </row>
    <row r="51" spans="1:19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  <c r="S51" s="78"/>
    </row>
    <row r="52" spans="1:19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582</v>
      </c>
      <c r="K52" s="380"/>
      <c r="L52" s="367">
        <v>57150</v>
      </c>
      <c r="M52" s="366"/>
      <c r="N52" s="365" t="s">
        <v>582</v>
      </c>
      <c r="O52" s="380"/>
      <c r="P52" s="367">
        <v>57150</v>
      </c>
      <c r="Q52" s="368"/>
      <c r="R52" s="78"/>
      <c r="S52" s="78"/>
    </row>
    <row r="53" spans="1:19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  <c r="S53" s="78"/>
    </row>
    <row r="54" spans="1:19" x14ac:dyDescent="0.25">
      <c r="A54" s="150"/>
      <c r="B54" s="150"/>
      <c r="C54" s="150"/>
      <c r="D54" s="150"/>
      <c r="E54" s="269"/>
      <c r="F54" s="150"/>
      <c r="G54" s="150"/>
      <c r="H54" s="269">
        <f>H50+Q55</f>
        <v>351.77520000004733</v>
      </c>
      <c r="I54" s="78"/>
      <c r="J54" s="369"/>
      <c r="K54" s="370"/>
      <c r="L54" s="371"/>
      <c r="M54" s="370"/>
      <c r="N54" s="369"/>
      <c r="O54" s="370"/>
      <c r="P54" s="371"/>
      <c r="Q54" s="368"/>
      <c r="R54" s="7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102500.3</v>
      </c>
      <c r="L55" s="318">
        <f>SUM(L52:L54)</f>
        <v>57150</v>
      </c>
      <c r="M55" s="318">
        <f>K55-L55</f>
        <v>45350.3</v>
      </c>
      <c r="N55" s="166" t="s">
        <v>193</v>
      </c>
      <c r="O55" s="317">
        <f>O44+O46+O47+O49-P45-P47</f>
        <v>57501.500000000015</v>
      </c>
      <c r="P55" s="318">
        <f>SUM(P52:P54)</f>
        <v>57150</v>
      </c>
      <c r="Q55" s="318">
        <f>O55-P55</f>
        <v>351.50000000001455</v>
      </c>
      <c r="R55" s="78"/>
      <c r="S55" s="78"/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  <c r="S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  <c r="S57" s="78"/>
    </row>
    <row r="58" spans="1:19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</sheetData>
  <pageMargins left="0.7" right="0.7" top="0.75" bottom="0.75" header="0.3" footer="0.3"/>
  <pageSetup orientation="portrait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I47" sqref="I47"/>
    </sheetView>
  </sheetViews>
  <sheetFormatPr defaultRowHeight="15" x14ac:dyDescent="0.25"/>
  <cols>
    <col min="1" max="1" width="14" customWidth="1"/>
  </cols>
  <sheetData>
    <row r="1" spans="1:18" ht="15.75" x14ac:dyDescent="0.25">
      <c r="A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580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581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'MAY 20'!H6:H19</f>
        <v>1200</v>
      </c>
      <c r="D6" s="280">
        <v>3000</v>
      </c>
      <c r="E6" s="281">
        <v>100</v>
      </c>
      <c r="F6" s="276">
        <f>C6+D6+E6</f>
        <v>4300</v>
      </c>
      <c r="G6" s="277">
        <f>2500</f>
        <v>2500</v>
      </c>
      <c r="H6" s="273">
        <f t="shared" ref="H6:H19" si="0">F6-G6</f>
        <v>1800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'MAY 20'!H7:H20</f>
        <v>1500</v>
      </c>
      <c r="D7" s="280">
        <v>3000</v>
      </c>
      <c r="E7" s="281">
        <v>100</v>
      </c>
      <c r="F7" s="276">
        <f>C7+D7+E7</f>
        <v>4600</v>
      </c>
      <c r="G7" s="277">
        <f>3600</f>
        <v>3600</v>
      </c>
      <c r="H7" s="273">
        <f t="shared" si="0"/>
        <v>1000</v>
      </c>
      <c r="I7" s="150"/>
      <c r="J7" s="83" t="s">
        <v>106</v>
      </c>
      <c r="K7" s="249" t="s">
        <v>578</v>
      </c>
      <c r="L7" s="85"/>
      <c r="M7" s="232">
        <f>'MAY 20'!Q7:Q18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'MAY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'MAY 20'!Q8:Q19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'MAY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'MAY 20'!Q9:Q20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113">
        <f>'MAY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'MAY 20'!Q10:Q21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</row>
    <row r="11" spans="1:18" ht="22.5" x14ac:dyDescent="0.25">
      <c r="A11" s="282" t="s">
        <v>283</v>
      </c>
      <c r="B11" s="274" t="s">
        <v>60</v>
      </c>
      <c r="C11" s="113">
        <f>'MAY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'MAY 20'!Q11:Q22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'MAY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437</v>
      </c>
      <c r="L12" s="110"/>
      <c r="M12" s="232">
        <f>'MAY 20'!Q12</f>
        <v>5000</v>
      </c>
      <c r="N12" s="325"/>
      <c r="O12" s="232">
        <f t="shared" si="1"/>
        <v>5000</v>
      </c>
      <c r="P12" s="326"/>
      <c r="Q12" s="319">
        <f>O12-P12</f>
        <v>5000</v>
      </c>
      <c r="R12" s="78" t="s">
        <v>575</v>
      </c>
    </row>
    <row r="13" spans="1:18" ht="22.5" x14ac:dyDescent="0.25">
      <c r="A13" s="196" t="s">
        <v>519</v>
      </c>
      <c r="B13" s="284" t="s">
        <v>64</v>
      </c>
      <c r="C13" s="113">
        <f>'MAY 20'!H13:H26</f>
        <v>0</v>
      </c>
      <c r="D13" s="285">
        <v>3000</v>
      </c>
      <c r="E13" s="286">
        <v>100</v>
      </c>
      <c r="F13" s="276">
        <f>D13+E13</f>
        <v>3100</v>
      </c>
      <c r="G13" s="277">
        <f>300+2800</f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'MAY 20'!Q13:Q24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'MAY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'MAY 20'!Q14:Q25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 t="s">
        <v>460</v>
      </c>
      <c r="B15" s="284" t="s">
        <v>20</v>
      </c>
      <c r="C15" s="113">
        <f>'MAY 20'!H15:H28</f>
        <v>1800</v>
      </c>
      <c r="D15" s="285"/>
      <c r="E15" s="286"/>
      <c r="F15" s="276">
        <f t="shared" ref="F15:F20" si="3">C15+D15+E15</f>
        <v>1800</v>
      </c>
      <c r="G15" s="277"/>
      <c r="H15" s="273">
        <f t="shared" si="0"/>
        <v>1800</v>
      </c>
      <c r="I15" s="150"/>
      <c r="J15" s="83" t="s">
        <v>123</v>
      </c>
      <c r="K15" s="200" t="s">
        <v>396</v>
      </c>
      <c r="L15" s="85">
        <v>500</v>
      </c>
      <c r="M15" s="232"/>
      <c r="N15" s="320">
        <v>2500</v>
      </c>
      <c r="O15" s="232">
        <f t="shared" si="1"/>
        <v>3000</v>
      </c>
      <c r="P15" s="234"/>
      <c r="Q15" s="319">
        <f t="shared" si="2"/>
        <v>3000</v>
      </c>
      <c r="R15" s="78"/>
    </row>
    <row r="16" spans="1:18" ht="22.5" x14ac:dyDescent="0.25">
      <c r="A16" s="196" t="s">
        <v>531</v>
      </c>
      <c r="B16" s="284" t="s">
        <v>22</v>
      </c>
      <c r="C16" s="113">
        <f>'MAY 20'!H16:H29</f>
        <v>1100</v>
      </c>
      <c r="D16" s="285">
        <v>3000</v>
      </c>
      <c r="E16" s="286">
        <v>100</v>
      </c>
      <c r="F16" s="276">
        <f t="shared" si="3"/>
        <v>4200</v>
      </c>
      <c r="G16" s="277">
        <f>1100+3100</f>
        <v>4200</v>
      </c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'MAY 20'!Q16:Q27</f>
        <v>1500</v>
      </c>
      <c r="N16" s="231">
        <v>1500</v>
      </c>
      <c r="O16" s="232">
        <f>L16+M16+N16</f>
        <v>3000</v>
      </c>
      <c r="P16" s="234"/>
      <c r="Q16" s="319">
        <f t="shared" si="2"/>
        <v>3000</v>
      </c>
      <c r="R16" s="78"/>
    </row>
    <row r="17" spans="1:18" x14ac:dyDescent="0.25">
      <c r="A17" s="524"/>
      <c r="B17" s="284" t="s">
        <v>24</v>
      </c>
      <c r="C17" s="113">
        <f>'MAY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113">
        <f>'MAY 20'!H18:H31</f>
        <v>200</v>
      </c>
      <c r="D18" s="285">
        <v>3000</v>
      </c>
      <c r="E18" s="286">
        <v>100</v>
      </c>
      <c r="F18" s="276">
        <f t="shared" si="3"/>
        <v>3300</v>
      </c>
      <c r="G18" s="277">
        <v>2000</v>
      </c>
      <c r="H18" s="273">
        <f t="shared" si="0"/>
        <v>1300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113">
        <f>'MAY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7000</v>
      </c>
      <c r="N19" s="239">
        <f>SUM(N7:N16)</f>
        <v>19500</v>
      </c>
      <c r="O19" s="232">
        <f t="shared" si="1"/>
        <v>27000</v>
      </c>
      <c r="P19" s="240">
        <f>SUM(P7:P16)</f>
        <v>15500</v>
      </c>
      <c r="Q19" s="323">
        <f>SUM(Q7:Q16)</f>
        <v>11500</v>
      </c>
      <c r="R19" s="78"/>
    </row>
    <row r="20" spans="1:18" x14ac:dyDescent="0.25">
      <c r="A20" s="294" t="s">
        <v>193</v>
      </c>
      <c r="B20" s="293"/>
      <c r="C20" s="275">
        <f>SUM(C6:C19)</f>
        <v>8900</v>
      </c>
      <c r="D20" s="240">
        <f>SUM(D6:D19)</f>
        <v>24000</v>
      </c>
      <c r="E20" s="240">
        <f>SUM(E6:E19)</f>
        <v>800</v>
      </c>
      <c r="F20" s="276">
        <f t="shared" si="3"/>
        <v>33700</v>
      </c>
      <c r="G20" s="361">
        <f>SUM(G6:G19)</f>
        <v>24700</v>
      </c>
      <c r="H20" s="273">
        <f>SUM(H6:H19)</f>
        <v>9000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2"/>
      <c r="B21" s="532"/>
      <c r="C21" s="275">
        <f>'DECEMBER 19'!H18:H29</f>
        <v>0</v>
      </c>
      <c r="D21" s="345" t="s">
        <v>247</v>
      </c>
      <c r="E21" s="532"/>
      <c r="F21" s="532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'MAY 20'!Q21:Q40</f>
        <v>0</v>
      </c>
      <c r="N21" s="320">
        <v>3500</v>
      </c>
      <c r="O21" s="232">
        <f t="shared" ref="O21:O38" si="4">L21+M21+N21</f>
        <v>3500</v>
      </c>
      <c r="P21" s="232">
        <v>2500</v>
      </c>
      <c r="Q21" s="319">
        <f t="shared" ref="Q21:Q37" si="5">O21-P21</f>
        <v>1000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'MAY 20'!Q22:Q41</f>
        <v>3350</v>
      </c>
      <c r="N22" s="320">
        <v>3500</v>
      </c>
      <c r="O22" s="232">
        <f t="shared" si="4"/>
        <v>6850</v>
      </c>
      <c r="P22" s="232">
        <f>5000</f>
        <v>5000</v>
      </c>
      <c r="Q22" s="319">
        <f t="shared" si="5"/>
        <v>1850</v>
      </c>
      <c r="R22" s="78"/>
    </row>
    <row r="23" spans="1:18" x14ac:dyDescent="0.25">
      <c r="A23" s="191" t="s">
        <v>313</v>
      </c>
      <c r="B23" s="85"/>
      <c r="C23" s="86">
        <f>'MAY 20'!G23:G30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'MAY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'MAY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'MAY 20'!Q24:Q43</f>
        <v>1500</v>
      </c>
      <c r="N24" s="321">
        <v>3500</v>
      </c>
      <c r="O24" s="232">
        <f t="shared" si="4"/>
        <v>5000</v>
      </c>
      <c r="P24" s="319">
        <f>3500</f>
        <v>3500</v>
      </c>
      <c r="Q24" s="319">
        <f t="shared" si="5"/>
        <v>1500</v>
      </c>
      <c r="R24" s="78"/>
    </row>
    <row r="25" spans="1:18" ht="22.5" x14ac:dyDescent="0.25">
      <c r="A25" s="191" t="s">
        <v>411</v>
      </c>
      <c r="B25" s="85"/>
      <c r="C25" s="86">
        <f>'MAY 20'!G25:G32</f>
        <v>4000</v>
      </c>
      <c r="D25" s="231">
        <v>4000</v>
      </c>
      <c r="E25" s="232">
        <f t="shared" si="6"/>
        <v>8000</v>
      </c>
      <c r="F25" s="78">
        <f>4000</f>
        <v>4000</v>
      </c>
      <c r="G25" s="273">
        <f>E25-F25</f>
        <v>4000</v>
      </c>
      <c r="H25" s="273"/>
      <c r="I25" s="78"/>
      <c r="J25" s="83">
        <v>5</v>
      </c>
      <c r="K25" s="200" t="s">
        <v>505</v>
      </c>
      <c r="L25" s="85"/>
      <c r="M25" s="232">
        <f>'MAY 20'!Q25:Q44</f>
        <v>3500</v>
      </c>
      <c r="N25" s="320">
        <v>3500</v>
      </c>
      <c r="O25" s="232">
        <f t="shared" si="4"/>
        <v>7000</v>
      </c>
      <c r="P25" s="234"/>
      <c r="Q25" s="319">
        <f t="shared" si="5"/>
        <v>7000</v>
      </c>
      <c r="R25" s="78"/>
    </row>
    <row r="26" spans="1:18" ht="22.5" x14ac:dyDescent="0.25">
      <c r="A26" s="191"/>
      <c r="B26" s="85"/>
      <c r="C26" s="86">
        <f>'MAY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'MAY 20'!Q26:Q45</f>
        <v>1500</v>
      </c>
      <c r="N26" s="325">
        <v>3500</v>
      </c>
      <c r="O26" s="232">
        <f t="shared" si="4"/>
        <v>5000</v>
      </c>
      <c r="P26" s="326">
        <f>2000</f>
        <v>2000</v>
      </c>
      <c r="Q26" s="319">
        <f t="shared" si="5"/>
        <v>3000</v>
      </c>
      <c r="R26" s="78"/>
    </row>
    <row r="27" spans="1:18" ht="22.5" x14ac:dyDescent="0.25">
      <c r="A27" s="191" t="s">
        <v>350</v>
      </c>
      <c r="B27" s="86"/>
      <c r="C27" s="86">
        <f>'MAY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'MAY 20'!Q27:Q46</f>
        <v>0</v>
      </c>
      <c r="N27" s="320">
        <v>3500</v>
      </c>
      <c r="O27" s="232">
        <f t="shared" si="4"/>
        <v>3500</v>
      </c>
      <c r="P27" s="234">
        <f>2500</f>
        <v>2500</v>
      </c>
      <c r="Q27" s="319">
        <f t="shared" si="5"/>
        <v>1000</v>
      </c>
      <c r="R27" s="220"/>
    </row>
    <row r="28" spans="1:18" ht="22.5" x14ac:dyDescent="0.25">
      <c r="A28" s="191" t="s">
        <v>392</v>
      </c>
      <c r="B28" s="85"/>
      <c r="C28" s="86">
        <f>'MAY 20'!G28:G35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25000</v>
      </c>
      <c r="J28" s="83">
        <v>8</v>
      </c>
      <c r="K28" s="249" t="s">
        <v>555</v>
      </c>
      <c r="L28" s="85"/>
      <c r="M28" s="232">
        <f>'MAY 20'!Q28:Q47</f>
        <v>0</v>
      </c>
      <c r="N28" s="320">
        <v>3500</v>
      </c>
      <c r="O28" s="232">
        <f t="shared" si="4"/>
        <v>3500</v>
      </c>
      <c r="P28" s="234"/>
      <c r="Q28" s="319">
        <f t="shared" si="5"/>
        <v>3500</v>
      </c>
      <c r="R28" s="78" t="s">
        <v>574</v>
      </c>
    </row>
    <row r="29" spans="1:18" ht="22.5" x14ac:dyDescent="0.25">
      <c r="A29" s="218" t="s">
        <v>539</v>
      </c>
      <c r="B29" s="85"/>
      <c r="C29" s="86">
        <f>'MAY 20'!G29:G36</f>
        <v>2000</v>
      </c>
      <c r="D29" s="231">
        <v>4000</v>
      </c>
      <c r="E29" s="232">
        <f t="shared" si="6"/>
        <v>6000</v>
      </c>
      <c r="F29" s="110">
        <f>4000+2000</f>
        <v>6000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'MAY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'MAY 20'!G30:G37</f>
        <v>0</v>
      </c>
      <c r="D30" s="231">
        <v>4000</v>
      </c>
      <c r="E30" s="232">
        <f t="shared" si="6"/>
        <v>4000</v>
      </c>
      <c r="F30" s="110">
        <f>3000+1000</f>
        <v>4000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'MAY 20'!Q30:Q49</f>
        <v>650</v>
      </c>
      <c r="N30" s="320">
        <v>3500</v>
      </c>
      <c r="O30" s="232">
        <f t="shared" si="4"/>
        <v>4150</v>
      </c>
      <c r="P30" s="234">
        <f>2500+550+1000</f>
        <v>4050</v>
      </c>
      <c r="Q30" s="319">
        <f t="shared" si="5"/>
        <v>100</v>
      </c>
      <c r="R30" s="78"/>
    </row>
    <row r="31" spans="1:18" ht="22.5" x14ac:dyDescent="0.25">
      <c r="A31" s="339" t="s">
        <v>193</v>
      </c>
      <c r="B31" s="42"/>
      <c r="C31" s="86">
        <f>SUM(C23:C30)</f>
        <v>18000</v>
      </c>
      <c r="D31" s="240">
        <f>SUM(D23:D30)</f>
        <v>27500</v>
      </c>
      <c r="E31" s="232">
        <f>SUM(E23:E30)</f>
        <v>45500</v>
      </c>
      <c r="F31" s="240">
        <f>SUM(F23:F30)</f>
        <v>29500</v>
      </c>
      <c r="G31" s="273">
        <f>E31-F31</f>
        <v>16000</v>
      </c>
      <c r="H31" s="273"/>
      <c r="I31" s="78"/>
      <c r="J31" s="83">
        <v>11</v>
      </c>
      <c r="K31" s="249" t="s">
        <v>474</v>
      </c>
      <c r="L31" s="85"/>
      <c r="M31" s="232">
        <f>'MAY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'MAY 20'!Q32:Q51</f>
        <v>2500</v>
      </c>
      <c r="N32" s="320">
        <v>3500</v>
      </c>
      <c r="O32" s="232">
        <f t="shared" si="4"/>
        <v>6000</v>
      </c>
      <c r="P32" s="234">
        <f>3000+1500</f>
        <v>4500</v>
      </c>
      <c r="Q32" s="319">
        <f t="shared" si="5"/>
        <v>1500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f>'MAY 20'!Q33:Q52</f>
        <v>7000</v>
      </c>
      <c r="N33" s="320">
        <v>3500</v>
      </c>
      <c r="O33" s="232">
        <f t="shared" si="4"/>
        <v>10500</v>
      </c>
      <c r="P33" s="234"/>
      <c r="Q33" s="319">
        <f>O33-P33</f>
        <v>10500</v>
      </c>
      <c r="R33" s="78"/>
    </row>
    <row r="34" spans="1:18" ht="22.5" x14ac:dyDescent="0.25">
      <c r="A34" s="211" t="s">
        <v>342</v>
      </c>
      <c r="B34" s="273">
        <f>D31+D20</f>
        <v>51500</v>
      </c>
      <c r="C34" s="164"/>
      <c r="D34" s="164"/>
      <c r="E34" s="211" t="s">
        <v>342</v>
      </c>
      <c r="F34" s="273">
        <f>F31+G20</f>
        <v>54200</v>
      </c>
      <c r="G34" s="164"/>
      <c r="H34" s="273"/>
      <c r="I34" s="78"/>
      <c r="J34" s="83">
        <v>14</v>
      </c>
      <c r="K34" s="200" t="s">
        <v>480</v>
      </c>
      <c r="L34" s="85"/>
      <c r="M34" s="232">
        <f>'MAY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5150</v>
      </c>
      <c r="D35" s="211"/>
      <c r="E35" s="211" t="s">
        <v>209</v>
      </c>
      <c r="F35" s="307">
        <v>0.1</v>
      </c>
      <c r="G35" s="308">
        <f>C35</f>
        <v>5150</v>
      </c>
      <c r="H35" s="273"/>
      <c r="I35" s="78"/>
      <c r="J35" s="83">
        <v>15</v>
      </c>
      <c r="K35" s="200" t="s">
        <v>512</v>
      </c>
      <c r="L35" s="85"/>
      <c r="M35" s="232">
        <f>'MAY 20'!Q35:Q54</f>
        <v>4000</v>
      </c>
      <c r="N35" s="320">
        <v>3500</v>
      </c>
      <c r="O35" s="232">
        <f>L35+M35+N35</f>
        <v>7500</v>
      </c>
      <c r="P35" s="234">
        <f>2000+1500+1000</f>
        <v>4500</v>
      </c>
      <c r="Q35" s="319">
        <f>O35-P35</f>
        <v>3000</v>
      </c>
      <c r="R35" s="78"/>
    </row>
    <row r="36" spans="1:18" ht="22.5" x14ac:dyDescent="0.25">
      <c r="A36" s="309" t="s">
        <v>232</v>
      </c>
      <c r="B36" s="308">
        <f>E20</f>
        <v>800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'MAY 20'!Q36:Q55</f>
        <v>1000</v>
      </c>
      <c r="N36" s="320">
        <v>3500</v>
      </c>
      <c r="O36" s="232">
        <f>L36+M36+N36</f>
        <v>4500</v>
      </c>
      <c r="P36" s="234">
        <f>4000</f>
        <v>4000</v>
      </c>
      <c r="Q36" s="319">
        <f t="shared" si="5"/>
        <v>500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'MAY 20'!Q37:Q56</f>
        <v>4500</v>
      </c>
      <c r="N37" s="320">
        <v>3500</v>
      </c>
      <c r="O37" s="232">
        <f t="shared" si="4"/>
        <v>8000</v>
      </c>
      <c r="P37" s="234">
        <f>4000</f>
        <v>4000</v>
      </c>
      <c r="Q37" s="319">
        <f t="shared" si="5"/>
        <v>4000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'MAY 20'!Q38:Q57</f>
        <v>7000</v>
      </c>
      <c r="N38" s="320">
        <v>3500</v>
      </c>
      <c r="O38" s="232">
        <f t="shared" si="4"/>
        <v>10500</v>
      </c>
      <c r="P38" s="234"/>
      <c r="Q38" s="319">
        <f>O38-P38</f>
        <v>10500</v>
      </c>
      <c r="R38" s="78" t="s">
        <v>573</v>
      </c>
    </row>
    <row r="39" spans="1:18" x14ac:dyDescent="0.25">
      <c r="A39" s="309" t="s">
        <v>239</v>
      </c>
      <c r="B39" s="308">
        <f>'MAY 20'!D50</f>
        <v>29164.342305280035</v>
      </c>
      <c r="C39" s="211"/>
      <c r="D39" s="211"/>
      <c r="E39" s="309" t="s">
        <v>239</v>
      </c>
      <c r="F39" s="308">
        <f>'MAY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'MAY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84464.342305280035</v>
      </c>
      <c r="C40" s="211"/>
      <c r="D40" s="211"/>
      <c r="E40" s="309" t="s">
        <v>193</v>
      </c>
      <c r="F40" s="308">
        <f>F34+F36+F39+F37</f>
        <v>57200.275200000033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'MAY 20'!Q40:Q59</f>
        <v>8500</v>
      </c>
      <c r="N40" s="320">
        <v>3500</v>
      </c>
      <c r="O40" s="232">
        <f>L40+M40+N40</f>
        <v>12000</v>
      </c>
      <c r="P40" s="234">
        <f>1500+1500</f>
        <v>3000</v>
      </c>
      <c r="Q40" s="319">
        <f>O40-P40</f>
        <v>9000</v>
      </c>
      <c r="R40" s="78" t="s">
        <v>575</v>
      </c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45000</v>
      </c>
      <c r="N41" s="239">
        <f>SUM(N21:N40)</f>
        <v>63000</v>
      </c>
      <c r="O41" s="232">
        <f>L41+M41+N41</f>
        <v>108000</v>
      </c>
      <c r="P41" s="240">
        <f>SUM(P21:P40)</f>
        <v>50050</v>
      </c>
      <c r="Q41" s="319">
        <f>O41-P41</f>
        <v>57950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342</v>
      </c>
      <c r="K44" s="273">
        <f>N41+N19</f>
        <v>82500</v>
      </c>
      <c r="L44" s="164"/>
      <c r="M44" s="164"/>
      <c r="N44" s="211" t="s">
        <v>342</v>
      </c>
      <c r="O44" s="273">
        <f>P41+P19</f>
        <v>65550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8250</v>
      </c>
      <c r="M45" s="211"/>
      <c r="N45" s="211" t="s">
        <v>209</v>
      </c>
      <c r="O45" s="307">
        <v>0.1</v>
      </c>
      <c r="P45" s="308">
        <f>L45</f>
        <v>8250</v>
      </c>
      <c r="Q45" s="273"/>
      <c r="R45" s="78"/>
    </row>
    <row r="46" spans="1:18" x14ac:dyDescent="0.25">
      <c r="A46" s="370" t="s">
        <v>460</v>
      </c>
      <c r="B46" s="370"/>
      <c r="C46" s="368">
        <f>C15</f>
        <v>1800</v>
      </c>
      <c r="D46" s="370"/>
      <c r="E46" s="370"/>
      <c r="F46" s="370"/>
      <c r="G46" s="368"/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585</v>
      </c>
      <c r="B47" s="370"/>
      <c r="C47" s="371">
        <v>2000</v>
      </c>
      <c r="D47" s="370"/>
      <c r="E47" s="369" t="s">
        <v>585</v>
      </c>
      <c r="F47" s="370"/>
      <c r="G47" s="371">
        <v>2000</v>
      </c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 t="s">
        <v>586</v>
      </c>
      <c r="B48" s="370"/>
      <c r="C48" s="371">
        <v>47050</v>
      </c>
      <c r="D48" s="370"/>
      <c r="E48" s="369" t="s">
        <v>586</v>
      </c>
      <c r="F48" s="370"/>
      <c r="G48" s="371">
        <v>47050</v>
      </c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'MAY 20'!M55</f>
        <v>45350.3</v>
      </c>
      <c r="L49" s="211"/>
      <c r="M49" s="211"/>
      <c r="N49" s="309" t="s">
        <v>239</v>
      </c>
      <c r="O49" s="308">
        <f>'MAY 20'!Q55</f>
        <v>351.50000000001455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79314.342305280035</v>
      </c>
      <c r="C50" s="318">
        <f>SUM(C41:C49)</f>
        <v>53850</v>
      </c>
      <c r="D50" s="318">
        <f>B50-C50</f>
        <v>25464.342305280035</v>
      </c>
      <c r="E50" s="166" t="s">
        <v>193</v>
      </c>
      <c r="F50" s="317">
        <f>F34+F36+F37+F39-G35</f>
        <v>52050.275200000033</v>
      </c>
      <c r="G50" s="318">
        <f>SUM(G41:G49)</f>
        <v>52050</v>
      </c>
      <c r="H50" s="318">
        <f>F50-G50</f>
        <v>0.27520000003278255</v>
      </c>
      <c r="I50" s="78"/>
      <c r="J50" s="309" t="s">
        <v>193</v>
      </c>
      <c r="K50" s="308">
        <f>K44+K46+K49+K48</f>
        <v>127850.3</v>
      </c>
      <c r="L50" s="211"/>
      <c r="M50" s="211"/>
      <c r="N50" s="309" t="s">
        <v>193</v>
      </c>
      <c r="O50" s="308">
        <f>O44+O46+O49+O47</f>
        <v>65901.800000000017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214"/>
      <c r="M51" s="211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9" t="s">
        <v>586</v>
      </c>
      <c r="K52" s="370"/>
      <c r="L52" s="371">
        <v>56150</v>
      </c>
      <c r="M52" s="366"/>
      <c r="N52" s="369" t="s">
        <v>586</v>
      </c>
      <c r="O52" s="370"/>
      <c r="P52" s="371">
        <v>56150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588</v>
      </c>
      <c r="K53" s="370"/>
      <c r="L53" s="371">
        <v>3500</v>
      </c>
      <c r="M53" s="366"/>
      <c r="N53" s="369"/>
      <c r="O53" s="370"/>
      <c r="P53" s="371"/>
      <c r="Q53" s="368"/>
      <c r="R53" s="78"/>
    </row>
    <row r="54" spans="1:18" x14ac:dyDescent="0.25">
      <c r="A54" s="150"/>
      <c r="B54" s="150"/>
      <c r="C54" s="150"/>
      <c r="D54" s="150"/>
      <c r="E54" s="269"/>
      <c r="F54" s="150"/>
      <c r="G54" s="150"/>
      <c r="H54" s="269"/>
      <c r="I54" s="78"/>
      <c r="J54" s="369" t="s">
        <v>589</v>
      </c>
      <c r="K54" s="370"/>
      <c r="L54" s="371">
        <v>5000</v>
      </c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119600.3</v>
      </c>
      <c r="L55" s="318">
        <f>SUM(L52:L54)</f>
        <v>64650</v>
      </c>
      <c r="M55" s="318">
        <f>K55-L55</f>
        <v>54950.3</v>
      </c>
      <c r="N55" s="166" t="s">
        <v>193</v>
      </c>
      <c r="O55" s="317">
        <f>O44+O46+O47+O49-P45-P47</f>
        <v>57651.800000000017</v>
      </c>
      <c r="P55" s="318">
        <f>SUM(P52:P54)</f>
        <v>56150</v>
      </c>
      <c r="Q55" s="318">
        <f>O55-P55</f>
        <v>1501.8000000000175</v>
      </c>
      <c r="R55" s="78"/>
    </row>
    <row r="56" spans="1:18" x14ac:dyDescent="0.25">
      <c r="A56" s="78"/>
      <c r="B56" s="78"/>
      <c r="C56" s="78"/>
      <c r="D56" s="78"/>
      <c r="E56" s="78"/>
      <c r="F56" s="78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220">
        <f>H50+Q55</f>
        <v>1502.0752000000502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10" workbookViewId="0">
      <selection activeCell="F58" sqref="F58"/>
    </sheetView>
  </sheetViews>
  <sheetFormatPr defaultRowHeight="15" x14ac:dyDescent="0.25"/>
  <cols>
    <col min="1" max="1" width="15.570312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583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584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'JUNE 20'!H6:H19</f>
        <v>1800</v>
      </c>
      <c r="D6" s="280">
        <v>3000</v>
      </c>
      <c r="E6" s="281">
        <v>100</v>
      </c>
      <c r="F6" s="276">
        <f>C6+D6+E6</f>
        <v>4900</v>
      </c>
      <c r="G6" s="277">
        <f>3000</f>
        <v>3000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'JUNE 20'!H7:H20</f>
        <v>1000</v>
      </c>
      <c r="D7" s="280">
        <v>3000</v>
      </c>
      <c r="E7" s="281">
        <v>100</v>
      </c>
      <c r="F7" s="276">
        <f>C7+D7+E7</f>
        <v>4100</v>
      </c>
      <c r="G7" s="277">
        <f>3000</f>
        <v>3000</v>
      </c>
      <c r="H7" s="273">
        <f t="shared" si="0"/>
        <v>1100</v>
      </c>
      <c r="I7" s="150"/>
      <c r="J7" s="83" t="s">
        <v>106</v>
      </c>
      <c r="K7" s="249" t="s">
        <v>578</v>
      </c>
      <c r="L7" s="85"/>
      <c r="M7" s="232">
        <f>'JUNE 20'!Q7:Q17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'JUNE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'JUNE 20'!Q8:Q18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'JUNE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'JUNE 20'!Q9:Q19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ht="22.5" x14ac:dyDescent="0.25">
      <c r="A10" s="282" t="s">
        <v>281</v>
      </c>
      <c r="B10" s="274" t="s">
        <v>58</v>
      </c>
      <c r="C10" s="113">
        <f>'JUNE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566</v>
      </c>
      <c r="L10" s="110"/>
      <c r="M10" s="232">
        <f>'JUNE 20'!Q10:Q20</f>
        <v>0</v>
      </c>
      <c r="N10" s="321">
        <v>2500</v>
      </c>
      <c r="O10" s="232">
        <f t="shared" si="1"/>
        <v>2500</v>
      </c>
      <c r="P10" s="319">
        <v>2500</v>
      </c>
      <c r="Q10" s="319">
        <f t="shared" si="2"/>
        <v>0</v>
      </c>
      <c r="R10" s="78"/>
    </row>
    <row r="11" spans="1:18" ht="22.5" x14ac:dyDescent="0.25">
      <c r="A11" s="282" t="s">
        <v>283</v>
      </c>
      <c r="B11" s="274" t="s">
        <v>60</v>
      </c>
      <c r="C11" s="113">
        <f>'JUNE 20'!H11:H24</f>
        <v>0</v>
      </c>
      <c r="D11" s="280">
        <v>3000</v>
      </c>
      <c r="E11" s="281">
        <v>100</v>
      </c>
      <c r="F11" s="276">
        <f>C12+D11+E11</f>
        <v>3100</v>
      </c>
      <c r="G11" s="277">
        <v>3100</v>
      </c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'JUNE 20'!Q11:Q21</f>
        <v>0</v>
      </c>
      <c r="N11" s="320">
        <v>2500</v>
      </c>
      <c r="O11" s="232">
        <f t="shared" si="1"/>
        <v>2500</v>
      </c>
      <c r="P11" s="234">
        <f>2500</f>
        <v>2500</v>
      </c>
      <c r="Q11" s="319">
        <f t="shared" si="2"/>
        <v>0</v>
      </c>
      <c r="R11" s="78"/>
    </row>
    <row r="12" spans="1:18" x14ac:dyDescent="0.25">
      <c r="A12" s="282" t="s">
        <v>281</v>
      </c>
      <c r="B12" s="274" t="s">
        <v>62</v>
      </c>
      <c r="C12" s="113">
        <f>'JUNE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281</v>
      </c>
      <c r="L12" s="110"/>
      <c r="M12" s="232"/>
      <c r="N12" s="325"/>
      <c r="O12" s="232">
        <f t="shared" si="1"/>
        <v>0</v>
      </c>
      <c r="P12" s="326"/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'JUNE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'JUNE 20'!Q13:Q23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'JUNE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'JUNE 20'!Q14:Q24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/>
      <c r="D15" s="285"/>
      <c r="E15" s="286"/>
      <c r="F15" s="276">
        <f t="shared" ref="F15:F20" si="3"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2500</v>
      </c>
      <c r="N15" s="320">
        <v>2500</v>
      </c>
      <c r="O15" s="232">
        <f t="shared" si="1"/>
        <v>5500</v>
      </c>
      <c r="P15" s="234">
        <f>2000+2000+500</f>
        <v>4500</v>
      </c>
      <c r="Q15" s="319">
        <f t="shared" si="2"/>
        <v>1000</v>
      </c>
      <c r="R15" s="78"/>
    </row>
    <row r="16" spans="1:18" ht="22.5" x14ac:dyDescent="0.25">
      <c r="A16" s="196"/>
      <c r="B16" s="284" t="s">
        <v>22</v>
      </c>
      <c r="C16" s="113">
        <f>'JUNE 20'!H16:H29</f>
        <v>0</v>
      </c>
      <c r="D16" s="285"/>
      <c r="E16" s="286"/>
      <c r="F16" s="276">
        <f t="shared" si="3"/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'JUNE 20'!Q16:Q26</f>
        <v>3000</v>
      </c>
      <c r="N16" s="231">
        <v>1500</v>
      </c>
      <c r="O16" s="232">
        <f>L16+M16+N16</f>
        <v>4500</v>
      </c>
      <c r="P16" s="234">
        <f>3000</f>
        <v>3000</v>
      </c>
      <c r="Q16" s="319">
        <f t="shared" si="2"/>
        <v>1500</v>
      </c>
      <c r="R16" s="78"/>
    </row>
    <row r="17" spans="1:18" x14ac:dyDescent="0.25">
      <c r="A17" s="524"/>
      <c r="B17" s="284" t="s">
        <v>24</v>
      </c>
      <c r="C17" s="113">
        <f>'JUNE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 t="s">
        <v>567</v>
      </c>
      <c r="B18" s="284" t="s">
        <v>26</v>
      </c>
      <c r="C18" s="113">
        <f>'JUNE 20'!H18:H31</f>
        <v>1300</v>
      </c>
      <c r="D18" s="285"/>
      <c r="E18" s="286"/>
      <c r="F18" s="276">
        <f t="shared" si="3"/>
        <v>1300</v>
      </c>
      <c r="G18" s="277">
        <v>1000</v>
      </c>
      <c r="H18" s="273">
        <f t="shared" si="0"/>
        <v>300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'JUNE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6000</v>
      </c>
      <c r="N19" s="239">
        <f>SUM(N7:N16)</f>
        <v>19500</v>
      </c>
      <c r="O19" s="232">
        <f t="shared" si="1"/>
        <v>26000</v>
      </c>
      <c r="P19" s="240">
        <f>SUM(P7:P16)</f>
        <v>23000</v>
      </c>
      <c r="Q19" s="323">
        <f>SUM(Q7:Q16)</f>
        <v>3000</v>
      </c>
      <c r="R19" s="78"/>
    </row>
    <row r="20" spans="1:18" x14ac:dyDescent="0.25">
      <c r="A20" s="294" t="s">
        <v>193</v>
      </c>
      <c r="B20" s="293"/>
      <c r="C20" s="275">
        <f>SUM(C6:C19)</f>
        <v>7200</v>
      </c>
      <c r="D20" s="240">
        <f>SUM(D6:D19)</f>
        <v>18000</v>
      </c>
      <c r="E20" s="240">
        <f>SUM(E6:E19)</f>
        <v>600</v>
      </c>
      <c r="F20" s="276">
        <f t="shared" si="3"/>
        <v>25800</v>
      </c>
      <c r="G20" s="361">
        <f>SUM(G6:G19)</f>
        <v>19400</v>
      </c>
      <c r="H20" s="273">
        <f>SUM(H6:H19)</f>
        <v>6400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3"/>
      <c r="B21" s="533"/>
      <c r="C21" s="275">
        <f>'DECEMBER 19'!H18:H29</f>
        <v>0</v>
      </c>
      <c r="D21" s="345" t="s">
        <v>247</v>
      </c>
      <c r="E21" s="533"/>
      <c r="F21" s="533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'JUNE 20'!Q21:Q40</f>
        <v>1000</v>
      </c>
      <c r="N21" s="320">
        <v>3500</v>
      </c>
      <c r="O21" s="232">
        <f t="shared" ref="O21:O38" si="4">L21+M21+N21</f>
        <v>4500</v>
      </c>
      <c r="P21" s="232">
        <f>1000+2000</f>
        <v>3000</v>
      </c>
      <c r="Q21" s="319">
        <f t="shared" ref="Q21:Q37" si="5">O21-P21</f>
        <v>1500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'JUNE 20'!Q22:Q41</f>
        <v>1850</v>
      </c>
      <c r="N22" s="320">
        <v>3500</v>
      </c>
      <c r="O22" s="232">
        <f t="shared" si="4"/>
        <v>5350</v>
      </c>
      <c r="P22" s="232">
        <f>4000</f>
        <v>4000</v>
      </c>
      <c r="Q22" s="319">
        <f t="shared" si="5"/>
        <v>1350</v>
      </c>
      <c r="R22" s="78"/>
    </row>
    <row r="23" spans="1:18" x14ac:dyDescent="0.25">
      <c r="A23" s="191" t="s">
        <v>313</v>
      </c>
      <c r="B23" s="85"/>
      <c r="C23" s="86">
        <f>'JUNE 20'!G23:G30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'JUNE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'JUNE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'JUNE 20'!Q24:Q43</f>
        <v>1500</v>
      </c>
      <c r="N24" s="321">
        <v>3500</v>
      </c>
      <c r="O24" s="232">
        <f>L24+M24+N24</f>
        <v>5000</v>
      </c>
      <c r="P24" s="319">
        <f>1500+1500</f>
        <v>3000</v>
      </c>
      <c r="Q24" s="319">
        <f t="shared" si="5"/>
        <v>2000</v>
      </c>
      <c r="R24" s="78"/>
    </row>
    <row r="25" spans="1:18" ht="22.5" x14ac:dyDescent="0.25">
      <c r="A25" s="191" t="s">
        <v>411</v>
      </c>
      <c r="B25" s="85"/>
      <c r="C25" s="86">
        <f>'JUNE 20'!G25:G32</f>
        <v>4000</v>
      </c>
      <c r="D25" s="231">
        <v>4000</v>
      </c>
      <c r="E25" s="232">
        <f>B25+D25+C25</f>
        <v>8000</v>
      </c>
      <c r="F25" s="78">
        <f>4000+4000</f>
        <v>8000</v>
      </c>
      <c r="G25" s="273">
        <f>E25-F25</f>
        <v>0</v>
      </c>
      <c r="H25" s="273"/>
      <c r="I25" s="78"/>
      <c r="J25" s="83">
        <v>5</v>
      </c>
      <c r="K25" s="200" t="s">
        <v>505</v>
      </c>
      <c r="L25" s="85"/>
      <c r="M25" s="232">
        <f>'JUNE 20'!Q25:Q44</f>
        <v>7000</v>
      </c>
      <c r="N25" s="320">
        <v>3500</v>
      </c>
      <c r="O25" s="232">
        <f t="shared" si="4"/>
        <v>10500</v>
      </c>
      <c r="P25" s="234">
        <f>5000+3500</f>
        <v>8500</v>
      </c>
      <c r="Q25" s="319">
        <f t="shared" si="5"/>
        <v>2000</v>
      </c>
      <c r="R25" s="78"/>
    </row>
    <row r="26" spans="1:18" ht="22.5" x14ac:dyDescent="0.25">
      <c r="A26" s="191"/>
      <c r="B26" s="85"/>
      <c r="C26" s="86">
        <f>'JUNE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'JUNE 20'!Q26:Q45</f>
        <v>3000</v>
      </c>
      <c r="N26" s="325">
        <v>3500</v>
      </c>
      <c r="O26" s="232">
        <f t="shared" si="4"/>
        <v>6500</v>
      </c>
      <c r="P26" s="326">
        <f>5000+500</f>
        <v>5500</v>
      </c>
      <c r="Q26" s="319">
        <f t="shared" si="5"/>
        <v>1000</v>
      </c>
      <c r="R26" s="78"/>
    </row>
    <row r="27" spans="1:18" ht="22.5" x14ac:dyDescent="0.25">
      <c r="A27" s="191" t="s">
        <v>350</v>
      </c>
      <c r="B27" s="86"/>
      <c r="C27" s="86">
        <f>'JUNE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'JUNE 20'!Q27:Q46</f>
        <v>1000</v>
      </c>
      <c r="N27" s="320">
        <v>3500</v>
      </c>
      <c r="O27" s="232">
        <f t="shared" si="4"/>
        <v>4500</v>
      </c>
      <c r="P27" s="234">
        <v>3500</v>
      </c>
      <c r="Q27" s="319">
        <f t="shared" si="5"/>
        <v>1000</v>
      </c>
      <c r="R27" s="220"/>
    </row>
    <row r="28" spans="1:18" x14ac:dyDescent="0.25">
      <c r="A28" s="191" t="s">
        <v>392</v>
      </c>
      <c r="B28" s="85"/>
      <c r="C28" s="86">
        <f>'JUNE 20'!G28:G35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19400</v>
      </c>
      <c r="J28" s="83">
        <v>8</v>
      </c>
      <c r="K28" s="249"/>
      <c r="L28" s="85"/>
      <c r="M28" s="232"/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'JUNE 20'!G29:G36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'JUNE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'JUNE 20'!G30:G37</f>
        <v>0</v>
      </c>
      <c r="D30" s="231">
        <v>4000</v>
      </c>
      <c r="E30" s="232">
        <f t="shared" si="6"/>
        <v>4000</v>
      </c>
      <c r="F30" s="110">
        <f>1000+1000+1000</f>
        <v>3000</v>
      </c>
      <c r="G30" s="273">
        <f t="shared" si="7"/>
        <v>1000</v>
      </c>
      <c r="H30" s="273"/>
      <c r="I30" s="78"/>
      <c r="J30" s="83">
        <v>10</v>
      </c>
      <c r="K30" s="200" t="s">
        <v>490</v>
      </c>
      <c r="L30" s="85"/>
      <c r="M30" s="232">
        <f>'JUNE 20'!Q30:Q49</f>
        <v>100</v>
      </c>
      <c r="N30" s="320">
        <v>3500</v>
      </c>
      <c r="O30" s="232">
        <f t="shared" si="4"/>
        <v>3600</v>
      </c>
      <c r="P30" s="234">
        <v>3500</v>
      </c>
      <c r="Q30" s="319">
        <f t="shared" si="5"/>
        <v>100</v>
      </c>
      <c r="R30" s="78"/>
    </row>
    <row r="31" spans="1:18" ht="22.5" x14ac:dyDescent="0.25">
      <c r="A31" s="339" t="s">
        <v>193</v>
      </c>
      <c r="B31" s="42"/>
      <c r="C31" s="86">
        <f>SUM(C23:C30)</f>
        <v>16000</v>
      </c>
      <c r="D31" s="240">
        <f>SUM(D23:D30)</f>
        <v>27500</v>
      </c>
      <c r="E31" s="232">
        <f>SUM(E23:E30)</f>
        <v>43500</v>
      </c>
      <c r="F31" s="240">
        <f>SUM(F23:F30)</f>
        <v>30500</v>
      </c>
      <c r="G31" s="273">
        <f>E31-F31</f>
        <v>13000</v>
      </c>
      <c r="H31" s="273"/>
      <c r="I31" s="78"/>
      <c r="J31" s="83">
        <v>11</v>
      </c>
      <c r="K31" s="249" t="s">
        <v>474</v>
      </c>
      <c r="L31" s="85"/>
      <c r="M31" s="232">
        <f>'JUNE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'JUNE 20'!Q32:Q51</f>
        <v>1500</v>
      </c>
      <c r="N32" s="320">
        <v>3500</v>
      </c>
      <c r="O32" s="232">
        <f t="shared" si="4"/>
        <v>5000</v>
      </c>
      <c r="P32" s="234">
        <f>1000+1000+3000</f>
        <v>5000</v>
      </c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558</v>
      </c>
      <c r="L33" s="85"/>
      <c r="M33" s="232">
        <f>'JUNE 20'!Q33:Q52</f>
        <v>10500</v>
      </c>
      <c r="N33" s="320">
        <v>3500</v>
      </c>
      <c r="O33" s="232">
        <f t="shared" si="4"/>
        <v>14000</v>
      </c>
      <c r="P33" s="234">
        <f>3500</f>
        <v>3500</v>
      </c>
      <c r="Q33" s="319">
        <f>O33-P33</f>
        <v>10500</v>
      </c>
      <c r="R33" s="78"/>
    </row>
    <row r="34" spans="1:18" ht="22.5" x14ac:dyDescent="0.25">
      <c r="A34" s="211" t="s">
        <v>355</v>
      </c>
      <c r="B34" s="273">
        <f>D31+D20</f>
        <v>45500</v>
      </c>
      <c r="C34" s="164"/>
      <c r="D34" s="164"/>
      <c r="E34" s="211" t="s">
        <v>355</v>
      </c>
      <c r="F34" s="273">
        <f>F31+G20</f>
        <v>49900</v>
      </c>
      <c r="G34" s="164"/>
      <c r="H34" s="273"/>
      <c r="I34" s="78"/>
      <c r="J34" s="83">
        <v>14</v>
      </c>
      <c r="K34" s="200" t="s">
        <v>480</v>
      </c>
      <c r="L34" s="85"/>
      <c r="M34" s="232">
        <f>'JUNE 20'!Q34:Q53</f>
        <v>0</v>
      </c>
      <c r="N34" s="320">
        <v>3500</v>
      </c>
      <c r="O34" s="232">
        <f t="shared" si="4"/>
        <v>3500</v>
      </c>
      <c r="P34" s="234"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4550</v>
      </c>
      <c r="D35" s="211"/>
      <c r="E35" s="211" t="s">
        <v>209</v>
      </c>
      <c r="F35" s="307">
        <v>0.1</v>
      </c>
      <c r="G35" s="308">
        <f>C35</f>
        <v>4550</v>
      </c>
      <c r="H35" s="273"/>
      <c r="I35" s="78"/>
      <c r="J35" s="83">
        <v>15</v>
      </c>
      <c r="K35" s="200" t="s">
        <v>512</v>
      </c>
      <c r="L35" s="85"/>
      <c r="M35" s="232">
        <f>'JUNE 20'!Q35:Q54</f>
        <v>3000</v>
      </c>
      <c r="N35" s="320">
        <v>3500</v>
      </c>
      <c r="O35" s="232">
        <f>L35+M35+N35</f>
        <v>6500</v>
      </c>
      <c r="P35" s="234">
        <v>4500</v>
      </c>
      <c r="Q35" s="319">
        <f>O35-P35</f>
        <v>2000</v>
      </c>
      <c r="R35" s="78"/>
    </row>
    <row r="36" spans="1:18" ht="22.5" x14ac:dyDescent="0.25">
      <c r="A36" s="309" t="s">
        <v>232</v>
      </c>
      <c r="B36" s="308">
        <f>E20</f>
        <v>600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'JUNE 20'!Q36:Q55</f>
        <v>500</v>
      </c>
      <c r="N36" s="320">
        <v>3500</v>
      </c>
      <c r="O36" s="232">
        <f>L36+M36+N36</f>
        <v>4000</v>
      </c>
      <c r="P36" s="234">
        <v>4000</v>
      </c>
      <c r="Q36" s="319">
        <f t="shared" si="5"/>
        <v>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'JUNE 20'!Q37:Q56</f>
        <v>4000</v>
      </c>
      <c r="N37" s="320">
        <v>3500</v>
      </c>
      <c r="O37" s="232">
        <f t="shared" si="4"/>
        <v>7500</v>
      </c>
      <c r="P37" s="234">
        <f>2000</f>
        <v>2000</v>
      </c>
      <c r="Q37" s="319">
        <f t="shared" si="5"/>
        <v>5500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'JUNE 20'!Q38:Q57</f>
        <v>10500</v>
      </c>
      <c r="N38" s="320">
        <v>3500</v>
      </c>
      <c r="O38" s="232">
        <f t="shared" si="4"/>
        <v>14000</v>
      </c>
      <c r="P38" s="234">
        <f>3500+3500+2900</f>
        <v>9900</v>
      </c>
      <c r="Q38" s="319">
        <f>O38-P38</f>
        <v>4100</v>
      </c>
      <c r="R38" s="78"/>
    </row>
    <row r="39" spans="1:18" x14ac:dyDescent="0.25">
      <c r="A39" s="309" t="s">
        <v>239</v>
      </c>
      <c r="B39" s="308">
        <f>'JUNE 20'!D50</f>
        <v>25464.342305280035</v>
      </c>
      <c r="C39" s="211"/>
      <c r="D39" s="211"/>
      <c r="E39" s="309" t="s">
        <v>239</v>
      </c>
      <c r="F39" s="308">
        <f>'JUNE 20'!H50</f>
        <v>0.27520000003278255</v>
      </c>
      <c r="G39" s="211"/>
      <c r="H39" s="273"/>
      <c r="I39" s="78"/>
      <c r="J39" s="83">
        <v>19</v>
      </c>
      <c r="K39" s="200"/>
      <c r="L39" s="85"/>
      <c r="M39" s="232">
        <f>'JUNE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74564.342305280035</v>
      </c>
      <c r="C40" s="211"/>
      <c r="D40" s="211"/>
      <c r="E40" s="309" t="s">
        <v>193</v>
      </c>
      <c r="F40" s="308">
        <f>F34+F36+F39+F37</f>
        <v>52900.275200000033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'JUNE 20'!Q40:Q59</f>
        <v>9000</v>
      </c>
      <c r="N40" s="320">
        <v>3500</v>
      </c>
      <c r="O40" s="232">
        <f>L40+M40+N40</f>
        <v>12500</v>
      </c>
      <c r="P40" s="234">
        <f>2000+1000+500</f>
        <v>3500</v>
      </c>
      <c r="Q40" s="319">
        <f>O40-P40</f>
        <v>9000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54450</v>
      </c>
      <c r="N41" s="239">
        <f>SUM(N21:N40)</f>
        <v>59500</v>
      </c>
      <c r="O41" s="232">
        <f>L41+M41+N41</f>
        <v>113950</v>
      </c>
      <c r="P41" s="240">
        <f>SUM(P21:P40)</f>
        <v>73900</v>
      </c>
      <c r="Q41" s="319">
        <f>O41-P41</f>
        <v>40050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355</v>
      </c>
      <c r="K44" s="273">
        <f>N41+N19</f>
        <v>79000</v>
      </c>
      <c r="L44" s="164"/>
      <c r="M44" s="164"/>
      <c r="N44" s="211" t="s">
        <v>355</v>
      </c>
      <c r="O44" s="273">
        <f>P41+P19</f>
        <v>96900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7900</v>
      </c>
      <c r="M45" s="211"/>
      <c r="N45" s="211" t="s">
        <v>209</v>
      </c>
      <c r="O45" s="307">
        <v>0.1</v>
      </c>
      <c r="P45" s="308">
        <f>L45</f>
        <v>7900</v>
      </c>
      <c r="Q45" s="273"/>
      <c r="R45" s="78"/>
    </row>
    <row r="46" spans="1:18" x14ac:dyDescent="0.25">
      <c r="A46" s="370" t="s">
        <v>587</v>
      </c>
      <c r="B46" s="370"/>
      <c r="C46" s="368">
        <v>3000</v>
      </c>
      <c r="D46" s="370"/>
      <c r="E46" s="370" t="s">
        <v>587</v>
      </c>
      <c r="F46" s="370"/>
      <c r="G46" s="368">
        <v>3000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'JUNE 20'!M55</f>
        <v>54950.3</v>
      </c>
      <c r="L49" s="211"/>
      <c r="M49" s="211"/>
      <c r="N49" s="309" t="s">
        <v>239</v>
      </c>
      <c r="O49" s="308">
        <f>'JUNE 20'!Q55</f>
        <v>1501.8000000000175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70014.342305280035</v>
      </c>
      <c r="C50" s="318">
        <f>SUM(C41:C49)</f>
        <v>6000</v>
      </c>
      <c r="D50" s="318">
        <f>B50-C50</f>
        <v>64014.342305280035</v>
      </c>
      <c r="E50" s="166" t="s">
        <v>193</v>
      </c>
      <c r="F50" s="317">
        <f>F34+F36+F37+F39-G35</f>
        <v>48350.275200000033</v>
      </c>
      <c r="G50" s="318">
        <f>SUM(G41:G49)</f>
        <v>6000</v>
      </c>
      <c r="H50" s="318">
        <f>F50-G50</f>
        <v>42350.275200000033</v>
      </c>
      <c r="I50" s="78"/>
      <c r="J50" s="309" t="s">
        <v>193</v>
      </c>
      <c r="K50" s="308">
        <f>K44+K46+K49+K48</f>
        <v>133950.29999999999</v>
      </c>
      <c r="L50" s="211"/>
      <c r="M50" s="211"/>
      <c r="N50" s="309" t="s">
        <v>193</v>
      </c>
      <c r="O50" s="308">
        <f>O44+O46+O49+O47</f>
        <v>98402.10000000002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593</v>
      </c>
      <c r="K52" s="380"/>
      <c r="L52" s="367">
        <v>10500</v>
      </c>
      <c r="M52" s="366"/>
      <c r="N52" s="365"/>
      <c r="O52" s="380"/>
      <c r="P52" s="367"/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126050.29999999999</v>
      </c>
      <c r="L55" s="318">
        <f>SUM(L52:L54)</f>
        <v>10500</v>
      </c>
      <c r="M55" s="318">
        <f>K55-L55</f>
        <v>115550.29999999999</v>
      </c>
      <c r="N55" s="166" t="s">
        <v>193</v>
      </c>
      <c r="O55" s="317">
        <f>O44+O46+O47+O49-P45-P47</f>
        <v>90502.10000000002</v>
      </c>
      <c r="P55" s="318">
        <f>SUM(P52:P54)</f>
        <v>0</v>
      </c>
      <c r="Q55" s="318">
        <f>O55-P55</f>
        <v>90502.10000000002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220">
        <f>H50+Q55</f>
        <v>132852.37520000007</v>
      </c>
      <c r="I59" s="220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M60" s="220"/>
    </row>
    <row r="61" spans="1:18" x14ac:dyDescent="0.25">
      <c r="H61" s="220"/>
      <c r="O61" s="220">
        <f>M55-Q55</f>
        <v>25048.199999999968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F7" sqref="F7"/>
    </sheetView>
  </sheetViews>
  <sheetFormatPr defaultRowHeight="15" x14ac:dyDescent="0.25"/>
  <cols>
    <col min="1" max="1" width="15" customWidth="1"/>
    <col min="11" max="11" width="12.8554687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591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592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'JULY 20'!H6:H19</f>
        <v>1900</v>
      </c>
      <c r="D6" s="280">
        <v>3000</v>
      </c>
      <c r="E6" s="281">
        <v>100</v>
      </c>
      <c r="F6" s="276">
        <f>C6+D6+E6</f>
        <v>5000</v>
      </c>
      <c r="G6" s="277">
        <f>3100</f>
        <v>3100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113">
        <f>'JULY 20'!H7:H20</f>
        <v>1100</v>
      </c>
      <c r="D7" s="280">
        <v>3000</v>
      </c>
      <c r="E7" s="281">
        <v>100</v>
      </c>
      <c r="F7" s="276">
        <f>C7+D7+E7</f>
        <v>4200</v>
      </c>
      <c r="G7" s="277">
        <f>3200</f>
        <v>3200</v>
      </c>
      <c r="H7" s="273">
        <f t="shared" si="0"/>
        <v>1000</v>
      </c>
      <c r="I7" s="150"/>
      <c r="J7" s="83" t="s">
        <v>106</v>
      </c>
      <c r="K7" s="249" t="s">
        <v>578</v>
      </c>
      <c r="L7" s="85"/>
      <c r="M7" s="232">
        <f>'JULY 20'!Q7:Q16</f>
        <v>0</v>
      </c>
      <c r="N7" s="320">
        <v>3000</v>
      </c>
      <c r="O7" s="232">
        <f>L7+M7+N7</f>
        <v>3000</v>
      </c>
      <c r="P7" s="234"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'JULY 20'!H8:H21</f>
        <v>0</v>
      </c>
      <c r="D8" s="280"/>
      <c r="E8" s="281"/>
      <c r="F8" s="276">
        <f>C9+D8+E8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'JULY 20'!Q8:Q17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'JULY 20'!H9:H22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'JULY 20'!Q9:Q18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'JULY 20'!H10:H23</f>
        <v>0</v>
      </c>
      <c r="D10" s="280"/>
      <c r="E10" s="281"/>
      <c r="F10" s="276">
        <f>C11+D10+E10</f>
        <v>0</v>
      </c>
      <c r="G10" s="277"/>
      <c r="H10" s="273">
        <f t="shared" si="0"/>
        <v>0</v>
      </c>
      <c r="I10" s="150"/>
      <c r="J10" s="87" t="s">
        <v>112</v>
      </c>
      <c r="K10" s="200" t="s">
        <v>281</v>
      </c>
      <c r="L10" s="110"/>
      <c r="M10" s="232">
        <f>'JULY 20'!Q10:Q19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x14ac:dyDescent="0.25">
      <c r="A11" s="282" t="s">
        <v>283</v>
      </c>
      <c r="B11" s="274" t="s">
        <v>60</v>
      </c>
      <c r="C11" s="113">
        <f>'JULY 20'!H11:H24</f>
        <v>0</v>
      </c>
      <c r="D11" s="280">
        <v>3000</v>
      </c>
      <c r="E11" s="281">
        <v>100</v>
      </c>
      <c r="F11" s="276">
        <f>C12+D11+E11</f>
        <v>3100</v>
      </c>
      <c r="G11" s="277"/>
      <c r="H11" s="273">
        <f t="shared" si="0"/>
        <v>3100</v>
      </c>
      <c r="I11" s="150"/>
      <c r="J11" s="99" t="s">
        <v>114</v>
      </c>
      <c r="K11" s="200" t="s">
        <v>427</v>
      </c>
      <c r="L11" s="85"/>
      <c r="M11" s="232">
        <f>'JULY 20'!Q11:Q20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x14ac:dyDescent="0.25">
      <c r="A12" s="282" t="s">
        <v>281</v>
      </c>
      <c r="B12" s="274" t="s">
        <v>62</v>
      </c>
      <c r="C12" s="113">
        <f>'JULY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281</v>
      </c>
      <c r="L12" s="110"/>
      <c r="M12" s="232">
        <f>'JULY 20'!Q12:Q21</f>
        <v>0</v>
      </c>
      <c r="N12" s="325"/>
      <c r="O12" s="232">
        <f t="shared" si="1"/>
        <v>0</v>
      </c>
      <c r="P12" s="326"/>
      <c r="Q12" s="319">
        <f>O12-P12</f>
        <v>0</v>
      </c>
      <c r="R12" s="78"/>
    </row>
    <row r="13" spans="1:18" x14ac:dyDescent="0.25">
      <c r="A13" s="196" t="s">
        <v>519</v>
      </c>
      <c r="B13" s="284" t="s">
        <v>64</v>
      </c>
      <c r="C13" s="113">
        <f>'JULY 20'!H13:H26</f>
        <v>0</v>
      </c>
      <c r="D13" s="285">
        <v>3000</v>
      </c>
      <c r="E13" s="286">
        <v>100</v>
      </c>
      <c r="F13" s="276">
        <f>D13+E13</f>
        <v>3100</v>
      </c>
      <c r="G13" s="277">
        <f>3000+100</f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'JULY 20'!Q13:Q22</f>
        <v>0</v>
      </c>
      <c r="N13" s="320">
        <v>2500</v>
      </c>
      <c r="O13" s="232">
        <f t="shared" si="1"/>
        <v>2500</v>
      </c>
      <c r="P13" s="234">
        <f>2500</f>
        <v>2500</v>
      </c>
      <c r="Q13" s="319">
        <f t="shared" si="2"/>
        <v>0</v>
      </c>
      <c r="R13" s="78"/>
    </row>
    <row r="14" spans="1:18" x14ac:dyDescent="0.25">
      <c r="A14" s="196" t="s">
        <v>281</v>
      </c>
      <c r="B14" s="284" t="s">
        <v>18</v>
      </c>
      <c r="C14" s="113">
        <f>'JULY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'JULY 20'!Q14:Q23</f>
        <v>0</v>
      </c>
      <c r="N14" s="320">
        <v>2500</v>
      </c>
      <c r="O14" s="232">
        <f t="shared" si="1"/>
        <v>2500</v>
      </c>
      <c r="P14" s="234">
        <f>500+2000</f>
        <v>2500</v>
      </c>
      <c r="Q14" s="319">
        <f t="shared" si="2"/>
        <v>0</v>
      </c>
      <c r="R14" s="78"/>
    </row>
    <row r="15" spans="1:18" x14ac:dyDescent="0.25">
      <c r="A15" s="196"/>
      <c r="B15" s="284" t="s">
        <v>20</v>
      </c>
      <c r="C15" s="113">
        <f>'JULY 20'!H15:H28</f>
        <v>0</v>
      </c>
      <c r="D15" s="285"/>
      <c r="E15" s="286"/>
      <c r="F15" s="276">
        <f t="shared" ref="F15:F20" si="3"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500</v>
      </c>
      <c r="N15" s="320">
        <v>2500</v>
      </c>
      <c r="O15" s="232">
        <f t="shared" si="1"/>
        <v>3500</v>
      </c>
      <c r="P15" s="234">
        <v>2000</v>
      </c>
      <c r="Q15" s="319">
        <f t="shared" si="2"/>
        <v>1500</v>
      </c>
      <c r="R15" s="78"/>
    </row>
    <row r="16" spans="1:18" ht="22.5" x14ac:dyDescent="0.25">
      <c r="A16" s="196"/>
      <c r="B16" s="284" t="s">
        <v>22</v>
      </c>
      <c r="C16" s="113">
        <f>'JULY 20'!H16:H29</f>
        <v>0</v>
      </c>
      <c r="D16" s="285"/>
      <c r="E16" s="286"/>
      <c r="F16" s="276">
        <f t="shared" si="3"/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'JULY 20'!Q16:Q25</f>
        <v>1500</v>
      </c>
      <c r="N16" s="231">
        <v>1500</v>
      </c>
      <c r="O16" s="232">
        <f>L16+M16+N16</f>
        <v>3000</v>
      </c>
      <c r="P16" s="234"/>
      <c r="Q16" s="319">
        <f t="shared" si="2"/>
        <v>3000</v>
      </c>
      <c r="R16" s="78"/>
    </row>
    <row r="17" spans="1:18" x14ac:dyDescent="0.25">
      <c r="A17" s="524"/>
      <c r="B17" s="284" t="s">
        <v>24</v>
      </c>
      <c r="C17" s="113">
        <f>'JULY 20'!H17:H30</f>
        <v>0</v>
      </c>
      <c r="D17" s="285"/>
      <c r="E17" s="286"/>
      <c r="F17" s="276">
        <f t="shared" si="3"/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'MAY 20'!Q17:Q28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/>
      <c r="D18" s="285"/>
      <c r="E18" s="286"/>
      <c r="F18" s="276">
        <f t="shared" si="3"/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'APRIL 20'!Q18:Q28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'JULY 20'!H19:H32</f>
        <v>3100</v>
      </c>
      <c r="D19" s="285">
        <v>3000</v>
      </c>
      <c r="E19" s="286">
        <v>100</v>
      </c>
      <c r="F19" s="276">
        <f t="shared" si="3"/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2500</v>
      </c>
      <c r="N19" s="239">
        <f>SUM(N7:N16)</f>
        <v>17000</v>
      </c>
      <c r="O19" s="232">
        <f t="shared" si="1"/>
        <v>20000</v>
      </c>
      <c r="P19" s="240">
        <f>SUM(P7:P16)</f>
        <v>15000</v>
      </c>
      <c r="Q19" s="323">
        <f>SUM(Q7:Q16)</f>
        <v>5000</v>
      </c>
      <c r="R19" s="78"/>
    </row>
    <row r="20" spans="1:18" x14ac:dyDescent="0.25">
      <c r="A20" s="294" t="s">
        <v>193</v>
      </c>
      <c r="B20" s="293"/>
      <c r="C20" s="275">
        <f>SUM(C6:C19)</f>
        <v>6100</v>
      </c>
      <c r="D20" s="240">
        <f>SUM(D6:D19)</f>
        <v>18000</v>
      </c>
      <c r="E20" s="240">
        <f>SUM(E6:E19)</f>
        <v>600</v>
      </c>
      <c r="F20" s="276">
        <f t="shared" si="3"/>
        <v>24700</v>
      </c>
      <c r="G20" s="361">
        <f>SUM(G6:G19)</f>
        <v>15600</v>
      </c>
      <c r="H20" s="273">
        <f>SUM(H6:H19)</f>
        <v>9100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18.75" x14ac:dyDescent="0.25">
      <c r="A21" s="534"/>
      <c r="B21" s="534"/>
      <c r="C21" s="275">
        <f>'DECEMBER 19'!H18:H29</f>
        <v>0</v>
      </c>
      <c r="D21" s="345" t="s">
        <v>247</v>
      </c>
      <c r="E21" s="534"/>
      <c r="F21" s="534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'JULY 20'!Q21:Q40</f>
        <v>1500</v>
      </c>
      <c r="N21" s="320">
        <v>3500</v>
      </c>
      <c r="O21" s="232">
        <f t="shared" ref="O21:O38" si="4">L21+M21+N21</f>
        <v>5000</v>
      </c>
      <c r="P21" s="232">
        <f>500+500+500</f>
        <v>1500</v>
      </c>
      <c r="Q21" s="319">
        <f t="shared" ref="Q21:Q37" si="5">O21-P21</f>
        <v>3500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'JULY 20'!Q22:Q41</f>
        <v>1350</v>
      </c>
      <c r="N22" s="320">
        <v>3500</v>
      </c>
      <c r="O22" s="232">
        <f t="shared" si="4"/>
        <v>4850</v>
      </c>
      <c r="P22" s="232">
        <f>3500</f>
        <v>3500</v>
      </c>
      <c r="Q22" s="319">
        <f t="shared" si="5"/>
        <v>1350</v>
      </c>
      <c r="R22" s="78"/>
    </row>
    <row r="23" spans="1:18" x14ac:dyDescent="0.25">
      <c r="A23" s="191" t="s">
        <v>313</v>
      </c>
      <c r="B23" s="85"/>
      <c r="C23" s="86">
        <f>'JULY 20'!G23:G30</f>
        <v>0</v>
      </c>
      <c r="D23" s="232">
        <v>3500</v>
      </c>
      <c r="E23" s="232">
        <f>B23+D23+C23</f>
        <v>3500</v>
      </c>
      <c r="F23" s="232">
        <f>3500</f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'JULY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x14ac:dyDescent="0.25">
      <c r="A24" s="110" t="s">
        <v>451</v>
      </c>
      <c r="B24" s="113"/>
      <c r="C24" s="86">
        <f>'JULY 20'!G24:G31</f>
        <v>0</v>
      </c>
      <c r="D24" s="110">
        <v>4000</v>
      </c>
      <c r="E24" s="232">
        <f t="shared" ref="E24:E30" si="6">B24+D24+C24</f>
        <v>4000</v>
      </c>
      <c r="F24" s="110"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'JULY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5"/>
        <v>2000</v>
      </c>
      <c r="R24" s="78"/>
    </row>
    <row r="25" spans="1:18" x14ac:dyDescent="0.25">
      <c r="A25" s="191" t="s">
        <v>411</v>
      </c>
      <c r="B25" s="85"/>
      <c r="C25" s="86">
        <f>'JULY 20'!G25:G32</f>
        <v>0</v>
      </c>
      <c r="D25" s="231">
        <v>4000</v>
      </c>
      <c r="E25" s="232">
        <f>B25+D25+C25</f>
        <v>4000</v>
      </c>
      <c r="F25" s="78">
        <f>3000</f>
        <v>3000</v>
      </c>
      <c r="G25" s="273">
        <f>E25-F25</f>
        <v>1000</v>
      </c>
      <c r="H25" s="273"/>
      <c r="I25" s="78"/>
      <c r="J25" s="83">
        <v>5</v>
      </c>
      <c r="K25" s="200" t="s">
        <v>505</v>
      </c>
      <c r="L25" s="85"/>
      <c r="M25" s="232">
        <f>'JULY 20'!Q25:Q44</f>
        <v>2000</v>
      </c>
      <c r="N25" s="320">
        <v>3500</v>
      </c>
      <c r="O25" s="232">
        <f t="shared" si="4"/>
        <v>5500</v>
      </c>
      <c r="P25" s="234"/>
      <c r="Q25" s="319">
        <f t="shared" si="5"/>
        <v>5500</v>
      </c>
      <c r="R25" s="78" t="s">
        <v>473</v>
      </c>
    </row>
    <row r="26" spans="1:18" x14ac:dyDescent="0.25">
      <c r="A26" s="191"/>
      <c r="B26" s="85"/>
      <c r="C26" s="86">
        <f>'JULY 20'!G26:G33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'JULY 20'!Q26:Q45</f>
        <v>1000</v>
      </c>
      <c r="N26" s="325">
        <v>3500</v>
      </c>
      <c r="O26" s="232">
        <f t="shared" si="4"/>
        <v>4500</v>
      </c>
      <c r="P26" s="326">
        <f>3500</f>
        <v>3500</v>
      </c>
      <c r="Q26" s="319">
        <f t="shared" si="5"/>
        <v>1000</v>
      </c>
      <c r="R26" s="78"/>
    </row>
    <row r="27" spans="1:18" ht="22.5" x14ac:dyDescent="0.25">
      <c r="A27" s="191" t="s">
        <v>350</v>
      </c>
      <c r="B27" s="86"/>
      <c r="C27" s="86">
        <f>'JULY 20'!G27:G34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'JULY 20'!Q27:Q46</f>
        <v>1000</v>
      </c>
      <c r="N27" s="320">
        <v>3500</v>
      </c>
      <c r="O27" s="232">
        <f t="shared" si="4"/>
        <v>4500</v>
      </c>
      <c r="P27" s="234">
        <v>4500</v>
      </c>
      <c r="Q27" s="319">
        <f t="shared" si="5"/>
        <v>0</v>
      </c>
      <c r="R27" s="220"/>
    </row>
    <row r="28" spans="1:18" x14ac:dyDescent="0.25">
      <c r="A28" s="191" t="s">
        <v>392</v>
      </c>
      <c r="B28" s="85"/>
      <c r="C28" s="86">
        <f>'JULY 20'!G28:G35</f>
        <v>8000</v>
      </c>
      <c r="D28" s="231">
        <v>4000</v>
      </c>
      <c r="E28" s="232">
        <f t="shared" si="6"/>
        <v>12000</v>
      </c>
      <c r="F28" s="110">
        <v>4000</v>
      </c>
      <c r="G28" s="273">
        <f t="shared" si="7"/>
        <v>8000</v>
      </c>
      <c r="H28" s="273"/>
      <c r="I28" s="220">
        <f>G31+H20</f>
        <v>22100</v>
      </c>
      <c r="J28" s="83">
        <v>8</v>
      </c>
      <c r="K28" s="249"/>
      <c r="L28" s="85"/>
      <c r="M28" s="232">
        <f>'JULY 20'!Q28:Q47</f>
        <v>0</v>
      </c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x14ac:dyDescent="0.25">
      <c r="A29" s="218" t="s">
        <v>539</v>
      </c>
      <c r="B29" s="85"/>
      <c r="C29" s="86">
        <f>'JULY 20'!G29:G36</f>
        <v>0</v>
      </c>
      <c r="D29" s="231">
        <v>4000</v>
      </c>
      <c r="E29" s="232">
        <f t="shared" si="6"/>
        <v>4000</v>
      </c>
      <c r="F29" s="110"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'JULY 20'!Q29:Q48</f>
        <v>0</v>
      </c>
      <c r="N29" s="320">
        <v>3500</v>
      </c>
      <c r="O29" s="232">
        <f>L29+M29+N29</f>
        <v>3500</v>
      </c>
      <c r="P29" s="234">
        <f>3500</f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'JULY 20'!G30:G37</f>
        <v>1000</v>
      </c>
      <c r="D30" s="231">
        <v>4000</v>
      </c>
      <c r="E30" s="232">
        <f t="shared" si="6"/>
        <v>5000</v>
      </c>
      <c r="F30" s="110">
        <f>2000+1500+1500</f>
        <v>5000</v>
      </c>
      <c r="G30" s="273">
        <f t="shared" si="7"/>
        <v>0</v>
      </c>
      <c r="H30" s="273"/>
      <c r="I30" s="78"/>
      <c r="J30" s="83">
        <v>10</v>
      </c>
      <c r="K30" s="200" t="s">
        <v>490</v>
      </c>
      <c r="L30" s="85"/>
      <c r="M30" s="232">
        <f>'JULY 20'!Q30:Q49</f>
        <v>100</v>
      </c>
      <c r="N30" s="320">
        <v>3500</v>
      </c>
      <c r="O30" s="232">
        <f t="shared" si="4"/>
        <v>3600</v>
      </c>
      <c r="P30" s="234">
        <f>2000</f>
        <v>2000</v>
      </c>
      <c r="Q30" s="319">
        <f t="shared" si="5"/>
        <v>1600</v>
      </c>
      <c r="R30" s="78"/>
    </row>
    <row r="31" spans="1:18" x14ac:dyDescent="0.25">
      <c r="A31" s="339" t="s">
        <v>193</v>
      </c>
      <c r="B31" s="42"/>
      <c r="C31" s="86">
        <f>SUM(C23:C30)</f>
        <v>13000</v>
      </c>
      <c r="D31" s="240">
        <f>SUM(D23:D30)</f>
        <v>27500</v>
      </c>
      <c r="E31" s="232">
        <f>SUM(E23:E30)</f>
        <v>40500</v>
      </c>
      <c r="F31" s="535">
        <f>SUM(F23:F30)</f>
        <v>27500</v>
      </c>
      <c r="G31" s="273">
        <f>E31-F31</f>
        <v>13000</v>
      </c>
      <c r="H31" s="273"/>
      <c r="I31" s="220">
        <f>H20+G31</f>
        <v>22100</v>
      </c>
      <c r="J31" s="83">
        <v>11</v>
      </c>
      <c r="K31" s="249" t="s">
        <v>474</v>
      </c>
      <c r="L31" s="85"/>
      <c r="M31" s="232">
        <f>'JULY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 t="s">
        <v>530</v>
      </c>
      <c r="L32" s="85"/>
      <c r="M32" s="232">
        <f>'JULY 20'!Q32:Q51</f>
        <v>0</v>
      </c>
      <c r="N32" s="320">
        <v>3500</v>
      </c>
      <c r="O32" s="232">
        <f t="shared" si="4"/>
        <v>3500</v>
      </c>
      <c r="P32" s="234"/>
      <c r="Q32" s="319">
        <f t="shared" si="5"/>
        <v>3500</v>
      </c>
      <c r="R32" s="78"/>
    </row>
    <row r="33" spans="1:18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220"/>
      <c r="J33" s="83">
        <v>13</v>
      </c>
      <c r="K33" s="200" t="s">
        <v>512</v>
      </c>
      <c r="L33" s="85"/>
      <c r="M33" s="232">
        <v>2000</v>
      </c>
      <c r="N33" s="320">
        <v>3500</v>
      </c>
      <c r="O33" s="232">
        <f>L33+M33+N33</f>
        <v>5500</v>
      </c>
      <c r="P33" s="234">
        <f>1500+3500</f>
        <v>5000</v>
      </c>
      <c r="Q33" s="319">
        <f>O33-P33</f>
        <v>500</v>
      </c>
      <c r="R33" s="78"/>
    </row>
    <row r="34" spans="1:18" x14ac:dyDescent="0.25">
      <c r="A34" s="211" t="s">
        <v>463</v>
      </c>
      <c r="B34" s="273">
        <f>D31+D20</f>
        <v>45500</v>
      </c>
      <c r="C34" s="164"/>
      <c r="D34" s="164"/>
      <c r="E34" s="211" t="s">
        <v>463</v>
      </c>
      <c r="F34" s="273">
        <f>F31+G20</f>
        <v>43100</v>
      </c>
      <c r="G34" s="164"/>
      <c r="H34" s="273"/>
      <c r="I34" s="78"/>
      <c r="J34" s="83">
        <v>14</v>
      </c>
      <c r="K34" s="200" t="s">
        <v>480</v>
      </c>
      <c r="L34" s="85"/>
      <c r="M34" s="232">
        <f>'JULY 20'!Q34:Q53</f>
        <v>0</v>
      </c>
      <c r="N34" s="320">
        <v>3500</v>
      </c>
      <c r="O34" s="232">
        <f t="shared" si="4"/>
        <v>3500</v>
      </c>
      <c r="P34" s="234">
        <f>3500</f>
        <v>3500</v>
      </c>
      <c r="Q34" s="319">
        <f t="shared" si="5"/>
        <v>0</v>
      </c>
      <c r="R34" s="78"/>
    </row>
    <row r="35" spans="1:18" x14ac:dyDescent="0.25">
      <c r="A35" s="211" t="s">
        <v>209</v>
      </c>
      <c r="B35" s="307">
        <v>0.1</v>
      </c>
      <c r="C35" s="308">
        <f>B34*B35</f>
        <v>4550</v>
      </c>
      <c r="D35" s="211"/>
      <c r="E35" s="211" t="s">
        <v>209</v>
      </c>
      <c r="F35" s="307">
        <v>0.1</v>
      </c>
      <c r="G35" s="308">
        <f>C35</f>
        <v>4550</v>
      </c>
      <c r="H35" s="273"/>
      <c r="I35" s="78"/>
      <c r="J35" s="83">
        <v>15</v>
      </c>
      <c r="K35" s="200" t="s">
        <v>281</v>
      </c>
      <c r="L35" s="85"/>
      <c r="M35" s="232"/>
      <c r="N35" s="320"/>
      <c r="O35" s="232">
        <f>L35+M35+N35</f>
        <v>0</v>
      </c>
      <c r="P35" s="234"/>
      <c r="Q35" s="319">
        <f>O35-P35</f>
        <v>0</v>
      </c>
      <c r="R35" s="78"/>
    </row>
    <row r="36" spans="1:18" x14ac:dyDescent="0.25">
      <c r="A36" s="309" t="s">
        <v>232</v>
      </c>
      <c r="B36" s="308">
        <f>E20</f>
        <v>600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'JULY 20'!Q36:Q55</f>
        <v>0</v>
      </c>
      <c r="N36" s="320">
        <v>3500</v>
      </c>
      <c r="O36" s="232">
        <f>L36+M36+N36</f>
        <v>3500</v>
      </c>
      <c r="P36" s="234">
        <f>3500</f>
        <v>3500</v>
      </c>
      <c r="Q36" s="319"/>
      <c r="R36" s="78"/>
    </row>
    <row r="37" spans="1:18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'JULY 20'!Q37:Q56</f>
        <v>5500</v>
      </c>
      <c r="N37" s="320">
        <v>3500</v>
      </c>
      <c r="O37" s="232">
        <f t="shared" si="4"/>
        <v>9000</v>
      </c>
      <c r="P37" s="234">
        <f>8000</f>
        <v>8000</v>
      </c>
      <c r="Q37" s="319">
        <f t="shared" si="5"/>
        <v>1000</v>
      </c>
      <c r="R37" s="78"/>
    </row>
    <row r="38" spans="1:18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'JULY 20'!Q38:Q57</f>
        <v>4100</v>
      </c>
      <c r="N38" s="320">
        <v>3500</v>
      </c>
      <c r="O38" s="232">
        <f t="shared" si="4"/>
        <v>7600</v>
      </c>
      <c r="P38" s="234">
        <f>3500+600</f>
        <v>4100</v>
      </c>
      <c r="Q38" s="319">
        <f>O38-P38</f>
        <v>3500</v>
      </c>
      <c r="R38" s="78"/>
    </row>
    <row r="39" spans="1:18" x14ac:dyDescent="0.25">
      <c r="A39" s="309" t="s">
        <v>239</v>
      </c>
      <c r="B39" s="308">
        <f>'JULY 20'!D50</f>
        <v>64014.342305280035</v>
      </c>
      <c r="C39" s="211"/>
      <c r="D39" s="211"/>
      <c r="E39" s="309" t="s">
        <v>239</v>
      </c>
      <c r="F39" s="308">
        <f>'JULY 20'!H50</f>
        <v>42350.275200000033</v>
      </c>
      <c r="G39" s="211"/>
      <c r="H39" s="273"/>
      <c r="I39" s="78"/>
      <c r="J39" s="83">
        <v>19</v>
      </c>
      <c r="K39" s="200"/>
      <c r="L39" s="85"/>
      <c r="M39" s="232">
        <f>'JULY 20'!Q39:Q58</f>
        <v>0</v>
      </c>
      <c r="N39" s="320"/>
      <c r="O39" s="232">
        <f>L39+M39+N39</f>
        <v>0</v>
      </c>
      <c r="P39" s="234"/>
      <c r="Q39" s="319">
        <f>O39-P39</f>
        <v>0</v>
      </c>
      <c r="R39" s="78"/>
    </row>
    <row r="40" spans="1:18" x14ac:dyDescent="0.25">
      <c r="A40" s="309" t="s">
        <v>193</v>
      </c>
      <c r="B40" s="308">
        <f>B34+B36+B39+B37</f>
        <v>113114.34230528004</v>
      </c>
      <c r="C40" s="211"/>
      <c r="D40" s="211"/>
      <c r="E40" s="309" t="s">
        <v>193</v>
      </c>
      <c r="F40" s="308">
        <f>F34+F36+F39+F37</f>
        <v>88450.275200000033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'JULY 20'!Q40:Q59</f>
        <v>9000</v>
      </c>
      <c r="N40" s="320">
        <v>3500</v>
      </c>
      <c r="O40" s="232">
        <f>L40+M40+N40</f>
        <v>12500</v>
      </c>
      <c r="P40" s="234">
        <f>1000+1000+1000+1500</f>
        <v>4500</v>
      </c>
      <c r="Q40" s="319">
        <f>O40-P40</f>
        <v>8000</v>
      </c>
      <c r="R40" s="220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SUM(M21:M40)</f>
        <v>29550</v>
      </c>
      <c r="N41" s="239">
        <f>SUM(N21:N40)</f>
        <v>56000</v>
      </c>
      <c r="O41" s="232">
        <f>L41+M41+N41</f>
        <v>85550</v>
      </c>
      <c r="P41" s="240">
        <f>SUM(P21:P40)</f>
        <v>54100</v>
      </c>
      <c r="Q41" s="319">
        <f>O41-P41</f>
        <v>31450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463</v>
      </c>
      <c r="K44" s="273">
        <f>N41+N19</f>
        <v>73000</v>
      </c>
      <c r="L44" s="164"/>
      <c r="M44" s="164"/>
      <c r="N44" s="211" t="s">
        <v>463</v>
      </c>
      <c r="O44" s="273">
        <f>P41+P19</f>
        <v>69100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7300</v>
      </c>
      <c r="M45" s="211"/>
      <c r="N45" s="211" t="s">
        <v>209</v>
      </c>
      <c r="O45" s="307">
        <v>0.1</v>
      </c>
      <c r="P45" s="308">
        <f>L45</f>
        <v>7300</v>
      </c>
      <c r="Q45" s="273"/>
      <c r="R45" s="78"/>
    </row>
    <row r="46" spans="1:18" x14ac:dyDescent="0.25">
      <c r="A46" s="370" t="s">
        <v>590</v>
      </c>
      <c r="B46" s="370"/>
      <c r="C46" s="368">
        <v>39000</v>
      </c>
      <c r="D46" s="370"/>
      <c r="E46" s="370" t="s">
        <v>590</v>
      </c>
      <c r="F46" s="370"/>
      <c r="G46" s="368">
        <v>39000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603</v>
      </c>
      <c r="B47" s="370"/>
      <c r="C47" s="371">
        <v>3100</v>
      </c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308">
        <f>K47*L21+(K47*L27)+(K47*L33)</f>
        <v>0</v>
      </c>
      <c r="M47" s="211"/>
      <c r="N47" s="211" t="s">
        <v>408</v>
      </c>
      <c r="O47" s="307">
        <v>0.3</v>
      </c>
      <c r="P47" s="308">
        <f>O47*L21+(O47*L27)+(O47*L33)</f>
        <v>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211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'JULY 20'!M55</f>
        <v>115550.29999999999</v>
      </c>
      <c r="L49" s="211"/>
      <c r="M49" s="211"/>
      <c r="N49" s="309" t="s">
        <v>239</v>
      </c>
      <c r="O49" s="308">
        <f>'JULY 20'!Q55</f>
        <v>90502.10000000002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108564.34230528004</v>
      </c>
      <c r="C50" s="318">
        <f>SUM(C41:C49)</f>
        <v>45100</v>
      </c>
      <c r="D50" s="318">
        <f>B50-C50</f>
        <v>63464.342305280035</v>
      </c>
      <c r="E50" s="166" t="s">
        <v>193</v>
      </c>
      <c r="F50" s="317">
        <f>F34+F36+F37+F39-G35</f>
        <v>83900.275200000033</v>
      </c>
      <c r="G50" s="318">
        <f>SUM(G41:G49)</f>
        <v>42000</v>
      </c>
      <c r="H50" s="318">
        <f>F50-G50</f>
        <v>41900.275200000033</v>
      </c>
      <c r="I50" s="78"/>
      <c r="J50" s="309" t="s">
        <v>193</v>
      </c>
      <c r="K50" s="308">
        <f>K44+K46+K49+K48</f>
        <v>188550.3</v>
      </c>
      <c r="L50" s="211"/>
      <c r="M50" s="211"/>
      <c r="N50" s="309" t="s">
        <v>193</v>
      </c>
      <c r="O50" s="308">
        <f>O44+O46+O49+O47</f>
        <v>159602.40000000002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590</v>
      </c>
      <c r="K52" s="380"/>
      <c r="L52" s="367">
        <v>73000</v>
      </c>
      <c r="M52" s="366"/>
      <c r="N52" s="365" t="s">
        <v>590</v>
      </c>
      <c r="O52" s="380"/>
      <c r="P52" s="367">
        <v>73000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594</v>
      </c>
      <c r="K53" s="370"/>
      <c r="L53" s="371">
        <v>5500</v>
      </c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269">
        <f>D50-H50</f>
        <v>21564.067105280003</v>
      </c>
      <c r="G54" s="150"/>
      <c r="H54" s="269"/>
      <c r="I54" s="78"/>
      <c r="J54" s="369" t="s">
        <v>602</v>
      </c>
      <c r="K54" s="370"/>
      <c r="L54" s="371">
        <f>3500</f>
        <v>3500</v>
      </c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K44+K48+K49-L45-L47</f>
        <v>181250.3</v>
      </c>
      <c r="L55" s="318">
        <f>SUM(L52:L54)</f>
        <v>82000</v>
      </c>
      <c r="M55" s="318">
        <f>K55-L55</f>
        <v>99250.299999999988</v>
      </c>
      <c r="N55" s="166" t="s">
        <v>193</v>
      </c>
      <c r="O55" s="317">
        <f>O44+O46+O47+O49-P45-P47</f>
        <v>152302.40000000002</v>
      </c>
      <c r="P55" s="318">
        <f>SUM(P52:P54)</f>
        <v>73000</v>
      </c>
      <c r="Q55" s="318">
        <f>O55-P55</f>
        <v>79302.400000000023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61" spans="1:18" x14ac:dyDescent="0.25">
      <c r="I61" s="220">
        <f>H50+Q55</f>
        <v>121202.67520000006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F7" sqref="F7"/>
    </sheetView>
  </sheetViews>
  <sheetFormatPr defaultRowHeight="15" x14ac:dyDescent="0.25"/>
  <cols>
    <col min="1" max="1" width="15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597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598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'AUGUST 20'!H6:H19</f>
        <v>1900</v>
      </c>
      <c r="D6" s="280">
        <v>3000</v>
      </c>
      <c r="E6" s="281">
        <v>100</v>
      </c>
      <c r="F6" s="276">
        <f>C6+D6+E6</f>
        <v>5000</v>
      </c>
      <c r="G6" s="277">
        <f>3100</f>
        <v>3100</v>
      </c>
      <c r="H6" s="273">
        <f t="shared" ref="H6:H19" si="0">F6-G6</f>
        <v>1900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ht="22.5" x14ac:dyDescent="0.25">
      <c r="A7" s="196" t="s">
        <v>433</v>
      </c>
      <c r="B7" s="274" t="s">
        <v>52</v>
      </c>
      <c r="C7" s="113">
        <f>'AUGUST 20'!H7:H20</f>
        <v>1000</v>
      </c>
      <c r="D7" s="280">
        <v>3000</v>
      </c>
      <c r="E7" s="281">
        <v>100</v>
      </c>
      <c r="F7" s="276">
        <f>C7+D7+E7</f>
        <v>4100</v>
      </c>
      <c r="G7" s="277">
        <f>2200</f>
        <v>2200</v>
      </c>
      <c r="H7" s="273">
        <f t="shared" si="0"/>
        <v>1900</v>
      </c>
      <c r="I7" s="150"/>
      <c r="J7" s="83" t="s">
        <v>106</v>
      </c>
      <c r="K7" s="249" t="s">
        <v>578</v>
      </c>
      <c r="L7" s="85"/>
      <c r="M7" s="232">
        <f>'AUGUST 20'!Q7:Q18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'AUGUST 20'!H8:H21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'AUGUST 20'!Q8:Q19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'AUGUST 20'!H9:H22</f>
        <v>0</v>
      </c>
      <c r="D9" s="280">
        <v>3000</v>
      </c>
      <c r="E9" s="281">
        <v>100</v>
      </c>
      <c r="F9" s="276">
        <f>C9+D9+E9</f>
        <v>3100</v>
      </c>
      <c r="G9" s="277">
        <f>3100</f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'AUGUST 20'!Q9:Q20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'AUGUST 20'!H10:H23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/>
      <c r="L10" s="110"/>
      <c r="M10" s="232">
        <f>'AUGUST 20'!Q10:Q21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ht="22.5" x14ac:dyDescent="0.25">
      <c r="A11" s="282" t="s">
        <v>281</v>
      </c>
      <c r="B11" s="274" t="s">
        <v>60</v>
      </c>
      <c r="C11" s="113"/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'AUGUST 20'!Q11:Q22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'AUGUST 20'!H12:H25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'AUGUST 20'!Q12:Q23</f>
        <v>0</v>
      </c>
      <c r="N12" s="325">
        <v>2500</v>
      </c>
      <c r="O12" s="232">
        <f t="shared" si="1"/>
        <v>2500</v>
      </c>
      <c r="P12" s="326">
        <v>2500</v>
      </c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'AUGUST 20'!H13:H26</f>
        <v>0</v>
      </c>
      <c r="D13" s="285">
        <v>3000</v>
      </c>
      <c r="E13" s="286">
        <v>100</v>
      </c>
      <c r="F13" s="276">
        <f>D13+E13</f>
        <v>3100</v>
      </c>
      <c r="G13" s="277">
        <v>3100</v>
      </c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'AUGUST 20'!Q13:Q24</f>
        <v>0</v>
      </c>
      <c r="N13" s="320">
        <v>2500</v>
      </c>
      <c r="O13" s="232">
        <f t="shared" si="1"/>
        <v>2500</v>
      </c>
      <c r="P13" s="234">
        <f>2500</f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'AUGUST 20'!H14:H27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'AUGUST 20'!Q14:Q25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>
        <f>'AUGUST 20'!H15:H28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v>3000</v>
      </c>
      <c r="N15" s="320">
        <v>2500</v>
      </c>
      <c r="O15" s="232">
        <f t="shared" si="1"/>
        <v>6000</v>
      </c>
      <c r="P15" s="234">
        <f>2000</f>
        <v>2000</v>
      </c>
      <c r="Q15" s="319">
        <f t="shared" si="2"/>
        <v>4000</v>
      </c>
      <c r="R15" s="78"/>
    </row>
    <row r="16" spans="1:18" ht="22.5" x14ac:dyDescent="0.25">
      <c r="A16" s="196"/>
      <c r="B16" s="284" t="s">
        <v>22</v>
      </c>
      <c r="C16" s="113">
        <f>'AUGUST 20'!H16:H29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'AUGUST 20'!Q16:Q27</f>
        <v>3000</v>
      </c>
      <c r="N16" s="231">
        <v>1500</v>
      </c>
      <c r="O16" s="232">
        <f>L16+M16+N16</f>
        <v>4500</v>
      </c>
      <c r="P16" s="234"/>
      <c r="Q16" s="319">
        <f t="shared" si="2"/>
        <v>4500</v>
      </c>
      <c r="R16" s="78"/>
    </row>
    <row r="17" spans="1:18" x14ac:dyDescent="0.25">
      <c r="A17" s="524"/>
      <c r="B17" s="284" t="s">
        <v>24</v>
      </c>
      <c r="C17" s="113">
        <f>'AUGUST 20'!H17:H30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'AUGUST 20'!Q17:Q28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>
        <f>'AUGUST 20'!H18:H31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'AUGUST 20'!Q18:Q29</f>
        <v>0</v>
      </c>
      <c r="N18" s="231"/>
      <c r="O18" s="232"/>
      <c r="P18" s="234"/>
      <c r="Q18" s="450"/>
      <c r="R18" s="78">
        <f>80*500</f>
        <v>40000</v>
      </c>
    </row>
    <row r="19" spans="1:18" x14ac:dyDescent="0.25">
      <c r="A19" s="523" t="s">
        <v>327</v>
      </c>
      <c r="B19" s="284" t="s">
        <v>28</v>
      </c>
      <c r="C19" s="113">
        <f>'AUGUST 20'!H19:H32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SUM(M7:M16)</f>
        <v>6500</v>
      </c>
      <c r="N19" s="239">
        <f>SUM(N7:N16)</f>
        <v>19500</v>
      </c>
      <c r="O19" s="232">
        <f t="shared" si="1"/>
        <v>26500</v>
      </c>
      <c r="P19" s="240">
        <f>SUM(P7:P16)</f>
        <v>17500</v>
      </c>
      <c r="Q19" s="323">
        <f>SUM(Q7:Q16)</f>
        <v>9000</v>
      </c>
      <c r="R19" s="78"/>
    </row>
    <row r="20" spans="1:18" x14ac:dyDescent="0.25">
      <c r="A20" s="294" t="s">
        <v>193</v>
      </c>
      <c r="B20" s="293"/>
      <c r="C20" s="275">
        <f t="shared" ref="C20:H20" si="3">SUM(C6:C19)</f>
        <v>6000</v>
      </c>
      <c r="D20" s="240">
        <f t="shared" si="3"/>
        <v>15000</v>
      </c>
      <c r="E20" s="240">
        <f t="shared" si="3"/>
        <v>500</v>
      </c>
      <c r="F20" s="276">
        <f t="shared" si="3"/>
        <v>21500</v>
      </c>
      <c r="G20" s="361">
        <f t="shared" si="3"/>
        <v>14600</v>
      </c>
      <c r="H20" s="273">
        <f t="shared" si="3"/>
        <v>6900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6"/>
      <c r="B21" s="536"/>
      <c r="C21" s="275">
        <f>'DECEMBER 19'!H18:H29</f>
        <v>0</v>
      </c>
      <c r="D21" s="345" t="s">
        <v>247</v>
      </c>
      <c r="E21" s="536"/>
      <c r="F21" s="536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'AUGUST 20'!Q21:Q40</f>
        <v>3500</v>
      </c>
      <c r="N21" s="320">
        <v>3500</v>
      </c>
      <c r="O21" s="232">
        <f t="shared" ref="O21:O38" si="4">L21+M21+N21</f>
        <v>7000</v>
      </c>
      <c r="P21" s="232"/>
      <c r="Q21" s="319">
        <f t="shared" ref="Q21:Q37" si="5">O21-P21</f>
        <v>7000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'AUGUST 20'!Q22:Q41</f>
        <v>1350</v>
      </c>
      <c r="N22" s="320">
        <v>3500</v>
      </c>
      <c r="O22" s="232">
        <f t="shared" si="4"/>
        <v>4850</v>
      </c>
      <c r="P22" s="232">
        <f>1350</f>
        <v>1350</v>
      </c>
      <c r="Q22" s="319">
        <f t="shared" si="5"/>
        <v>3500</v>
      </c>
      <c r="R22" s="78"/>
    </row>
    <row r="23" spans="1:18" x14ac:dyDescent="0.25">
      <c r="A23" s="191" t="s">
        <v>313</v>
      </c>
      <c r="B23" s="85"/>
      <c r="C23" s="86">
        <f>'AUGUST 20'!G23:G31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'AUGUST 20'!Q23:Q42</f>
        <v>0</v>
      </c>
      <c r="N23" s="110"/>
      <c r="O23" s="232">
        <f t="shared" si="4"/>
        <v>0</v>
      </c>
      <c r="P23" s="110"/>
      <c r="Q23" s="319">
        <f t="shared" si="5"/>
        <v>0</v>
      </c>
      <c r="R23" s="78"/>
    </row>
    <row r="24" spans="1:18" ht="22.5" x14ac:dyDescent="0.25">
      <c r="A24" s="110" t="s">
        <v>451</v>
      </c>
      <c r="B24" s="113"/>
      <c r="C24" s="86">
        <f>'AUGUST 20'!G24:G32</f>
        <v>0</v>
      </c>
      <c r="D24" s="110">
        <v>4000</v>
      </c>
      <c r="E24" s="232">
        <f t="shared" ref="E24:E30" si="6">B24+D24+C24</f>
        <v>4000</v>
      </c>
      <c r="F24" s="110">
        <f>4000</f>
        <v>4000</v>
      </c>
      <c r="G24" s="273">
        <f t="shared" ref="G24:G30" si="7">E24-F24</f>
        <v>0</v>
      </c>
      <c r="H24" s="273"/>
      <c r="I24" s="78"/>
      <c r="J24" s="83">
        <v>4</v>
      </c>
      <c r="K24" s="200" t="s">
        <v>564</v>
      </c>
      <c r="L24" s="110"/>
      <c r="M24" s="232">
        <f>'AUGUST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5"/>
        <v>2000</v>
      </c>
      <c r="R24" s="78"/>
    </row>
    <row r="25" spans="1:18" x14ac:dyDescent="0.25">
      <c r="A25" s="191" t="s">
        <v>411</v>
      </c>
      <c r="B25" s="85"/>
      <c r="C25" s="86">
        <f>'AUGUST 20'!G25:G33</f>
        <v>1000</v>
      </c>
      <c r="D25" s="231">
        <v>4000</v>
      </c>
      <c r="E25" s="232">
        <f>B25+D25+C25</f>
        <v>5000</v>
      </c>
      <c r="F25" s="78"/>
      <c r="G25" s="273">
        <f>E25-F25</f>
        <v>5000</v>
      </c>
      <c r="H25" s="273"/>
      <c r="I25" s="78"/>
      <c r="J25" s="83">
        <v>5</v>
      </c>
      <c r="K25" s="200" t="s">
        <v>281</v>
      </c>
      <c r="L25" s="85"/>
      <c r="M25" s="232"/>
      <c r="N25" s="320"/>
      <c r="O25" s="232">
        <f t="shared" si="4"/>
        <v>0</v>
      </c>
      <c r="P25" s="234"/>
      <c r="Q25" s="319">
        <f t="shared" si="5"/>
        <v>0</v>
      </c>
      <c r="R25" s="78" t="s">
        <v>473</v>
      </c>
    </row>
    <row r="26" spans="1:18" ht="22.5" x14ac:dyDescent="0.25">
      <c r="A26" s="191"/>
      <c r="B26" s="85"/>
      <c r="C26" s="86">
        <f>'AUGUST 20'!G26:G34</f>
        <v>0</v>
      </c>
      <c r="D26" s="231"/>
      <c r="E26" s="232">
        <f t="shared" si="6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'AUGUST 20'!Q26:Q45</f>
        <v>1000</v>
      </c>
      <c r="N26" s="325">
        <v>3500</v>
      </c>
      <c r="O26" s="232">
        <f t="shared" si="4"/>
        <v>4500</v>
      </c>
      <c r="P26" s="326">
        <f>3000</f>
        <v>3000</v>
      </c>
      <c r="Q26" s="319">
        <f t="shared" si="5"/>
        <v>1500</v>
      </c>
      <c r="R26" s="78"/>
    </row>
    <row r="27" spans="1:18" ht="22.5" x14ac:dyDescent="0.25">
      <c r="A27" s="191" t="s">
        <v>350</v>
      </c>
      <c r="B27" s="86"/>
      <c r="C27" s="86">
        <f>'AUGUST 20'!G27:G35</f>
        <v>4000</v>
      </c>
      <c r="D27" s="231">
        <v>4000</v>
      </c>
      <c r="E27" s="232">
        <f t="shared" si="6"/>
        <v>8000</v>
      </c>
      <c r="F27" s="110">
        <f>4000</f>
        <v>4000</v>
      </c>
      <c r="G27" s="273">
        <f t="shared" si="7"/>
        <v>4000</v>
      </c>
      <c r="H27" s="273"/>
      <c r="I27" s="78"/>
      <c r="J27" s="83">
        <v>7</v>
      </c>
      <c r="K27" s="249" t="s">
        <v>554</v>
      </c>
      <c r="L27" s="85"/>
      <c r="M27" s="232">
        <f>'AUGUST 20'!Q27:Q46</f>
        <v>0</v>
      </c>
      <c r="N27" s="320">
        <v>3500</v>
      </c>
      <c r="O27" s="232">
        <f t="shared" si="4"/>
        <v>3500</v>
      </c>
      <c r="P27" s="234">
        <f>3500</f>
        <v>3500</v>
      </c>
      <c r="Q27" s="319">
        <f t="shared" si="5"/>
        <v>0</v>
      </c>
      <c r="R27" s="220"/>
    </row>
    <row r="28" spans="1:18" x14ac:dyDescent="0.25">
      <c r="A28" s="191" t="s">
        <v>392</v>
      </c>
      <c r="B28" s="85"/>
      <c r="C28" s="86">
        <f>'AUGUST 20'!G28:G36</f>
        <v>8000</v>
      </c>
      <c r="D28" s="231">
        <v>4000</v>
      </c>
      <c r="E28" s="232">
        <f t="shared" si="6"/>
        <v>12000</v>
      </c>
      <c r="F28" s="110">
        <f>4000</f>
        <v>4000</v>
      </c>
      <c r="G28" s="273">
        <f t="shared" si="7"/>
        <v>8000</v>
      </c>
      <c r="H28" s="273"/>
      <c r="I28" s="220">
        <f>G31+H20</f>
        <v>24900</v>
      </c>
      <c r="J28" s="83">
        <v>8</v>
      </c>
      <c r="K28" s="249" t="s">
        <v>281</v>
      </c>
      <c r="L28" s="85"/>
      <c r="M28" s="232">
        <f>'AUGUST 20'!Q28:Q47</f>
        <v>0</v>
      </c>
      <c r="N28" s="320"/>
      <c r="O28" s="232">
        <f t="shared" si="4"/>
        <v>0</v>
      </c>
      <c r="P28" s="234"/>
      <c r="Q28" s="319">
        <f t="shared" si="5"/>
        <v>0</v>
      </c>
      <c r="R28" s="78"/>
    </row>
    <row r="29" spans="1:18" ht="22.5" x14ac:dyDescent="0.25">
      <c r="A29" s="218" t="s">
        <v>539</v>
      </c>
      <c r="B29" s="85"/>
      <c r="C29" s="86">
        <f>'AUGUST 20'!G29:G37</f>
        <v>0</v>
      </c>
      <c r="D29" s="231">
        <v>4000</v>
      </c>
      <c r="E29" s="232">
        <f t="shared" si="6"/>
        <v>4000</v>
      </c>
      <c r="F29" s="110">
        <f>4000</f>
        <v>4000</v>
      </c>
      <c r="G29" s="273">
        <f t="shared" si="7"/>
        <v>0</v>
      </c>
      <c r="H29" s="273"/>
      <c r="I29" s="78"/>
      <c r="J29" s="83">
        <v>9</v>
      </c>
      <c r="K29" s="200" t="s">
        <v>496</v>
      </c>
      <c r="L29" s="85"/>
      <c r="M29" s="232">
        <f>'AUGUST 20'!Q29:Q48</f>
        <v>0</v>
      </c>
      <c r="N29" s="320">
        <v>3500</v>
      </c>
      <c r="O29" s="232">
        <f>L29+M29+N29</f>
        <v>3500</v>
      </c>
      <c r="P29" s="234">
        <f>3500</f>
        <v>3500</v>
      </c>
      <c r="Q29" s="319">
        <f t="shared" si="5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'AUGUST 20'!G30:G38</f>
        <v>0</v>
      </c>
      <c r="D30" s="231">
        <v>4000</v>
      </c>
      <c r="E30" s="232">
        <f t="shared" si="6"/>
        <v>4000</v>
      </c>
      <c r="F30" s="110">
        <f>3000</f>
        <v>3000</v>
      </c>
      <c r="G30" s="273">
        <f t="shared" si="7"/>
        <v>1000</v>
      </c>
      <c r="H30" s="273"/>
      <c r="I30" s="78"/>
      <c r="J30" s="83">
        <v>10</v>
      </c>
      <c r="K30" s="200" t="s">
        <v>490</v>
      </c>
      <c r="L30" s="85"/>
      <c r="M30" s="232">
        <f>'AUGUST 20'!Q30:Q49</f>
        <v>1600</v>
      </c>
      <c r="N30" s="320">
        <v>3500</v>
      </c>
      <c r="O30" s="232">
        <f t="shared" si="4"/>
        <v>5100</v>
      </c>
      <c r="P30" s="234">
        <f>3500</f>
        <v>3500</v>
      </c>
      <c r="Q30" s="319">
        <f t="shared" si="5"/>
        <v>1600</v>
      </c>
      <c r="R30" s="78"/>
    </row>
    <row r="31" spans="1:18" ht="22.5" x14ac:dyDescent="0.25">
      <c r="A31" s="339" t="s">
        <v>193</v>
      </c>
      <c r="B31" s="42"/>
      <c r="C31" s="86">
        <f>SUM(C23:C30)</f>
        <v>13000</v>
      </c>
      <c r="D31" s="240">
        <f>SUM(D23:D30)</f>
        <v>27500</v>
      </c>
      <c r="E31" s="232">
        <f>SUM(E23:E30)</f>
        <v>40500</v>
      </c>
      <c r="F31" s="535">
        <f>SUM(F23:F30)</f>
        <v>22500</v>
      </c>
      <c r="G31" s="273">
        <f>E31-F31</f>
        <v>18000</v>
      </c>
      <c r="H31" s="273"/>
      <c r="I31" s="78"/>
      <c r="J31" s="83">
        <v>11</v>
      </c>
      <c r="K31" s="249" t="s">
        <v>474</v>
      </c>
      <c r="L31" s="85"/>
      <c r="M31" s="232">
        <f>'AUGUST 20'!Q31:Q50</f>
        <v>0</v>
      </c>
      <c r="N31" s="320">
        <v>3500</v>
      </c>
      <c r="O31" s="232">
        <f>L31+M31+N31</f>
        <v>3500</v>
      </c>
      <c r="P31" s="234">
        <f>3500</f>
        <v>3500</v>
      </c>
      <c r="Q31" s="319">
        <f>O31-P31</f>
        <v>0</v>
      </c>
      <c r="R31" s="78"/>
    </row>
    <row r="32" spans="1:18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/>
      <c r="L32" s="85"/>
      <c r="M32" s="232"/>
      <c r="N32" s="320"/>
      <c r="O32" s="232">
        <f t="shared" si="4"/>
        <v>0</v>
      </c>
      <c r="P32" s="234"/>
      <c r="Q32" s="319">
        <f t="shared" si="5"/>
        <v>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>
        <v>3500</v>
      </c>
      <c r="M33" s="232"/>
      <c r="N33" s="320">
        <v>3500</v>
      </c>
      <c r="O33" s="232">
        <f>L33+M33+N33</f>
        <v>7000</v>
      </c>
      <c r="P33" s="234">
        <f>3500+3500</f>
        <v>7000</v>
      </c>
      <c r="Q33" s="319">
        <f>O33-P33</f>
        <v>0</v>
      </c>
      <c r="R33" s="78"/>
    </row>
    <row r="34" spans="1:18" ht="22.5" x14ac:dyDescent="0.25">
      <c r="A34" s="211" t="s">
        <v>599</v>
      </c>
      <c r="B34" s="273">
        <f>D31+D20</f>
        <v>42500</v>
      </c>
      <c r="C34" s="164"/>
      <c r="D34" s="164"/>
      <c r="E34" s="211" t="s">
        <v>599</v>
      </c>
      <c r="F34" s="273">
        <f>F31+G20</f>
        <v>37100</v>
      </c>
      <c r="G34" s="164"/>
      <c r="H34" s="273"/>
      <c r="I34" s="78"/>
      <c r="J34" s="83">
        <v>14</v>
      </c>
      <c r="K34" s="200" t="s">
        <v>480</v>
      </c>
      <c r="L34" s="85"/>
      <c r="M34" s="232">
        <f>'AUGUST 20'!Q34:Q53</f>
        <v>0</v>
      </c>
      <c r="N34" s="320">
        <v>3500</v>
      </c>
      <c r="O34" s="232">
        <f t="shared" si="4"/>
        <v>3500</v>
      </c>
      <c r="P34" s="234">
        <f>3500</f>
        <v>3500</v>
      </c>
      <c r="Q34" s="319">
        <f t="shared" si="5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4250</v>
      </c>
      <c r="D35" s="211"/>
      <c r="E35" s="211" t="s">
        <v>209</v>
      </c>
      <c r="F35" s="307">
        <v>0.1</v>
      </c>
      <c r="G35" s="308">
        <f>C35</f>
        <v>4250</v>
      </c>
      <c r="H35" s="273"/>
      <c r="I35" s="78"/>
      <c r="J35" s="83">
        <v>15</v>
      </c>
      <c r="K35" s="200" t="s">
        <v>595</v>
      </c>
      <c r="L35" s="85">
        <v>3500</v>
      </c>
      <c r="M35" s="232">
        <f>'AUGUST 20'!Q35:Q54</f>
        <v>0</v>
      </c>
      <c r="N35" s="320">
        <v>3500</v>
      </c>
      <c r="O35" s="232">
        <f>L35+M35+N35</f>
        <v>7000</v>
      </c>
      <c r="P35" s="234">
        <f>5000</f>
        <v>5000</v>
      </c>
      <c r="Q35" s="319">
        <f>O35-P35</f>
        <v>2000</v>
      </c>
      <c r="R35" s="78"/>
    </row>
    <row r="36" spans="1:18" ht="22.5" x14ac:dyDescent="0.25">
      <c r="A36" s="309" t="s">
        <v>232</v>
      </c>
      <c r="B36" s="308">
        <f>E20</f>
        <v>500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'AUGUST 20'!Q36:Q55</f>
        <v>0</v>
      </c>
      <c r="N36" s="320">
        <v>3500</v>
      </c>
      <c r="O36" s="232">
        <f>L36+M36+N36</f>
        <v>3500</v>
      </c>
      <c r="P36" s="234">
        <f>3500</f>
        <v>3500</v>
      </c>
      <c r="Q36" s="319"/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'AUGUST 20'!Q37:Q56</f>
        <v>1000</v>
      </c>
      <c r="N37" s="320">
        <v>3500</v>
      </c>
      <c r="O37" s="232">
        <f t="shared" si="4"/>
        <v>4500</v>
      </c>
      <c r="P37" s="234">
        <v>4500</v>
      </c>
      <c r="Q37" s="319">
        <f t="shared" si="5"/>
        <v>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'AUGUST 20'!Q38:Q57</f>
        <v>3500</v>
      </c>
      <c r="N38" s="320">
        <v>3500</v>
      </c>
      <c r="O38" s="232">
        <f t="shared" si="4"/>
        <v>7000</v>
      </c>
      <c r="P38" s="234">
        <f>1500</f>
        <v>1500</v>
      </c>
      <c r="Q38" s="319">
        <f>O38-P38</f>
        <v>5500</v>
      </c>
      <c r="R38" s="78"/>
    </row>
    <row r="39" spans="1:18" ht="21.75" customHeight="1" x14ac:dyDescent="0.25">
      <c r="A39" s="309" t="s">
        <v>239</v>
      </c>
      <c r="B39" s="308">
        <f>'AUGUST 20'!D50</f>
        <v>63464.342305280035</v>
      </c>
      <c r="C39" s="211"/>
      <c r="D39" s="211"/>
      <c r="E39" s="309" t="s">
        <v>239</v>
      </c>
      <c r="F39" s="308">
        <f>'AUGUST 20'!H50</f>
        <v>41900.275200000033</v>
      </c>
      <c r="G39" s="211"/>
      <c r="H39" s="273"/>
      <c r="I39" s="78"/>
      <c r="J39" s="83">
        <v>19</v>
      </c>
      <c r="K39" s="200" t="s">
        <v>596</v>
      </c>
      <c r="L39" s="85">
        <v>3500</v>
      </c>
      <c r="M39" s="232">
        <f>'AUGUST 20'!Q39:Q58</f>
        <v>0</v>
      </c>
      <c r="N39" s="320">
        <v>3500</v>
      </c>
      <c r="O39" s="232">
        <f>L39+M39+N39</f>
        <v>7000</v>
      </c>
      <c r="P39" s="234">
        <v>7000</v>
      </c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109464.34230528004</v>
      </c>
      <c r="C40" s="211"/>
      <c r="D40" s="211"/>
      <c r="E40" s="309" t="s">
        <v>193</v>
      </c>
      <c r="F40" s="308">
        <f>F34+F36+F39+F37</f>
        <v>82000.275200000033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'AUGUST 20'!Q40:Q59</f>
        <v>8000</v>
      </c>
      <c r="N40" s="320">
        <v>3500</v>
      </c>
      <c r="O40" s="232">
        <f>L40+M40+N40</f>
        <v>11500</v>
      </c>
      <c r="P40" s="234">
        <f>1000+1000</f>
        <v>2000</v>
      </c>
      <c r="Q40" s="319">
        <f>O40-P40</f>
        <v>9500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SUM(M21:M40)</f>
        <v>21950</v>
      </c>
      <c r="N41" s="239">
        <f>SUM(N21:N40)</f>
        <v>56000</v>
      </c>
      <c r="O41" s="232">
        <f>L41+M41+N41</f>
        <v>88450</v>
      </c>
      <c r="P41" s="240">
        <f>SUM(P21:P40)</f>
        <v>55850</v>
      </c>
      <c r="Q41" s="319">
        <f>O41-P41</f>
        <v>32600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599</v>
      </c>
      <c r="K44" s="273">
        <f>N41+N19</f>
        <v>75500</v>
      </c>
      <c r="L44" s="164"/>
      <c r="M44" s="164"/>
      <c r="N44" s="211" t="s">
        <v>599</v>
      </c>
      <c r="O44" s="273">
        <f>P41+P19</f>
        <v>73350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7550</v>
      </c>
      <c r="M45" s="211"/>
      <c r="N45" s="211" t="s">
        <v>209</v>
      </c>
      <c r="O45" s="307">
        <v>0.1</v>
      </c>
      <c r="P45" s="308">
        <f>L45</f>
        <v>7550</v>
      </c>
      <c r="Q45" s="273"/>
      <c r="R45" s="78"/>
    </row>
    <row r="46" spans="1:18" x14ac:dyDescent="0.25">
      <c r="A46" s="370" t="s">
        <v>600</v>
      </c>
      <c r="B46" s="370"/>
      <c r="C46" s="368">
        <v>41900</v>
      </c>
      <c r="D46" s="370"/>
      <c r="E46" s="370" t="s">
        <v>600</v>
      </c>
      <c r="F46" s="370"/>
      <c r="G46" s="368">
        <v>41900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M47" s="211"/>
      <c r="N47" s="211" t="s">
        <v>408</v>
      </c>
      <c r="O47" s="307">
        <v>0.3</v>
      </c>
      <c r="P47" s="308">
        <f>(O47*N35)+(O47*N39)+(O47*L33)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308">
        <f>(K47*N39)+(K47*N35)+(K47*L33)</f>
        <v>3150</v>
      </c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'AUGUST 20'!M55</f>
        <v>99250.299999999988</v>
      </c>
      <c r="L49" s="211"/>
      <c r="M49" s="211"/>
      <c r="N49" s="309" t="s">
        <v>239</v>
      </c>
      <c r="O49" s="308">
        <f>'AUGUST 20'!Q55</f>
        <v>79302.400000000023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105214.34230528004</v>
      </c>
      <c r="C50" s="318">
        <f>SUM(C41:C49)</f>
        <v>44900</v>
      </c>
      <c r="D50" s="318">
        <f>B50-C50</f>
        <v>60314.342305280035</v>
      </c>
      <c r="E50" s="166" t="s">
        <v>193</v>
      </c>
      <c r="F50" s="317">
        <f>F34+F36+F37+F39-G35</f>
        <v>77750.275200000033</v>
      </c>
      <c r="G50" s="318">
        <f>SUM(G41:G49)</f>
        <v>44900</v>
      </c>
      <c r="H50" s="318">
        <f>F50-G50</f>
        <v>32850.275200000033</v>
      </c>
      <c r="I50" s="78"/>
      <c r="J50" s="309" t="s">
        <v>193</v>
      </c>
      <c r="K50" s="308">
        <f>K44+K46+K49+K48</f>
        <v>185250.3</v>
      </c>
      <c r="L50" s="211"/>
      <c r="M50" s="211"/>
      <c r="N50" s="309" t="s">
        <v>193</v>
      </c>
      <c r="O50" s="308">
        <f>O44+O46+O49+O47</f>
        <v>152652.70000000001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600</v>
      </c>
      <c r="K52" s="380"/>
      <c r="L52" s="367">
        <v>74300</v>
      </c>
      <c r="M52" s="366"/>
      <c r="N52" s="365" t="s">
        <v>600</v>
      </c>
      <c r="O52" s="380"/>
      <c r="P52" s="367">
        <v>74300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 t="s">
        <v>601</v>
      </c>
      <c r="K53" s="370"/>
      <c r="L53" s="371">
        <v>4000</v>
      </c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</f>
        <v>177700.3</v>
      </c>
      <c r="L55" s="318">
        <f>SUM(L47:L54)</f>
        <v>81450</v>
      </c>
      <c r="M55" s="318">
        <f>K55-L55</f>
        <v>96250.299999999988</v>
      </c>
      <c r="N55" s="166" t="s">
        <v>193</v>
      </c>
      <c r="O55" s="317">
        <f>O44+O46+O47+O49-P45</f>
        <v>145102.70000000001</v>
      </c>
      <c r="P55" s="318">
        <f>SUM(P47:P54)</f>
        <v>77450</v>
      </c>
      <c r="Q55" s="318">
        <f>O55-P55</f>
        <v>67652.700000000012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220">
        <f>H50+Q55</f>
        <v>100502.97520000004</v>
      </c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B25" workbookViewId="0">
      <selection activeCell="O45" sqref="O45"/>
    </sheetView>
  </sheetViews>
  <sheetFormatPr defaultRowHeight="15" x14ac:dyDescent="0.25"/>
  <cols>
    <col min="1" max="1" width="14.42578125" bestFit="1" customWidth="1"/>
    <col min="11" max="11" width="13" customWidth="1"/>
  </cols>
  <sheetData>
    <row r="1" spans="1:19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L2" s="251" t="s">
        <v>356</v>
      </c>
      <c r="M2" s="150"/>
      <c r="N2" s="150"/>
      <c r="O2" s="150"/>
      <c r="P2" s="78"/>
      <c r="Q2" s="78"/>
      <c r="R2" s="78"/>
      <c r="S2" s="78"/>
    </row>
    <row r="3" spans="1:19" ht="21" x14ac:dyDescent="0.25">
      <c r="A3" s="150"/>
      <c r="B3" s="150"/>
      <c r="C3" s="5" t="s">
        <v>604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9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605</v>
      </c>
      <c r="M4" s="250"/>
      <c r="N4" s="103"/>
      <c r="O4" s="103"/>
      <c r="P4" s="78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113">
        <f>'SEPTEMBER 20'!H6:H20</f>
        <v>1900</v>
      </c>
      <c r="D6" s="280">
        <v>3000</v>
      </c>
      <c r="E6" s="281">
        <v>100</v>
      </c>
      <c r="F6" s="276">
        <f>C6+D6+E6</f>
        <v>5000</v>
      </c>
      <c r="G6" s="277">
        <f>3500</f>
        <v>3500</v>
      </c>
      <c r="H6" s="273">
        <f t="shared" ref="H6:H19" si="0">F6-G6</f>
        <v>1500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  <c r="S6" s="78"/>
    </row>
    <row r="7" spans="1:19" x14ac:dyDescent="0.25">
      <c r="A7" s="196" t="s">
        <v>433</v>
      </c>
      <c r="B7" s="274" t="s">
        <v>52</v>
      </c>
      <c r="C7" s="113">
        <f>'SEPTEMBER 20'!H7:H21</f>
        <v>1900</v>
      </c>
      <c r="D7" s="280">
        <v>3000</v>
      </c>
      <c r="E7" s="281">
        <v>100</v>
      </c>
      <c r="F7" s="276">
        <f>C7+D7+E7</f>
        <v>5000</v>
      </c>
      <c r="G7" s="277">
        <v>3000</v>
      </c>
      <c r="H7" s="273">
        <f t="shared" si="0"/>
        <v>2000</v>
      </c>
      <c r="I7" s="150"/>
      <c r="J7" s="83" t="s">
        <v>106</v>
      </c>
      <c r="K7" s="249" t="s">
        <v>578</v>
      </c>
      <c r="L7" s="85"/>
      <c r="M7" s="232">
        <f>'SEPTEMBER 20'!Q7:Q19</f>
        <v>0</v>
      </c>
      <c r="N7" s="320">
        <v>3000</v>
      </c>
      <c r="O7" s="232">
        <f>L7+M7+N7</f>
        <v>3000</v>
      </c>
      <c r="P7" s="234">
        <f>3000</f>
        <v>3000</v>
      </c>
      <c r="Q7" s="319">
        <f t="shared" ref="Q7:Q15" si="1">O7-P7</f>
        <v>0</v>
      </c>
      <c r="R7" s="78"/>
      <c r="S7" s="78"/>
    </row>
    <row r="8" spans="1:19" x14ac:dyDescent="0.25">
      <c r="A8" s="282"/>
      <c r="B8" s="274" t="s">
        <v>54</v>
      </c>
      <c r="C8" s="113">
        <f>'SEPTEMBER 20'!H8:H22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'SEPTEMBER 20'!Q8:Q20</f>
        <v>0</v>
      </c>
      <c r="N8" s="320"/>
      <c r="O8" s="232">
        <f t="shared" ref="O8:O19" si="2">L8+M8+N8</f>
        <v>0</v>
      </c>
      <c r="P8" s="232"/>
      <c r="Q8" s="319">
        <f t="shared" si="1"/>
        <v>0</v>
      </c>
      <c r="R8" s="78"/>
      <c r="S8" s="78"/>
    </row>
    <row r="9" spans="1:19" x14ac:dyDescent="0.25">
      <c r="A9" s="196" t="s">
        <v>228</v>
      </c>
      <c r="B9" s="274" t="s">
        <v>56</v>
      </c>
      <c r="C9" s="113">
        <f>'SEPTEMBER 20'!H9:H23</f>
        <v>0</v>
      </c>
      <c r="D9" s="280">
        <v>3000</v>
      </c>
      <c r="E9" s="281">
        <v>100</v>
      </c>
      <c r="F9" s="276">
        <f>C9+D9+E9</f>
        <v>3100</v>
      </c>
      <c r="G9" s="277">
        <f>3100</f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'SEPTEMBER 20'!Q9:Q21</f>
        <v>500</v>
      </c>
      <c r="N9" s="110">
        <v>2500</v>
      </c>
      <c r="O9" s="232">
        <f t="shared" si="2"/>
        <v>3000</v>
      </c>
      <c r="P9" s="110">
        <f>2500</f>
        <v>2500</v>
      </c>
      <c r="Q9" s="319">
        <f t="shared" si="1"/>
        <v>500</v>
      </c>
      <c r="R9" s="78"/>
      <c r="S9" s="78"/>
    </row>
    <row r="10" spans="1:19" ht="22.5" x14ac:dyDescent="0.25">
      <c r="A10" s="282" t="s">
        <v>281</v>
      </c>
      <c r="B10" s="274" t="s">
        <v>58</v>
      </c>
      <c r="C10" s="113">
        <f>'SEPTEMBER 20'!H10:H24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 t="s">
        <v>609</v>
      </c>
      <c r="L10" s="110"/>
      <c r="M10" s="232">
        <f>'SEPTEMBER 20'!Q10:Q22</f>
        <v>0</v>
      </c>
      <c r="N10" s="321">
        <f>2500+2500</f>
        <v>5000</v>
      </c>
      <c r="O10" s="232">
        <f>L10+M10+N10</f>
        <v>5000</v>
      </c>
      <c r="P10" s="319">
        <f>2500+2500</f>
        <v>5000</v>
      </c>
      <c r="Q10" s="319">
        <f t="shared" si="1"/>
        <v>0</v>
      </c>
      <c r="R10" s="78"/>
      <c r="S10" s="78"/>
    </row>
    <row r="11" spans="1:19" x14ac:dyDescent="0.25">
      <c r="A11" s="282" t="s">
        <v>281</v>
      </c>
      <c r="B11" s="274" t="s">
        <v>60</v>
      </c>
      <c r="C11" s="113">
        <f>'SEPTEMBER 20'!H11:H25</f>
        <v>0</v>
      </c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'SEPTEMBER 20'!Q11:Q23</f>
        <v>0</v>
      </c>
      <c r="N11" s="320">
        <v>2500</v>
      </c>
      <c r="O11" s="232">
        <f t="shared" si="2"/>
        <v>2500</v>
      </c>
      <c r="P11" s="234">
        <f>2500</f>
        <v>2500</v>
      </c>
      <c r="Q11" s="319">
        <f t="shared" si="1"/>
        <v>0</v>
      </c>
      <c r="R11" s="78"/>
      <c r="S11" s="78"/>
    </row>
    <row r="12" spans="1:19" x14ac:dyDescent="0.25">
      <c r="A12" s="282" t="s">
        <v>281</v>
      </c>
      <c r="B12" s="274" t="s">
        <v>62</v>
      </c>
      <c r="C12" s="113">
        <f>'SEPTEMBER 20'!H12:H26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'SEPTEMBER 20'!Q12:Q24</f>
        <v>0</v>
      </c>
      <c r="N12" s="325">
        <v>2500</v>
      </c>
      <c r="O12" s="232">
        <f t="shared" si="2"/>
        <v>2500</v>
      </c>
      <c r="P12" s="326">
        <f>2500</f>
        <v>2500</v>
      </c>
      <c r="Q12" s="319">
        <f t="shared" si="1"/>
        <v>0</v>
      </c>
      <c r="R12" s="78"/>
      <c r="S12" s="78"/>
    </row>
    <row r="13" spans="1:19" x14ac:dyDescent="0.25">
      <c r="A13" s="196" t="s">
        <v>519</v>
      </c>
      <c r="B13" s="284" t="s">
        <v>64</v>
      </c>
      <c r="C13" s="113">
        <f>'SEPTEMBER 20'!H13:H27</f>
        <v>0</v>
      </c>
      <c r="D13" s="285"/>
      <c r="E13" s="286"/>
      <c r="F13" s="276">
        <f>D13+E13</f>
        <v>0</v>
      </c>
      <c r="G13" s="277"/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'SEPTEMBER 20'!Q13:Q25</f>
        <v>0</v>
      </c>
      <c r="N13" s="320">
        <v>2500</v>
      </c>
      <c r="O13" s="232">
        <f t="shared" si="2"/>
        <v>2500</v>
      </c>
      <c r="P13" s="234">
        <f>2500</f>
        <v>2500</v>
      </c>
      <c r="Q13" s="319">
        <f t="shared" si="1"/>
        <v>0</v>
      </c>
      <c r="R13" s="78"/>
      <c r="S13" s="78"/>
    </row>
    <row r="14" spans="1:19" x14ac:dyDescent="0.25">
      <c r="A14" s="196" t="s">
        <v>281</v>
      </c>
      <c r="B14" s="284" t="s">
        <v>18</v>
      </c>
      <c r="C14" s="113">
        <f>'SEPTEMBER 20'!H14:H28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'SEPTEMBER 20'!Q14:Q26</f>
        <v>0</v>
      </c>
      <c r="N14" s="320">
        <v>2500</v>
      </c>
      <c r="O14" s="232">
        <f t="shared" si="2"/>
        <v>2500</v>
      </c>
      <c r="P14" s="234">
        <f>2500</f>
        <v>2500</v>
      </c>
      <c r="Q14" s="319">
        <f t="shared" si="1"/>
        <v>0</v>
      </c>
      <c r="R14" s="78"/>
      <c r="S14" s="78"/>
    </row>
    <row r="15" spans="1:19" x14ac:dyDescent="0.25">
      <c r="A15" s="196"/>
      <c r="B15" s="284" t="s">
        <v>20</v>
      </c>
      <c r="C15" s="113">
        <f>'SEPTEMBER 20'!H15:H29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f>'SEPTEMBER 20'!Q15:Q27</f>
        <v>4000</v>
      </c>
      <c r="N15" s="320">
        <v>2500</v>
      </c>
      <c r="O15" s="232">
        <f t="shared" si="2"/>
        <v>7000</v>
      </c>
      <c r="P15" s="234">
        <f>1000+2500</f>
        <v>3500</v>
      </c>
      <c r="Q15" s="319">
        <f t="shared" si="1"/>
        <v>3500</v>
      </c>
      <c r="R15" s="78"/>
      <c r="S15" s="78"/>
    </row>
    <row r="16" spans="1:19" ht="22.5" x14ac:dyDescent="0.25">
      <c r="A16" s="196"/>
      <c r="B16" s="284" t="s">
        <v>22</v>
      </c>
      <c r="C16" s="113">
        <f>'SEPTEMBER 20'!H16:H30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556</v>
      </c>
      <c r="L16" s="85"/>
      <c r="M16" s="232">
        <f>'SEPTEMBER 20'!Q16:Q28</f>
        <v>4500</v>
      </c>
      <c r="N16" s="231"/>
      <c r="O16" s="232">
        <f>L16+M16+N16</f>
        <v>4500</v>
      </c>
      <c r="P16" s="234"/>
      <c r="Q16" s="319"/>
      <c r="R16" s="78"/>
      <c r="S16" s="78"/>
    </row>
    <row r="17" spans="1:19" x14ac:dyDescent="0.25">
      <c r="A17" s="524"/>
      <c r="B17" s="284" t="s">
        <v>24</v>
      </c>
      <c r="C17" s="113">
        <f>'SEPTEMBER 20'!H17:H31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'SEPTEMBER 20'!Q17:Q29</f>
        <v>0</v>
      </c>
      <c r="N17" s="231"/>
      <c r="O17" s="232"/>
      <c r="P17" s="234"/>
      <c r="Q17" s="450"/>
      <c r="R17" s="78"/>
      <c r="S17" s="78"/>
    </row>
    <row r="18" spans="1:19" x14ac:dyDescent="0.25">
      <c r="A18" s="524"/>
      <c r="B18" s="284" t="s">
        <v>26</v>
      </c>
      <c r="C18" s="113">
        <f>'SEPTEMBER 20'!H18:H32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'SEPTEMBER 20'!Q18:Q30</f>
        <v>0</v>
      </c>
      <c r="N18" s="231"/>
      <c r="O18" s="232"/>
      <c r="P18" s="234"/>
      <c r="Q18" s="450"/>
      <c r="R18" s="78">
        <f>80*500</f>
        <v>40000</v>
      </c>
      <c r="S18" s="78"/>
    </row>
    <row r="19" spans="1:19" x14ac:dyDescent="0.25">
      <c r="A19" s="523" t="s">
        <v>327</v>
      </c>
      <c r="B19" s="284" t="s">
        <v>28</v>
      </c>
      <c r="C19" s="113">
        <f>'SEPTEMBER 20'!H19:H33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'SEPTEMBER 20'!Q19:Q31</f>
        <v>9000</v>
      </c>
      <c r="N19" s="239">
        <f>SUM(N7:N16)</f>
        <v>23000</v>
      </c>
      <c r="O19" s="232">
        <f t="shared" si="2"/>
        <v>32500</v>
      </c>
      <c r="P19" s="240">
        <f>SUM(P7:P16)</f>
        <v>24000</v>
      </c>
      <c r="Q19" s="323">
        <f>SUM(Q7:Q16)</f>
        <v>4000</v>
      </c>
      <c r="R19" s="78"/>
      <c r="S19" s="78"/>
    </row>
    <row r="20" spans="1:19" x14ac:dyDescent="0.25">
      <c r="A20" s="294" t="s">
        <v>193</v>
      </c>
      <c r="B20" s="293"/>
      <c r="C20" s="113">
        <f>'SEPTEMBER 20'!H20:H34</f>
        <v>6900</v>
      </c>
      <c r="D20" s="240">
        <f>SUM(D6:D19)</f>
        <v>12000</v>
      </c>
      <c r="E20" s="240">
        <f>SUM(E6:E19)</f>
        <v>400</v>
      </c>
      <c r="F20" s="276">
        <f>SUM(F6:F19)</f>
        <v>19300</v>
      </c>
      <c r="G20" s="361">
        <f>SUM(G6:G19)</f>
        <v>12700</v>
      </c>
      <c r="H20" s="273">
        <f>SUM(H6:H19)</f>
        <v>6600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  <c r="S20" s="78"/>
    </row>
    <row r="21" spans="1:19" ht="18.75" x14ac:dyDescent="0.25">
      <c r="A21" s="537"/>
      <c r="B21" s="537"/>
      <c r="C21" s="275">
        <f>'DECEMBER 19'!H18:H29</f>
        <v>0</v>
      </c>
      <c r="D21" s="345" t="s">
        <v>247</v>
      </c>
      <c r="E21" s="537"/>
      <c r="F21" s="537"/>
      <c r="G21" s="344"/>
      <c r="H21" s="273">
        <f>F21-G21</f>
        <v>0</v>
      </c>
      <c r="I21" s="78"/>
      <c r="J21" s="83">
        <v>1</v>
      </c>
      <c r="K21" s="200" t="s">
        <v>553</v>
      </c>
      <c r="L21" s="85"/>
      <c r="M21" s="232">
        <f>'SEPTEMBER 20'!Q21:Q41</f>
        <v>7000</v>
      </c>
      <c r="N21" s="320">
        <v>3500</v>
      </c>
      <c r="O21" s="232">
        <f t="shared" ref="O21:O38" si="3">L21+M21+N21</f>
        <v>10500</v>
      </c>
      <c r="P21" s="232">
        <f>3500+2000</f>
        <v>5500</v>
      </c>
      <c r="Q21" s="319">
        <f t="shared" ref="Q21:Q37" si="4">O21-P21</f>
        <v>5000</v>
      </c>
      <c r="R21" s="78"/>
      <c r="S21" s="78"/>
    </row>
    <row r="22" spans="1:19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'SEPTEMBER 20'!Q22:Q42</f>
        <v>3500</v>
      </c>
      <c r="N22" s="320">
        <v>3500</v>
      </c>
      <c r="O22" s="232">
        <f t="shared" si="3"/>
        <v>7000</v>
      </c>
      <c r="P22" s="232">
        <f>4000</f>
        <v>4000</v>
      </c>
      <c r="Q22" s="319">
        <f t="shared" si="4"/>
        <v>3000</v>
      </c>
      <c r="R22" s="78"/>
      <c r="S22" s="78"/>
    </row>
    <row r="23" spans="1:19" x14ac:dyDescent="0.25">
      <c r="A23" s="191" t="s">
        <v>313</v>
      </c>
      <c r="B23" s="85"/>
      <c r="C23" s="86">
        <f>'SEPTEMBER 20'!G23:G31</f>
        <v>0</v>
      </c>
      <c r="D23" s="232">
        <v>3500</v>
      </c>
      <c r="E23" s="232">
        <f>B23+D23+C23</f>
        <v>3500</v>
      </c>
      <c r="F23" s="232">
        <f>3500</f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'SEPTEMBER 20'!Q23:Q43</f>
        <v>0</v>
      </c>
      <c r="N23" s="110"/>
      <c r="O23" s="232">
        <f t="shared" si="3"/>
        <v>0</v>
      </c>
      <c r="P23" s="110"/>
      <c r="Q23" s="319">
        <f t="shared" si="4"/>
        <v>0</v>
      </c>
      <c r="R23" s="78"/>
      <c r="S23" s="78"/>
    </row>
    <row r="24" spans="1:19" x14ac:dyDescent="0.25">
      <c r="A24" s="110" t="s">
        <v>451</v>
      </c>
      <c r="B24" s="113"/>
      <c r="C24" s="86">
        <f>'SEPTEMBER 20'!G24:G32</f>
        <v>0</v>
      </c>
      <c r="D24" s="110">
        <v>4000</v>
      </c>
      <c r="E24" s="232">
        <f t="shared" ref="E24:E30" si="5">B24+D24+C24</f>
        <v>4000</v>
      </c>
      <c r="F24" s="110">
        <f>4000</f>
        <v>4000</v>
      </c>
      <c r="G24" s="273">
        <f t="shared" ref="G24:G30" si="6">E24-F24</f>
        <v>0</v>
      </c>
      <c r="H24" s="273"/>
      <c r="I24" s="78"/>
      <c r="J24" s="83">
        <v>4</v>
      </c>
      <c r="K24" s="200" t="s">
        <v>564</v>
      </c>
      <c r="L24" s="110"/>
      <c r="M24" s="232">
        <f>'SEPTEMBER 20'!Q24:Q44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4"/>
        <v>2000</v>
      </c>
      <c r="R24" s="78"/>
      <c r="S24" s="78"/>
    </row>
    <row r="25" spans="1:19" x14ac:dyDescent="0.25">
      <c r="A25" s="191" t="s">
        <v>411</v>
      </c>
      <c r="B25" s="85"/>
      <c r="C25" s="86">
        <f>'SEPTEMBER 20'!G25:G33</f>
        <v>5000</v>
      </c>
      <c r="D25" s="231">
        <v>4000</v>
      </c>
      <c r="E25" s="232">
        <f>B25+D25+C25</f>
        <v>9000</v>
      </c>
      <c r="F25" s="78">
        <f>4000</f>
        <v>4000</v>
      </c>
      <c r="G25" s="273">
        <f>E25-F25</f>
        <v>5000</v>
      </c>
      <c r="H25" s="273"/>
      <c r="I25" s="78"/>
      <c r="J25" s="83">
        <v>5</v>
      </c>
      <c r="K25" s="200" t="s">
        <v>281</v>
      </c>
      <c r="L25" s="85"/>
      <c r="M25" s="232">
        <f>'SEPTEMBER 20'!Q25:Q45</f>
        <v>0</v>
      </c>
      <c r="N25" s="320"/>
      <c r="O25" s="232">
        <f t="shared" si="3"/>
        <v>0</v>
      </c>
      <c r="P25" s="234"/>
      <c r="Q25" s="319">
        <f t="shared" si="4"/>
        <v>0</v>
      </c>
      <c r="R25" s="78"/>
      <c r="S25" s="78"/>
    </row>
    <row r="26" spans="1:19" x14ac:dyDescent="0.25">
      <c r="A26" s="191"/>
      <c r="B26" s="85"/>
      <c r="C26" s="86">
        <f>'SEPTEMBER 20'!G26:G34</f>
        <v>0</v>
      </c>
      <c r="D26" s="231"/>
      <c r="E26" s="232">
        <f t="shared" si="5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'SEPTEMBER 20'!Q26:Q46</f>
        <v>1500</v>
      </c>
      <c r="N26" s="325">
        <v>3500</v>
      </c>
      <c r="O26" s="232">
        <f t="shared" si="3"/>
        <v>5000</v>
      </c>
      <c r="P26" s="326">
        <v>3500</v>
      </c>
      <c r="Q26" s="319">
        <f t="shared" si="4"/>
        <v>1500</v>
      </c>
      <c r="R26" s="78"/>
      <c r="S26" s="78"/>
    </row>
    <row r="27" spans="1:19" x14ac:dyDescent="0.25">
      <c r="A27" s="191" t="s">
        <v>350</v>
      </c>
      <c r="B27" s="86"/>
      <c r="C27" s="86">
        <f>'SEPTEMBER 20'!G27:G35</f>
        <v>4000</v>
      </c>
      <c r="D27" s="231">
        <v>4000</v>
      </c>
      <c r="E27" s="232">
        <f t="shared" si="5"/>
        <v>8000</v>
      </c>
      <c r="F27" s="110"/>
      <c r="G27" s="273">
        <f t="shared" si="6"/>
        <v>8000</v>
      </c>
      <c r="H27" s="273"/>
      <c r="I27" s="78"/>
      <c r="J27" s="83">
        <v>7</v>
      </c>
      <c r="K27" s="249" t="s">
        <v>554</v>
      </c>
      <c r="L27" s="85"/>
      <c r="M27" s="232">
        <f>'SEPTEMBER 20'!Q27:Q47</f>
        <v>0</v>
      </c>
      <c r="N27" s="320">
        <v>3500</v>
      </c>
      <c r="O27" s="232">
        <f t="shared" si="3"/>
        <v>3500</v>
      </c>
      <c r="P27" s="234">
        <f>3500</f>
        <v>3500</v>
      </c>
      <c r="Q27" s="319">
        <f t="shared" si="4"/>
        <v>0</v>
      </c>
      <c r="R27" s="220"/>
      <c r="S27" s="78"/>
    </row>
    <row r="28" spans="1:19" x14ac:dyDescent="0.25">
      <c r="A28" s="191" t="s">
        <v>392</v>
      </c>
      <c r="B28" s="85"/>
      <c r="C28" s="86">
        <f>'SEPTEMBER 20'!G28:G36</f>
        <v>8000</v>
      </c>
      <c r="D28" s="231">
        <v>4000</v>
      </c>
      <c r="E28" s="232">
        <f t="shared" si="5"/>
        <v>12000</v>
      </c>
      <c r="F28" s="110">
        <f>4000</f>
        <v>4000</v>
      </c>
      <c r="G28" s="273">
        <f t="shared" si="6"/>
        <v>8000</v>
      </c>
      <c r="H28" s="273"/>
      <c r="I28" s="220"/>
      <c r="J28" s="83">
        <v>8</v>
      </c>
      <c r="K28" s="249" t="s">
        <v>281</v>
      </c>
      <c r="L28" s="85"/>
      <c r="M28" s="232">
        <f>'SEPTEMBER 20'!Q28:Q48</f>
        <v>0</v>
      </c>
      <c r="N28" s="320"/>
      <c r="O28" s="232">
        <f t="shared" si="3"/>
        <v>0</v>
      </c>
      <c r="P28" s="234"/>
      <c r="Q28" s="319">
        <f t="shared" si="4"/>
        <v>0</v>
      </c>
      <c r="R28" s="78"/>
      <c r="S28" s="78"/>
    </row>
    <row r="29" spans="1:19" x14ac:dyDescent="0.25">
      <c r="A29" s="218" t="s">
        <v>539</v>
      </c>
      <c r="B29" s="85"/>
      <c r="C29" s="86">
        <f>'SEPTEMBER 20'!G29:G37</f>
        <v>0</v>
      </c>
      <c r="D29" s="231">
        <v>4000</v>
      </c>
      <c r="E29" s="232">
        <f t="shared" si="5"/>
        <v>4000</v>
      </c>
      <c r="F29" s="110">
        <f>4000</f>
        <v>4000</v>
      </c>
      <c r="G29" s="273">
        <f t="shared" si="6"/>
        <v>0</v>
      </c>
      <c r="H29" s="273"/>
      <c r="I29" s="78"/>
      <c r="J29" s="83">
        <v>9</v>
      </c>
      <c r="K29" s="200" t="s">
        <v>496</v>
      </c>
      <c r="L29" s="85"/>
      <c r="M29" s="232">
        <f>'SEPTEMBER 20'!Q29:Q49</f>
        <v>0</v>
      </c>
      <c r="N29" s="320">
        <v>3500</v>
      </c>
      <c r="O29" s="232">
        <f>L29+M29+N29</f>
        <v>3500</v>
      </c>
      <c r="P29" s="234">
        <f>3100+400</f>
        <v>3500</v>
      </c>
      <c r="Q29" s="319">
        <f t="shared" si="4"/>
        <v>0</v>
      </c>
      <c r="R29" s="78"/>
      <c r="S29" s="78"/>
    </row>
    <row r="30" spans="1:19" ht="22.5" x14ac:dyDescent="0.25">
      <c r="A30" s="210" t="s">
        <v>456</v>
      </c>
      <c r="B30" s="85">
        <v>0</v>
      </c>
      <c r="C30" s="86">
        <f>'SEPTEMBER 20'!G30:G38</f>
        <v>1000</v>
      </c>
      <c r="D30" s="231">
        <v>4000</v>
      </c>
      <c r="E30" s="232">
        <f t="shared" si="5"/>
        <v>5000</v>
      </c>
      <c r="F30" s="110">
        <f>4000</f>
        <v>4000</v>
      </c>
      <c r="G30" s="273">
        <f t="shared" si="6"/>
        <v>1000</v>
      </c>
      <c r="H30" s="273"/>
      <c r="I30" s="78"/>
      <c r="J30" s="83">
        <v>10</v>
      </c>
      <c r="K30" s="200" t="s">
        <v>490</v>
      </c>
      <c r="L30" s="85"/>
      <c r="M30" s="232">
        <f>'SEPTEMBER 20'!Q30:Q50</f>
        <v>1600</v>
      </c>
      <c r="N30" s="320">
        <v>3500</v>
      </c>
      <c r="O30" s="232">
        <f t="shared" si="3"/>
        <v>5100</v>
      </c>
      <c r="P30" s="234">
        <f>3500</f>
        <v>3500</v>
      </c>
      <c r="Q30" s="319">
        <f t="shared" si="4"/>
        <v>1600</v>
      </c>
      <c r="R30" s="78"/>
      <c r="S30" s="78"/>
    </row>
    <row r="31" spans="1:19" x14ac:dyDescent="0.25">
      <c r="A31" s="339" t="s">
        <v>193</v>
      </c>
      <c r="B31" s="42"/>
      <c r="C31" s="86">
        <f>'SEPTEMBER 20'!G31:G39</f>
        <v>18000</v>
      </c>
      <c r="D31" s="240">
        <f>SUM(D23:D30)</f>
        <v>27500</v>
      </c>
      <c r="E31" s="232">
        <f>SUM(E23:E30)</f>
        <v>45500</v>
      </c>
      <c r="F31" s="535">
        <f>SUM(F23:F30)</f>
        <v>23500</v>
      </c>
      <c r="G31" s="273">
        <f>E31-F31</f>
        <v>22000</v>
      </c>
      <c r="H31" s="273"/>
      <c r="I31" s="78"/>
      <c r="J31" s="83">
        <v>11</v>
      </c>
      <c r="K31" s="249" t="s">
        <v>474</v>
      </c>
      <c r="L31" s="85"/>
      <c r="M31" s="232">
        <f>'SEPTEMBER 20'!Q31:Q51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  <c r="S31" s="78"/>
    </row>
    <row r="32" spans="1:19" x14ac:dyDescent="0.25">
      <c r="A32" s="79"/>
      <c r="B32" s="106"/>
      <c r="C32" s="107"/>
      <c r="D32" s="106"/>
      <c r="E32" s="108"/>
      <c r="F32" s="106"/>
      <c r="G32" s="150"/>
      <c r="H32" s="269"/>
      <c r="I32" s="78"/>
      <c r="J32" s="83">
        <v>12</v>
      </c>
      <c r="K32" s="200"/>
      <c r="L32" s="85"/>
      <c r="M32" s="232">
        <f>'SEPTEMBER 20'!Q32:Q52</f>
        <v>0</v>
      </c>
      <c r="N32" s="320"/>
      <c r="O32" s="232">
        <f t="shared" si="3"/>
        <v>0</v>
      </c>
      <c r="P32" s="234"/>
      <c r="Q32" s="319">
        <f t="shared" si="4"/>
        <v>0</v>
      </c>
      <c r="R32" s="78"/>
      <c r="S32" s="78"/>
    </row>
    <row r="33" spans="1:19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/>
      <c r="M33" s="232"/>
      <c r="N33" s="320">
        <v>3500</v>
      </c>
      <c r="O33" s="232">
        <f>L33+M33+N33</f>
        <v>3500</v>
      </c>
      <c r="P33" s="234">
        <v>3500</v>
      </c>
      <c r="Q33" s="319">
        <f>O33-P33</f>
        <v>0</v>
      </c>
      <c r="R33" s="78"/>
      <c r="S33" s="78"/>
    </row>
    <row r="34" spans="1:19" x14ac:dyDescent="0.25">
      <c r="A34" s="211" t="s">
        <v>511</v>
      </c>
      <c r="B34" s="273">
        <f>D31+D20</f>
        <v>39500</v>
      </c>
      <c r="C34" s="164"/>
      <c r="D34" s="164"/>
      <c r="E34" s="211" t="s">
        <v>511</v>
      </c>
      <c r="F34" s="273">
        <f>F31+G20</f>
        <v>36200</v>
      </c>
      <c r="G34" s="164"/>
      <c r="H34" s="273"/>
      <c r="I34" s="78"/>
      <c r="J34" s="83">
        <v>14</v>
      </c>
      <c r="K34" s="200" t="s">
        <v>480</v>
      </c>
      <c r="L34" s="85"/>
      <c r="M34" s="232">
        <f>'SEPTEMBER 20'!Q34:Q54</f>
        <v>0</v>
      </c>
      <c r="N34" s="320">
        <v>3500</v>
      </c>
      <c r="O34" s="232">
        <f t="shared" si="3"/>
        <v>3500</v>
      </c>
      <c r="P34" s="234">
        <f>3500</f>
        <v>3500</v>
      </c>
      <c r="Q34" s="319">
        <f t="shared" si="4"/>
        <v>0</v>
      </c>
      <c r="R34" s="78"/>
      <c r="S34" s="78"/>
    </row>
    <row r="35" spans="1:19" x14ac:dyDescent="0.25">
      <c r="A35" s="211" t="s">
        <v>209</v>
      </c>
      <c r="B35" s="307">
        <v>0.1</v>
      </c>
      <c r="C35" s="308">
        <f>B34*B35</f>
        <v>3950</v>
      </c>
      <c r="D35" s="211"/>
      <c r="E35" s="211" t="s">
        <v>209</v>
      </c>
      <c r="F35" s="307">
        <v>0.1</v>
      </c>
      <c r="G35" s="308">
        <f>C35</f>
        <v>3950</v>
      </c>
      <c r="H35" s="273"/>
      <c r="I35" s="78"/>
      <c r="J35" s="83">
        <v>15</v>
      </c>
      <c r="K35" s="200" t="s">
        <v>595</v>
      </c>
      <c r="L35" s="85"/>
      <c r="M35" s="232">
        <f>'SEPTEMBER 20'!Q35:Q55</f>
        <v>2000</v>
      </c>
      <c r="N35" s="320">
        <v>3500</v>
      </c>
      <c r="O35" s="232">
        <f>L35+M35+N35</f>
        <v>5500</v>
      </c>
      <c r="P35" s="234">
        <f>5500</f>
        <v>5500</v>
      </c>
      <c r="Q35" s="319">
        <f>O35-P35</f>
        <v>0</v>
      </c>
      <c r="R35" s="78"/>
      <c r="S35" s="78"/>
    </row>
    <row r="36" spans="1:19" x14ac:dyDescent="0.25">
      <c r="A36" s="309" t="s">
        <v>232</v>
      </c>
      <c r="B36" s="308">
        <f>E20</f>
        <v>400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'SEPTEMBER 20'!Q36:Q56</f>
        <v>0</v>
      </c>
      <c r="N36" s="320">
        <v>3500</v>
      </c>
      <c r="O36" s="232">
        <f>L36+M36+N36</f>
        <v>3500</v>
      </c>
      <c r="P36" s="234"/>
      <c r="Q36" s="319">
        <f>O36-P36</f>
        <v>3500</v>
      </c>
      <c r="R36" s="78"/>
      <c r="S36" s="78"/>
    </row>
    <row r="37" spans="1:19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'SEPTEMBER 20'!Q37:Q57</f>
        <v>0</v>
      </c>
      <c r="N37" s="320">
        <v>3500</v>
      </c>
      <c r="O37" s="232">
        <f t="shared" si="3"/>
        <v>3500</v>
      </c>
      <c r="P37" s="234"/>
      <c r="Q37" s="319">
        <f t="shared" si="4"/>
        <v>3500</v>
      </c>
      <c r="R37" s="78"/>
      <c r="S37" s="78"/>
    </row>
    <row r="38" spans="1:19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'SEPTEMBER 20'!Q38:Q58</f>
        <v>5500</v>
      </c>
      <c r="N38" s="320">
        <v>3500</v>
      </c>
      <c r="O38" s="232">
        <f t="shared" si="3"/>
        <v>9000</v>
      </c>
      <c r="P38" s="234">
        <f>3500</f>
        <v>3500</v>
      </c>
      <c r="Q38" s="319">
        <f>O38-P38</f>
        <v>5500</v>
      </c>
      <c r="R38" s="78"/>
      <c r="S38" s="78"/>
    </row>
    <row r="39" spans="1:19" x14ac:dyDescent="0.25">
      <c r="A39" s="309" t="s">
        <v>239</v>
      </c>
      <c r="B39" s="308">
        <f>'SEPTEMBER 20'!D50</f>
        <v>60314.342305280035</v>
      </c>
      <c r="C39" s="211"/>
      <c r="D39" s="211"/>
      <c r="E39" s="309" t="s">
        <v>239</v>
      </c>
      <c r="F39" s="308">
        <f>'SEPTEMBER 20'!H50</f>
        <v>32850.275200000033</v>
      </c>
      <c r="G39" s="211"/>
      <c r="H39" s="273"/>
      <c r="I39" s="78"/>
      <c r="J39" s="83">
        <v>19</v>
      </c>
      <c r="K39" s="200" t="s">
        <v>596</v>
      </c>
      <c r="L39" s="85"/>
      <c r="M39" s="232">
        <f>'SEPTEMBER 20'!Q39:Q59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  <c r="S39" s="78"/>
    </row>
    <row r="40" spans="1:19" x14ac:dyDescent="0.25">
      <c r="A40" s="309" t="s">
        <v>193</v>
      </c>
      <c r="B40" s="308">
        <f>B34+B36+B39+B37</f>
        <v>103214.34230528004</v>
      </c>
      <c r="C40" s="211"/>
      <c r="D40" s="211"/>
      <c r="E40" s="309" t="s">
        <v>193</v>
      </c>
      <c r="F40" s="308">
        <f>F34+F36+F39+F37</f>
        <v>72050.275200000033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'SEPTEMBER 20'!Q40:Q60</f>
        <v>9500</v>
      </c>
      <c r="N40" s="320">
        <v>3500</v>
      </c>
      <c r="O40" s="232">
        <f>L40+M40+N40</f>
        <v>13000</v>
      </c>
      <c r="P40" s="234">
        <f>1000+1500</f>
        <v>2500</v>
      </c>
      <c r="Q40" s="319">
        <f>O40-P40</f>
        <v>10500</v>
      </c>
      <c r="R40" s="78"/>
      <c r="S40" s="78"/>
    </row>
    <row r="41" spans="1:19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0</v>
      </c>
      <c r="M41" s="232">
        <f>'SEPTEMBER 20'!Q41:Q61</f>
        <v>32600</v>
      </c>
      <c r="N41" s="239">
        <f>SUM(N21:N40)</f>
        <v>56000</v>
      </c>
      <c r="O41" s="232">
        <f>L41+M41+N41</f>
        <v>88600</v>
      </c>
      <c r="P41" s="240">
        <f>SUM(P21:P40)</f>
        <v>52500</v>
      </c>
      <c r="Q41" s="319">
        <f>O41-P41</f>
        <v>36100</v>
      </c>
      <c r="R41" s="78"/>
      <c r="S41" s="78"/>
    </row>
    <row r="42" spans="1:19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106"/>
      <c r="N42" s="108"/>
      <c r="O42" s="106"/>
      <c r="P42" s="150"/>
      <c r="Q42" s="269"/>
      <c r="R42" s="78"/>
      <c r="S42" s="78"/>
    </row>
    <row r="43" spans="1:19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359" t="s">
        <v>208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  <c r="S43" s="78"/>
    </row>
    <row r="44" spans="1:19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511</v>
      </c>
      <c r="K44" s="273">
        <f>N41+N19</f>
        <v>79000</v>
      </c>
      <c r="L44" s="164"/>
      <c r="M44" s="164"/>
      <c r="N44" s="211" t="s">
        <v>511</v>
      </c>
      <c r="O44" s="273">
        <f>P41+P19</f>
        <v>76500</v>
      </c>
      <c r="P44" s="164"/>
      <c r="Q44" s="273"/>
      <c r="R44" s="78"/>
      <c r="S44" s="78"/>
    </row>
    <row r="45" spans="1:19" x14ac:dyDescent="0.25">
      <c r="A45" s="370" t="s">
        <v>408</v>
      </c>
      <c r="B45" s="449">
        <v>0.3</v>
      </c>
      <c r="C45" s="368">
        <f>B45*D14</f>
        <v>0</v>
      </c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7900</v>
      </c>
      <c r="M45" s="211"/>
      <c r="N45" s="211" t="s">
        <v>209</v>
      </c>
      <c r="O45" s="307">
        <v>0.1</v>
      </c>
      <c r="P45" s="308">
        <f>L45</f>
        <v>7900</v>
      </c>
      <c r="Q45" s="273"/>
      <c r="R45" s="78"/>
      <c r="S45" s="78"/>
    </row>
    <row r="46" spans="1:19" x14ac:dyDescent="0.25">
      <c r="A46" s="370" t="s">
        <v>606</v>
      </c>
      <c r="B46" s="370"/>
      <c r="C46" s="368">
        <v>27000</v>
      </c>
      <c r="D46" s="370"/>
      <c r="E46" s="370" t="s">
        <v>606</v>
      </c>
      <c r="F46" s="370"/>
      <c r="G46" s="368">
        <v>27000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  <c r="S46" s="78"/>
    </row>
    <row r="47" spans="1:19" x14ac:dyDescent="0.25">
      <c r="A47" s="369"/>
      <c r="B47" s="370"/>
      <c r="C47" s="371"/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78"/>
      <c r="M47" s="211"/>
      <c r="N47" s="211" t="s">
        <v>408</v>
      </c>
      <c r="O47" s="307">
        <v>0.3</v>
      </c>
      <c r="P47" s="308"/>
      <c r="Q47" s="273"/>
      <c r="R47" s="220"/>
      <c r="S47" s="78"/>
    </row>
    <row r="48" spans="1:19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/>
      <c r="L48" s="308"/>
      <c r="M48" s="211"/>
      <c r="N48" s="309"/>
      <c r="O48" s="308"/>
      <c r="P48" s="211"/>
      <c r="Q48" s="273"/>
      <c r="R48" s="220"/>
      <c r="S48" s="78"/>
    </row>
    <row r="49" spans="1:19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'SEPTEMBER 20'!M55</f>
        <v>96250.299999999988</v>
      </c>
      <c r="L49" s="211"/>
      <c r="M49" s="211"/>
      <c r="N49" s="309" t="s">
        <v>239</v>
      </c>
      <c r="O49" s="308">
        <f>'SEPTEMBER 20'!Q55</f>
        <v>67652.700000000012</v>
      </c>
      <c r="P49" s="211"/>
      <c r="Q49" s="273"/>
      <c r="R49" s="78"/>
      <c r="S49" s="78"/>
    </row>
    <row r="50" spans="1:19" x14ac:dyDescent="0.25">
      <c r="A50" s="113"/>
      <c r="B50" s="113"/>
      <c r="C50" s="113"/>
      <c r="D50" s="113"/>
      <c r="E50" s="113"/>
      <c r="F50" s="113"/>
      <c r="G50" s="113"/>
      <c r="H50" s="113"/>
      <c r="J50" s="309" t="s">
        <v>193</v>
      </c>
      <c r="K50" s="308">
        <f>K44+K46+K49+K48</f>
        <v>175250.3</v>
      </c>
      <c r="L50" s="211"/>
      <c r="M50" s="211"/>
      <c r="N50" s="309" t="s">
        <v>193</v>
      </c>
      <c r="O50" s="308">
        <f>O44+O46+O49+O47</f>
        <v>144153</v>
      </c>
      <c r="P50" s="211"/>
      <c r="Q50" s="273"/>
      <c r="R50" s="78"/>
      <c r="S50" s="78"/>
    </row>
    <row r="51" spans="1:19" x14ac:dyDescent="0.25">
      <c r="A51" s="166" t="s">
        <v>193</v>
      </c>
      <c r="B51" s="317">
        <f>B34+B36+B37+B38+B39-C35</f>
        <v>99264.342305280035</v>
      </c>
      <c r="C51" s="318">
        <f>SUM(C41:C49)</f>
        <v>30000</v>
      </c>
      <c r="D51" s="318">
        <f>B51-C51</f>
        <v>69264.342305280035</v>
      </c>
      <c r="E51" s="166" t="s">
        <v>193</v>
      </c>
      <c r="F51" s="317">
        <f>F34+F36+F37+F39-G35</f>
        <v>68100.275200000033</v>
      </c>
      <c r="G51" s="318">
        <f>SUM(G41:G49)</f>
        <v>30000</v>
      </c>
      <c r="H51" s="318">
        <f>F51-G51</f>
        <v>38100.275200000033</v>
      </c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  <c r="S51" s="78"/>
    </row>
    <row r="52" spans="1:19" x14ac:dyDescent="0.25">
      <c r="A52" s="150"/>
      <c r="B52" s="150"/>
      <c r="C52" s="150"/>
      <c r="D52" s="150"/>
      <c r="E52" s="150">
        <f>+-O32*                                                                                           I32</f>
        <v>0</v>
      </c>
      <c r="F52" s="79"/>
      <c r="G52" s="150"/>
      <c r="H52" s="269"/>
      <c r="I52" s="78"/>
      <c r="J52" s="365" t="s">
        <v>606</v>
      </c>
      <c r="K52" s="380"/>
      <c r="L52" s="367">
        <v>60000</v>
      </c>
      <c r="M52" s="366"/>
      <c r="N52" s="365" t="s">
        <v>606</v>
      </c>
      <c r="O52" s="380"/>
      <c r="P52" s="367">
        <v>60000</v>
      </c>
      <c r="Q52" s="368"/>
      <c r="R52" s="78"/>
      <c r="S52" s="78"/>
    </row>
    <row r="53" spans="1:19" x14ac:dyDescent="0.25">
      <c r="A53" s="150" t="s">
        <v>71</v>
      </c>
      <c r="B53" s="79"/>
      <c r="C53" s="78"/>
      <c r="D53" s="150" t="s">
        <v>72</v>
      </c>
      <c r="E53" s="78"/>
      <c r="F53" s="78"/>
      <c r="G53" s="150" t="s">
        <v>73</v>
      </c>
      <c r="H53" s="269"/>
      <c r="I53" s="78"/>
      <c r="J53" s="369" t="s">
        <v>610</v>
      </c>
      <c r="K53" s="370"/>
      <c r="L53" s="371">
        <v>4500</v>
      </c>
      <c r="M53" s="366"/>
      <c r="N53" s="365"/>
      <c r="O53" s="380"/>
      <c r="P53" s="367"/>
      <c r="Q53" s="368"/>
      <c r="R53" s="78"/>
      <c r="S53" s="78"/>
    </row>
    <row r="54" spans="1:19" x14ac:dyDescent="0.25">
      <c r="A54" s="78"/>
      <c r="B54" s="78"/>
      <c r="C54" s="78"/>
      <c r="D54" s="78"/>
      <c r="E54" s="78"/>
      <c r="F54" s="78"/>
      <c r="G54" s="78" t="s">
        <v>130</v>
      </c>
      <c r="H54" s="78"/>
      <c r="I54" s="78"/>
      <c r="J54" s="369"/>
      <c r="K54" s="370"/>
      <c r="L54" s="371"/>
      <c r="M54" s="370"/>
      <c r="N54" s="369"/>
      <c r="O54" s="370"/>
      <c r="P54" s="371"/>
      <c r="Q54" s="368"/>
      <c r="R54" s="78"/>
      <c r="S54" s="78"/>
    </row>
    <row r="55" spans="1:19" x14ac:dyDescent="0.25">
      <c r="A55" s="150"/>
      <c r="B55" s="150"/>
      <c r="C55" s="269"/>
      <c r="D55" s="150"/>
      <c r="E55" s="269"/>
      <c r="F55" s="150"/>
      <c r="G55" s="150"/>
      <c r="H55" s="269"/>
      <c r="I55" s="78"/>
      <c r="J55" s="166" t="s">
        <v>193</v>
      </c>
      <c r="K55" s="317">
        <f>K44+K48+K49-L45-L48</f>
        <v>167350.29999999999</v>
      </c>
      <c r="L55" s="318">
        <f>SUM(L52:L54)</f>
        <v>64500</v>
      </c>
      <c r="M55" s="318">
        <f>K55-L55</f>
        <v>102850.29999999999</v>
      </c>
      <c r="N55" s="166" t="s">
        <v>193</v>
      </c>
      <c r="O55" s="317">
        <f>O44+O46+O47+O49-P45-P47</f>
        <v>136253</v>
      </c>
      <c r="P55" s="318">
        <f>SUM(P52:P54)</f>
        <v>60000</v>
      </c>
      <c r="Q55" s="318">
        <f>O55-P55</f>
        <v>76253</v>
      </c>
      <c r="R55" s="78"/>
      <c r="S55" s="78"/>
    </row>
    <row r="56" spans="1:19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  <c r="S56" s="78"/>
    </row>
    <row r="57" spans="1:19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  <c r="S57" s="78"/>
    </row>
    <row r="58" spans="1:19" x14ac:dyDescent="0.25">
      <c r="A58" s="78"/>
      <c r="B58" s="78"/>
      <c r="C58" s="78"/>
      <c r="D58" s="78"/>
      <c r="E58" s="78"/>
      <c r="F58" s="220"/>
      <c r="G58" s="78"/>
      <c r="H58" s="220">
        <f>H51+Q55</f>
        <v>114353.27520000003</v>
      </c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1" spans="1:19" x14ac:dyDescent="0.25">
      <c r="H61">
        <f>105600-73000</f>
        <v>32600</v>
      </c>
    </row>
  </sheetData>
  <pageMargins left="0.7" right="0.7" top="0.75" bottom="0.75" header="0.3" footer="0.3"/>
  <pageSetup paperSize="5" orientation="portrait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12" max="12" width="9.5703125" bestFit="1" customWidth="1"/>
  </cols>
  <sheetData>
    <row r="1" spans="1:18" ht="15.75" x14ac:dyDescent="0.25">
      <c r="A1" s="78"/>
      <c r="B1" s="78"/>
      <c r="C1" s="251" t="s">
        <v>356</v>
      </c>
      <c r="D1" s="150"/>
      <c r="E1" s="150"/>
      <c r="F1" s="150"/>
      <c r="G1" s="150"/>
      <c r="H1" s="150"/>
      <c r="I1" s="150"/>
      <c r="J1" s="78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250" t="s">
        <v>357</v>
      </c>
      <c r="D2" s="5"/>
      <c r="E2" s="150"/>
      <c r="F2" s="150"/>
      <c r="G2" s="150"/>
      <c r="H2" s="150"/>
      <c r="I2" s="150"/>
      <c r="J2" s="78"/>
      <c r="K2" s="78"/>
      <c r="L2" s="251" t="s">
        <v>356</v>
      </c>
      <c r="M2" s="150"/>
      <c r="N2" s="150"/>
      <c r="O2" s="150"/>
      <c r="P2" s="78"/>
      <c r="Q2" s="78"/>
      <c r="R2" s="78"/>
    </row>
    <row r="3" spans="1:18" ht="21" x14ac:dyDescent="0.25">
      <c r="A3" s="150"/>
      <c r="B3" s="150"/>
      <c r="C3" s="5" t="s">
        <v>607</v>
      </c>
      <c r="D3" s="250"/>
      <c r="E3" s="103"/>
      <c r="F3" s="103"/>
      <c r="G3" s="103"/>
      <c r="H3" s="269"/>
      <c r="I3" s="150"/>
      <c r="J3" s="78"/>
      <c r="K3" s="78"/>
      <c r="L3" s="250" t="s">
        <v>357</v>
      </c>
      <c r="M3" s="5"/>
      <c r="N3" s="150"/>
      <c r="O3" s="150"/>
      <c r="P3" s="78"/>
      <c r="Q3" s="78"/>
      <c r="R3" s="78"/>
    </row>
    <row r="4" spans="1:18" ht="21" x14ac:dyDescent="0.25">
      <c r="A4" s="150"/>
      <c r="B4" s="150"/>
      <c r="C4" s="5"/>
      <c r="D4" s="343" t="s">
        <v>435</v>
      </c>
      <c r="E4" s="103"/>
      <c r="F4" s="103"/>
      <c r="G4" s="103"/>
      <c r="H4" s="269"/>
      <c r="I4" s="150"/>
      <c r="J4" s="78"/>
      <c r="K4" s="78"/>
      <c r="L4" s="5" t="s">
        <v>608</v>
      </c>
      <c r="M4" s="250"/>
      <c r="N4" s="103"/>
      <c r="O4" s="103"/>
      <c r="P4" s="78"/>
      <c r="Q4" s="78"/>
      <c r="R4" s="78"/>
    </row>
    <row r="5" spans="1:18" x14ac:dyDescent="0.25">
      <c r="A5" s="332" t="s">
        <v>4</v>
      </c>
      <c r="B5" s="332" t="s">
        <v>5</v>
      </c>
      <c r="C5" s="332" t="s">
        <v>239</v>
      </c>
      <c r="D5" s="332" t="s">
        <v>9</v>
      </c>
      <c r="E5" s="333" t="s">
        <v>10</v>
      </c>
      <c r="F5" s="333" t="s">
        <v>11</v>
      </c>
      <c r="G5" s="334" t="s">
        <v>12</v>
      </c>
      <c r="H5" s="318" t="s">
        <v>306</v>
      </c>
      <c r="I5" s="150"/>
      <c r="J5" s="78"/>
      <c r="K5" s="78"/>
      <c r="L5" s="78"/>
      <c r="M5" s="384" t="s">
        <v>346</v>
      </c>
      <c r="N5" s="78"/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113">
        <f>'OCTOBER 20'!H6:H20</f>
        <v>1500</v>
      </c>
      <c r="D6" s="280">
        <v>3000</v>
      </c>
      <c r="E6" s="281">
        <v>100</v>
      </c>
      <c r="F6" s="276">
        <f>C6+D6+E6</f>
        <v>4600</v>
      </c>
      <c r="G6" s="277">
        <f>3100</f>
        <v>3100</v>
      </c>
      <c r="H6" s="273">
        <f t="shared" ref="H6:H19" si="0">F6-G6</f>
        <v>1500</v>
      </c>
      <c r="I6" s="150"/>
      <c r="J6" s="353" t="s">
        <v>3</v>
      </c>
      <c r="K6" s="353" t="s">
        <v>4</v>
      </c>
      <c r="L6" s="353" t="s">
        <v>104</v>
      </c>
      <c r="M6" s="353" t="s">
        <v>8</v>
      </c>
      <c r="N6" s="353" t="s">
        <v>9</v>
      </c>
      <c r="O6" s="354" t="s">
        <v>11</v>
      </c>
      <c r="P6" s="353" t="s">
        <v>12</v>
      </c>
      <c r="Q6" s="355" t="s">
        <v>105</v>
      </c>
      <c r="R6" s="78"/>
    </row>
    <row r="7" spans="1:18" x14ac:dyDescent="0.25">
      <c r="A7" s="196" t="s">
        <v>433</v>
      </c>
      <c r="B7" s="274" t="s">
        <v>52</v>
      </c>
      <c r="C7" s="113">
        <f>'OCTOBER 20'!H7:H21</f>
        <v>2000</v>
      </c>
      <c r="D7" s="280">
        <v>3000</v>
      </c>
      <c r="E7" s="281">
        <v>100</v>
      </c>
      <c r="F7" s="276">
        <f>C7+D7+E7</f>
        <v>5100</v>
      </c>
      <c r="G7" s="277">
        <f>3100</f>
        <v>3100</v>
      </c>
      <c r="H7" s="273">
        <f t="shared" si="0"/>
        <v>2000</v>
      </c>
      <c r="I7" s="150"/>
      <c r="J7" s="83" t="s">
        <v>106</v>
      </c>
      <c r="K7" s="249"/>
      <c r="L7" s="85"/>
      <c r="M7" s="232">
        <f>'OCTOBER 20'!Q7:Q19</f>
        <v>0</v>
      </c>
      <c r="N7" s="320"/>
      <c r="O7" s="232">
        <f>L7+M7+N7</f>
        <v>0</v>
      </c>
      <c r="P7" s="234"/>
      <c r="Q7" s="319">
        <f>O7-P7</f>
        <v>0</v>
      </c>
      <c r="R7" s="78"/>
    </row>
    <row r="8" spans="1:18" x14ac:dyDescent="0.25">
      <c r="A8" s="282"/>
      <c r="B8" s="274" t="s">
        <v>54</v>
      </c>
      <c r="C8" s="113">
        <f>'OCTOBER 20'!H8:H22</f>
        <v>0</v>
      </c>
      <c r="D8" s="280"/>
      <c r="E8" s="281"/>
      <c r="F8" s="276">
        <f>C8+D8+E8</f>
        <v>0</v>
      </c>
      <c r="G8" s="277"/>
      <c r="H8" s="273">
        <f t="shared" si="0"/>
        <v>0</v>
      </c>
      <c r="I8" s="150"/>
      <c r="J8" s="83" t="s">
        <v>108</v>
      </c>
      <c r="K8" s="200" t="s">
        <v>284</v>
      </c>
      <c r="L8" s="85"/>
      <c r="M8" s="232">
        <f>'OCTOBER 20'!Q8:Q20</f>
        <v>0</v>
      </c>
      <c r="N8" s="320"/>
      <c r="O8" s="232">
        <f t="shared" ref="O8:O19" si="1">L8+M8+N8</f>
        <v>0</v>
      </c>
      <c r="P8" s="232"/>
      <c r="Q8" s="319">
        <f>O8-P8</f>
        <v>0</v>
      </c>
      <c r="R8" s="78"/>
    </row>
    <row r="9" spans="1:18" x14ac:dyDescent="0.25">
      <c r="A9" s="196" t="s">
        <v>228</v>
      </c>
      <c r="B9" s="274" t="s">
        <v>56</v>
      </c>
      <c r="C9" s="113">
        <f>'OCTOBER 20'!H9:H23</f>
        <v>0</v>
      </c>
      <c r="D9" s="280">
        <v>3000</v>
      </c>
      <c r="E9" s="281">
        <v>100</v>
      </c>
      <c r="F9" s="276">
        <f>C9+D9+E9</f>
        <v>3100</v>
      </c>
      <c r="G9" s="277">
        <v>3100</v>
      </c>
      <c r="H9" s="273">
        <f t="shared" si="0"/>
        <v>0</v>
      </c>
      <c r="I9" s="150"/>
      <c r="J9" s="83" t="s">
        <v>557</v>
      </c>
      <c r="K9" s="110" t="s">
        <v>467</v>
      </c>
      <c r="L9" s="110"/>
      <c r="M9" s="232">
        <f>'OCTOBER 20'!Q9:Q21</f>
        <v>500</v>
      </c>
      <c r="N9" s="110">
        <v>2500</v>
      </c>
      <c r="O9" s="232">
        <f t="shared" si="1"/>
        <v>3000</v>
      </c>
      <c r="P9" s="110">
        <v>2500</v>
      </c>
      <c r="Q9" s="319">
        <f t="shared" ref="Q9:Q16" si="2">O9-P9</f>
        <v>500</v>
      </c>
      <c r="R9" s="78"/>
    </row>
    <row r="10" spans="1:18" x14ac:dyDescent="0.25">
      <c r="A10" s="282" t="s">
        <v>281</v>
      </c>
      <c r="B10" s="274" t="s">
        <v>58</v>
      </c>
      <c r="C10" s="113">
        <f>'OCTOBER 20'!H10:H24</f>
        <v>0</v>
      </c>
      <c r="D10" s="280"/>
      <c r="E10" s="281"/>
      <c r="F10" s="276"/>
      <c r="G10" s="277"/>
      <c r="H10" s="273">
        <f t="shared" si="0"/>
        <v>0</v>
      </c>
      <c r="I10" s="150"/>
      <c r="J10" s="87" t="s">
        <v>112</v>
      </c>
      <c r="K10" s="200"/>
      <c r="L10" s="110"/>
      <c r="M10" s="232">
        <f>'OCTOBER 20'!Q10:Q22</f>
        <v>0</v>
      </c>
      <c r="N10" s="321"/>
      <c r="O10" s="232">
        <f t="shared" si="1"/>
        <v>0</v>
      </c>
      <c r="P10" s="319"/>
      <c r="Q10" s="319">
        <f t="shared" si="2"/>
        <v>0</v>
      </c>
      <c r="R10" s="78"/>
    </row>
    <row r="11" spans="1:18" ht="22.5" x14ac:dyDescent="0.25">
      <c r="A11" s="282" t="s">
        <v>281</v>
      </c>
      <c r="B11" s="274" t="s">
        <v>60</v>
      </c>
      <c r="C11" s="113">
        <f>'OCTOBER 20'!H11:H25</f>
        <v>0</v>
      </c>
      <c r="D11" s="280"/>
      <c r="E11" s="281"/>
      <c r="F11" s="276">
        <f>C12+D11+E11</f>
        <v>0</v>
      </c>
      <c r="G11" s="277"/>
      <c r="H11" s="273">
        <f t="shared" si="0"/>
        <v>0</v>
      </c>
      <c r="I11" s="150"/>
      <c r="J11" s="99" t="s">
        <v>114</v>
      </c>
      <c r="K11" s="200" t="s">
        <v>427</v>
      </c>
      <c r="L11" s="85"/>
      <c r="M11" s="232">
        <f>'OCTOBER 20'!Q11:Q23</f>
        <v>0</v>
      </c>
      <c r="N11" s="320">
        <v>2500</v>
      </c>
      <c r="O11" s="232">
        <f t="shared" si="1"/>
        <v>2500</v>
      </c>
      <c r="P11" s="234">
        <v>2500</v>
      </c>
      <c r="Q11" s="319">
        <f t="shared" si="2"/>
        <v>0</v>
      </c>
      <c r="R11" s="78"/>
    </row>
    <row r="12" spans="1:18" ht="22.5" x14ac:dyDescent="0.25">
      <c r="A12" s="282" t="s">
        <v>281</v>
      </c>
      <c r="B12" s="274" t="s">
        <v>62</v>
      </c>
      <c r="C12" s="113">
        <f>'OCTOBER 20'!H12:H26</f>
        <v>0</v>
      </c>
      <c r="D12" s="280"/>
      <c r="E12" s="281"/>
      <c r="F12" s="276">
        <f>C13+D12+E12</f>
        <v>0</v>
      </c>
      <c r="G12" s="277"/>
      <c r="H12" s="273">
        <f t="shared" si="0"/>
        <v>0</v>
      </c>
      <c r="I12" s="150"/>
      <c r="J12" s="93" t="s">
        <v>116</v>
      </c>
      <c r="K12" s="249" t="s">
        <v>120</v>
      </c>
      <c r="L12" s="110"/>
      <c r="M12" s="232">
        <f>'OCTOBER 20'!Q12:Q24</f>
        <v>0</v>
      </c>
      <c r="N12" s="325">
        <v>2500</v>
      </c>
      <c r="O12" s="232">
        <f t="shared" si="1"/>
        <v>2500</v>
      </c>
      <c r="P12" s="326">
        <v>2500</v>
      </c>
      <c r="Q12" s="319">
        <f>O12-P12</f>
        <v>0</v>
      </c>
      <c r="R12" s="78"/>
    </row>
    <row r="13" spans="1:18" ht="22.5" x14ac:dyDescent="0.25">
      <c r="A13" s="196" t="s">
        <v>519</v>
      </c>
      <c r="B13" s="284" t="s">
        <v>64</v>
      </c>
      <c r="C13" s="113">
        <f>'OCTOBER 20'!H13:H27</f>
        <v>0</v>
      </c>
      <c r="D13" s="285"/>
      <c r="E13" s="286"/>
      <c r="F13" s="276">
        <f>D13+E13</f>
        <v>0</v>
      </c>
      <c r="G13" s="277"/>
      <c r="H13" s="273">
        <f t="shared" si="0"/>
        <v>0</v>
      </c>
      <c r="I13" s="150"/>
      <c r="J13" s="83" t="s">
        <v>119</v>
      </c>
      <c r="K13" s="249" t="s">
        <v>120</v>
      </c>
      <c r="L13" s="85"/>
      <c r="M13" s="232">
        <f>'OCTOBER 20'!Q13:Q25</f>
        <v>0</v>
      </c>
      <c r="N13" s="320">
        <v>2500</v>
      </c>
      <c r="O13" s="232">
        <f t="shared" si="1"/>
        <v>2500</v>
      </c>
      <c r="P13" s="234">
        <v>2500</v>
      </c>
      <c r="Q13" s="319">
        <f t="shared" si="2"/>
        <v>0</v>
      </c>
      <c r="R13" s="78"/>
    </row>
    <row r="14" spans="1:18" ht="22.5" x14ac:dyDescent="0.25">
      <c r="A14" s="196" t="s">
        <v>281</v>
      </c>
      <c r="B14" s="284" t="s">
        <v>18</v>
      </c>
      <c r="C14" s="113">
        <f>'OCTOBER 20'!H14:H28</f>
        <v>0</v>
      </c>
      <c r="D14" s="285"/>
      <c r="E14" s="286"/>
      <c r="F14" s="276">
        <f>D14+E14</f>
        <v>0</v>
      </c>
      <c r="G14" s="277"/>
      <c r="H14" s="273">
        <f t="shared" si="0"/>
        <v>0</v>
      </c>
      <c r="I14" s="445"/>
      <c r="J14" s="83" t="s">
        <v>121</v>
      </c>
      <c r="K14" s="249" t="s">
        <v>420</v>
      </c>
      <c r="L14" s="85"/>
      <c r="M14" s="232">
        <f>'OCTOBER 20'!Q14:Q26</f>
        <v>0</v>
      </c>
      <c r="N14" s="320">
        <v>2500</v>
      </c>
      <c r="O14" s="232">
        <f t="shared" si="1"/>
        <v>2500</v>
      </c>
      <c r="P14" s="234">
        <v>2500</v>
      </c>
      <c r="Q14" s="319">
        <f t="shared" si="2"/>
        <v>0</v>
      </c>
      <c r="R14" s="78"/>
    </row>
    <row r="15" spans="1:18" ht="22.5" x14ac:dyDescent="0.25">
      <c r="A15" s="196"/>
      <c r="B15" s="284" t="s">
        <v>20</v>
      </c>
      <c r="C15" s="113">
        <f>'OCTOBER 20'!H15:H29</f>
        <v>0</v>
      </c>
      <c r="D15" s="285"/>
      <c r="E15" s="286"/>
      <c r="F15" s="276">
        <f>C15+D15+E15</f>
        <v>0</v>
      </c>
      <c r="G15" s="277"/>
      <c r="H15" s="273">
        <f t="shared" si="0"/>
        <v>0</v>
      </c>
      <c r="I15" s="150"/>
      <c r="J15" s="83" t="s">
        <v>123</v>
      </c>
      <c r="K15" s="200" t="s">
        <v>396</v>
      </c>
      <c r="L15" s="85">
        <v>500</v>
      </c>
      <c r="M15" s="232">
        <f>'OCTOBER 20'!Q15:Q27</f>
        <v>3500</v>
      </c>
      <c r="N15" s="320">
        <v>2500</v>
      </c>
      <c r="O15" s="232">
        <f t="shared" si="1"/>
        <v>6500</v>
      </c>
      <c r="P15" s="234">
        <f>2500+1500+2000</f>
        <v>6000</v>
      </c>
      <c r="Q15" s="319">
        <f t="shared" si="2"/>
        <v>500</v>
      </c>
      <c r="R15" s="78"/>
    </row>
    <row r="16" spans="1:18" ht="22.5" x14ac:dyDescent="0.25">
      <c r="A16" s="196"/>
      <c r="B16" s="284" t="s">
        <v>22</v>
      </c>
      <c r="C16" s="113">
        <f>'OCTOBER 20'!H16:H30</f>
        <v>0</v>
      </c>
      <c r="D16" s="285"/>
      <c r="E16" s="286"/>
      <c r="F16" s="276">
        <f>C16+D16+E16</f>
        <v>0</v>
      </c>
      <c r="G16" s="277"/>
      <c r="H16" s="273">
        <f t="shared" si="0"/>
        <v>0</v>
      </c>
      <c r="I16" s="150"/>
      <c r="J16" s="83" t="s">
        <v>125</v>
      </c>
      <c r="K16" s="200" t="s">
        <v>578</v>
      </c>
      <c r="L16" s="85"/>
      <c r="M16" s="232">
        <f>'OCTOBER 20'!Q16:Q28</f>
        <v>0</v>
      </c>
      <c r="N16" s="231">
        <v>1500</v>
      </c>
      <c r="O16" s="232">
        <f>L16+M16+N16</f>
        <v>1500</v>
      </c>
      <c r="P16" s="234">
        <v>1500</v>
      </c>
      <c r="Q16" s="319">
        <f t="shared" si="2"/>
        <v>0</v>
      </c>
      <c r="R16" s="78"/>
    </row>
    <row r="17" spans="1:18" x14ac:dyDescent="0.25">
      <c r="A17" s="524"/>
      <c r="B17" s="284" t="s">
        <v>24</v>
      </c>
      <c r="C17" s="113">
        <f>'OCTOBER 20'!H17:H31</f>
        <v>0</v>
      </c>
      <c r="D17" s="285"/>
      <c r="E17" s="286"/>
      <c r="F17" s="276">
        <f>C17+D17+E17</f>
        <v>0</v>
      </c>
      <c r="G17" s="277"/>
      <c r="H17" s="273">
        <f t="shared" si="0"/>
        <v>0</v>
      </c>
      <c r="I17" s="150"/>
      <c r="J17" s="83"/>
      <c r="K17" s="200"/>
      <c r="L17" s="85"/>
      <c r="M17" s="232">
        <f>'OCTOBER 20'!Q17:Q29</f>
        <v>0</v>
      </c>
      <c r="N17" s="231"/>
      <c r="O17" s="232"/>
      <c r="P17" s="234"/>
      <c r="Q17" s="450"/>
      <c r="R17" s="78"/>
    </row>
    <row r="18" spans="1:18" x14ac:dyDescent="0.25">
      <c r="A18" s="524"/>
      <c r="B18" s="284" t="s">
        <v>26</v>
      </c>
      <c r="C18" s="113">
        <f>'OCTOBER 20'!H18:H32</f>
        <v>0</v>
      </c>
      <c r="D18" s="285"/>
      <c r="E18" s="286"/>
      <c r="F18" s="276">
        <f>C18+D18+E18</f>
        <v>0</v>
      </c>
      <c r="G18" s="277"/>
      <c r="H18" s="273">
        <f t="shared" si="0"/>
        <v>0</v>
      </c>
      <c r="I18" s="150"/>
      <c r="J18" s="83"/>
      <c r="K18" s="200"/>
      <c r="L18" s="85"/>
      <c r="M18" s="232">
        <f>'OCTOBER 20'!Q18:Q30</f>
        <v>0</v>
      </c>
      <c r="N18" s="231"/>
      <c r="O18" s="232"/>
      <c r="P18" s="234"/>
      <c r="Q18" s="450"/>
      <c r="R18" s="78"/>
    </row>
    <row r="19" spans="1:18" x14ac:dyDescent="0.25">
      <c r="A19" s="523" t="s">
        <v>327</v>
      </c>
      <c r="B19" s="284" t="s">
        <v>28</v>
      </c>
      <c r="C19" s="113">
        <f>'OCTOBER 20'!H19:H33</f>
        <v>3100</v>
      </c>
      <c r="D19" s="285">
        <v>3000</v>
      </c>
      <c r="E19" s="286">
        <v>100</v>
      </c>
      <c r="F19" s="276">
        <f>C19+D19+E19</f>
        <v>6200</v>
      </c>
      <c r="G19" s="277">
        <f>3100</f>
        <v>3100</v>
      </c>
      <c r="H19" s="273">
        <f t="shared" si="0"/>
        <v>3100</v>
      </c>
      <c r="I19" s="150"/>
      <c r="J19" s="83"/>
      <c r="K19" s="204" t="s">
        <v>193</v>
      </c>
      <c r="L19" s="205">
        <f>SUM(L7:L16)</f>
        <v>500</v>
      </c>
      <c r="M19" s="232">
        <f>'OCTOBER 20'!Q19:Q31</f>
        <v>4000</v>
      </c>
      <c r="N19" s="239">
        <f>SUM(N7:N16)</f>
        <v>16500</v>
      </c>
      <c r="O19" s="232">
        <f t="shared" si="1"/>
        <v>21000</v>
      </c>
      <c r="P19" s="240">
        <f>SUM(P7:P16)</f>
        <v>20000</v>
      </c>
      <c r="Q19" s="323">
        <f>SUM(Q7:Q16)</f>
        <v>1000</v>
      </c>
      <c r="R19" s="78"/>
    </row>
    <row r="20" spans="1:18" x14ac:dyDescent="0.25">
      <c r="A20" s="294" t="s">
        <v>193</v>
      </c>
      <c r="B20" s="293"/>
      <c r="C20" s="113">
        <f>'OCTOBER 20'!H20:H34</f>
        <v>6600</v>
      </c>
      <c r="D20" s="240">
        <f>SUM(D6:D19)</f>
        <v>12000</v>
      </c>
      <c r="E20" s="240">
        <f>SUM(E6:E19)</f>
        <v>400</v>
      </c>
      <c r="F20" s="276">
        <f>SUM(F6:F19)</f>
        <v>19000</v>
      </c>
      <c r="G20" s="361">
        <f>SUM(G6:G19)</f>
        <v>12400</v>
      </c>
      <c r="H20" s="273">
        <f>SUM(H6:H19)</f>
        <v>6600</v>
      </c>
      <c r="I20" s="150" t="s">
        <v>557</v>
      </c>
      <c r="J20" s="78"/>
      <c r="K20" s="78"/>
      <c r="L20" s="384"/>
      <c r="M20" s="384" t="s">
        <v>481</v>
      </c>
      <c r="N20" s="384"/>
      <c r="O20" s="78"/>
      <c r="P20" s="78"/>
      <c r="Q20" s="78"/>
      <c r="R20" s="78"/>
    </row>
    <row r="21" spans="1:18" ht="22.5" x14ac:dyDescent="0.25">
      <c r="A21" s="538"/>
      <c r="B21" s="538"/>
      <c r="C21" s="275">
        <f>'DECEMBER 19'!H18:H29</f>
        <v>0</v>
      </c>
      <c r="D21" s="345" t="s">
        <v>247</v>
      </c>
      <c r="E21" s="538"/>
      <c r="F21" s="538"/>
      <c r="G21" s="344"/>
      <c r="H21" s="273">
        <f>F21-G21</f>
        <v>0</v>
      </c>
      <c r="I21" s="78"/>
      <c r="J21" s="83">
        <v>1</v>
      </c>
      <c r="K21" s="200" t="s">
        <v>612</v>
      </c>
      <c r="L21" s="85">
        <v>3500</v>
      </c>
      <c r="M21" s="232"/>
      <c r="N21" s="320">
        <v>3500</v>
      </c>
      <c r="O21" s="232">
        <f t="shared" ref="O21:O38" si="3">L21+M21+N21</f>
        <v>7000</v>
      </c>
      <c r="P21" s="232">
        <f>7000</f>
        <v>7000</v>
      </c>
      <c r="Q21" s="319">
        <f t="shared" ref="Q21:Q37" si="4">O21-P21</f>
        <v>0</v>
      </c>
      <c r="R21" s="78"/>
    </row>
    <row r="22" spans="1:18" ht="22.5" x14ac:dyDescent="0.25">
      <c r="A22" s="166"/>
      <c r="B22" s="166"/>
      <c r="C22" s="166"/>
      <c r="D22" s="166" t="s">
        <v>9</v>
      </c>
      <c r="E22" s="166" t="s">
        <v>11</v>
      </c>
      <c r="F22" s="166" t="s">
        <v>12</v>
      </c>
      <c r="G22" s="166" t="s">
        <v>306</v>
      </c>
      <c r="H22" s="318"/>
      <c r="I22" s="78"/>
      <c r="J22" s="83">
        <v>2</v>
      </c>
      <c r="K22" s="200" t="s">
        <v>547</v>
      </c>
      <c r="L22" s="85"/>
      <c r="M22" s="232">
        <f>'OCTOBER 20'!Q22:Q41</f>
        <v>3000</v>
      </c>
      <c r="N22" s="320">
        <v>3500</v>
      </c>
      <c r="O22" s="232">
        <f t="shared" si="3"/>
        <v>6500</v>
      </c>
      <c r="P22" s="232">
        <v>3500</v>
      </c>
      <c r="Q22" s="319">
        <f t="shared" si="4"/>
        <v>3000</v>
      </c>
      <c r="R22" s="78"/>
    </row>
    <row r="23" spans="1:18" x14ac:dyDescent="0.25">
      <c r="A23" s="191" t="s">
        <v>313</v>
      </c>
      <c r="B23" s="85"/>
      <c r="C23" s="86">
        <f>'OCTOBER 20'!G23:G31</f>
        <v>0</v>
      </c>
      <c r="D23" s="232">
        <v>3500</v>
      </c>
      <c r="E23" s="232">
        <f>B23+D23+C23</f>
        <v>3500</v>
      </c>
      <c r="F23" s="232">
        <v>3500</v>
      </c>
      <c r="G23" s="273">
        <f>E23-F23</f>
        <v>0</v>
      </c>
      <c r="H23" s="273"/>
      <c r="I23" s="78"/>
      <c r="J23" s="83">
        <v>3</v>
      </c>
      <c r="K23" s="110"/>
      <c r="L23" s="110"/>
      <c r="M23" s="232">
        <f>'OCTOBER 20'!Q23:Q42</f>
        <v>0</v>
      </c>
      <c r="N23" s="110"/>
      <c r="O23" s="232">
        <f t="shared" si="3"/>
        <v>0</v>
      </c>
      <c r="P23" s="110"/>
      <c r="Q23" s="319">
        <f t="shared" si="4"/>
        <v>0</v>
      </c>
      <c r="R23" s="78"/>
    </row>
    <row r="24" spans="1:18" ht="22.5" x14ac:dyDescent="0.25">
      <c r="A24" s="110" t="s">
        <v>451</v>
      </c>
      <c r="B24" s="113"/>
      <c r="C24" s="86">
        <f>'OCTOBER 20'!G24:G32</f>
        <v>0</v>
      </c>
      <c r="D24" s="110">
        <v>4000</v>
      </c>
      <c r="E24" s="232">
        <f t="shared" ref="E24:E30" si="5">B24+D24+C24</f>
        <v>4000</v>
      </c>
      <c r="F24" s="110">
        <v>4000</v>
      </c>
      <c r="G24" s="273">
        <f t="shared" ref="G24:G30" si="6">E24-F24</f>
        <v>0</v>
      </c>
      <c r="H24" s="273"/>
      <c r="I24" s="78"/>
      <c r="J24" s="83">
        <v>4</v>
      </c>
      <c r="K24" s="200" t="s">
        <v>564</v>
      </c>
      <c r="L24" s="110"/>
      <c r="M24" s="232">
        <f>'OCTOBER 20'!Q24:Q43</f>
        <v>2000</v>
      </c>
      <c r="N24" s="321">
        <v>3500</v>
      </c>
      <c r="O24" s="232">
        <f>L24+M24+N24</f>
        <v>5500</v>
      </c>
      <c r="P24" s="319">
        <f>3500</f>
        <v>3500</v>
      </c>
      <c r="Q24" s="319">
        <f t="shared" si="4"/>
        <v>2000</v>
      </c>
      <c r="R24" s="78"/>
    </row>
    <row r="25" spans="1:18" ht="22.5" x14ac:dyDescent="0.25">
      <c r="A25" s="191" t="s">
        <v>411</v>
      </c>
      <c r="B25" s="85"/>
      <c r="C25" s="86">
        <f>'OCTOBER 20'!G25:G33</f>
        <v>5000</v>
      </c>
      <c r="D25" s="231"/>
      <c r="E25" s="232">
        <f>B25+D25+C25</f>
        <v>5000</v>
      </c>
      <c r="F25" s="78"/>
      <c r="G25" s="273"/>
      <c r="H25" s="273" t="s">
        <v>617</v>
      </c>
      <c r="I25" s="78"/>
      <c r="J25" s="83">
        <v>5</v>
      </c>
      <c r="K25" s="200" t="s">
        <v>613</v>
      </c>
      <c r="L25" s="85">
        <v>3500</v>
      </c>
      <c r="M25" s="232">
        <f>'OCTOBER 20'!Q25:Q44</f>
        <v>0</v>
      </c>
      <c r="N25" s="320">
        <v>3500</v>
      </c>
      <c r="O25" s="232">
        <f t="shared" si="3"/>
        <v>7000</v>
      </c>
      <c r="P25" s="234">
        <f>4500+2500</f>
        <v>7000</v>
      </c>
      <c r="Q25" s="319">
        <f t="shared" si="4"/>
        <v>0</v>
      </c>
      <c r="R25" s="78"/>
    </row>
    <row r="26" spans="1:18" ht="22.5" x14ac:dyDescent="0.25">
      <c r="A26" s="191"/>
      <c r="B26" s="85"/>
      <c r="C26" s="86">
        <f>'OCTOBER 20'!G26:G34</f>
        <v>0</v>
      </c>
      <c r="D26" s="231"/>
      <c r="E26" s="232">
        <f t="shared" si="5"/>
        <v>0</v>
      </c>
      <c r="F26" s="110"/>
      <c r="G26" s="273"/>
      <c r="H26" s="273"/>
      <c r="I26" s="78"/>
      <c r="J26" s="83">
        <v>6</v>
      </c>
      <c r="K26" s="249" t="s">
        <v>501</v>
      </c>
      <c r="L26" s="110"/>
      <c r="M26" s="232">
        <f>'OCTOBER 20'!Q26:Q45</f>
        <v>1500</v>
      </c>
      <c r="N26" s="325">
        <v>3500</v>
      </c>
      <c r="O26" s="232">
        <f t="shared" si="3"/>
        <v>5000</v>
      </c>
      <c r="P26" s="326">
        <f>3500</f>
        <v>3500</v>
      </c>
      <c r="Q26" s="319">
        <f t="shared" si="4"/>
        <v>1500</v>
      </c>
      <c r="R26" s="78"/>
    </row>
    <row r="27" spans="1:18" ht="22.5" x14ac:dyDescent="0.25">
      <c r="A27" s="191" t="s">
        <v>350</v>
      </c>
      <c r="B27" s="86"/>
      <c r="C27" s="86">
        <f>'OCTOBER 20'!G27:G35</f>
        <v>8000</v>
      </c>
      <c r="D27" s="231">
        <v>4000</v>
      </c>
      <c r="E27" s="232">
        <f t="shared" si="5"/>
        <v>12000</v>
      </c>
      <c r="F27" s="110">
        <v>4000</v>
      </c>
      <c r="G27" s="273">
        <f t="shared" si="6"/>
        <v>8000</v>
      </c>
      <c r="H27" s="273"/>
      <c r="I27" s="78"/>
      <c r="J27" s="83">
        <v>7</v>
      </c>
      <c r="K27" s="249" t="s">
        <v>554</v>
      </c>
      <c r="L27" s="85"/>
      <c r="M27" s="232">
        <f>'OCTOBER 20'!Q27:Q46</f>
        <v>0</v>
      </c>
      <c r="N27" s="320">
        <v>3500</v>
      </c>
      <c r="O27" s="232">
        <f t="shared" si="3"/>
        <v>3500</v>
      </c>
      <c r="P27" s="234">
        <v>3500</v>
      </c>
      <c r="Q27" s="319">
        <f t="shared" si="4"/>
        <v>0</v>
      </c>
      <c r="R27" s="220"/>
    </row>
    <row r="28" spans="1:18" ht="22.5" x14ac:dyDescent="0.25">
      <c r="A28" s="191" t="s">
        <v>392</v>
      </c>
      <c r="B28" s="85"/>
      <c r="C28" s="86">
        <f>'OCTOBER 20'!G28:G36</f>
        <v>8000</v>
      </c>
      <c r="D28" s="231">
        <v>4000</v>
      </c>
      <c r="E28" s="232">
        <f t="shared" si="5"/>
        <v>12000</v>
      </c>
      <c r="F28" s="110">
        <v>4000</v>
      </c>
      <c r="G28" s="273">
        <f t="shared" si="6"/>
        <v>8000</v>
      </c>
      <c r="H28" s="273"/>
      <c r="I28" s="220">
        <f>G31+H20</f>
        <v>29600</v>
      </c>
      <c r="J28" s="83">
        <v>8</v>
      </c>
      <c r="K28" s="249" t="s">
        <v>490</v>
      </c>
      <c r="L28" s="85"/>
      <c r="M28" s="232">
        <f>'OCTOBER 20'!Q28:Q47</f>
        <v>0</v>
      </c>
      <c r="N28" s="320">
        <v>3500</v>
      </c>
      <c r="O28" s="232">
        <f t="shared" si="3"/>
        <v>3500</v>
      </c>
      <c r="P28" s="234">
        <f>3500</f>
        <v>3500</v>
      </c>
      <c r="Q28" s="319">
        <f t="shared" si="4"/>
        <v>0</v>
      </c>
      <c r="R28" s="78"/>
    </row>
    <row r="29" spans="1:18" ht="22.5" x14ac:dyDescent="0.25">
      <c r="A29" s="218" t="s">
        <v>539</v>
      </c>
      <c r="B29" s="85"/>
      <c r="C29" s="86">
        <f>'OCTOBER 20'!G29:G37</f>
        <v>0</v>
      </c>
      <c r="D29" s="231">
        <v>4000</v>
      </c>
      <c r="E29" s="232">
        <f t="shared" si="5"/>
        <v>4000</v>
      </c>
      <c r="F29" s="110">
        <v>4000</v>
      </c>
      <c r="G29" s="273">
        <f t="shared" si="6"/>
        <v>0</v>
      </c>
      <c r="H29" s="273"/>
      <c r="I29" s="78"/>
      <c r="J29" s="83">
        <v>9</v>
      </c>
      <c r="K29" s="200" t="s">
        <v>496</v>
      </c>
      <c r="L29" s="85"/>
      <c r="M29" s="232">
        <f>'OCTOBER 20'!Q29:Q48</f>
        <v>0</v>
      </c>
      <c r="N29" s="320">
        <v>3500</v>
      </c>
      <c r="O29" s="232">
        <f>L29+M29+N29</f>
        <v>3500</v>
      </c>
      <c r="P29" s="234">
        <v>3500</v>
      </c>
      <c r="Q29" s="319">
        <f t="shared" si="4"/>
        <v>0</v>
      </c>
      <c r="R29" s="78"/>
    </row>
    <row r="30" spans="1:18" ht="22.5" x14ac:dyDescent="0.25">
      <c r="A30" s="210" t="s">
        <v>456</v>
      </c>
      <c r="B30" s="85">
        <v>0</v>
      </c>
      <c r="C30" s="86">
        <f>'OCTOBER 20'!G30:G38</f>
        <v>1000</v>
      </c>
      <c r="D30" s="231">
        <v>4000</v>
      </c>
      <c r="E30" s="232">
        <f t="shared" si="5"/>
        <v>5000</v>
      </c>
      <c r="F30" s="110">
        <f>3000</f>
        <v>3000</v>
      </c>
      <c r="G30" s="273">
        <f t="shared" si="6"/>
        <v>2000</v>
      </c>
      <c r="H30" s="273"/>
      <c r="I30" s="78"/>
      <c r="J30" s="83">
        <v>10</v>
      </c>
      <c r="K30" s="200" t="s">
        <v>553</v>
      </c>
      <c r="L30" s="85"/>
      <c r="M30" s="232">
        <f>'OCTOBER 20'!Q30:Q49</f>
        <v>1600</v>
      </c>
      <c r="N30" s="320">
        <v>3500</v>
      </c>
      <c r="O30" s="232">
        <f t="shared" si="3"/>
        <v>5100</v>
      </c>
      <c r="P30" s="234">
        <f>2000</f>
        <v>2000</v>
      </c>
      <c r="Q30" s="319">
        <f t="shared" si="4"/>
        <v>3100</v>
      </c>
      <c r="R30" s="78"/>
    </row>
    <row r="31" spans="1:18" ht="22.5" x14ac:dyDescent="0.25">
      <c r="A31" s="339" t="s">
        <v>193</v>
      </c>
      <c r="B31" s="42"/>
      <c r="C31" s="86">
        <f>'OCTOBER 20'!G31:G39</f>
        <v>22000</v>
      </c>
      <c r="D31" s="240">
        <f>SUM(D23:D30)</f>
        <v>23500</v>
      </c>
      <c r="E31" s="232">
        <f>SUM(E23:E30)</f>
        <v>45500</v>
      </c>
      <c r="F31" s="535">
        <f>SUM(F23:F30)</f>
        <v>22500</v>
      </c>
      <c r="G31" s="273">
        <f>E31-F31</f>
        <v>23000</v>
      </c>
      <c r="H31" s="273"/>
      <c r="I31" s="78"/>
      <c r="J31" s="83">
        <v>11</v>
      </c>
      <c r="K31" s="249" t="s">
        <v>474</v>
      </c>
      <c r="L31" s="85"/>
      <c r="M31" s="232">
        <f>'OCTOBER 20'!Q31:Q50</f>
        <v>0</v>
      </c>
      <c r="N31" s="320">
        <v>3500</v>
      </c>
      <c r="O31" s="232">
        <f>L31+M31+N31</f>
        <v>3500</v>
      </c>
      <c r="P31" s="234">
        <v>3500</v>
      </c>
      <c r="Q31" s="319">
        <f>O31-P31</f>
        <v>0</v>
      </c>
      <c r="R31" s="78"/>
    </row>
    <row r="32" spans="1:18" ht="22.5" x14ac:dyDescent="0.25">
      <c r="A32" s="79"/>
      <c r="B32" s="106"/>
      <c r="C32" s="107"/>
      <c r="D32" s="106"/>
      <c r="E32" s="108"/>
      <c r="F32" s="106"/>
      <c r="G32" s="150"/>
      <c r="H32" s="269"/>
      <c r="I32" s="220">
        <f>G31+H20</f>
        <v>29600</v>
      </c>
      <c r="J32" s="83">
        <v>12</v>
      </c>
      <c r="K32" s="200" t="s">
        <v>615</v>
      </c>
      <c r="L32" s="85">
        <v>3500</v>
      </c>
      <c r="M32" s="232">
        <f>'OCTOBER 20'!Q32:Q51</f>
        <v>0</v>
      </c>
      <c r="N32" s="320">
        <v>3500</v>
      </c>
      <c r="O32" s="232">
        <f t="shared" si="3"/>
        <v>7000</v>
      </c>
      <c r="P32" s="234">
        <v>5500</v>
      </c>
      <c r="Q32" s="319">
        <f t="shared" si="4"/>
        <v>1500</v>
      </c>
      <c r="R32" s="78"/>
    </row>
    <row r="33" spans="1:18" ht="22.5" x14ac:dyDescent="0.25">
      <c r="A33" s="359" t="s">
        <v>204</v>
      </c>
      <c r="B33" s="359" t="s">
        <v>205</v>
      </c>
      <c r="C33" s="359" t="s">
        <v>207</v>
      </c>
      <c r="D33" s="359" t="s">
        <v>208</v>
      </c>
      <c r="E33" s="359" t="s">
        <v>204</v>
      </c>
      <c r="F33" s="359" t="s">
        <v>205</v>
      </c>
      <c r="G33" s="359" t="s">
        <v>207</v>
      </c>
      <c r="H33" s="360" t="s">
        <v>306</v>
      </c>
      <c r="I33" s="78"/>
      <c r="J33" s="83">
        <v>13</v>
      </c>
      <c r="K33" s="200" t="s">
        <v>616</v>
      </c>
      <c r="L33" s="85"/>
      <c r="M33" s="232">
        <f>'OCTOBER 20'!Q33:Q52</f>
        <v>0</v>
      </c>
      <c r="N33" s="320">
        <v>3500</v>
      </c>
      <c r="O33" s="232">
        <f>L33+M33+N33</f>
        <v>3500</v>
      </c>
      <c r="P33" s="234">
        <v>3500</v>
      </c>
      <c r="Q33" s="319">
        <f>O33-P33</f>
        <v>0</v>
      </c>
      <c r="R33" s="78"/>
    </row>
    <row r="34" spans="1:18" ht="22.5" x14ac:dyDescent="0.25">
      <c r="A34" s="211" t="s">
        <v>524</v>
      </c>
      <c r="B34" s="273">
        <f>D31+D20</f>
        <v>35500</v>
      </c>
      <c r="C34" s="164"/>
      <c r="D34" s="164"/>
      <c r="E34" s="211" t="s">
        <v>511</v>
      </c>
      <c r="F34" s="273">
        <f>F31+G20</f>
        <v>34900</v>
      </c>
      <c r="G34" s="164"/>
      <c r="H34" s="273"/>
      <c r="I34" s="78"/>
      <c r="J34" s="83">
        <v>14</v>
      </c>
      <c r="K34" s="200" t="s">
        <v>480</v>
      </c>
      <c r="L34" s="85"/>
      <c r="M34" s="232">
        <f>'OCTOBER 20'!Q34:Q53</f>
        <v>0</v>
      </c>
      <c r="N34" s="320">
        <v>3500</v>
      </c>
      <c r="O34" s="232">
        <f t="shared" si="3"/>
        <v>3500</v>
      </c>
      <c r="P34" s="234">
        <v>3500</v>
      </c>
      <c r="Q34" s="319">
        <f t="shared" si="4"/>
        <v>0</v>
      </c>
      <c r="R34" s="78"/>
    </row>
    <row r="35" spans="1:18" ht="22.5" x14ac:dyDescent="0.25">
      <c r="A35" s="211" t="s">
        <v>209</v>
      </c>
      <c r="B35" s="307">
        <v>0.1</v>
      </c>
      <c r="C35" s="308">
        <f>B34*B35</f>
        <v>3550</v>
      </c>
      <c r="D35" s="211"/>
      <c r="E35" s="211" t="s">
        <v>209</v>
      </c>
      <c r="F35" s="307">
        <v>0.1</v>
      </c>
      <c r="G35" s="308">
        <f>C35</f>
        <v>3550</v>
      </c>
      <c r="H35" s="273"/>
      <c r="I35" s="78"/>
      <c r="J35" s="83">
        <v>15</v>
      </c>
      <c r="K35" s="200" t="s">
        <v>595</v>
      </c>
      <c r="L35" s="85"/>
      <c r="M35" s="232">
        <f>'OCTOBER 20'!Q35:Q54</f>
        <v>0</v>
      </c>
      <c r="N35" s="320">
        <v>3500</v>
      </c>
      <c r="O35" s="232">
        <f>L35+M35+N35</f>
        <v>3500</v>
      </c>
      <c r="P35" s="234">
        <f>3500</f>
        <v>3500</v>
      </c>
      <c r="Q35" s="319">
        <f>O35-P35</f>
        <v>0</v>
      </c>
      <c r="R35" s="78"/>
    </row>
    <row r="36" spans="1:18" ht="22.5" x14ac:dyDescent="0.25">
      <c r="A36" s="309" t="s">
        <v>232</v>
      </c>
      <c r="B36" s="308">
        <f>E20</f>
        <v>400</v>
      </c>
      <c r="C36" s="211"/>
      <c r="D36" s="309"/>
      <c r="E36" s="78"/>
      <c r="F36" s="308"/>
      <c r="G36" s="211"/>
      <c r="H36" s="273"/>
      <c r="I36" s="78"/>
      <c r="J36" s="83">
        <v>16</v>
      </c>
      <c r="K36" s="200" t="s">
        <v>488</v>
      </c>
      <c r="L36" s="85"/>
      <c r="M36" s="232">
        <f>'OCTOBER 20'!Q36:Q55</f>
        <v>3500</v>
      </c>
      <c r="N36" s="320">
        <v>3500</v>
      </c>
      <c r="O36" s="232">
        <f>L36+M36+N36</f>
        <v>7000</v>
      </c>
      <c r="P36" s="234">
        <f>3500+2200</f>
        <v>5700</v>
      </c>
      <c r="Q36" s="319">
        <f>O36-P36</f>
        <v>1300</v>
      </c>
      <c r="R36" s="78"/>
    </row>
    <row r="37" spans="1:18" ht="22.5" x14ac:dyDescent="0.25">
      <c r="A37" s="309" t="s">
        <v>468</v>
      </c>
      <c r="B37" s="308">
        <v>3000</v>
      </c>
      <c r="C37" s="211"/>
      <c r="D37" s="211"/>
      <c r="E37" s="309" t="s">
        <v>468</v>
      </c>
      <c r="F37" s="308">
        <v>3000</v>
      </c>
      <c r="G37" s="211"/>
      <c r="H37" s="273"/>
      <c r="I37" s="78"/>
      <c r="J37" s="83">
        <v>17</v>
      </c>
      <c r="K37" s="200" t="s">
        <v>579</v>
      </c>
      <c r="L37" s="85"/>
      <c r="M37" s="232">
        <f>'OCTOBER 20'!Q37:Q56</f>
        <v>3500</v>
      </c>
      <c r="N37" s="320">
        <v>3500</v>
      </c>
      <c r="O37" s="232">
        <f t="shared" si="3"/>
        <v>7000</v>
      </c>
      <c r="P37" s="234">
        <f>4000</f>
        <v>4000</v>
      </c>
      <c r="Q37" s="319">
        <f t="shared" si="4"/>
        <v>3000</v>
      </c>
      <c r="R37" s="78"/>
    </row>
    <row r="38" spans="1:18" ht="22.5" x14ac:dyDescent="0.25">
      <c r="A38" s="309" t="s">
        <v>470</v>
      </c>
      <c r="B38" s="308"/>
      <c r="C38" s="211"/>
      <c r="D38" s="211"/>
      <c r="E38" s="309" t="s">
        <v>323</v>
      </c>
      <c r="F38" s="308"/>
      <c r="G38" s="211"/>
      <c r="H38" s="273"/>
      <c r="I38" s="78"/>
      <c r="J38" s="83">
        <v>18</v>
      </c>
      <c r="K38" s="200" t="s">
        <v>526</v>
      </c>
      <c r="L38" s="85"/>
      <c r="M38" s="232">
        <f>'OCTOBER 20'!Q38:Q57</f>
        <v>5500</v>
      </c>
      <c r="N38" s="320">
        <v>3500</v>
      </c>
      <c r="O38" s="232">
        <f t="shared" si="3"/>
        <v>9000</v>
      </c>
      <c r="P38" s="234">
        <f>3500</f>
        <v>3500</v>
      </c>
      <c r="Q38" s="319">
        <f>O38-P38</f>
        <v>5500</v>
      </c>
      <c r="R38" s="78"/>
    </row>
    <row r="39" spans="1:18" ht="22.5" x14ac:dyDescent="0.25">
      <c r="A39" s="309" t="s">
        <v>239</v>
      </c>
      <c r="B39" s="308">
        <f>'OCTOBER 20'!D51</f>
        <v>69264.342305280035</v>
      </c>
      <c r="C39" s="211"/>
      <c r="D39" s="211"/>
      <c r="E39" s="309" t="s">
        <v>239</v>
      </c>
      <c r="F39" s="308">
        <f>'OCTOBER 20'!H51</f>
        <v>38100.275200000033</v>
      </c>
      <c r="G39" s="211"/>
      <c r="H39" s="273"/>
      <c r="I39" s="78"/>
      <c r="J39" s="83">
        <v>19</v>
      </c>
      <c r="K39" s="200" t="s">
        <v>596</v>
      </c>
      <c r="L39" s="85"/>
      <c r="M39" s="232">
        <f>'OCTOBER 20'!Q39:Q58</f>
        <v>0</v>
      </c>
      <c r="N39" s="320">
        <v>3500</v>
      </c>
      <c r="O39" s="232">
        <f>L39+M39+N39</f>
        <v>3500</v>
      </c>
      <c r="P39" s="234">
        <v>3500</v>
      </c>
      <c r="Q39" s="319">
        <f>O39-P39</f>
        <v>0</v>
      </c>
      <c r="R39" s="78"/>
    </row>
    <row r="40" spans="1:18" ht="22.5" x14ac:dyDescent="0.25">
      <c r="A40" s="309" t="s">
        <v>193</v>
      </c>
      <c r="B40" s="308">
        <f>B34+B36+B39+B37</f>
        <v>108164.34230528004</v>
      </c>
      <c r="C40" s="211"/>
      <c r="D40" s="211"/>
      <c r="E40" s="309" t="s">
        <v>193</v>
      </c>
      <c r="F40" s="308">
        <f>F34+F36+F39+F37</f>
        <v>76000.275200000033</v>
      </c>
      <c r="G40" s="211"/>
      <c r="H40" s="273"/>
      <c r="I40" s="78"/>
      <c r="J40" s="83">
        <v>20</v>
      </c>
      <c r="K40" s="200" t="s">
        <v>497</v>
      </c>
      <c r="L40" s="85"/>
      <c r="M40" s="232">
        <f>'OCTOBER 20'!Q40:Q59</f>
        <v>10500</v>
      </c>
      <c r="N40" s="320">
        <v>3500</v>
      </c>
      <c r="O40" s="232">
        <f>L40+M40+N40</f>
        <v>14000</v>
      </c>
      <c r="P40" s="234">
        <f>1500</f>
        <v>1500</v>
      </c>
      <c r="Q40" s="319">
        <f>O40-P40</f>
        <v>12500</v>
      </c>
      <c r="R40" s="78"/>
    </row>
    <row r="41" spans="1:18" x14ac:dyDescent="0.25">
      <c r="A41" s="365"/>
      <c r="B41" s="366"/>
      <c r="C41" s="367"/>
      <c r="D41" s="366"/>
      <c r="E41" s="309"/>
      <c r="F41" s="308"/>
      <c r="G41" s="367"/>
      <c r="H41" s="368"/>
      <c r="I41" s="78"/>
      <c r="J41" s="83"/>
      <c r="K41" s="204" t="s">
        <v>193</v>
      </c>
      <c r="L41" s="205">
        <f>SUM(L21:L40)</f>
        <v>10500</v>
      </c>
      <c r="M41" s="232">
        <f>'OCTOBER 20'!Q41:Q60</f>
        <v>36100</v>
      </c>
      <c r="N41" s="239">
        <f>SUM(N21:N40)</f>
        <v>66500</v>
      </c>
      <c r="O41" s="232">
        <f>L41+M41+N41</f>
        <v>113100</v>
      </c>
      <c r="P41" s="240">
        <f>SUM(P21:P40)</f>
        <v>74700</v>
      </c>
      <c r="Q41" s="319">
        <f>O41-P41</f>
        <v>38400</v>
      </c>
      <c r="R41" s="78"/>
    </row>
    <row r="42" spans="1:18" x14ac:dyDescent="0.25">
      <c r="A42" s="446" t="s">
        <v>194</v>
      </c>
      <c r="B42" s="366"/>
      <c r="C42" s="367"/>
      <c r="D42" s="366"/>
      <c r="E42" s="446" t="s">
        <v>194</v>
      </c>
      <c r="F42" s="366"/>
      <c r="G42" s="367"/>
      <c r="H42" s="368"/>
      <c r="I42" s="78"/>
      <c r="J42" s="382" t="s">
        <v>509</v>
      </c>
      <c r="K42" s="106"/>
      <c r="L42" s="107"/>
      <c r="M42" s="232">
        <f>'OCTOBER 20'!Q42:Q61</f>
        <v>0</v>
      </c>
      <c r="N42" s="108"/>
      <c r="O42" s="106"/>
      <c r="P42" s="150"/>
      <c r="Q42" s="269"/>
      <c r="R42" s="78"/>
    </row>
    <row r="43" spans="1:18" x14ac:dyDescent="0.25">
      <c r="A43" s="369" t="s">
        <v>468</v>
      </c>
      <c r="B43" s="78"/>
      <c r="C43" s="371">
        <v>3000</v>
      </c>
      <c r="D43" s="370"/>
      <c r="E43" s="369" t="s">
        <v>468</v>
      </c>
      <c r="F43" s="78"/>
      <c r="G43" s="371">
        <v>3000</v>
      </c>
      <c r="H43" s="368"/>
      <c r="I43" s="78"/>
      <c r="J43" s="359" t="s">
        <v>204</v>
      </c>
      <c r="K43" s="359" t="s">
        <v>205</v>
      </c>
      <c r="L43" s="359" t="s">
        <v>207</v>
      </c>
      <c r="M43" s="232" t="str">
        <f>'OCTOBER 20'!Q43:Q62</f>
        <v>BAL</v>
      </c>
      <c r="N43" s="359" t="s">
        <v>204</v>
      </c>
      <c r="O43" s="359" t="s">
        <v>205</v>
      </c>
      <c r="P43" s="359" t="s">
        <v>207</v>
      </c>
      <c r="Q43" s="360" t="s">
        <v>306</v>
      </c>
      <c r="R43" s="78"/>
    </row>
    <row r="44" spans="1:18" x14ac:dyDescent="0.25">
      <c r="A44" s="369"/>
      <c r="B44" s="370"/>
      <c r="C44" s="371"/>
      <c r="D44" s="370"/>
      <c r="E44" s="369"/>
      <c r="F44" s="370"/>
      <c r="G44" s="371"/>
      <c r="H44" s="368"/>
      <c r="I44" s="78"/>
      <c r="J44" s="211" t="s">
        <v>524</v>
      </c>
      <c r="K44" s="273">
        <f>N41+N19</f>
        <v>83000</v>
      </c>
      <c r="L44" s="164"/>
      <c r="M44" s="232">
        <f>'OCTOBER 20'!Q44:Q63</f>
        <v>0</v>
      </c>
      <c r="N44" s="211" t="s">
        <v>524</v>
      </c>
      <c r="O44" s="273">
        <f>P41+P19</f>
        <v>94700</v>
      </c>
      <c r="P44" s="164"/>
      <c r="Q44" s="273"/>
      <c r="R44" s="78"/>
    </row>
    <row r="45" spans="1:18" x14ac:dyDescent="0.25">
      <c r="A45" s="370" t="s">
        <v>408</v>
      </c>
      <c r="B45" s="449">
        <v>0.3</v>
      </c>
      <c r="C45" s="368"/>
      <c r="D45" s="370"/>
      <c r="E45" s="370" t="s">
        <v>408</v>
      </c>
      <c r="F45" s="449">
        <v>0.3</v>
      </c>
      <c r="G45" s="368">
        <f>F45*D14</f>
        <v>0</v>
      </c>
      <c r="H45" s="368"/>
      <c r="I45" s="78"/>
      <c r="J45" s="211" t="s">
        <v>209</v>
      </c>
      <c r="K45" s="307">
        <v>0.1</v>
      </c>
      <c r="L45" s="308">
        <f>K44*K45</f>
        <v>8300</v>
      </c>
      <c r="M45" s="211"/>
      <c r="N45" s="211" t="s">
        <v>209</v>
      </c>
      <c r="O45" s="307">
        <v>0.1</v>
      </c>
      <c r="P45" s="308">
        <f>L45</f>
        <v>8300</v>
      </c>
      <c r="Q45" s="273"/>
      <c r="R45" s="78"/>
    </row>
    <row r="46" spans="1:18" x14ac:dyDescent="0.25">
      <c r="A46" s="370" t="s">
        <v>611</v>
      </c>
      <c r="B46" s="370"/>
      <c r="C46" s="368">
        <v>38100</v>
      </c>
      <c r="D46" s="370"/>
      <c r="E46" s="370" t="s">
        <v>611</v>
      </c>
      <c r="F46" s="370"/>
      <c r="G46" s="368">
        <v>38100</v>
      </c>
      <c r="H46" s="367"/>
      <c r="I46" s="78"/>
      <c r="J46" s="309"/>
      <c r="K46" s="308"/>
      <c r="L46" s="211"/>
      <c r="M46" s="211"/>
      <c r="N46" s="309"/>
      <c r="O46" s="308"/>
      <c r="P46" s="211"/>
      <c r="Q46" s="273"/>
      <c r="R46" s="78"/>
    </row>
    <row r="47" spans="1:18" x14ac:dyDescent="0.25">
      <c r="A47" s="369" t="s">
        <v>614</v>
      </c>
      <c r="B47" s="370"/>
      <c r="C47" s="371">
        <v>5000</v>
      </c>
      <c r="D47" s="370"/>
      <c r="E47" s="369"/>
      <c r="F47" s="370"/>
      <c r="G47" s="371"/>
      <c r="H47" s="368"/>
      <c r="I47" s="78"/>
      <c r="J47" s="211" t="s">
        <v>408</v>
      </c>
      <c r="K47" s="307">
        <v>0.3</v>
      </c>
      <c r="L47" s="102">
        <f>K47*L21+(K47*L25)+(K47*L32)</f>
        <v>3150</v>
      </c>
      <c r="M47" s="211"/>
      <c r="N47" s="211" t="s">
        <v>408</v>
      </c>
      <c r="O47" s="307">
        <v>0.3</v>
      </c>
      <c r="P47" s="308">
        <f>L47</f>
        <v>3150</v>
      </c>
      <c r="Q47" s="273"/>
      <c r="R47" s="220"/>
    </row>
    <row r="48" spans="1:18" x14ac:dyDescent="0.25">
      <c r="A48" s="369"/>
      <c r="B48" s="370"/>
      <c r="C48" s="371"/>
      <c r="D48" s="370"/>
      <c r="E48" s="369"/>
      <c r="F48" s="370"/>
      <c r="G48" s="371"/>
      <c r="H48" s="368"/>
      <c r="I48" s="78"/>
      <c r="J48" s="309" t="s">
        <v>470</v>
      </c>
      <c r="K48" s="308">
        <f>L41</f>
        <v>10500</v>
      </c>
      <c r="L48" s="308"/>
      <c r="M48" s="211"/>
      <c r="N48" s="309"/>
      <c r="O48" s="308"/>
      <c r="P48" s="211"/>
      <c r="Q48" s="273"/>
      <c r="R48" s="220"/>
    </row>
    <row r="49" spans="1:18" x14ac:dyDescent="0.25">
      <c r="A49" s="369"/>
      <c r="B49" s="370"/>
      <c r="C49" s="371"/>
      <c r="D49" s="370"/>
      <c r="E49" s="369"/>
      <c r="F49" s="370"/>
      <c r="G49" s="371"/>
      <c r="H49" s="368"/>
      <c r="I49" s="78"/>
      <c r="J49" s="309" t="s">
        <v>239</v>
      </c>
      <c r="K49" s="308">
        <f>'OCTOBER 20'!M55</f>
        <v>102850.29999999999</v>
      </c>
      <c r="L49" s="211"/>
      <c r="M49" s="211"/>
      <c r="N49" s="309" t="s">
        <v>239</v>
      </c>
      <c r="O49" s="308">
        <f>'OCTOBER 20'!Q55</f>
        <v>76253</v>
      </c>
      <c r="P49" s="211"/>
      <c r="Q49" s="273"/>
      <c r="R49" s="78"/>
    </row>
    <row r="50" spans="1:18" x14ac:dyDescent="0.25">
      <c r="A50" s="166" t="s">
        <v>193</v>
      </c>
      <c r="B50" s="317">
        <f>B34+B36+B37+B38+B39-C35</f>
        <v>104614.34230528004</v>
      </c>
      <c r="C50" s="318">
        <f>SUM(C41:C49)</f>
        <v>46100</v>
      </c>
      <c r="D50" s="318">
        <f>B50-C50</f>
        <v>58514.342305280035</v>
      </c>
      <c r="E50" s="166" t="s">
        <v>193</v>
      </c>
      <c r="F50" s="317">
        <f>F34+F36+F37+F39-G35</f>
        <v>72450.275200000033</v>
      </c>
      <c r="G50" s="318">
        <f>SUM(G41:G49)</f>
        <v>41100</v>
      </c>
      <c r="H50" s="318">
        <f>F50-G50</f>
        <v>31350.275200000033</v>
      </c>
      <c r="I50" s="78"/>
      <c r="J50" s="309" t="s">
        <v>193</v>
      </c>
      <c r="K50" s="308">
        <f>K44+K46+K49+K48</f>
        <v>196350.3</v>
      </c>
      <c r="L50" s="211"/>
      <c r="M50" s="211"/>
      <c r="N50" s="309" t="s">
        <v>193</v>
      </c>
      <c r="O50" s="308">
        <f>O44+O46+O49+O47</f>
        <v>170953.3</v>
      </c>
      <c r="P50" s="211"/>
      <c r="Q50" s="273"/>
      <c r="R50" s="78"/>
    </row>
    <row r="51" spans="1:18" x14ac:dyDescent="0.25">
      <c r="A51" s="150"/>
      <c r="B51" s="150"/>
      <c r="C51" s="150"/>
      <c r="D51" s="150"/>
      <c r="E51" s="150">
        <f>+-O32*                                                                                           I32</f>
        <v>-207200000</v>
      </c>
      <c r="F51" s="79"/>
      <c r="G51" s="150"/>
      <c r="H51" s="269"/>
      <c r="I51" s="78"/>
      <c r="J51" s="212" t="s">
        <v>194</v>
      </c>
      <c r="K51" s="307"/>
      <c r="L51" s="78"/>
      <c r="M51" s="214"/>
      <c r="N51" s="212" t="s">
        <v>194</v>
      </c>
      <c r="O51" s="307"/>
      <c r="P51" s="214"/>
      <c r="Q51" s="273"/>
      <c r="R51" s="78"/>
    </row>
    <row r="52" spans="1:18" x14ac:dyDescent="0.25">
      <c r="A52" s="150" t="s">
        <v>71</v>
      </c>
      <c r="B52" s="79"/>
      <c r="C52" s="78"/>
      <c r="D52" s="150" t="s">
        <v>72</v>
      </c>
      <c r="E52" s="78"/>
      <c r="F52" s="78"/>
      <c r="G52" s="150" t="s">
        <v>73</v>
      </c>
      <c r="H52" s="269"/>
      <c r="I52" s="78"/>
      <c r="J52" s="365" t="s">
        <v>611</v>
      </c>
      <c r="K52" s="380"/>
      <c r="L52" s="367">
        <v>67500</v>
      </c>
      <c r="M52" s="366"/>
      <c r="N52" s="365" t="s">
        <v>611</v>
      </c>
      <c r="O52" s="380"/>
      <c r="P52" s="367">
        <v>67500</v>
      </c>
      <c r="Q52" s="368"/>
      <c r="R52" s="78"/>
    </row>
    <row r="53" spans="1:18" x14ac:dyDescent="0.25">
      <c r="A53" s="78"/>
      <c r="B53" s="78"/>
      <c r="C53" s="78"/>
      <c r="D53" s="78"/>
      <c r="E53" s="78"/>
      <c r="F53" s="78"/>
      <c r="G53" s="78"/>
      <c r="H53" s="78"/>
      <c r="I53" s="78"/>
      <c r="J53" s="369"/>
      <c r="K53" s="370"/>
      <c r="L53" s="371"/>
      <c r="M53" s="366"/>
      <c r="N53" s="365"/>
      <c r="O53" s="380"/>
      <c r="P53" s="367"/>
      <c r="Q53" s="368"/>
      <c r="R53" s="78"/>
    </row>
    <row r="54" spans="1:18" x14ac:dyDescent="0.25">
      <c r="A54" s="150"/>
      <c r="B54" s="150"/>
      <c r="C54" s="269"/>
      <c r="D54" s="150"/>
      <c r="E54" s="269"/>
      <c r="F54" s="150"/>
      <c r="G54" s="150"/>
      <c r="H54" s="269"/>
      <c r="I54" s="78"/>
      <c r="J54" s="369"/>
      <c r="K54" s="370"/>
      <c r="L54" s="371"/>
      <c r="M54" s="370"/>
      <c r="N54" s="369"/>
      <c r="O54" s="370"/>
      <c r="P54" s="371"/>
      <c r="Q54" s="368"/>
      <c r="R54" s="78"/>
    </row>
    <row r="55" spans="1:18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166" t="s">
        <v>193</v>
      </c>
      <c r="K55" s="317">
        <f>K44+K48+K49-L45</f>
        <v>188050.3</v>
      </c>
      <c r="L55" s="318">
        <f>SUM(L47:L54)</f>
        <v>70650</v>
      </c>
      <c r="M55" s="318">
        <f>K55-L55</f>
        <v>117400.29999999999</v>
      </c>
      <c r="N55" s="166" t="s">
        <v>193</v>
      </c>
      <c r="O55" s="317">
        <f>O44+O46+O47+O49-P45</f>
        <v>162653.29999999999</v>
      </c>
      <c r="P55" s="318">
        <f>SUM(P47:P54)</f>
        <v>70650</v>
      </c>
      <c r="Q55" s="318">
        <f>O55-P55</f>
        <v>92003.299999999988</v>
      </c>
      <c r="R55" s="78"/>
    </row>
    <row r="56" spans="1:18" x14ac:dyDescent="0.25">
      <c r="A56" s="78"/>
      <c r="B56" s="78"/>
      <c r="C56" s="78"/>
      <c r="D56" s="78"/>
      <c r="E56" s="78"/>
      <c r="F56" s="220"/>
      <c r="G56" s="78"/>
      <c r="H56" s="78"/>
      <c r="I56" s="78"/>
      <c r="J56" s="150" t="s">
        <v>71</v>
      </c>
      <c r="K56" s="79"/>
      <c r="L56" s="78"/>
      <c r="M56" s="150" t="s">
        <v>72</v>
      </c>
      <c r="N56" s="78"/>
      <c r="O56" s="78"/>
      <c r="P56" s="150" t="s">
        <v>73</v>
      </c>
      <c r="Q56" s="269"/>
      <c r="R56" s="220"/>
    </row>
    <row r="57" spans="1:18" x14ac:dyDescent="0.25">
      <c r="A57" s="78"/>
      <c r="B57" s="78"/>
      <c r="C57" s="78"/>
      <c r="D57" s="78"/>
      <c r="E57" s="78"/>
      <c r="F57" s="78"/>
      <c r="G57" s="220">
        <f>Q55+H50</f>
        <v>123353.57520000002</v>
      </c>
      <c r="H57" s="78"/>
      <c r="I57" s="78"/>
      <c r="J57" s="150" t="s">
        <v>471</v>
      </c>
      <c r="K57" s="150"/>
      <c r="L57" s="78"/>
      <c r="M57" s="150" t="s">
        <v>135</v>
      </c>
      <c r="N57" s="78"/>
      <c r="O57" s="78"/>
      <c r="P57" s="150" t="s">
        <v>130</v>
      </c>
      <c r="Q57" s="78"/>
      <c r="R57" s="220"/>
    </row>
    <row r="58" spans="1:18" x14ac:dyDescent="0.25">
      <c r="A58" s="78"/>
      <c r="B58" s="78"/>
      <c r="C58" s="78"/>
      <c r="D58" s="78"/>
      <c r="E58" s="78"/>
      <c r="F58" s="220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</row>
    <row r="59" spans="1:18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</row>
    <row r="60" spans="1:18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G7" sqref="G7"/>
    </sheetView>
  </sheetViews>
  <sheetFormatPr defaultRowHeight="15" x14ac:dyDescent="0.25"/>
  <cols>
    <col min="1" max="1" width="13.85546875" customWidth="1"/>
    <col min="3" max="3" width="9.140625" style="78"/>
  </cols>
  <sheetData>
    <row r="1" spans="1:20" ht="15.75" x14ac:dyDescent="0.25">
      <c r="A1" s="78"/>
      <c r="B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</row>
    <row r="3" spans="1:20" ht="21" x14ac:dyDescent="0.25">
      <c r="A3" s="150"/>
      <c r="B3" s="150"/>
      <c r="C3" s="150"/>
      <c r="D3" s="5" t="s">
        <v>618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</row>
    <row r="4" spans="1:20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619</v>
      </c>
      <c r="N4" s="250"/>
      <c r="O4" s="103"/>
      <c r="P4" s="103"/>
      <c r="Q4" s="78"/>
      <c r="R4" s="78"/>
      <c r="S4" s="78"/>
      <c r="T4" s="78"/>
    </row>
    <row r="5" spans="1:20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</row>
    <row r="6" spans="1:20" x14ac:dyDescent="0.25">
      <c r="A6" s="196" t="s">
        <v>352</v>
      </c>
      <c r="B6" s="274" t="s">
        <v>50</v>
      </c>
      <c r="C6" s="274"/>
      <c r="D6" s="113">
        <f>NOVEMBER20!H6:H19</f>
        <v>1500</v>
      </c>
      <c r="E6" s="280">
        <v>3000</v>
      </c>
      <c r="F6" s="281">
        <v>100</v>
      </c>
      <c r="G6" s="276">
        <f>D6+E6+F6+C6</f>
        <v>4600</v>
      </c>
      <c r="H6" s="277">
        <f>3100</f>
        <v>3100</v>
      </c>
      <c r="I6" s="273">
        <f t="shared" ref="I6:I18" si="0">G6-H6</f>
        <v>1500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</row>
    <row r="7" spans="1:20" ht="22.5" x14ac:dyDescent="0.25">
      <c r="A7" s="196" t="s">
        <v>433</v>
      </c>
      <c r="B7" s="274" t="s">
        <v>52</v>
      </c>
      <c r="C7" s="274"/>
      <c r="D7" s="113">
        <f>NOVEMBER20!H7:H20</f>
        <v>2000</v>
      </c>
      <c r="E7" s="280">
        <v>3000</v>
      </c>
      <c r="F7" s="281">
        <v>100</v>
      </c>
      <c r="G7" s="276">
        <f t="shared" ref="G7:G19" si="1">D7+E7+F7+C7</f>
        <v>5100</v>
      </c>
      <c r="H7" s="277">
        <v>3100</v>
      </c>
      <c r="I7" s="273">
        <f t="shared" si="0"/>
        <v>2000</v>
      </c>
      <c r="J7" s="150"/>
      <c r="K7" s="83" t="s">
        <v>106</v>
      </c>
      <c r="L7" s="249" t="s">
        <v>620</v>
      </c>
      <c r="M7" s="85"/>
      <c r="N7" s="232">
        <f>NOVEMBER20!Q7:Q16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  <c r="T7" s="78"/>
    </row>
    <row r="8" spans="1:20" x14ac:dyDescent="0.25">
      <c r="A8" s="282"/>
      <c r="B8" s="274" t="s">
        <v>54</v>
      </c>
      <c r="C8" s="274"/>
      <c r="D8" s="113">
        <f>NOVEMBER20!H8:H21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NOVEMBER20!Q8:Q17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</row>
    <row r="9" spans="1:20" x14ac:dyDescent="0.25">
      <c r="A9" s="196" t="s">
        <v>228</v>
      </c>
      <c r="B9" s="274" t="s">
        <v>56</v>
      </c>
      <c r="C9" s="274"/>
      <c r="D9" s="113">
        <f>NOVEMBER20!H9:H22</f>
        <v>0</v>
      </c>
      <c r="E9" s="280">
        <v>3000</v>
      </c>
      <c r="F9" s="281">
        <v>100</v>
      </c>
      <c r="G9" s="276">
        <f t="shared" si="1"/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NOVEMBER20!Q9:Q18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</row>
    <row r="10" spans="1:20" ht="22.5" x14ac:dyDescent="0.25">
      <c r="A10" s="282"/>
      <c r="B10" s="274" t="s">
        <v>58</v>
      </c>
      <c r="C10" s="274"/>
      <c r="D10" s="113">
        <f>NOVEMBER20!H10:H23</f>
        <v>0</v>
      </c>
      <c r="E10" s="280"/>
      <c r="F10" s="281"/>
      <c r="G10" s="276">
        <f t="shared" si="1"/>
        <v>0</v>
      </c>
      <c r="H10" s="277"/>
      <c r="I10" s="273">
        <f t="shared" si="0"/>
        <v>0</v>
      </c>
      <c r="J10" s="150"/>
      <c r="K10" s="87" t="s">
        <v>112</v>
      </c>
      <c r="L10" s="200" t="s">
        <v>578</v>
      </c>
      <c r="M10" s="110"/>
      <c r="N10" s="232">
        <f>NOVEMBER20!Q10:Q19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</row>
    <row r="11" spans="1:20" ht="22.5" x14ac:dyDescent="0.25">
      <c r="A11" s="282" t="s">
        <v>281</v>
      </c>
      <c r="B11" s="274" t="s">
        <v>60</v>
      </c>
      <c r="C11" s="274"/>
      <c r="D11" s="113">
        <f>NOVEMBER20!H11:H24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NOVEMBER20!Q11:Q20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  <c r="T11" s="78"/>
    </row>
    <row r="12" spans="1:20" ht="22.5" x14ac:dyDescent="0.25">
      <c r="A12" s="282" t="s">
        <v>281</v>
      </c>
      <c r="B12" s="274" t="s">
        <v>62</v>
      </c>
      <c r="C12" s="274"/>
      <c r="D12" s="113">
        <f>NOVEMBER20!H12:H25</f>
        <v>0</v>
      </c>
      <c r="E12" s="280"/>
      <c r="F12" s="281"/>
      <c r="G12" s="276">
        <f t="shared" si="1"/>
        <v>0</v>
      </c>
      <c r="H12" s="277"/>
      <c r="I12" s="273">
        <f t="shared" si="0"/>
        <v>0</v>
      </c>
      <c r="J12" s="150"/>
      <c r="K12" s="93" t="s">
        <v>116</v>
      </c>
      <c r="L12" s="249" t="s">
        <v>120</v>
      </c>
      <c r="M12" s="110"/>
      <c r="N12" s="232">
        <f>NOVEMBER20!Q12:Q21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  <c r="T12" s="78"/>
    </row>
    <row r="13" spans="1:20" ht="22.5" x14ac:dyDescent="0.25">
      <c r="A13" s="196"/>
      <c r="B13" s="284" t="s">
        <v>64</v>
      </c>
      <c r="C13" s="284"/>
      <c r="D13" s="113">
        <f>NOVEMBER20!H13:H26</f>
        <v>0</v>
      </c>
      <c r="E13" s="285"/>
      <c r="F13" s="286"/>
      <c r="G13" s="276">
        <f t="shared" si="1"/>
        <v>0</v>
      </c>
      <c r="H13" s="277"/>
      <c r="I13" s="273">
        <f t="shared" si="0"/>
        <v>0</v>
      </c>
      <c r="J13" s="150"/>
      <c r="K13" s="83" t="s">
        <v>119</v>
      </c>
      <c r="L13" s="249" t="s">
        <v>120</v>
      </c>
      <c r="M13" s="85"/>
      <c r="N13" s="232">
        <f>NOVEMBER20!Q13:Q22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</row>
    <row r="14" spans="1:20" ht="22.5" x14ac:dyDescent="0.25">
      <c r="A14" s="196" t="s">
        <v>281</v>
      </c>
      <c r="B14" s="284" t="s">
        <v>18</v>
      </c>
      <c r="C14" s="284"/>
      <c r="D14" s="113">
        <f>NOVEMBER20!H14:H27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NOVEMBER20!Q14:Q23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  <c r="S14" s="78"/>
      <c r="T14" s="78"/>
    </row>
    <row r="15" spans="1:20" ht="22.5" x14ac:dyDescent="0.25">
      <c r="A15" s="196"/>
      <c r="B15" s="284" t="s">
        <v>20</v>
      </c>
      <c r="C15" s="284"/>
      <c r="D15" s="113">
        <f>NOVEMBER20!H15:H28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>
        <v>2500</v>
      </c>
      <c r="R15" s="319">
        <f t="shared" si="3"/>
        <v>500</v>
      </c>
      <c r="S15" s="78"/>
      <c r="T15" s="78"/>
    </row>
    <row r="16" spans="1:20" x14ac:dyDescent="0.25">
      <c r="A16" s="196"/>
      <c r="B16" s="284" t="s">
        <v>22</v>
      </c>
      <c r="C16" s="284"/>
      <c r="D16" s="113">
        <f>NOVEMBER20!H16:H29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/>
      <c r="M16" s="85"/>
      <c r="N16" s="232">
        <f>NOVEMBER20!Q16:Q25</f>
        <v>0</v>
      </c>
      <c r="O16" s="231"/>
      <c r="P16" s="232">
        <f>M16+N16+O16</f>
        <v>0</v>
      </c>
      <c r="Q16" s="234"/>
      <c r="R16" s="319">
        <f t="shared" si="3"/>
        <v>0</v>
      </c>
      <c r="S16" s="78"/>
      <c r="T16" s="78"/>
    </row>
    <row r="17" spans="1:20" x14ac:dyDescent="0.25">
      <c r="A17" s="196" t="s">
        <v>327</v>
      </c>
      <c r="B17" s="284" t="s">
        <v>24</v>
      </c>
      <c r="C17" s="284"/>
      <c r="D17" s="113">
        <v>3100</v>
      </c>
      <c r="E17" s="285">
        <v>3000</v>
      </c>
      <c r="F17" s="286">
        <v>100</v>
      </c>
      <c r="G17" s="276">
        <f t="shared" si="1"/>
        <v>6200</v>
      </c>
      <c r="H17" s="277">
        <f>3100</f>
        <v>3100</v>
      </c>
      <c r="I17" s="273">
        <f t="shared" si="0"/>
        <v>3100</v>
      </c>
      <c r="J17" s="150"/>
      <c r="K17" s="83"/>
      <c r="L17" s="200"/>
      <c r="M17" s="85"/>
      <c r="N17" s="232">
        <f>NOVEMBER20!Q17:Q26</f>
        <v>0</v>
      </c>
      <c r="O17" s="231"/>
      <c r="P17" s="232"/>
      <c r="Q17" s="234"/>
      <c r="R17" s="450"/>
      <c r="S17" s="78"/>
      <c r="T17" s="78"/>
    </row>
    <row r="18" spans="1:20" x14ac:dyDescent="0.25">
      <c r="A18" s="196" t="s">
        <v>623</v>
      </c>
      <c r="B18" s="284" t="s">
        <v>26</v>
      </c>
      <c r="C18" s="284">
        <v>3000</v>
      </c>
      <c r="D18" s="113">
        <f>NOVEMBER20!H18:H31</f>
        <v>0</v>
      </c>
      <c r="E18" s="285">
        <v>3000</v>
      </c>
      <c r="F18" s="286">
        <v>100</v>
      </c>
      <c r="G18" s="276">
        <f t="shared" si="1"/>
        <v>6100</v>
      </c>
      <c r="H18" s="277">
        <f>3000</f>
        <v>3000</v>
      </c>
      <c r="I18" s="273">
        <f t="shared" si="0"/>
        <v>3100</v>
      </c>
      <c r="J18" s="150"/>
      <c r="K18" s="83"/>
      <c r="L18" s="200"/>
      <c r="M18" s="85"/>
      <c r="N18" s="232">
        <f>NOVEMBER20!Q18:Q27</f>
        <v>0</v>
      </c>
      <c r="O18" s="231"/>
      <c r="P18" s="232"/>
      <c r="Q18" s="234"/>
      <c r="R18" s="450"/>
      <c r="S18" s="78"/>
      <c r="T18" s="78"/>
    </row>
    <row r="19" spans="1:20" x14ac:dyDescent="0.25">
      <c r="A19" s="282" t="s">
        <v>621</v>
      </c>
      <c r="B19" s="284" t="s">
        <v>28</v>
      </c>
      <c r="C19" s="284">
        <v>3000</v>
      </c>
      <c r="D19" s="113"/>
      <c r="E19" s="285">
        <v>3000</v>
      </c>
      <c r="F19" s="286">
        <v>100</v>
      </c>
      <c r="G19" s="276">
        <f t="shared" si="1"/>
        <v>6100</v>
      </c>
      <c r="H19" s="277">
        <v>6100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'OCTOBER 20'!Q19:Q31</f>
        <v>4000</v>
      </c>
      <c r="O19" s="239">
        <f>SUM(O7:O16)</f>
        <v>20500</v>
      </c>
      <c r="P19" s="232">
        <f t="shared" si="2"/>
        <v>25000</v>
      </c>
      <c r="Q19" s="240">
        <f>SUM(Q7:Q16)</f>
        <v>20500</v>
      </c>
      <c r="R19" s="323">
        <f>SUM(R7:R16)</f>
        <v>1000</v>
      </c>
      <c r="S19" s="78"/>
      <c r="T19" s="78"/>
    </row>
    <row r="20" spans="1:20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6600</v>
      </c>
      <c r="E20" s="240">
        <f t="shared" si="4"/>
        <v>18000</v>
      </c>
      <c r="F20" s="240">
        <f t="shared" si="4"/>
        <v>600</v>
      </c>
      <c r="G20" s="276">
        <f t="shared" si="4"/>
        <v>31200</v>
      </c>
      <c r="H20" s="361">
        <f t="shared" si="4"/>
        <v>21500</v>
      </c>
      <c r="I20" s="273">
        <f t="shared" si="4"/>
        <v>9700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</row>
    <row r="21" spans="1:20" ht="22.5" x14ac:dyDescent="0.25">
      <c r="A21" s="539"/>
      <c r="B21" s="539"/>
      <c r="C21" s="540"/>
      <c r="D21" s="275">
        <f>'DECEMBER 19'!H18:H29</f>
        <v>0</v>
      </c>
      <c r="E21" s="345" t="s">
        <v>247</v>
      </c>
      <c r="F21" s="539"/>
      <c r="G21" s="539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NOVEMBER20!Q21:Q40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</row>
    <row r="22" spans="1:20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NOVEMBER20!Q22:Q41</f>
        <v>3000</v>
      </c>
      <c r="O22" s="320">
        <v>3500</v>
      </c>
      <c r="P22" s="232">
        <f t="shared" si="5"/>
        <v>6500</v>
      </c>
      <c r="Q22" s="232"/>
      <c r="R22" s="319">
        <f t="shared" si="6"/>
        <v>6500</v>
      </c>
      <c r="S22" s="78"/>
      <c r="T22" s="78"/>
    </row>
    <row r="23" spans="1:20" x14ac:dyDescent="0.25">
      <c r="A23" s="191" t="s">
        <v>313</v>
      </c>
      <c r="B23" s="85"/>
      <c r="C23" s="85"/>
      <c r="D23" s="86">
        <f>NOVEMBER20!G23:G30</f>
        <v>0</v>
      </c>
      <c r="E23" s="232">
        <v>6000</v>
      </c>
      <c r="F23" s="232">
        <f>B23+E23+D23</f>
        <v>6000</v>
      </c>
      <c r="G23" s="232">
        <f>6000</f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NOVEMBER20!Q23:Q42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</row>
    <row r="24" spans="1:20" ht="22.5" x14ac:dyDescent="0.25">
      <c r="A24" s="110" t="s">
        <v>313</v>
      </c>
      <c r="B24" s="113"/>
      <c r="C24" s="113"/>
      <c r="D24" s="86">
        <f>NOVEMBER20!G24:G31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NOVEMBER20!Q24:Q43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  <c r="T24" s="78"/>
    </row>
    <row r="25" spans="1:20" ht="22.5" x14ac:dyDescent="0.25">
      <c r="A25" s="191" t="s">
        <v>451</v>
      </c>
      <c r="B25" s="85"/>
      <c r="C25" s="85"/>
      <c r="D25" s="86">
        <f>NOVEMBER20!G25:G32</f>
        <v>0</v>
      </c>
      <c r="E25" s="231">
        <v>4000</v>
      </c>
      <c r="F25" s="232">
        <f>B25+E25+D25</f>
        <v>4000</v>
      </c>
      <c r="G25" s="78"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NOVEMBER20!Q25:Q44</f>
        <v>0</v>
      </c>
      <c r="O25" s="320">
        <v>3500</v>
      </c>
      <c r="P25" s="232">
        <f t="shared" si="5"/>
        <v>3500</v>
      </c>
      <c r="Q25" s="234">
        <f>3500</f>
        <v>3500</v>
      </c>
      <c r="R25" s="319">
        <f t="shared" si="6"/>
        <v>0</v>
      </c>
      <c r="S25" s="78"/>
      <c r="T25" s="78"/>
    </row>
    <row r="26" spans="1:20" ht="22.5" x14ac:dyDescent="0.25">
      <c r="A26" s="191"/>
      <c r="B26" s="85"/>
      <c r="C26" s="85"/>
      <c r="D26" s="86">
        <f>NOVEMBER20!G26:G33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NOVEMBER20!Q26:Q45</f>
        <v>1500</v>
      </c>
      <c r="O26" s="325">
        <v>3500</v>
      </c>
      <c r="P26" s="232">
        <f t="shared" si="5"/>
        <v>5000</v>
      </c>
      <c r="Q26" s="326">
        <f>3500</f>
        <v>3500</v>
      </c>
      <c r="R26" s="319">
        <f t="shared" si="6"/>
        <v>1500</v>
      </c>
      <c r="S26" s="78"/>
      <c r="T26" s="78"/>
    </row>
    <row r="27" spans="1:20" ht="22.5" x14ac:dyDescent="0.25">
      <c r="A27" s="191" t="s">
        <v>350</v>
      </c>
      <c r="B27" s="86"/>
      <c r="C27" s="86"/>
      <c r="D27" s="86">
        <f>NOVEMBER20!G27:G34</f>
        <v>8000</v>
      </c>
      <c r="E27" s="231">
        <v>4000</v>
      </c>
      <c r="F27" s="232">
        <f t="shared" si="7"/>
        <v>12000</v>
      </c>
      <c r="G27" s="110">
        <f>4000</f>
        <v>4000</v>
      </c>
      <c r="H27" s="273">
        <f t="shared" si="8"/>
        <v>8000</v>
      </c>
      <c r="I27" s="273"/>
      <c r="J27" s="78"/>
      <c r="K27" s="83">
        <v>7</v>
      </c>
      <c r="L27" s="249" t="s">
        <v>554</v>
      </c>
      <c r="M27" s="85"/>
      <c r="N27" s="232">
        <f>NOVEMBER20!Q27:Q46</f>
        <v>0</v>
      </c>
      <c r="O27" s="320">
        <v>3500</v>
      </c>
      <c r="P27" s="232">
        <f t="shared" si="5"/>
        <v>3500</v>
      </c>
      <c r="Q27" s="234">
        <v>3500</v>
      </c>
      <c r="R27" s="319">
        <f t="shared" si="6"/>
        <v>0</v>
      </c>
      <c r="S27" s="220"/>
      <c r="T27" s="78"/>
    </row>
    <row r="28" spans="1:20" ht="22.5" x14ac:dyDescent="0.25">
      <c r="A28" s="191" t="s">
        <v>392</v>
      </c>
      <c r="B28" s="85"/>
      <c r="C28" s="85"/>
      <c r="D28" s="86">
        <f>NOVEMBER20!G28:G35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28700</v>
      </c>
      <c r="K28" s="83">
        <v>8</v>
      </c>
      <c r="L28" s="249" t="s">
        <v>490</v>
      </c>
      <c r="M28" s="85"/>
      <c r="N28" s="232">
        <v>1500</v>
      </c>
      <c r="O28" s="320">
        <v>3500</v>
      </c>
      <c r="P28" s="232">
        <f t="shared" si="5"/>
        <v>5000</v>
      </c>
      <c r="Q28" s="234">
        <v>3500</v>
      </c>
      <c r="R28" s="319">
        <f t="shared" si="6"/>
        <v>1500</v>
      </c>
      <c r="S28" s="78"/>
      <c r="T28" s="78"/>
    </row>
    <row r="29" spans="1:20" ht="22.5" x14ac:dyDescent="0.25">
      <c r="A29" s="218" t="s">
        <v>539</v>
      </c>
      <c r="B29" s="85"/>
      <c r="C29" s="85"/>
      <c r="D29" s="86">
        <f>NOVEMBER20!G29:G36</f>
        <v>0</v>
      </c>
      <c r="E29" s="231">
        <v>4000</v>
      </c>
      <c r="F29" s="232">
        <f t="shared" si="7"/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NOVEMBER20!Q29:Q48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</row>
    <row r="30" spans="1:20" ht="22.5" x14ac:dyDescent="0.25">
      <c r="A30" s="210" t="s">
        <v>456</v>
      </c>
      <c r="B30" s="85">
        <v>0</v>
      </c>
      <c r="C30" s="85"/>
      <c r="D30" s="86">
        <f>NOVEMBER20!G30:G37</f>
        <v>2000</v>
      </c>
      <c r="E30" s="231">
        <v>4000</v>
      </c>
      <c r="F30" s="232">
        <f t="shared" si="7"/>
        <v>6000</v>
      </c>
      <c r="G30" s="110">
        <f>3000</f>
        <v>3000</v>
      </c>
      <c r="H30" s="273">
        <f t="shared" si="8"/>
        <v>3000</v>
      </c>
      <c r="I30" s="273"/>
      <c r="J30" s="78"/>
      <c r="K30" s="83">
        <v>10</v>
      </c>
      <c r="L30" s="200" t="s">
        <v>553</v>
      </c>
      <c r="M30" s="85"/>
      <c r="N30" s="232">
        <f>NOVEMBER20!Q30:Q49</f>
        <v>3100</v>
      </c>
      <c r="O30" s="320">
        <v>3500</v>
      </c>
      <c r="P30" s="232">
        <f t="shared" si="5"/>
        <v>6600</v>
      </c>
      <c r="Q30" s="234"/>
      <c r="R30" s="319">
        <f t="shared" si="6"/>
        <v>6600</v>
      </c>
      <c r="S30" s="78"/>
      <c r="T30" s="78"/>
    </row>
    <row r="31" spans="1:20" ht="22.5" x14ac:dyDescent="0.25">
      <c r="A31" s="339" t="s">
        <v>193</v>
      </c>
      <c r="B31" s="42"/>
      <c r="C31" s="42"/>
      <c r="D31" s="86">
        <f>SUM(D23:D30)</f>
        <v>18000</v>
      </c>
      <c r="E31" s="240">
        <f>SUM(E23:E30)</f>
        <v>32000</v>
      </c>
      <c r="F31" s="232">
        <f>SUM(F23:F30)</f>
        <v>50000</v>
      </c>
      <c r="G31" s="535">
        <f>SUM(G23:G30)</f>
        <v>31000</v>
      </c>
      <c r="H31" s="273">
        <f>F31-G31</f>
        <v>19000</v>
      </c>
      <c r="I31" s="273"/>
      <c r="J31" s="78"/>
      <c r="K31" s="83">
        <v>11</v>
      </c>
      <c r="L31" s="249" t="s">
        <v>474</v>
      </c>
      <c r="M31" s="85"/>
      <c r="N31" s="232">
        <f>NOVEMBER20!Q31:Q50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</row>
    <row r="32" spans="1:20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28700</v>
      </c>
      <c r="K32" s="83">
        <v>12</v>
      </c>
      <c r="L32" s="200" t="s">
        <v>615</v>
      </c>
      <c r="M32" s="85"/>
      <c r="N32" s="232">
        <f>NOVEMBER20!Q32:Q51</f>
        <v>1500</v>
      </c>
      <c r="O32" s="320">
        <v>3500</v>
      </c>
      <c r="P32" s="232">
        <f t="shared" si="5"/>
        <v>5000</v>
      </c>
      <c r="Q32" s="234">
        <f>4500</f>
        <v>4500</v>
      </c>
      <c r="R32" s="319">
        <f t="shared" si="6"/>
        <v>500</v>
      </c>
      <c r="S32" s="78"/>
      <c r="T32" s="78"/>
    </row>
    <row r="33" spans="1:20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616</v>
      </c>
      <c r="M33" s="85"/>
      <c r="N33" s="232">
        <f>NOVEMBER20!Q33:Q52</f>
        <v>0</v>
      </c>
      <c r="O33" s="320">
        <v>3500</v>
      </c>
      <c r="P33" s="232">
        <f>M33+N33+O33</f>
        <v>3500</v>
      </c>
      <c r="Q33" s="234">
        <v>3500</v>
      </c>
      <c r="R33" s="319">
        <f>P33-Q33</f>
        <v>0</v>
      </c>
      <c r="S33" s="78"/>
      <c r="T33" s="78"/>
    </row>
    <row r="34" spans="1:20" ht="22.5" x14ac:dyDescent="0.25">
      <c r="A34" s="211" t="s">
        <v>525</v>
      </c>
      <c r="B34" s="273">
        <f>E31+E20</f>
        <v>50000</v>
      </c>
      <c r="C34" s="273"/>
      <c r="D34" s="164"/>
      <c r="E34" s="164"/>
      <c r="F34" s="211" t="s">
        <v>525</v>
      </c>
      <c r="G34" s="273">
        <f>G31+H20</f>
        <v>52500</v>
      </c>
      <c r="H34" s="164"/>
      <c r="I34" s="273"/>
      <c r="J34" s="78"/>
      <c r="K34" s="83">
        <v>14</v>
      </c>
      <c r="L34" s="200" t="s">
        <v>480</v>
      </c>
      <c r="M34" s="85"/>
      <c r="N34" s="232">
        <f>NOVEMBER20!Q34:Q53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</row>
    <row r="35" spans="1:20" ht="22.5" x14ac:dyDescent="0.25">
      <c r="A35" s="211" t="s">
        <v>209</v>
      </c>
      <c r="B35" s="307">
        <v>0.1</v>
      </c>
      <c r="C35" s="307"/>
      <c r="D35" s="308">
        <f>B34*B35</f>
        <v>5000</v>
      </c>
      <c r="E35" s="211"/>
      <c r="F35" s="211" t="s">
        <v>209</v>
      </c>
      <c r="G35" s="307">
        <v>0.1</v>
      </c>
      <c r="H35" s="308">
        <f>D35</f>
        <v>5000</v>
      </c>
      <c r="I35" s="273"/>
      <c r="J35" s="78"/>
      <c r="K35" s="83">
        <v>15</v>
      </c>
      <c r="L35" s="200" t="s">
        <v>595</v>
      </c>
      <c r="M35" s="85"/>
      <c r="N35" s="232">
        <f>NOVEMBER20!Q35:Q54</f>
        <v>0</v>
      </c>
      <c r="O35" s="320">
        <v>3500</v>
      </c>
      <c r="P35" s="232">
        <f>M35+N35+O35</f>
        <v>3500</v>
      </c>
      <c r="Q35" s="234">
        <v>3500</v>
      </c>
      <c r="R35" s="319">
        <f>P35-Q35</f>
        <v>0</v>
      </c>
      <c r="S35" s="78"/>
      <c r="T35" s="78"/>
    </row>
    <row r="36" spans="1:20" ht="22.5" x14ac:dyDescent="0.25">
      <c r="A36" s="309" t="s">
        <v>232</v>
      </c>
      <c r="B36" s="308">
        <f>F20</f>
        <v>600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NOVEMBER20!Q36:Q55</f>
        <v>1300</v>
      </c>
      <c r="O36" s="320">
        <v>3500</v>
      </c>
      <c r="P36" s="232">
        <f>M36+N36+O36</f>
        <v>4800</v>
      </c>
      <c r="Q36" s="234">
        <f>3500+1300</f>
        <v>4800</v>
      </c>
      <c r="R36" s="319">
        <f>P36-Q36</f>
        <v>0</v>
      </c>
      <c r="S36" s="78"/>
      <c r="T36" s="78"/>
    </row>
    <row r="37" spans="1:20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NOVEMBER20!Q37:Q56</f>
        <v>3000</v>
      </c>
      <c r="O37" s="320">
        <v>3500</v>
      </c>
      <c r="P37" s="232">
        <f t="shared" si="5"/>
        <v>6500</v>
      </c>
      <c r="Q37" s="234">
        <v>3500</v>
      </c>
      <c r="R37" s="319">
        <f t="shared" si="6"/>
        <v>3000</v>
      </c>
      <c r="S37" s="78"/>
      <c r="T37" s="78"/>
    </row>
    <row r="38" spans="1:20" ht="22.5" x14ac:dyDescent="0.25">
      <c r="A38" s="309" t="s">
        <v>629</v>
      </c>
      <c r="B38" s="308">
        <f>C20</f>
        <v>6000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NOVEMBER20!Q38:Q57</f>
        <v>5500</v>
      </c>
      <c r="O38" s="320">
        <v>3500</v>
      </c>
      <c r="P38" s="232">
        <f t="shared" si="5"/>
        <v>9000</v>
      </c>
      <c r="Q38" s="234">
        <f>3500</f>
        <v>3500</v>
      </c>
      <c r="R38" s="319">
        <f>P38-Q38</f>
        <v>5500</v>
      </c>
      <c r="S38" s="78"/>
      <c r="T38" s="78"/>
    </row>
    <row r="39" spans="1:20" ht="22.5" x14ac:dyDescent="0.25">
      <c r="A39" s="309" t="s">
        <v>239</v>
      </c>
      <c r="B39" s="308">
        <f>NOVEMBER20!D50</f>
        <v>58514.342305280035</v>
      </c>
      <c r="C39" s="308"/>
      <c r="D39" s="211"/>
      <c r="E39" s="211"/>
      <c r="F39" s="309" t="s">
        <v>239</v>
      </c>
      <c r="G39" s="308">
        <f>NOVEMBER20!H50</f>
        <v>31350.275200000033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NOVEMBER20!Q39:Q58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</row>
    <row r="40" spans="1:20" ht="22.5" x14ac:dyDescent="0.25">
      <c r="A40" s="309" t="s">
        <v>193</v>
      </c>
      <c r="B40" s="308">
        <f>B34+B36+B39+B37</f>
        <v>112114.34230528004</v>
      </c>
      <c r="C40" s="308"/>
      <c r="D40" s="211"/>
      <c r="E40" s="211"/>
      <c r="F40" s="309" t="s">
        <v>193</v>
      </c>
      <c r="G40" s="308">
        <f>G34+G36+G39+G37</f>
        <v>86850.275200000033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NOVEMBER20!Q40:Q59</f>
        <v>12500</v>
      </c>
      <c r="O40" s="320">
        <v>3500</v>
      </c>
      <c r="P40" s="232">
        <f>M40+N40+O40</f>
        <v>16000</v>
      </c>
      <c r="Q40" s="234">
        <f>1000+3500</f>
        <v>4500</v>
      </c>
      <c r="R40" s="319">
        <f>P40-Q40</f>
        <v>11500</v>
      </c>
      <c r="S40" s="78"/>
      <c r="T40" s="78"/>
    </row>
    <row r="41" spans="1:20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34900</v>
      </c>
      <c r="O41" s="239">
        <f>SUM(O21:O40)</f>
        <v>66500</v>
      </c>
      <c r="P41" s="232">
        <f>M41+N41+O41</f>
        <v>101400</v>
      </c>
      <c r="Q41" s="240">
        <f>SUM(Q21:Q40)</f>
        <v>62800</v>
      </c>
      <c r="R41" s="319">
        <f>P41-Q41</f>
        <v>38600</v>
      </c>
      <c r="S41" s="78"/>
      <c r="T41" s="78"/>
    </row>
    <row r="42" spans="1:20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  <c r="T42" s="78"/>
    </row>
    <row r="43" spans="1:20" x14ac:dyDescent="0.25">
      <c r="A43" s="369" t="s">
        <v>468</v>
      </c>
      <c r="B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</row>
    <row r="44" spans="1:20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525</v>
      </c>
      <c r="L44" s="273">
        <f>O41+O19</f>
        <v>87000</v>
      </c>
      <c r="M44" s="164"/>
      <c r="N44" s="232">
        <f>'OCTOBER 20'!Q44:Q63</f>
        <v>0</v>
      </c>
      <c r="O44" s="211" t="s">
        <v>525</v>
      </c>
      <c r="P44" s="273">
        <f>Q41+Q19</f>
        <v>83300</v>
      </c>
      <c r="Q44" s="164"/>
      <c r="R44" s="273"/>
      <c r="S44" s="78"/>
      <c r="T44" s="78"/>
    </row>
    <row r="45" spans="1:20" x14ac:dyDescent="0.25">
      <c r="A45" s="370" t="s">
        <v>408</v>
      </c>
      <c r="B45" s="449">
        <v>0.3</v>
      </c>
      <c r="C45" s="449"/>
      <c r="D45" s="368">
        <f>B45*C19</f>
        <v>900</v>
      </c>
      <c r="E45" s="370"/>
      <c r="F45" s="370" t="s">
        <v>408</v>
      </c>
      <c r="G45" s="449">
        <v>0.3</v>
      </c>
      <c r="H45" s="368">
        <f>G45*C19</f>
        <v>900</v>
      </c>
      <c r="I45" s="368"/>
      <c r="J45" s="78"/>
      <c r="K45" s="211" t="s">
        <v>209</v>
      </c>
      <c r="L45" s="307">
        <v>0.1</v>
      </c>
      <c r="M45" s="308">
        <f>L44*L45</f>
        <v>8700</v>
      </c>
      <c r="N45" s="211"/>
      <c r="O45" s="211" t="s">
        <v>209</v>
      </c>
      <c r="P45" s="307">
        <v>0.1</v>
      </c>
      <c r="Q45" s="308">
        <f>M45</f>
        <v>8700</v>
      </c>
      <c r="R45" s="273"/>
      <c r="S45" s="78"/>
      <c r="T45" s="78"/>
    </row>
    <row r="46" spans="1:20" x14ac:dyDescent="0.25">
      <c r="A46" s="370" t="s">
        <v>622</v>
      </c>
      <c r="B46" s="370"/>
      <c r="C46" s="370"/>
      <c r="D46" s="368">
        <v>31000</v>
      </c>
      <c r="E46" s="370"/>
      <c r="F46" s="370" t="s">
        <v>622</v>
      </c>
      <c r="G46" s="370"/>
      <c r="H46" s="370">
        <v>31000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</row>
    <row r="47" spans="1:20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  <c r="T47" s="78"/>
    </row>
    <row r="48" spans="1:20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</row>
    <row r="49" spans="1:20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NOVEMBER20!M55</f>
        <v>117400.29999999999</v>
      </c>
      <c r="M49" s="211"/>
      <c r="N49" s="211"/>
      <c r="O49" s="309" t="s">
        <v>239</v>
      </c>
      <c r="P49" s="308">
        <f>NOVEMBER20!Q55</f>
        <v>92003.299999999988</v>
      </c>
      <c r="Q49" s="211"/>
      <c r="R49" s="273"/>
      <c r="S49" s="78"/>
      <c r="T49" s="78"/>
    </row>
    <row r="50" spans="1:20" x14ac:dyDescent="0.25">
      <c r="A50" s="166" t="s">
        <v>193</v>
      </c>
      <c r="B50" s="317">
        <f>B34+B36+B37+B38+B39-D35</f>
        <v>113114.34230528004</v>
      </c>
      <c r="C50" s="317"/>
      <c r="D50" s="318">
        <f>SUM(D41:D49)</f>
        <v>34900</v>
      </c>
      <c r="E50" s="318">
        <f>B50-D50</f>
        <v>78214.342305280035</v>
      </c>
      <c r="F50" s="166" t="s">
        <v>193</v>
      </c>
      <c r="G50" s="317">
        <f>G34+G36+G37+G39-H35</f>
        <v>81850.275200000033</v>
      </c>
      <c r="H50" s="318">
        <f>SUM(H41:H49)</f>
        <v>34900</v>
      </c>
      <c r="I50" s="318">
        <f>G50-H50</f>
        <v>46950.275200000033</v>
      </c>
      <c r="J50" s="78"/>
      <c r="K50" s="309" t="s">
        <v>193</v>
      </c>
      <c r="L50" s="308">
        <f>L44+L46+L49+L48</f>
        <v>204400.3</v>
      </c>
      <c r="M50" s="211"/>
      <c r="N50" s="211"/>
      <c r="O50" s="309" t="s">
        <v>193</v>
      </c>
      <c r="P50" s="308">
        <f>P44+P46+P49+P47</f>
        <v>175303.59999999998</v>
      </c>
      <c r="Q50" s="211"/>
      <c r="R50" s="273"/>
      <c r="S50" s="78"/>
      <c r="T50" s="78"/>
    </row>
    <row r="51" spans="1:20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-143500000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</row>
    <row r="52" spans="1:20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622</v>
      </c>
      <c r="L52" s="380"/>
      <c r="M52" s="367">
        <v>92000</v>
      </c>
      <c r="N52" s="366"/>
      <c r="O52" s="365" t="s">
        <v>622</v>
      </c>
      <c r="P52" s="380"/>
      <c r="Q52" s="367">
        <v>92000</v>
      </c>
      <c r="R52" s="368"/>
      <c r="S52" s="78"/>
      <c r="T52" s="78"/>
    </row>
    <row r="53" spans="1:20" x14ac:dyDescent="0.25">
      <c r="A53" s="78"/>
      <c r="B53" s="78"/>
      <c r="D53" s="78"/>
      <c r="E53" s="78"/>
      <c r="F53" s="78"/>
      <c r="G53" s="78"/>
      <c r="H53" s="78"/>
      <c r="I53" s="78"/>
      <c r="J53" s="78"/>
      <c r="K53" s="369" t="s">
        <v>625</v>
      </c>
      <c r="L53" s="370"/>
      <c r="M53" s="371">
        <v>10087</v>
      </c>
      <c r="N53" s="366"/>
      <c r="O53" s="369" t="s">
        <v>625</v>
      </c>
      <c r="P53" s="370"/>
      <c r="Q53" s="371">
        <v>10087</v>
      </c>
      <c r="R53" s="368"/>
      <c r="S53" s="78"/>
      <c r="T53" s="78"/>
    </row>
    <row r="54" spans="1:20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</row>
    <row r="55" spans="1:20" x14ac:dyDescent="0.25">
      <c r="A55" s="78"/>
      <c r="B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195700.3</v>
      </c>
      <c r="M55" s="318">
        <f>SUM(M47:M54)</f>
        <v>102087</v>
      </c>
      <c r="N55" s="318">
        <f>L55-M55</f>
        <v>93613.299999999988</v>
      </c>
      <c r="O55" s="166" t="s">
        <v>193</v>
      </c>
      <c r="P55" s="317">
        <f>P44+P46+P47+P49-Q45</f>
        <v>166603.59999999998</v>
      </c>
      <c r="Q55" s="318">
        <f>SUM(Q47:Q54)</f>
        <v>102087</v>
      </c>
      <c r="R55" s="318">
        <f>P55-Q55</f>
        <v>64516.599999999977</v>
      </c>
      <c r="S55" s="78"/>
      <c r="T55" s="78"/>
    </row>
    <row r="56" spans="1:20" x14ac:dyDescent="0.25">
      <c r="A56" s="78"/>
      <c r="B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</row>
    <row r="57" spans="1:20" x14ac:dyDescent="0.25">
      <c r="A57" s="78"/>
      <c r="B57" s="78"/>
      <c r="D57" s="78"/>
      <c r="E57" s="78"/>
      <c r="F57" s="78"/>
      <c r="G57" s="78"/>
      <c r="H57" s="220">
        <f>R55+I50</f>
        <v>111466.87520000001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</row>
    <row r="58" spans="1:20" x14ac:dyDescent="0.25">
      <c r="A58" s="78"/>
      <c r="B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</row>
    <row r="59" spans="1:20" x14ac:dyDescent="0.25">
      <c r="A59" s="78"/>
      <c r="B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</row>
    <row r="60" spans="1:20" x14ac:dyDescent="0.25">
      <c r="A60" s="78"/>
      <c r="B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E26" sqref="E26"/>
    </sheetView>
  </sheetViews>
  <sheetFormatPr defaultRowHeight="15" x14ac:dyDescent="0.25"/>
  <cols>
    <col min="1" max="1" width="12.710937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624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624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DECEMBER!I6:I19</f>
        <v>1500</v>
      </c>
      <c r="E6" s="280">
        <v>3000</v>
      </c>
      <c r="F6" s="281">
        <v>100</v>
      </c>
      <c r="G6" s="276">
        <f>D6+E6+F6+C6</f>
        <v>4600</v>
      </c>
      <c r="H6" s="277">
        <f>3100</f>
        <v>3100</v>
      </c>
      <c r="I6" s="273">
        <f t="shared" ref="I6:I18" si="0">G6-H6</f>
        <v>1500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113">
        <f>DECEMBER!I7:I20</f>
        <v>2000</v>
      </c>
      <c r="E7" s="280">
        <v>3000</v>
      </c>
      <c r="F7" s="281">
        <v>100</v>
      </c>
      <c r="G7" s="276">
        <f t="shared" ref="G7:G19" si="1">D7+E7+F7+C7</f>
        <v>5100</v>
      </c>
      <c r="H7" s="277">
        <f>3000</f>
        <v>3000</v>
      </c>
      <c r="I7" s="273">
        <f t="shared" si="0"/>
        <v>2100</v>
      </c>
      <c r="J7" s="150"/>
      <c r="K7" s="83" t="s">
        <v>106</v>
      </c>
      <c r="L7" s="249" t="s">
        <v>620</v>
      </c>
      <c r="M7" s="85"/>
      <c r="N7" s="232">
        <f>DECEMBER!R7:R18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</row>
    <row r="8" spans="1:19" x14ac:dyDescent="0.25">
      <c r="A8" s="282"/>
      <c r="B8" s="274" t="s">
        <v>54</v>
      </c>
      <c r="C8" s="274"/>
      <c r="D8" s="113">
        <f>DECEMBER!I8:I21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DECEMBER!R8:R19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DECEMBER!I9:I22</f>
        <v>0</v>
      </c>
      <c r="E9" s="280">
        <v>3000</v>
      </c>
      <c r="F9" s="281">
        <v>100</v>
      </c>
      <c r="G9" s="276">
        <f t="shared" si="1"/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DECEMBER!R9:R20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>
        <v>3000</v>
      </c>
      <c r="D10" s="113">
        <f>DECEMBER!I10:I23</f>
        <v>0</v>
      </c>
      <c r="E10" s="280">
        <v>3000</v>
      </c>
      <c r="F10" s="281">
        <v>100</v>
      </c>
      <c r="G10" s="276">
        <f t="shared" si="1"/>
        <v>6100</v>
      </c>
      <c r="H10" s="277">
        <v>6000</v>
      </c>
      <c r="I10" s="273">
        <f t="shared" si="0"/>
        <v>100</v>
      </c>
      <c r="J10" s="150"/>
      <c r="K10" s="87" t="s">
        <v>112</v>
      </c>
      <c r="L10" s="200" t="s">
        <v>578</v>
      </c>
      <c r="M10" s="110"/>
      <c r="N10" s="232">
        <f>DECEMBER!R10:R21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113">
        <f>DECEMBER!I11:I24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DECEMBER!R11:R22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</row>
    <row r="12" spans="1:19" ht="22.5" x14ac:dyDescent="0.25">
      <c r="A12" s="282" t="s">
        <v>281</v>
      </c>
      <c r="B12" s="274" t="s">
        <v>62</v>
      </c>
      <c r="C12" s="274"/>
      <c r="D12" s="113">
        <f>DECEMBER!I12:I25</f>
        <v>0</v>
      </c>
      <c r="E12" s="280"/>
      <c r="F12" s="281"/>
      <c r="G12" s="276">
        <f t="shared" si="1"/>
        <v>0</v>
      </c>
      <c r="H12" s="277"/>
      <c r="I12" s="273">
        <f t="shared" si="0"/>
        <v>0</v>
      </c>
      <c r="J12" s="150"/>
      <c r="K12" s="93" t="s">
        <v>116</v>
      </c>
      <c r="L12" s="249" t="s">
        <v>120</v>
      </c>
      <c r="M12" s="110"/>
      <c r="N12" s="232">
        <f>DECEMBER!R12:R23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>
        <v>3000</v>
      </c>
      <c r="D13" s="113">
        <f>DECEMBER!I13:I26</f>
        <v>0</v>
      </c>
      <c r="E13" s="285">
        <v>3000</v>
      </c>
      <c r="F13" s="286">
        <v>100</v>
      </c>
      <c r="G13" s="276">
        <f t="shared" si="1"/>
        <v>6100</v>
      </c>
      <c r="H13" s="277">
        <f>4100</f>
        <v>4100</v>
      </c>
      <c r="I13" s="273">
        <f t="shared" si="0"/>
        <v>2000</v>
      </c>
      <c r="J13" s="150"/>
      <c r="K13" s="83" t="s">
        <v>119</v>
      </c>
      <c r="L13" s="249" t="s">
        <v>120</v>
      </c>
      <c r="M13" s="85"/>
      <c r="N13" s="232">
        <f>DECEMBER!R13:R24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</row>
    <row r="14" spans="1:19" ht="22.5" x14ac:dyDescent="0.25">
      <c r="A14" s="196" t="s">
        <v>281</v>
      </c>
      <c r="B14" s="284" t="s">
        <v>18</v>
      </c>
      <c r="C14" s="284"/>
      <c r="D14" s="113">
        <f>DECEMBER!I14:I27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DECEMBER!R14:R25</f>
        <v>0</v>
      </c>
      <c r="O14" s="320">
        <v>2500</v>
      </c>
      <c r="P14" s="232">
        <f t="shared" si="2"/>
        <v>2500</v>
      </c>
      <c r="Q14" s="234">
        <f>2500</f>
        <v>2500</v>
      </c>
      <c r="R14" s="319">
        <f t="shared" si="3"/>
        <v>0</v>
      </c>
      <c r="S14" s="78"/>
    </row>
    <row r="15" spans="1:19" ht="22.5" x14ac:dyDescent="0.25">
      <c r="A15" s="196"/>
      <c r="B15" s="284" t="s">
        <v>20</v>
      </c>
      <c r="C15" s="284"/>
      <c r="D15" s="113">
        <f>DECEMBER!I15:I28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/>
      <c r="O15" s="320">
        <v>2500</v>
      </c>
      <c r="P15" s="232">
        <f t="shared" si="2"/>
        <v>3000</v>
      </c>
      <c r="Q15" s="234"/>
      <c r="R15" s="319">
        <f t="shared" si="3"/>
        <v>3000</v>
      </c>
      <c r="S15" s="78"/>
    </row>
    <row r="16" spans="1:19" x14ac:dyDescent="0.25">
      <c r="A16" s="196"/>
      <c r="B16" s="284" t="s">
        <v>22</v>
      </c>
      <c r="C16" s="284"/>
      <c r="D16" s="113">
        <f>DECEMBER!I16:I29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188</v>
      </c>
      <c r="M16" s="85"/>
      <c r="N16" s="232">
        <f>DECEMBER!R16:R27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3"/>
        <v>0</v>
      </c>
      <c r="S16" s="78"/>
    </row>
    <row r="17" spans="1:19" x14ac:dyDescent="0.25">
      <c r="A17" s="196" t="s">
        <v>327</v>
      </c>
      <c r="B17" s="284" t="s">
        <v>24</v>
      </c>
      <c r="C17" s="284"/>
      <c r="D17" s="113">
        <f>DECEMBER!I17:I30</f>
        <v>3100</v>
      </c>
      <c r="E17" s="285"/>
      <c r="F17" s="286"/>
      <c r="G17" s="276">
        <f t="shared" si="1"/>
        <v>3100</v>
      </c>
      <c r="H17" s="277"/>
      <c r="I17" s="273">
        <f t="shared" si="0"/>
        <v>3100</v>
      </c>
      <c r="J17" s="150"/>
      <c r="K17" s="83"/>
      <c r="L17" s="200"/>
      <c r="M17" s="85"/>
      <c r="N17" s="232">
        <f>DECEMBER!R17:R28</f>
        <v>0</v>
      </c>
      <c r="O17" s="231"/>
      <c r="P17" s="232"/>
      <c r="Q17" s="234"/>
      <c r="R17" s="450"/>
      <c r="S17" s="78"/>
    </row>
    <row r="18" spans="1:19" x14ac:dyDescent="0.25">
      <c r="A18" s="196" t="s">
        <v>623</v>
      </c>
      <c r="B18" s="284" t="s">
        <v>26</v>
      </c>
      <c r="C18" s="284"/>
      <c r="D18" s="113"/>
      <c r="E18" s="285">
        <v>3000</v>
      </c>
      <c r="F18" s="286">
        <v>100</v>
      </c>
      <c r="G18" s="276">
        <f t="shared" si="1"/>
        <v>3100</v>
      </c>
      <c r="H18" s="277">
        <f>2000</f>
        <v>2000</v>
      </c>
      <c r="I18" s="273">
        <f t="shared" si="0"/>
        <v>1100</v>
      </c>
      <c r="J18" s="150"/>
      <c r="K18" s="83"/>
      <c r="L18" s="200"/>
      <c r="M18" s="85"/>
      <c r="N18" s="232">
        <f>DECEMBER!R18:R29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113">
        <f>DECEMBER!I19:I32</f>
        <v>0</v>
      </c>
      <c r="E19" s="285">
        <v>3000</v>
      </c>
      <c r="F19" s="286">
        <v>100</v>
      </c>
      <c r="G19" s="276">
        <f t="shared" si="1"/>
        <v>3100</v>
      </c>
      <c r="H19" s="277">
        <f>3100</f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500</v>
      </c>
      <c r="O19" s="239">
        <f>SUM(O7:O16)</f>
        <v>22000</v>
      </c>
      <c r="P19" s="232">
        <f t="shared" si="2"/>
        <v>23000</v>
      </c>
      <c r="Q19" s="240">
        <f>SUM(Q7:Q16)</f>
        <v>19500</v>
      </c>
      <c r="R19" s="323">
        <f>SUM(R7:R16)</f>
        <v>3500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6600</v>
      </c>
      <c r="E20" s="240">
        <f t="shared" si="4"/>
        <v>21000</v>
      </c>
      <c r="F20" s="240">
        <f t="shared" si="4"/>
        <v>700</v>
      </c>
      <c r="G20" s="276">
        <f t="shared" si="4"/>
        <v>34300</v>
      </c>
      <c r="H20" s="361">
        <f t="shared" si="4"/>
        <v>24400</v>
      </c>
      <c r="I20" s="273">
        <f t="shared" si="4"/>
        <v>9900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1"/>
      <c r="B21" s="541"/>
      <c r="C21" s="541"/>
      <c r="D21" s="275">
        <f>'DECEMBER 19'!H18:H29</f>
        <v>0</v>
      </c>
      <c r="E21" s="345" t="s">
        <v>247</v>
      </c>
      <c r="F21" s="541"/>
      <c r="G21" s="541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DECEMBER!R21:R40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DECEMBER!R22:R41</f>
        <v>6500</v>
      </c>
      <c r="O22" s="320">
        <v>3500</v>
      </c>
      <c r="P22" s="232">
        <f t="shared" si="5"/>
        <v>10000</v>
      </c>
      <c r="Q22" s="232">
        <f>5000</f>
        <v>5000</v>
      </c>
      <c r="R22" s="319">
        <f t="shared" si="6"/>
        <v>5000</v>
      </c>
      <c r="S22" s="78"/>
    </row>
    <row r="23" spans="1:19" x14ac:dyDescent="0.25">
      <c r="A23" s="191" t="s">
        <v>313</v>
      </c>
      <c r="B23" s="85"/>
      <c r="C23" s="85"/>
      <c r="D23" s="86">
        <f>DECEMBER!H23:H30</f>
        <v>0</v>
      </c>
      <c r="E23" s="232">
        <v>6000</v>
      </c>
      <c r="F23" s="232">
        <f>B23+E23+D23</f>
        <v>6000</v>
      </c>
      <c r="G23" s="232"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DECEMBER!R23:R42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DECEMBER!H24:H31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DECEMBER!R24:R43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</row>
    <row r="25" spans="1:19" ht="22.5" x14ac:dyDescent="0.25">
      <c r="A25" s="191" t="s">
        <v>451</v>
      </c>
      <c r="B25" s="85"/>
      <c r="C25" s="85"/>
      <c r="D25" s="86">
        <f>DECEMBER!H25:H32</f>
        <v>0</v>
      </c>
      <c r="E25" s="231">
        <v>4000</v>
      </c>
      <c r="F25" s="232">
        <f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DECEMBER!R25:R44</f>
        <v>0</v>
      </c>
      <c r="O25" s="320">
        <v>3500</v>
      </c>
      <c r="P25" s="232">
        <f t="shared" si="5"/>
        <v>3500</v>
      </c>
      <c r="Q25" s="234">
        <v>3500</v>
      </c>
      <c r="R25" s="319">
        <f t="shared" si="6"/>
        <v>0</v>
      </c>
      <c r="S25" s="78"/>
    </row>
    <row r="26" spans="1:19" ht="22.5" x14ac:dyDescent="0.25">
      <c r="A26" s="191"/>
      <c r="B26" s="85"/>
      <c r="C26" s="85"/>
      <c r="D26" s="86">
        <f>DECEMBER!H26:H33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DECEMBER!R26:R45</f>
        <v>1500</v>
      </c>
      <c r="O26" s="325">
        <v>3500</v>
      </c>
      <c r="P26" s="232">
        <f t="shared" si="5"/>
        <v>5000</v>
      </c>
      <c r="Q26" s="326">
        <f>3500</f>
        <v>3500</v>
      </c>
      <c r="R26" s="319">
        <f t="shared" si="6"/>
        <v>1500</v>
      </c>
      <c r="S26" s="78"/>
    </row>
    <row r="27" spans="1:19" ht="22.5" x14ac:dyDescent="0.25">
      <c r="A27" s="191" t="s">
        <v>350</v>
      </c>
      <c r="B27" s="86"/>
      <c r="C27" s="86"/>
      <c r="D27" s="86">
        <f>DECEMBER!H27:H34</f>
        <v>8000</v>
      </c>
      <c r="E27" s="231">
        <v>4000</v>
      </c>
      <c r="F27" s="232">
        <f t="shared" si="7"/>
        <v>12000</v>
      </c>
      <c r="G27" s="110"/>
      <c r="H27" s="273">
        <f t="shared" si="8"/>
        <v>12000</v>
      </c>
      <c r="I27" s="273"/>
      <c r="J27" s="78"/>
      <c r="K27" s="83">
        <v>7</v>
      </c>
      <c r="L27" s="249" t="s">
        <v>554</v>
      </c>
      <c r="M27" s="85"/>
      <c r="N27" s="232">
        <f>DECEMBER!R27:R46</f>
        <v>0</v>
      </c>
      <c r="O27" s="320">
        <v>3500</v>
      </c>
      <c r="P27" s="232">
        <f t="shared" si="5"/>
        <v>3500</v>
      </c>
      <c r="Q27" s="234">
        <f>3500</f>
        <v>3500</v>
      </c>
      <c r="R27" s="319">
        <f t="shared" si="6"/>
        <v>0</v>
      </c>
      <c r="S27" s="220"/>
    </row>
    <row r="28" spans="1:19" ht="22.5" x14ac:dyDescent="0.25">
      <c r="A28" s="191" t="s">
        <v>392</v>
      </c>
      <c r="B28" s="85"/>
      <c r="C28" s="85"/>
      <c r="D28" s="86">
        <f>DECEMBER!H28:H35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32900</v>
      </c>
      <c r="K28" s="83">
        <v>8</v>
      </c>
      <c r="L28" s="249" t="s">
        <v>490</v>
      </c>
      <c r="M28" s="85"/>
      <c r="N28" s="232">
        <f>DECEMBER!R28:R47</f>
        <v>1500</v>
      </c>
      <c r="O28" s="320">
        <v>3500</v>
      </c>
      <c r="P28" s="232">
        <f t="shared" si="5"/>
        <v>5000</v>
      </c>
      <c r="Q28" s="234">
        <f>3500</f>
        <v>3500</v>
      </c>
      <c r="R28" s="319">
        <f t="shared" si="6"/>
        <v>1500</v>
      </c>
      <c r="S28" s="78"/>
    </row>
    <row r="29" spans="1:19" ht="22.5" x14ac:dyDescent="0.25">
      <c r="A29" s="218" t="s">
        <v>539</v>
      </c>
      <c r="B29" s="85"/>
      <c r="C29" s="85"/>
      <c r="D29" s="86">
        <f>DECEMBER!H29:H36</f>
        <v>0</v>
      </c>
      <c r="E29" s="231">
        <v>4000</v>
      </c>
      <c r="F29" s="232">
        <f t="shared" si="7"/>
        <v>4000</v>
      </c>
      <c r="G29" s="110"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DECEMBER!R29:R48</f>
        <v>0</v>
      </c>
      <c r="O29" s="320">
        <v>3500</v>
      </c>
      <c r="P29" s="232">
        <f>M29+N29+O29</f>
        <v>3500</v>
      </c>
      <c r="Q29" s="234">
        <f>2000</f>
        <v>2000</v>
      </c>
      <c r="R29" s="319">
        <f t="shared" si="6"/>
        <v>1500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DECEMBER!H30:H37</f>
        <v>3000</v>
      </c>
      <c r="E30" s="231">
        <v>4000</v>
      </c>
      <c r="F30" s="232">
        <f t="shared" si="7"/>
        <v>7000</v>
      </c>
      <c r="G30" s="110">
        <f>4000</f>
        <v>4000</v>
      </c>
      <c r="H30" s="273">
        <f t="shared" si="8"/>
        <v>3000</v>
      </c>
      <c r="I30" s="273"/>
      <c r="J30" s="78"/>
      <c r="K30" s="83">
        <v>10</v>
      </c>
      <c r="L30" s="200" t="s">
        <v>553</v>
      </c>
      <c r="M30" s="85"/>
      <c r="N30" s="232">
        <f>DECEMBER!R30:R49</f>
        <v>6600</v>
      </c>
      <c r="O30" s="320">
        <v>3500</v>
      </c>
      <c r="P30" s="232">
        <f t="shared" si="5"/>
        <v>10100</v>
      </c>
      <c r="Q30" s="234"/>
      <c r="R30" s="319">
        <f t="shared" si="6"/>
        <v>10100</v>
      </c>
      <c r="S30" s="78"/>
    </row>
    <row r="31" spans="1:19" ht="22.5" x14ac:dyDescent="0.25">
      <c r="A31" s="339" t="s">
        <v>193</v>
      </c>
      <c r="B31" s="42"/>
      <c r="C31" s="42"/>
      <c r="D31" s="86">
        <f>SUM(D23:D30)</f>
        <v>19000</v>
      </c>
      <c r="E31" s="240">
        <f>SUM(E23:E30)</f>
        <v>32000</v>
      </c>
      <c r="F31" s="232">
        <f>SUM(F23:F30)</f>
        <v>51000</v>
      </c>
      <c r="G31" s="535">
        <f>SUM(G23:G30)</f>
        <v>28000</v>
      </c>
      <c r="H31" s="273">
        <f>F31-G31</f>
        <v>23000</v>
      </c>
      <c r="I31" s="273"/>
      <c r="J31" s="78"/>
      <c r="K31" s="83">
        <v>11</v>
      </c>
      <c r="L31" s="249" t="s">
        <v>474</v>
      </c>
      <c r="M31" s="85"/>
      <c r="N31" s="232">
        <f>DECEMBER!R31:R50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32900</v>
      </c>
      <c r="K32" s="83">
        <v>12</v>
      </c>
      <c r="L32" s="200" t="s">
        <v>615</v>
      </c>
      <c r="M32" s="85"/>
      <c r="N32" s="232">
        <f>DECEMBER!R32:R51</f>
        <v>500</v>
      </c>
      <c r="O32" s="320">
        <v>3500</v>
      </c>
      <c r="P32" s="232">
        <f t="shared" si="5"/>
        <v>4000</v>
      </c>
      <c r="Q32" s="234">
        <f>1500+2000</f>
        <v>3500</v>
      </c>
      <c r="R32" s="319">
        <f t="shared" si="6"/>
        <v>500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616</v>
      </c>
      <c r="M33" s="85"/>
      <c r="N33" s="232">
        <f>DECEMBER!R33:R52</f>
        <v>0</v>
      </c>
      <c r="O33" s="320">
        <v>3500</v>
      </c>
      <c r="P33" s="232">
        <f>M33+N33+O33</f>
        <v>3500</v>
      </c>
      <c r="Q33" s="234"/>
      <c r="R33" s="319">
        <f>P33-Q33</f>
        <v>3500</v>
      </c>
      <c r="S33" s="78"/>
    </row>
    <row r="34" spans="1:19" ht="22.5" x14ac:dyDescent="0.25">
      <c r="A34" s="211" t="s">
        <v>535</v>
      </c>
      <c r="B34" s="273">
        <f>E31+E20</f>
        <v>53000</v>
      </c>
      <c r="C34" s="273"/>
      <c r="D34" s="164"/>
      <c r="E34" s="164"/>
      <c r="F34" s="211" t="s">
        <v>535</v>
      </c>
      <c r="G34" s="273">
        <f>G31+H20</f>
        <v>52400</v>
      </c>
      <c r="H34" s="164"/>
      <c r="I34" s="273"/>
      <c r="J34" s="78"/>
      <c r="K34" s="83">
        <v>14</v>
      </c>
      <c r="L34" s="200" t="s">
        <v>480</v>
      </c>
      <c r="M34" s="85"/>
      <c r="N34" s="232">
        <f>DECEMBER!R34:R53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5300</v>
      </c>
      <c r="E35" s="211"/>
      <c r="F35" s="211" t="s">
        <v>209</v>
      </c>
      <c r="G35" s="307">
        <v>0.1</v>
      </c>
      <c r="H35" s="308">
        <f>D35</f>
        <v>5300</v>
      </c>
      <c r="I35" s="273"/>
      <c r="J35" s="78"/>
      <c r="K35" s="83">
        <v>15</v>
      </c>
      <c r="L35" s="200" t="s">
        <v>595</v>
      </c>
      <c r="M35" s="85"/>
      <c r="N35" s="232">
        <f>DECEMBER!R35:R54</f>
        <v>0</v>
      </c>
      <c r="O35" s="320">
        <v>3500</v>
      </c>
      <c r="P35" s="232">
        <f>M35+N35+O35</f>
        <v>3500</v>
      </c>
      <c r="Q35" s="234"/>
      <c r="R35" s="319">
        <f>P35-Q35</f>
        <v>3500</v>
      </c>
      <c r="S35" s="78"/>
    </row>
    <row r="36" spans="1:19" ht="22.5" x14ac:dyDescent="0.25">
      <c r="A36" s="309" t="s">
        <v>232</v>
      </c>
      <c r="B36" s="308">
        <f>F20</f>
        <v>700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DECEMBER!R36:R55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DECEMBER!R37:R56</f>
        <v>3000</v>
      </c>
      <c r="O37" s="320">
        <v>3500</v>
      </c>
      <c r="P37" s="232">
        <f t="shared" si="5"/>
        <v>6500</v>
      </c>
      <c r="Q37" s="234"/>
      <c r="R37" s="319">
        <f t="shared" si="6"/>
        <v>6500</v>
      </c>
      <c r="S37" s="78"/>
    </row>
    <row r="38" spans="1:19" ht="22.5" x14ac:dyDescent="0.25">
      <c r="A38" s="309" t="s">
        <v>470</v>
      </c>
      <c r="B38" s="308">
        <f>C13</f>
        <v>3000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DECEMBER!R38:R57</f>
        <v>5500</v>
      </c>
      <c r="O38" s="320">
        <v>3500</v>
      </c>
      <c r="P38" s="232">
        <f t="shared" si="5"/>
        <v>9000</v>
      </c>
      <c r="Q38" s="234">
        <f>3500</f>
        <v>3500</v>
      </c>
      <c r="R38" s="319">
        <f>P38-Q38</f>
        <v>5500</v>
      </c>
      <c r="S38" s="78"/>
    </row>
    <row r="39" spans="1:19" ht="22.5" x14ac:dyDescent="0.25">
      <c r="A39" s="309" t="s">
        <v>239</v>
      </c>
      <c r="B39" s="308">
        <f>DECEMBER!E50</f>
        <v>78214.342305280035</v>
      </c>
      <c r="C39" s="308"/>
      <c r="D39" s="211"/>
      <c r="E39" s="211"/>
      <c r="F39" s="309" t="s">
        <v>239</v>
      </c>
      <c r="G39" s="308">
        <f>DECEMBER!I50</f>
        <v>46950.275200000033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DECEMBER!R39:R58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134914.34230528004</v>
      </c>
      <c r="C40" s="308"/>
      <c r="D40" s="211"/>
      <c r="E40" s="211"/>
      <c r="F40" s="309" t="s">
        <v>193</v>
      </c>
      <c r="G40" s="308">
        <f>G34+G36+G39+G37</f>
        <v>102350.27520000003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DECEMBER!R40:R59</f>
        <v>11500</v>
      </c>
      <c r="O40" s="320">
        <v>3500</v>
      </c>
      <c r="P40" s="232">
        <f>M40+N40+O40</f>
        <v>15000</v>
      </c>
      <c r="Q40" s="234">
        <f>2000</f>
        <v>2000</v>
      </c>
      <c r="R40" s="319">
        <f>P40-Q40</f>
        <v>13000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38600</v>
      </c>
      <c r="O41" s="239">
        <f>SUM(O21:O40)</f>
        <v>66500</v>
      </c>
      <c r="P41" s="232">
        <f>M41+N41+O41</f>
        <v>105100</v>
      </c>
      <c r="Q41" s="240">
        <f>SUM(Q21:Q40)</f>
        <v>51000</v>
      </c>
      <c r="R41" s="319">
        <f>P41-Q41</f>
        <v>54100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535</v>
      </c>
      <c r="L44" s="273">
        <f>O41+O19</f>
        <v>88500</v>
      </c>
      <c r="M44" s="164"/>
      <c r="N44" s="232">
        <f>'OCTOBER 20'!Q44:Q63</f>
        <v>0</v>
      </c>
      <c r="O44" s="211" t="s">
        <v>535</v>
      </c>
      <c r="P44" s="273">
        <f>Q41+Q19</f>
        <v>70500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/>
      <c r="E45" s="370"/>
      <c r="F45" s="370" t="s">
        <v>408</v>
      </c>
      <c r="G45" s="449">
        <v>0.3</v>
      </c>
      <c r="H45" s="368"/>
      <c r="I45" s="368"/>
      <c r="J45" s="78"/>
      <c r="K45" s="211" t="s">
        <v>209</v>
      </c>
      <c r="L45" s="307">
        <v>0.1</v>
      </c>
      <c r="M45" s="308">
        <f>L44*L45</f>
        <v>8850</v>
      </c>
      <c r="N45" s="211"/>
      <c r="O45" s="211" t="s">
        <v>209</v>
      </c>
      <c r="P45" s="307">
        <v>0.1</v>
      </c>
      <c r="Q45" s="308">
        <f>M45</f>
        <v>8850</v>
      </c>
      <c r="R45" s="273"/>
      <c r="S45" s="78"/>
    </row>
    <row r="46" spans="1:19" x14ac:dyDescent="0.25">
      <c r="A46" s="370" t="s">
        <v>628</v>
      </c>
      <c r="B46" s="370"/>
      <c r="C46" s="370"/>
      <c r="D46" s="368">
        <v>46950</v>
      </c>
      <c r="E46" s="370"/>
      <c r="F46" s="370" t="s">
        <v>628</v>
      </c>
      <c r="G46" s="370"/>
      <c r="H46" s="370">
        <v>46950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634</v>
      </c>
      <c r="B47" s="370"/>
      <c r="C47" s="370"/>
      <c r="D47" s="371">
        <v>3100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DECEMBER!N55</f>
        <v>93613.299999999988</v>
      </c>
      <c r="M49" s="211"/>
      <c r="N49" s="211"/>
      <c r="O49" s="309" t="s">
        <v>239</v>
      </c>
      <c r="P49" s="308">
        <f>DECEMBER!R55</f>
        <v>64516.599999999977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132614.34230528004</v>
      </c>
      <c r="C50" s="317"/>
      <c r="D50" s="318">
        <f>SUM(D41:D49)</f>
        <v>53050</v>
      </c>
      <c r="E50" s="318">
        <f>B50-D50</f>
        <v>79564.342305280035</v>
      </c>
      <c r="F50" s="166" t="s">
        <v>193</v>
      </c>
      <c r="G50" s="317">
        <f>G34+G36+G37+G39-H35</f>
        <v>97050.275200000033</v>
      </c>
      <c r="H50" s="318">
        <f>SUM(H41:H49)</f>
        <v>49950</v>
      </c>
      <c r="I50" s="318">
        <f>G50-H50</f>
        <v>47100.275200000033</v>
      </c>
      <c r="J50" s="78"/>
      <c r="K50" s="309" t="s">
        <v>193</v>
      </c>
      <c r="L50" s="308">
        <f>L44+L46+L49+L48</f>
        <v>182113.3</v>
      </c>
      <c r="M50" s="211"/>
      <c r="N50" s="211"/>
      <c r="O50" s="309" t="s">
        <v>193</v>
      </c>
      <c r="P50" s="308">
        <f>P44+P46+P49+P47</f>
        <v>135016.89999999997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-131600000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628</v>
      </c>
      <c r="L52" s="380"/>
      <c r="M52" s="367">
        <v>64510</v>
      </c>
      <c r="N52" s="366"/>
      <c r="O52" s="365" t="s">
        <v>628</v>
      </c>
      <c r="P52" s="380"/>
      <c r="Q52" s="367">
        <v>64510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173263.3</v>
      </c>
      <c r="M55" s="318">
        <f>SUM(M47:M54)</f>
        <v>64510</v>
      </c>
      <c r="N55" s="318">
        <f>L55-M55</f>
        <v>108753.29999999999</v>
      </c>
      <c r="O55" s="166" t="s">
        <v>193</v>
      </c>
      <c r="P55" s="317">
        <f>P44+P46+P47+P49-Q45</f>
        <v>126166.89999999997</v>
      </c>
      <c r="Q55" s="318">
        <f>SUM(Q47:Q54)</f>
        <v>64510</v>
      </c>
      <c r="R55" s="318">
        <f>P55-Q55</f>
        <v>61656.899999999965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>
        <f>R55+I50</f>
        <v>108757.1752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I60" s="220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7" workbookViewId="0">
      <selection activeCell="H10" sqref="H10"/>
    </sheetView>
  </sheetViews>
  <sheetFormatPr defaultRowHeight="15" x14ac:dyDescent="0.25"/>
  <cols>
    <col min="1" max="1" width="16" customWidth="1"/>
    <col min="11" max="11" width="11.42578125" customWidth="1"/>
    <col min="12" max="12" width="11.14062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630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630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'JANUARY 21'!I6:I19</f>
        <v>1500</v>
      </c>
      <c r="E6" s="280">
        <v>3000</v>
      </c>
      <c r="F6" s="281">
        <v>100</v>
      </c>
      <c r="G6" s="276">
        <f>D6+E6+F6+C6</f>
        <v>4600</v>
      </c>
      <c r="H6" s="277"/>
      <c r="I6" s="273">
        <f t="shared" ref="I6:I18" si="0">G6-H6</f>
        <v>4600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113">
        <f>'JANUARY 21'!I7:I20</f>
        <v>2100</v>
      </c>
      <c r="E7" s="280">
        <v>3000</v>
      </c>
      <c r="F7" s="281">
        <v>100</v>
      </c>
      <c r="G7" s="276">
        <f t="shared" ref="G7:G19" si="1">D7+E7+F7+C7</f>
        <v>5200</v>
      </c>
      <c r="H7" s="277">
        <f>3100</f>
        <v>3100</v>
      </c>
      <c r="I7" s="273">
        <f t="shared" si="0"/>
        <v>2100</v>
      </c>
      <c r="J7" s="150"/>
      <c r="K7" s="83" t="s">
        <v>106</v>
      </c>
      <c r="L7" s="249" t="s">
        <v>620</v>
      </c>
      <c r="M7" s="85"/>
      <c r="N7" s="232">
        <f>'JANUARY 21'!R7:R18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/>
      <c r="B8" s="274" t="s">
        <v>54</v>
      </c>
      <c r="C8" s="274"/>
      <c r="D8" s="113">
        <f>'JANUARY 21'!I8:I21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'JANUARY 21'!R8:R19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'JANUARY 21'!I9:I22</f>
        <v>0</v>
      </c>
      <c r="E9" s="280">
        <v>3000</v>
      </c>
      <c r="F9" s="281">
        <v>100</v>
      </c>
      <c r="G9" s="276">
        <f t="shared" si="1"/>
        <v>3100</v>
      </c>
      <c r="H9" s="277">
        <f>3000</f>
        <v>3000</v>
      </c>
      <c r="I9" s="273">
        <f t="shared" si="0"/>
        <v>100</v>
      </c>
      <c r="J9" s="150"/>
      <c r="K9" s="83" t="s">
        <v>557</v>
      </c>
      <c r="L9" s="110" t="s">
        <v>467</v>
      </c>
      <c r="M9" s="110"/>
      <c r="N9" s="232">
        <f>'JANUARY 21'!R9:R20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x14ac:dyDescent="0.25">
      <c r="A10" s="282" t="s">
        <v>627</v>
      </c>
      <c r="B10" s="274" t="s">
        <v>58</v>
      </c>
      <c r="C10" s="274"/>
      <c r="D10" s="113">
        <f>'JANUARY 21'!I10:I23</f>
        <v>100</v>
      </c>
      <c r="E10" s="280">
        <v>3000</v>
      </c>
      <c r="F10" s="281">
        <v>100</v>
      </c>
      <c r="G10" s="276">
        <f t="shared" si="1"/>
        <v>3200</v>
      </c>
      <c r="H10" s="277">
        <f>3000</f>
        <v>3000</v>
      </c>
      <c r="I10" s="273">
        <f t="shared" si="0"/>
        <v>200</v>
      </c>
      <c r="J10" s="150"/>
      <c r="K10" s="87" t="s">
        <v>112</v>
      </c>
      <c r="L10" s="200" t="s">
        <v>578</v>
      </c>
      <c r="M10" s="110"/>
      <c r="N10" s="232">
        <f>'JANUARY 21'!R10:R21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x14ac:dyDescent="0.25">
      <c r="A11" s="282" t="s">
        <v>281</v>
      </c>
      <c r="B11" s="274" t="s">
        <v>60</v>
      </c>
      <c r="C11" s="274"/>
      <c r="D11" s="113">
        <f>'JANUARY 21'!I11:I24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'JANUARY 21'!R11:R22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</row>
    <row r="12" spans="1:19" x14ac:dyDescent="0.25">
      <c r="A12" s="282" t="s">
        <v>631</v>
      </c>
      <c r="B12" s="274" t="s">
        <v>62</v>
      </c>
      <c r="C12" s="274">
        <v>3000</v>
      </c>
      <c r="D12" s="113">
        <f>'JANUARY 21'!I12:I25</f>
        <v>0</v>
      </c>
      <c r="E12" s="280">
        <v>3000</v>
      </c>
      <c r="F12" s="281">
        <v>100</v>
      </c>
      <c r="G12" s="276">
        <f t="shared" si="1"/>
        <v>6100</v>
      </c>
      <c r="H12" s="277">
        <v>3000</v>
      </c>
      <c r="I12" s="273">
        <f t="shared" si="0"/>
        <v>3100</v>
      </c>
      <c r="J12" s="150"/>
      <c r="K12" s="93" t="s">
        <v>116</v>
      </c>
      <c r="L12" s="249" t="s">
        <v>120</v>
      </c>
      <c r="M12" s="110"/>
      <c r="N12" s="232">
        <f>'JANUARY 21'!R12:R23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</row>
    <row r="13" spans="1:19" x14ac:dyDescent="0.25">
      <c r="A13" s="196" t="s">
        <v>626</v>
      </c>
      <c r="B13" s="284" t="s">
        <v>64</v>
      </c>
      <c r="C13" s="284"/>
      <c r="D13" s="113">
        <f>'JANUARY 21'!I13:I26</f>
        <v>2000</v>
      </c>
      <c r="E13" s="285">
        <v>3000</v>
      </c>
      <c r="F13" s="286">
        <v>100</v>
      </c>
      <c r="G13" s="276">
        <f t="shared" si="1"/>
        <v>5100</v>
      </c>
      <c r="H13" s="277">
        <v>3100</v>
      </c>
      <c r="I13" s="273">
        <f t="shared" si="0"/>
        <v>2000</v>
      </c>
      <c r="J13" s="150"/>
      <c r="K13" s="83" t="s">
        <v>119</v>
      </c>
      <c r="L13" s="249" t="s">
        <v>120</v>
      </c>
      <c r="M13" s="85"/>
      <c r="N13" s="232">
        <f>'JANUARY 21'!R13:R24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</row>
    <row r="14" spans="1:19" ht="22.5" x14ac:dyDescent="0.25">
      <c r="A14" s="196" t="s">
        <v>281</v>
      </c>
      <c r="B14" s="284" t="s">
        <v>18</v>
      </c>
      <c r="C14" s="284"/>
      <c r="D14" s="113">
        <f>'JANUARY 21'!I14:I27</f>
        <v>0</v>
      </c>
      <c r="E14" s="285"/>
      <c r="F14" s="286"/>
      <c r="G14" s="276">
        <f t="shared" si="1"/>
        <v>0</v>
      </c>
      <c r="H14" s="277"/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'JANUARY 21'!R14:R25</f>
        <v>0</v>
      </c>
      <c r="O14" s="320">
        <v>2500</v>
      </c>
      <c r="P14" s="232">
        <f t="shared" si="2"/>
        <v>2500</v>
      </c>
      <c r="Q14" s="234">
        <f>2400</f>
        <v>2400</v>
      </c>
      <c r="R14" s="319">
        <f t="shared" si="3"/>
        <v>100</v>
      </c>
      <c r="S14" s="78"/>
    </row>
    <row r="15" spans="1:19" x14ac:dyDescent="0.25">
      <c r="A15" s="196"/>
      <c r="B15" s="284" t="s">
        <v>20</v>
      </c>
      <c r="C15" s="284"/>
      <c r="D15" s="113">
        <f>'JANUARY 21'!I15:I28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>
        <v>2500</v>
      </c>
      <c r="O15" s="320">
        <v>2500</v>
      </c>
      <c r="P15" s="232">
        <f t="shared" si="2"/>
        <v>5500</v>
      </c>
      <c r="Q15" s="234">
        <f>1500</f>
        <v>1500</v>
      </c>
      <c r="R15" s="319">
        <f t="shared" si="3"/>
        <v>4000</v>
      </c>
      <c r="S15" s="78"/>
    </row>
    <row r="16" spans="1:19" ht="22.5" x14ac:dyDescent="0.25">
      <c r="A16" s="196"/>
      <c r="B16" s="284" t="s">
        <v>22</v>
      </c>
      <c r="C16" s="284"/>
      <c r="D16" s="113">
        <f>'JANUARY 21'!I16:I29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'JANUARY 21'!R16:R27</f>
        <v>0</v>
      </c>
      <c r="O16" s="231">
        <v>1500</v>
      </c>
      <c r="P16" s="232">
        <f>M16+N16+O16</f>
        <v>1500</v>
      </c>
      <c r="Q16" s="234">
        <v>1500</v>
      </c>
      <c r="R16" s="319">
        <f t="shared" si="3"/>
        <v>0</v>
      </c>
      <c r="S16" s="78"/>
    </row>
    <row r="17" spans="1:19" x14ac:dyDescent="0.25">
      <c r="A17" s="196" t="s">
        <v>327</v>
      </c>
      <c r="B17" s="284" t="s">
        <v>24</v>
      </c>
      <c r="C17" s="284"/>
      <c r="D17" s="113">
        <f>'JANUARY 21'!I17:I30</f>
        <v>3100</v>
      </c>
      <c r="E17" s="285"/>
      <c r="F17" s="286"/>
      <c r="G17" s="276">
        <f t="shared" si="1"/>
        <v>3100</v>
      </c>
      <c r="H17" s="277"/>
      <c r="I17" s="273"/>
      <c r="J17" s="150"/>
      <c r="K17" s="83"/>
      <c r="L17" s="200"/>
      <c r="M17" s="85"/>
      <c r="N17" s="232">
        <f>'JANUARY 21'!R17:R28</f>
        <v>0</v>
      </c>
      <c r="O17" s="231"/>
      <c r="P17" s="232"/>
      <c r="Q17" s="234"/>
      <c r="R17" s="450"/>
      <c r="S17" s="78"/>
    </row>
    <row r="18" spans="1:19" x14ac:dyDescent="0.25">
      <c r="A18" s="196" t="s">
        <v>623</v>
      </c>
      <c r="B18" s="284" t="s">
        <v>26</v>
      </c>
      <c r="C18" s="284"/>
      <c r="D18" s="113">
        <f>'JANUARY 21'!I18:I31</f>
        <v>1100</v>
      </c>
      <c r="E18" s="285"/>
      <c r="F18" s="286"/>
      <c r="G18" s="276">
        <f t="shared" si="1"/>
        <v>1100</v>
      </c>
      <c r="H18" s="277"/>
      <c r="I18" s="273">
        <f t="shared" si="0"/>
        <v>1100</v>
      </c>
      <c r="J18" s="150"/>
      <c r="K18" s="83"/>
      <c r="L18" s="200"/>
      <c r="M18" s="85"/>
      <c r="N18" s="232">
        <f>'JANUARY 21'!R18:R29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113">
        <f>'JANUARY 21'!I19:I32</f>
        <v>0</v>
      </c>
      <c r="E19" s="285">
        <v>3000</v>
      </c>
      <c r="F19" s="286">
        <v>100</v>
      </c>
      <c r="G19" s="276">
        <f t="shared" si="1"/>
        <v>3100</v>
      </c>
      <c r="H19" s="277"/>
      <c r="I19" s="273">
        <f>G19-H19</f>
        <v>3100</v>
      </c>
      <c r="J19" s="150"/>
      <c r="K19" s="83"/>
      <c r="L19" s="204" t="s">
        <v>193</v>
      </c>
      <c r="M19" s="205">
        <f>SUM(M7:M16)</f>
        <v>500</v>
      </c>
      <c r="N19" s="232">
        <f>SUM(N7:N18)</f>
        <v>3000</v>
      </c>
      <c r="O19" s="239">
        <f>SUM(O7:O16)</f>
        <v>22000</v>
      </c>
      <c r="P19" s="232">
        <f t="shared" si="2"/>
        <v>25500</v>
      </c>
      <c r="Q19" s="240">
        <f>SUM(Q7:Q16)</f>
        <v>20900</v>
      </c>
      <c r="R19" s="323">
        <f>SUM(R7:R16)</f>
        <v>4600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3000</v>
      </c>
      <c r="D20" s="113">
        <f t="shared" si="4"/>
        <v>9900</v>
      </c>
      <c r="E20" s="240">
        <f t="shared" si="4"/>
        <v>21000</v>
      </c>
      <c r="F20" s="240">
        <f t="shared" si="4"/>
        <v>700</v>
      </c>
      <c r="G20" s="276">
        <f t="shared" si="4"/>
        <v>34600</v>
      </c>
      <c r="H20" s="361">
        <f t="shared" si="4"/>
        <v>15200</v>
      </c>
      <c r="I20" s="273">
        <f t="shared" si="4"/>
        <v>16300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18.75" x14ac:dyDescent="0.25">
      <c r="A21" s="542"/>
      <c r="B21" s="542"/>
      <c r="C21" s="542"/>
      <c r="D21" s="275">
        <f>'DECEMBER 19'!H18:H29</f>
        <v>0</v>
      </c>
      <c r="E21" s="345" t="s">
        <v>247</v>
      </c>
      <c r="F21" s="542"/>
      <c r="G21" s="542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'JANUARY 21'!R21:R40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</row>
    <row r="22" spans="1:19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547</v>
      </c>
      <c r="M22" s="85"/>
      <c r="N22" s="232">
        <f>'JANUARY 21'!R22:R41</f>
        <v>5000</v>
      </c>
      <c r="O22" s="320">
        <v>3500</v>
      </c>
      <c r="P22" s="232">
        <f t="shared" si="5"/>
        <v>8500</v>
      </c>
      <c r="Q22" s="232">
        <f>4000</f>
        <v>4000</v>
      </c>
      <c r="R22" s="319">
        <f t="shared" si="6"/>
        <v>4500</v>
      </c>
      <c r="S22" s="78"/>
    </row>
    <row r="23" spans="1:19" x14ac:dyDescent="0.25">
      <c r="A23" s="191" t="s">
        <v>313</v>
      </c>
      <c r="B23" s="85"/>
      <c r="C23" s="85"/>
      <c r="D23" s="86">
        <f>'JANUARY 21'!H23:H30</f>
        <v>0</v>
      </c>
      <c r="E23" s="232">
        <v>6000</v>
      </c>
      <c r="F23" s="232">
        <f>B23+E23+D23</f>
        <v>6000</v>
      </c>
      <c r="G23" s="232">
        <v>6000</v>
      </c>
      <c r="H23" s="273">
        <f>F23-G23</f>
        <v>0</v>
      </c>
      <c r="I23" s="273"/>
      <c r="J23" s="78"/>
      <c r="K23" s="83">
        <v>3</v>
      </c>
      <c r="L23" s="110"/>
      <c r="M23" s="110"/>
      <c r="N23" s="232">
        <f>'JANUARY 21'!R23:R42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'JANUARY 21'!H24:H31</f>
        <v>0</v>
      </c>
      <c r="E24" s="110">
        <v>6000</v>
      </c>
      <c r="F24" s="232">
        <f t="shared" ref="F24:F30" si="7">B24+E24+D24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564</v>
      </c>
      <c r="M24" s="110"/>
      <c r="N24" s="232">
        <f>'JANUARY 21'!R24:R43</f>
        <v>2000</v>
      </c>
      <c r="O24" s="321">
        <v>3500</v>
      </c>
      <c r="P24" s="232">
        <f>M24+N24+O24</f>
        <v>5500</v>
      </c>
      <c r="Q24" s="319">
        <f>3500</f>
        <v>3500</v>
      </c>
      <c r="R24" s="319">
        <f t="shared" si="6"/>
        <v>2000</v>
      </c>
      <c r="S24" s="78"/>
    </row>
    <row r="25" spans="1:19" ht="22.5" x14ac:dyDescent="0.25">
      <c r="A25" s="191" t="s">
        <v>451</v>
      </c>
      <c r="B25" s="85"/>
      <c r="C25" s="85"/>
      <c r="D25" s="86">
        <f>'JANUARY 21'!H25:H32</f>
        <v>0</v>
      </c>
      <c r="E25" s="231">
        <v>4000</v>
      </c>
      <c r="F25" s="232">
        <f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613</v>
      </c>
      <c r="M25" s="85"/>
      <c r="N25" s="232">
        <f>'JANUARY 21'!R25:R44</f>
        <v>0</v>
      </c>
      <c r="O25" s="320">
        <v>3500</v>
      </c>
      <c r="P25" s="232">
        <f t="shared" si="5"/>
        <v>3500</v>
      </c>
      <c r="Q25" s="234"/>
      <c r="R25" s="319"/>
      <c r="S25" s="78" t="s">
        <v>473</v>
      </c>
    </row>
    <row r="26" spans="1:19" ht="22.5" x14ac:dyDescent="0.25">
      <c r="A26" s="191"/>
      <c r="B26" s="85"/>
      <c r="C26" s="85"/>
      <c r="D26" s="86">
        <f>'JANUARY 21'!H26:H33</f>
        <v>0</v>
      </c>
      <c r="E26" s="231"/>
      <c r="F26" s="232">
        <f t="shared" si="7"/>
        <v>0</v>
      </c>
      <c r="G26" s="110"/>
      <c r="H26" s="273"/>
      <c r="I26" s="273"/>
      <c r="J26" s="78"/>
      <c r="K26" s="83">
        <v>6</v>
      </c>
      <c r="L26" s="249" t="s">
        <v>501</v>
      </c>
      <c r="M26" s="110"/>
      <c r="N26" s="232">
        <f>'JANUARY 21'!R26:R45</f>
        <v>1500</v>
      </c>
      <c r="O26" s="325">
        <v>3500</v>
      </c>
      <c r="P26" s="232">
        <f t="shared" si="5"/>
        <v>5000</v>
      </c>
      <c r="Q26" s="326"/>
      <c r="R26" s="319">
        <f t="shared" si="6"/>
        <v>5000</v>
      </c>
      <c r="S26" s="78"/>
    </row>
    <row r="27" spans="1:19" ht="22.5" x14ac:dyDescent="0.25">
      <c r="A27" s="191" t="s">
        <v>350</v>
      </c>
      <c r="B27" s="86"/>
      <c r="C27" s="86"/>
      <c r="D27" s="86">
        <f>'JANUARY 21'!H27:H34</f>
        <v>12000</v>
      </c>
      <c r="E27" s="231">
        <v>4000</v>
      </c>
      <c r="F27" s="232">
        <f t="shared" si="7"/>
        <v>16000</v>
      </c>
      <c r="G27" s="110">
        <f>4000</f>
        <v>4000</v>
      </c>
      <c r="H27" s="273">
        <f t="shared" si="8"/>
        <v>12000</v>
      </c>
      <c r="I27" s="273"/>
      <c r="J27" s="78"/>
      <c r="K27" s="83">
        <v>7</v>
      </c>
      <c r="L27" s="249" t="s">
        <v>554</v>
      </c>
      <c r="M27" s="85"/>
      <c r="N27" s="232">
        <f>'JANUARY 21'!R27:R46</f>
        <v>0</v>
      </c>
      <c r="O27" s="320">
        <v>3500</v>
      </c>
      <c r="P27" s="232">
        <f t="shared" si="5"/>
        <v>3500</v>
      </c>
      <c r="Q27" s="234">
        <f>3500</f>
        <v>3500</v>
      </c>
      <c r="R27" s="319">
        <f t="shared" si="6"/>
        <v>0</v>
      </c>
      <c r="S27" s="220"/>
    </row>
    <row r="28" spans="1:19" ht="22.5" x14ac:dyDescent="0.25">
      <c r="A28" s="191" t="s">
        <v>392</v>
      </c>
      <c r="B28" s="85"/>
      <c r="C28" s="85"/>
      <c r="D28" s="86">
        <f>'JANUARY 21'!H28:H35</f>
        <v>8000</v>
      </c>
      <c r="E28" s="231">
        <v>4000</v>
      </c>
      <c r="F28" s="232">
        <f t="shared" si="7"/>
        <v>12000</v>
      </c>
      <c r="G28" s="110">
        <f>4000</f>
        <v>4000</v>
      </c>
      <c r="H28" s="273">
        <f t="shared" si="8"/>
        <v>8000</v>
      </c>
      <c r="I28" s="273"/>
      <c r="J28" s="220">
        <f>H31+I20</f>
        <v>39250</v>
      </c>
      <c r="K28" s="83">
        <v>8</v>
      </c>
      <c r="L28" s="249" t="s">
        <v>490</v>
      </c>
      <c r="M28" s="85"/>
      <c r="N28" s="232">
        <f>'JANUARY 21'!R28:R47</f>
        <v>1500</v>
      </c>
      <c r="O28" s="320">
        <v>3500</v>
      </c>
      <c r="P28" s="232">
        <f t="shared" si="5"/>
        <v>5000</v>
      </c>
      <c r="Q28" s="234">
        <f>3500</f>
        <v>3500</v>
      </c>
      <c r="R28" s="319">
        <f t="shared" si="6"/>
        <v>1500</v>
      </c>
      <c r="S28" s="78"/>
    </row>
    <row r="29" spans="1:19" ht="22.5" x14ac:dyDescent="0.25">
      <c r="A29" s="218" t="s">
        <v>539</v>
      </c>
      <c r="B29" s="85"/>
      <c r="C29" s="85"/>
      <c r="D29" s="86">
        <f>'JANUARY 21'!H29:H36</f>
        <v>0</v>
      </c>
      <c r="E29" s="231">
        <v>4000</v>
      </c>
      <c r="F29" s="232">
        <f t="shared" si="7"/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'JANUARY 21'!R29:R48</f>
        <v>1500</v>
      </c>
      <c r="O29" s="320">
        <v>3500</v>
      </c>
      <c r="P29" s="232">
        <f>M29+N29+O29</f>
        <v>5000</v>
      </c>
      <c r="Q29" s="234">
        <f>3500+1500</f>
        <v>5000</v>
      </c>
      <c r="R29" s="319">
        <f t="shared" si="6"/>
        <v>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'JANUARY 21'!H30:H37</f>
        <v>3000</v>
      </c>
      <c r="E30" s="231">
        <v>4000</v>
      </c>
      <c r="F30" s="232">
        <f t="shared" si="7"/>
        <v>7000</v>
      </c>
      <c r="G30" s="110">
        <f>3550+500</f>
        <v>4050</v>
      </c>
      <c r="H30" s="273">
        <f t="shared" si="8"/>
        <v>2950</v>
      </c>
      <c r="I30" s="273"/>
      <c r="J30" s="78"/>
      <c r="K30" s="83">
        <v>10</v>
      </c>
      <c r="L30" s="200" t="s">
        <v>553</v>
      </c>
      <c r="M30" s="85"/>
      <c r="N30" s="232">
        <f>'JANUARY 21'!R30:R49</f>
        <v>10100</v>
      </c>
      <c r="O30" s="320"/>
      <c r="P30" s="232">
        <f t="shared" si="5"/>
        <v>10100</v>
      </c>
      <c r="Q30" s="234"/>
      <c r="R30" s="319">
        <f t="shared" si="6"/>
        <v>10100</v>
      </c>
      <c r="S30" s="78" t="s">
        <v>473</v>
      </c>
    </row>
    <row r="31" spans="1:19" ht="22.5" x14ac:dyDescent="0.25">
      <c r="A31" s="339" t="s">
        <v>193</v>
      </c>
      <c r="B31" s="42"/>
      <c r="C31" s="42"/>
      <c r="D31" s="86">
        <f>SUM(D23:D30)</f>
        <v>23000</v>
      </c>
      <c r="E31" s="240">
        <f>SUM(E23:E30)</f>
        <v>32000</v>
      </c>
      <c r="F31" s="232">
        <f>SUM(F23:F30)</f>
        <v>55000</v>
      </c>
      <c r="G31" s="535">
        <f>SUM(G23:G30)</f>
        <v>32050</v>
      </c>
      <c r="H31" s="273">
        <f>F31-G31</f>
        <v>22950</v>
      </c>
      <c r="I31" s="273"/>
      <c r="J31" s="78"/>
      <c r="K31" s="83">
        <v>11</v>
      </c>
      <c r="L31" s="249" t="s">
        <v>474</v>
      </c>
      <c r="M31" s="85"/>
      <c r="N31" s="232">
        <f>'JANUARY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</row>
    <row r="32" spans="1:19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39250</v>
      </c>
      <c r="K32" s="83">
        <v>12</v>
      </c>
      <c r="L32" s="200" t="s">
        <v>615</v>
      </c>
      <c r="M32" s="85"/>
      <c r="N32" s="232">
        <f>'JANUARY 21'!R32:R51</f>
        <v>500</v>
      </c>
      <c r="O32" s="320">
        <v>3500</v>
      </c>
      <c r="P32" s="232">
        <f t="shared" si="5"/>
        <v>4000</v>
      </c>
      <c r="Q32" s="234">
        <f>3500</f>
        <v>3500</v>
      </c>
      <c r="R32" s="319">
        <f t="shared" si="6"/>
        <v>500</v>
      </c>
      <c r="S32" s="78"/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/>
      <c r="M33" s="85"/>
      <c r="N33" s="232">
        <f>'JANUARY 21'!R33:R52</f>
        <v>3500</v>
      </c>
      <c r="O33" s="320">
        <v>3500</v>
      </c>
      <c r="P33" s="232">
        <f>M33+N33+O33</f>
        <v>7000</v>
      </c>
      <c r="Q33" s="234"/>
      <c r="R33" s="319">
        <f>P33-Q33</f>
        <v>7000</v>
      </c>
      <c r="S33" s="78"/>
    </row>
    <row r="34" spans="1:19" x14ac:dyDescent="0.25">
      <c r="A34" s="211" t="s">
        <v>544</v>
      </c>
      <c r="B34" s="273">
        <f>E31+E20</f>
        <v>53000</v>
      </c>
      <c r="C34" s="273"/>
      <c r="D34" s="164"/>
      <c r="E34" s="164"/>
      <c r="F34" s="211" t="s">
        <v>544</v>
      </c>
      <c r="G34" s="273">
        <f>G31+H20</f>
        <v>47250</v>
      </c>
      <c r="H34" s="164"/>
      <c r="I34" s="273"/>
      <c r="J34" s="78"/>
      <c r="K34" s="83">
        <v>14</v>
      </c>
      <c r="L34" s="200" t="s">
        <v>480</v>
      </c>
      <c r="M34" s="85"/>
      <c r="N34" s="232">
        <f>'JANUARY 21'!R34:R53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x14ac:dyDescent="0.25">
      <c r="A35" s="211" t="s">
        <v>209</v>
      </c>
      <c r="B35" s="307">
        <v>0.1</v>
      </c>
      <c r="C35" s="307"/>
      <c r="D35" s="308">
        <f>B34*B35</f>
        <v>5300</v>
      </c>
      <c r="E35" s="211"/>
      <c r="F35" s="211" t="s">
        <v>209</v>
      </c>
      <c r="G35" s="307">
        <v>0.1</v>
      </c>
      <c r="H35" s="308">
        <f>D35</f>
        <v>5300</v>
      </c>
      <c r="I35" s="273"/>
      <c r="J35" s="78"/>
      <c r="K35" s="83">
        <v>15</v>
      </c>
      <c r="L35" s="200" t="s">
        <v>595</v>
      </c>
      <c r="M35" s="85"/>
      <c r="N35" s="232">
        <f>'JANUARY 21'!R35:R54</f>
        <v>3500</v>
      </c>
      <c r="O35" s="320">
        <v>3500</v>
      </c>
      <c r="P35" s="232">
        <f>M35+N35+O35</f>
        <v>7000</v>
      </c>
      <c r="Q35" s="234">
        <v>3500</v>
      </c>
      <c r="R35" s="319">
        <f>P35-Q35</f>
        <v>3500</v>
      </c>
      <c r="S35" s="78"/>
    </row>
    <row r="36" spans="1:19" x14ac:dyDescent="0.25">
      <c r="A36" s="309" t="s">
        <v>232</v>
      </c>
      <c r="B36" s="308">
        <f>F20</f>
        <v>700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'JANUARY 21'!R36:R55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579</v>
      </c>
      <c r="M37" s="85"/>
      <c r="N37" s="232">
        <f>'JANUARY 21'!R37:R56</f>
        <v>6500</v>
      </c>
      <c r="O37" s="320">
        <v>3500</v>
      </c>
      <c r="P37" s="232">
        <f t="shared" si="5"/>
        <v>10000</v>
      </c>
      <c r="Q37" s="234">
        <v>6000</v>
      </c>
      <c r="R37" s="319">
        <f t="shared" si="6"/>
        <v>4000</v>
      </c>
      <c r="S37" s="78"/>
    </row>
    <row r="38" spans="1:19" ht="22.5" x14ac:dyDescent="0.25">
      <c r="A38" s="309" t="s">
        <v>470</v>
      </c>
      <c r="B38" s="308">
        <f>C20</f>
        <v>3000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'JANUARY 21'!R38:R57</f>
        <v>5500</v>
      </c>
      <c r="O38" s="320">
        <v>3500</v>
      </c>
      <c r="P38" s="232">
        <f t="shared" si="5"/>
        <v>9000</v>
      </c>
      <c r="Q38" s="234">
        <f>4000+500</f>
        <v>4500</v>
      </c>
      <c r="R38" s="319">
        <f>P38-Q38</f>
        <v>4500</v>
      </c>
      <c r="S38" s="78"/>
    </row>
    <row r="39" spans="1:19" ht="22.5" x14ac:dyDescent="0.25">
      <c r="A39" s="309" t="s">
        <v>239</v>
      </c>
      <c r="B39" s="308">
        <f>'JANUARY 21'!E50</f>
        <v>79564.342305280035</v>
      </c>
      <c r="C39" s="308"/>
      <c r="D39" s="211"/>
      <c r="E39" s="211"/>
      <c r="F39" s="309" t="s">
        <v>239</v>
      </c>
      <c r="G39" s="308">
        <f>'JANUARY 21'!I50</f>
        <v>47100.275200000033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'JANUARY 21'!R39:R58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136264.34230528004</v>
      </c>
      <c r="C40" s="308"/>
      <c r="D40" s="211"/>
      <c r="E40" s="211"/>
      <c r="F40" s="309" t="s">
        <v>193</v>
      </c>
      <c r="G40" s="308">
        <f>G34+G36+G39+G37</f>
        <v>97350.275200000033</v>
      </c>
      <c r="H40" s="211"/>
      <c r="I40" s="273"/>
      <c r="J40" s="78"/>
      <c r="K40" s="83">
        <v>20</v>
      </c>
      <c r="L40" s="200" t="s">
        <v>497</v>
      </c>
      <c r="M40" s="85"/>
      <c r="N40" s="232">
        <f>'JANUARY 21'!R40:R59</f>
        <v>13000</v>
      </c>
      <c r="O40" s="320">
        <v>3500</v>
      </c>
      <c r="P40" s="232">
        <f>M40+N40+O40</f>
        <v>16500</v>
      </c>
      <c r="Q40" s="234">
        <f>2500+500</f>
        <v>3000</v>
      </c>
      <c r="R40" s="319">
        <f>P40-Q40</f>
        <v>13500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/>
      <c r="K41" s="83"/>
      <c r="L41" s="204" t="s">
        <v>193</v>
      </c>
      <c r="M41" s="205">
        <f>SUM(M21:M40)</f>
        <v>0</v>
      </c>
      <c r="N41" s="232">
        <f>SUM(N21:N40)</f>
        <v>54100</v>
      </c>
      <c r="O41" s="239">
        <f>SUM(O21:O40)</f>
        <v>63000</v>
      </c>
      <c r="P41" s="232">
        <f>M41+N41+O41</f>
        <v>117100</v>
      </c>
      <c r="Q41" s="240">
        <f>SUM(Q21:Q40)</f>
        <v>57500</v>
      </c>
      <c r="R41" s="319">
        <f>P41-Q41</f>
        <v>59600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'OCTOBER 20'!Q42:Q61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'OCTOBER 20'!Q43:Q62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544</v>
      </c>
      <c r="L44" s="273">
        <f>O41+O19</f>
        <v>85000</v>
      </c>
      <c r="M44" s="164"/>
      <c r="N44" s="232">
        <f>'OCTOBER 20'!Q44:Q63</f>
        <v>0</v>
      </c>
      <c r="O44" s="211" t="s">
        <v>544</v>
      </c>
      <c r="P44" s="273">
        <f>Q41+Q19</f>
        <v>78400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B45*E12</f>
        <v>900</v>
      </c>
      <c r="E45" s="370"/>
      <c r="F45" s="370" t="s">
        <v>408</v>
      </c>
      <c r="G45" s="449">
        <v>0.3</v>
      </c>
      <c r="H45" s="368">
        <f>G45*C12</f>
        <v>900</v>
      </c>
      <c r="I45" s="368"/>
      <c r="J45" s="78"/>
      <c r="K45" s="211" t="s">
        <v>209</v>
      </c>
      <c r="L45" s="307">
        <v>0.1</v>
      </c>
      <c r="M45" s="308">
        <f>L44*L45</f>
        <v>8500</v>
      </c>
      <c r="N45" s="211"/>
      <c r="O45" s="211" t="s">
        <v>209</v>
      </c>
      <c r="P45" s="307">
        <v>0.1</v>
      </c>
      <c r="Q45" s="308">
        <f>M45</f>
        <v>8500</v>
      </c>
      <c r="R45" s="273"/>
      <c r="S45" s="78"/>
    </row>
    <row r="46" spans="1:19" x14ac:dyDescent="0.25">
      <c r="A46" s="370" t="s">
        <v>632</v>
      </c>
      <c r="B46" s="370"/>
      <c r="C46" s="370"/>
      <c r="D46" s="368">
        <v>46800</v>
      </c>
      <c r="E46" s="370"/>
      <c r="F46" s="370" t="s">
        <v>632</v>
      </c>
      <c r="G46" s="370"/>
      <c r="H46" s="370">
        <v>46800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641</v>
      </c>
      <c r="B47" s="370"/>
      <c r="C47" s="370"/>
      <c r="D47" s="371">
        <v>1100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L47*M21+(L47*M25)+(L47*M32)</f>
        <v>0</v>
      </c>
      <c r="N47" s="211"/>
      <c r="O47" s="211" t="s">
        <v>408</v>
      </c>
      <c r="P47" s="307">
        <v>0.3</v>
      </c>
      <c r="Q47" s="308">
        <f>M47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'JANUARY 21'!N55</f>
        <v>108753.29999999999</v>
      </c>
      <c r="M49" s="211"/>
      <c r="N49" s="211"/>
      <c r="O49" s="309" t="s">
        <v>239</v>
      </c>
      <c r="P49" s="308">
        <f>'JANUARY 21'!R55</f>
        <v>61656.899999999965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133964.34230528004</v>
      </c>
      <c r="C50" s="317"/>
      <c r="D50" s="318">
        <f>SUM(D41:D49)</f>
        <v>51800</v>
      </c>
      <c r="E50" s="318">
        <f>B50-D50</f>
        <v>82164.342305280035</v>
      </c>
      <c r="F50" s="166" t="s">
        <v>193</v>
      </c>
      <c r="G50" s="317">
        <f>G34+G36+G37+G39-H35</f>
        <v>92050.275200000033</v>
      </c>
      <c r="H50" s="318">
        <f>SUM(H41:H49)</f>
        <v>50700</v>
      </c>
      <c r="I50" s="318">
        <f>G50-H50</f>
        <v>41350.275200000033</v>
      </c>
      <c r="J50" s="78"/>
      <c r="K50" s="309" t="s">
        <v>193</v>
      </c>
      <c r="L50" s="308">
        <f>L44+L46+L49+L48</f>
        <v>193753.3</v>
      </c>
      <c r="M50" s="211"/>
      <c r="N50" s="211"/>
      <c r="O50" s="309" t="s">
        <v>193</v>
      </c>
      <c r="P50" s="308">
        <f>P44+P46+P49+P47</f>
        <v>140057.19999999995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-157000000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633</v>
      </c>
      <c r="L52" s="380"/>
      <c r="M52" s="367">
        <v>62000</v>
      </c>
      <c r="N52" s="366"/>
      <c r="O52" s="365" t="s">
        <v>633</v>
      </c>
      <c r="P52" s="380"/>
      <c r="Q52" s="367">
        <v>62000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635</v>
      </c>
      <c r="L53" s="370"/>
      <c r="M53" s="371">
        <f>10100</f>
        <v>10100</v>
      </c>
      <c r="N53" s="366"/>
      <c r="O53" s="365"/>
      <c r="P53" s="380"/>
      <c r="Q53" s="367"/>
      <c r="R53" s="368"/>
      <c r="S53" s="78"/>
    </row>
    <row r="54" spans="1:19" s="78" customFormat="1" x14ac:dyDescent="0.25">
      <c r="A54" s="150"/>
      <c r="B54" s="150"/>
      <c r="D54" s="150"/>
      <c r="H54" s="150"/>
      <c r="K54" s="369" t="s">
        <v>642</v>
      </c>
      <c r="L54" s="370"/>
      <c r="M54" s="371">
        <v>4500</v>
      </c>
      <c r="N54" s="366"/>
      <c r="O54" s="365"/>
      <c r="P54" s="380"/>
      <c r="Q54" s="367"/>
      <c r="R54" s="368"/>
    </row>
    <row r="55" spans="1:19" s="78" customFormat="1" x14ac:dyDescent="0.25">
      <c r="A55" s="150"/>
      <c r="B55" s="150"/>
      <c r="D55" s="150"/>
      <c r="H55" s="150"/>
      <c r="K55" s="369" t="s">
        <v>643</v>
      </c>
      <c r="L55" s="370"/>
      <c r="M55" s="371">
        <f>P26</f>
        <v>5000</v>
      </c>
      <c r="N55" s="366"/>
      <c r="O55" s="365"/>
      <c r="P55" s="380"/>
      <c r="Q55" s="367"/>
      <c r="R55" s="368"/>
    </row>
    <row r="56" spans="1:19" s="78" customFormat="1" x14ac:dyDescent="0.25">
      <c r="A56" s="150"/>
      <c r="B56" s="150"/>
      <c r="D56" s="150"/>
      <c r="H56" s="150"/>
      <c r="K56" s="369" t="s">
        <v>644</v>
      </c>
      <c r="L56" s="370"/>
      <c r="M56" s="371">
        <f>4000</f>
        <v>4000</v>
      </c>
      <c r="N56" s="366"/>
      <c r="O56" s="365"/>
      <c r="P56" s="380"/>
      <c r="Q56" s="367"/>
      <c r="R56" s="368"/>
    </row>
    <row r="57" spans="1:19" x14ac:dyDescent="0.25">
      <c r="A57" s="150"/>
      <c r="B57" s="150"/>
      <c r="C57" s="150"/>
      <c r="D57" s="269"/>
      <c r="E57" s="150"/>
      <c r="F57" s="269"/>
      <c r="G57" s="150"/>
      <c r="H57" s="150"/>
      <c r="I57" s="269"/>
      <c r="J57" s="78"/>
      <c r="K57" s="369" t="s">
        <v>640</v>
      </c>
      <c r="L57" s="370"/>
      <c r="M57" s="371">
        <v>3500</v>
      </c>
      <c r="N57" s="370"/>
      <c r="O57" s="369"/>
      <c r="P57" s="370"/>
      <c r="Q57" s="371"/>
      <c r="R57" s="368"/>
      <c r="S57" s="78"/>
    </row>
    <row r="58" spans="1:19" x14ac:dyDescent="0.25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166" t="s">
        <v>193</v>
      </c>
      <c r="L58" s="317">
        <f>L44+L48+L49-M45</f>
        <v>185253.3</v>
      </c>
      <c r="M58" s="318">
        <f>SUM(M47:M57)</f>
        <v>89100</v>
      </c>
      <c r="N58" s="318">
        <f>L58-M58</f>
        <v>96153.299999999988</v>
      </c>
      <c r="O58" s="166" t="s">
        <v>193</v>
      </c>
      <c r="P58" s="317">
        <f>P44+P46+P47+P49-Q45</f>
        <v>131557.19999999995</v>
      </c>
      <c r="Q58" s="318">
        <f>SUM(Q47:Q57)</f>
        <v>62000</v>
      </c>
      <c r="R58" s="318">
        <f>P58-Q58</f>
        <v>69557.199999999953</v>
      </c>
      <c r="S58" s="78"/>
    </row>
    <row r="59" spans="1:19" x14ac:dyDescent="0.25">
      <c r="A59" s="78"/>
      <c r="B59" s="78"/>
      <c r="C59" s="78"/>
      <c r="D59" s="78"/>
      <c r="E59" s="78"/>
      <c r="F59" s="78"/>
      <c r="G59" s="220"/>
      <c r="H59" s="78"/>
      <c r="I59" s="78"/>
      <c r="J59" s="78"/>
      <c r="K59" s="150" t="s">
        <v>71</v>
      </c>
      <c r="L59" s="79"/>
      <c r="M59" s="78"/>
      <c r="N59" s="150" t="s">
        <v>72</v>
      </c>
      <c r="O59" s="78"/>
      <c r="P59" s="78"/>
      <c r="Q59" s="150" t="s">
        <v>73</v>
      </c>
      <c r="R59" s="269"/>
      <c r="S59" s="220"/>
    </row>
    <row r="60" spans="1:19" x14ac:dyDescent="0.25">
      <c r="A60" s="78"/>
      <c r="B60" s="78"/>
      <c r="C60" s="78"/>
      <c r="D60" s="78"/>
      <c r="E60" s="78"/>
      <c r="F60" s="78"/>
      <c r="G60" s="78"/>
      <c r="H60" s="220">
        <f>R58+I50</f>
        <v>110907.47519999999</v>
      </c>
      <c r="I60" s="78"/>
      <c r="J60" s="78"/>
      <c r="K60" s="150" t="s">
        <v>471</v>
      </c>
      <c r="L60" s="150"/>
      <c r="M60" s="78"/>
      <c r="N60" s="150" t="s">
        <v>135</v>
      </c>
      <c r="O60" s="78"/>
      <c r="P60" s="78"/>
      <c r="Q60" s="150" t="s">
        <v>130</v>
      </c>
      <c r="R60" s="78"/>
      <c r="S60" s="220"/>
    </row>
    <row r="61" spans="1:19" x14ac:dyDescent="0.25">
      <c r="A61" s="78"/>
      <c r="B61" s="78"/>
      <c r="C61" s="78"/>
      <c r="D61" s="78"/>
      <c r="E61" s="78"/>
      <c r="F61" s="78"/>
      <c r="G61" s="220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1:19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19" x14ac:dyDescent="0.25">
      <c r="A63" s="78"/>
      <c r="B63" s="78"/>
      <c r="C63" s="78"/>
      <c r="D63" s="78"/>
      <c r="E63" s="78"/>
      <c r="F63" s="78"/>
      <c r="G63" s="78"/>
      <c r="H63" s="78"/>
      <c r="I63" s="220"/>
      <c r="J63" s="78"/>
      <c r="K63" s="78"/>
      <c r="L63" s="78"/>
      <c r="M63" s="78"/>
      <c r="N63" s="78"/>
      <c r="O63" s="78"/>
      <c r="P63" s="78"/>
      <c r="Q63" s="78"/>
      <c r="R63" s="78"/>
      <c r="S63" s="7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G25" sqref="G25"/>
    </sheetView>
  </sheetViews>
  <sheetFormatPr defaultRowHeight="15" x14ac:dyDescent="0.25"/>
  <cols>
    <col min="2" max="2" width="13.42578125" customWidth="1"/>
    <col min="4" max="4" width="11.28515625" customWidth="1"/>
    <col min="8" max="8" width="10" bestFit="1" customWidth="1"/>
    <col min="9" max="9" width="10.28515625" customWidth="1"/>
  </cols>
  <sheetData>
    <row r="1" spans="1:12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  <c r="J1" s="61"/>
      <c r="K1" s="62"/>
      <c r="L1" s="61"/>
    </row>
    <row r="2" spans="1:12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  <c r="J2" s="7"/>
      <c r="K2" s="5"/>
      <c r="L2" s="5"/>
    </row>
    <row r="3" spans="1:12" ht="21" x14ac:dyDescent="0.25">
      <c r="A3" s="8"/>
      <c r="B3" s="64" t="s">
        <v>160</v>
      </c>
      <c r="C3" s="11"/>
      <c r="D3" s="11"/>
      <c r="E3" s="11"/>
      <c r="F3" s="103"/>
      <c r="G3" s="103"/>
      <c r="H3" s="103"/>
      <c r="I3" s="78"/>
      <c r="J3" s="80"/>
      <c r="K3" s="80"/>
      <c r="L3" s="80"/>
    </row>
    <row r="4" spans="1:12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  <c r="J4" s="15" t="s">
        <v>14</v>
      </c>
      <c r="K4" s="15" t="s">
        <v>15</v>
      </c>
      <c r="L4" s="15" t="s">
        <v>16</v>
      </c>
    </row>
    <row r="5" spans="1:12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  <c r="J5" s="18"/>
      <c r="K5" s="18">
        <v>0</v>
      </c>
      <c r="L5" s="18">
        <f>G5-H5-I5</f>
        <v>0</v>
      </c>
    </row>
    <row r="6" spans="1:12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  <c r="J6" s="18"/>
      <c r="K6" s="18"/>
      <c r="L6" s="18">
        <f t="shared" ref="L6:L28" si="1">G6-H6-I6</f>
        <v>0</v>
      </c>
    </row>
    <row r="7" spans="1:12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  <c r="J7" s="68"/>
      <c r="K7" s="68"/>
      <c r="L7" s="18">
        <f t="shared" si="1"/>
        <v>0</v>
      </c>
    </row>
    <row r="8" spans="1:12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  <c r="J8" s="74"/>
      <c r="K8" s="75"/>
      <c r="L8" s="18">
        <f t="shared" si="1"/>
        <v>0</v>
      </c>
    </row>
    <row r="9" spans="1:12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  <c r="J9" s="74"/>
      <c r="K9" s="75"/>
      <c r="L9" s="18">
        <f t="shared" si="1"/>
        <v>0</v>
      </c>
    </row>
    <row r="10" spans="1:12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  <c r="J10" s="74"/>
      <c r="K10" s="75"/>
      <c r="L10" s="18">
        <f t="shared" si="1"/>
        <v>-1500</v>
      </c>
    </row>
    <row r="11" spans="1:12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  <c r="J11" s="74"/>
      <c r="K11" s="76"/>
      <c r="L11" s="18">
        <f t="shared" si="1"/>
        <v>0</v>
      </c>
    </row>
    <row r="12" spans="1:12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  <c r="J12" s="113"/>
      <c r="K12" s="113"/>
      <c r="L12" s="18">
        <f t="shared" si="1"/>
        <v>-2600</v>
      </c>
    </row>
    <row r="13" spans="1:12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  <c r="J13" s="18">
        <v>0</v>
      </c>
      <c r="K13" s="18">
        <v>0</v>
      </c>
      <c r="L13" s="18">
        <f t="shared" si="1"/>
        <v>0</v>
      </c>
    </row>
    <row r="14" spans="1:12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  <c r="J14" s="18"/>
      <c r="K14" s="18">
        <v>0</v>
      </c>
      <c r="L14" s="18">
        <f t="shared" si="1"/>
        <v>0</v>
      </c>
    </row>
    <row r="15" spans="1:12" x14ac:dyDescent="0.25">
      <c r="A15" s="16">
        <v>11</v>
      </c>
      <c r="B15" s="116" t="s">
        <v>149</v>
      </c>
      <c r="C15" s="17" t="s">
        <v>38</v>
      </c>
      <c r="D15" s="18">
        <v>2500</v>
      </c>
      <c r="E15" s="18">
        <v>2500</v>
      </c>
      <c r="F15" s="18"/>
      <c r="G15" s="18">
        <v>2500</v>
      </c>
      <c r="H15" s="19">
        <v>2500</v>
      </c>
      <c r="I15" s="19"/>
      <c r="J15" s="18">
        <v>0</v>
      </c>
      <c r="K15" s="18">
        <v>0</v>
      </c>
      <c r="L15" s="18">
        <f t="shared" si="1"/>
        <v>0</v>
      </c>
    </row>
    <row r="16" spans="1:12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  <c r="J16" s="18"/>
      <c r="K16" s="18">
        <v>0</v>
      </c>
      <c r="L16" s="18">
        <f t="shared" si="1"/>
        <v>0</v>
      </c>
    </row>
    <row r="17" spans="1:12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  <c r="J17" s="18">
        <v>0</v>
      </c>
      <c r="K17" s="18">
        <v>0</v>
      </c>
      <c r="L17" s="18">
        <f t="shared" si="1"/>
        <v>0</v>
      </c>
    </row>
    <row r="18" spans="1:12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  <c r="J18" s="18"/>
      <c r="K18" s="18"/>
      <c r="L18" s="18">
        <f t="shared" si="1"/>
        <v>0</v>
      </c>
    </row>
    <row r="19" spans="1:12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  <c r="J19" s="18"/>
      <c r="K19" s="18">
        <v>0</v>
      </c>
      <c r="L19" s="18">
        <f t="shared" si="1"/>
        <v>0</v>
      </c>
    </row>
    <row r="20" spans="1:12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  <c r="J20" s="18">
        <v>0</v>
      </c>
      <c r="K20" s="18">
        <v>0</v>
      </c>
      <c r="L20" s="18">
        <f t="shared" si="1"/>
        <v>0</v>
      </c>
    </row>
    <row r="21" spans="1:12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  <c r="J21" s="22"/>
      <c r="K21" s="113"/>
      <c r="L21" s="18">
        <f t="shared" si="1"/>
        <v>0</v>
      </c>
    </row>
    <row r="22" spans="1:12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  <c r="J22" s="22"/>
      <c r="K22" s="113"/>
      <c r="L22" s="18">
        <f t="shared" si="1"/>
        <v>0</v>
      </c>
    </row>
    <row r="23" spans="1:12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  <c r="J23" s="22"/>
      <c r="K23" s="113"/>
      <c r="L23" s="18">
        <f t="shared" si="1"/>
        <v>0</v>
      </c>
    </row>
    <row r="24" spans="1:12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  <c r="J24" s="22"/>
      <c r="K24" s="113"/>
      <c r="L24" s="18">
        <f t="shared" si="1"/>
        <v>0</v>
      </c>
    </row>
    <row r="25" spans="1:12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  <c r="J25" s="22"/>
      <c r="K25" s="113"/>
      <c r="L25" s="18">
        <f t="shared" si="1"/>
        <v>-3000</v>
      </c>
    </row>
    <row r="26" spans="1:12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  <c r="J26" s="22"/>
      <c r="K26" s="113"/>
      <c r="L26" s="18">
        <f t="shared" si="1"/>
        <v>0</v>
      </c>
    </row>
    <row r="27" spans="1:12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>
        <v>3100</v>
      </c>
      <c r="I27" s="19"/>
      <c r="J27" s="22"/>
      <c r="K27" s="113"/>
      <c r="L27" s="18">
        <f t="shared" si="1"/>
        <v>0</v>
      </c>
    </row>
    <row r="28" spans="1:12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  <c r="J28" s="35"/>
      <c r="K28" s="36"/>
      <c r="L28" s="18">
        <f t="shared" si="1"/>
        <v>0</v>
      </c>
    </row>
    <row r="29" spans="1:12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  <c r="J29" s="18"/>
      <c r="K29" s="18"/>
      <c r="L29" s="18"/>
    </row>
    <row r="30" spans="1:12" x14ac:dyDescent="0.25">
      <c r="A30" s="38"/>
      <c r="B30" s="39" t="s">
        <v>65</v>
      </c>
      <c r="C30" s="38"/>
      <c r="D30" s="102">
        <f ca="1">SUM(D5:D30)</f>
        <v>44345115000</v>
      </c>
      <c r="E30" s="40">
        <f>SUM(E5:E29)</f>
        <v>64000</v>
      </c>
      <c r="F30" s="42">
        <f>SUM(F5:F28)</f>
        <v>2200</v>
      </c>
      <c r="G30" s="18">
        <f>SUM(G5:G29)</f>
        <v>66200</v>
      </c>
      <c r="H30" s="40">
        <f>SUM(H5:H29)</f>
        <v>71400</v>
      </c>
      <c r="I30" s="40">
        <f>SUM(I5:I28)</f>
        <v>1900</v>
      </c>
      <c r="J30" s="41">
        <f>SUM(J5:J20)</f>
        <v>0</v>
      </c>
      <c r="K30" s="41">
        <f>SUM(K5:K20)</f>
        <v>0</v>
      </c>
      <c r="L30" s="42">
        <f>SUM(L5:L20)</f>
        <v>-4100</v>
      </c>
    </row>
    <row r="31" spans="1:12" x14ac:dyDescent="0.25">
      <c r="A31" s="78"/>
      <c r="B31" s="78"/>
      <c r="C31" s="78"/>
      <c r="E31" s="78"/>
      <c r="F31" s="78"/>
      <c r="G31" s="78"/>
      <c r="H31" s="78"/>
      <c r="I31" s="78"/>
      <c r="J31" s="78"/>
      <c r="K31" s="78"/>
      <c r="L31" s="78"/>
    </row>
    <row r="32" spans="1:12" ht="21" x14ac:dyDescent="0.25">
      <c r="A32" s="80"/>
      <c r="B32" s="80"/>
      <c r="C32" s="104" t="s">
        <v>103</v>
      </c>
      <c r="D32" s="78"/>
      <c r="E32" s="103"/>
      <c r="F32" s="103"/>
      <c r="G32" s="103"/>
      <c r="H32" s="78" t="s">
        <v>159</v>
      </c>
      <c r="I32" s="78"/>
      <c r="J32" s="78"/>
      <c r="K32" s="78"/>
      <c r="L32" s="78"/>
    </row>
    <row r="33" spans="1:12" ht="21" x14ac:dyDescent="0.25">
      <c r="A33" s="80"/>
      <c r="B33" s="80"/>
      <c r="C33" s="103"/>
      <c r="D33" s="104"/>
      <c r="E33" s="103"/>
      <c r="F33" s="103"/>
      <c r="G33" s="103"/>
      <c r="H33" s="78"/>
      <c r="I33" s="78"/>
      <c r="J33" s="78"/>
      <c r="K33" s="78"/>
      <c r="L33" s="78"/>
    </row>
    <row r="34" spans="1:12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  <c r="J34" s="78">
        <v>33000</v>
      </c>
      <c r="K34" s="78">
        <v>5</v>
      </c>
      <c r="L34" s="78">
        <f>J34/K34</f>
        <v>6600</v>
      </c>
    </row>
    <row r="35" spans="1:12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  <c r="J35" s="78"/>
      <c r="K35" s="78"/>
      <c r="L35" s="78"/>
    </row>
    <row r="36" spans="1:12" x14ac:dyDescent="0.25">
      <c r="A36" s="83" t="s">
        <v>108</v>
      </c>
      <c r="B36" s="84" t="s">
        <v>109</v>
      </c>
      <c r="C36" s="85"/>
      <c r="D36" s="86">
        <v>0</v>
      </c>
      <c r="E36" s="85"/>
      <c r="F36" s="86"/>
      <c r="G36" s="86"/>
      <c r="H36" s="113"/>
      <c r="I36" s="78"/>
      <c r="J36" s="78"/>
      <c r="K36" s="78" t="s">
        <v>161</v>
      </c>
      <c r="L36" s="78"/>
    </row>
    <row r="37" spans="1:12" x14ac:dyDescent="0.25">
      <c r="A37" s="83" t="s">
        <v>110</v>
      </c>
      <c r="B37" s="121" t="s">
        <v>149</v>
      </c>
      <c r="C37" s="85"/>
      <c r="D37" s="86"/>
      <c r="E37" s="85">
        <v>2500</v>
      </c>
      <c r="F37" s="86">
        <v>2500</v>
      </c>
      <c r="G37" s="98">
        <v>2500</v>
      </c>
      <c r="H37" s="113"/>
      <c r="I37" s="78"/>
      <c r="J37" s="78"/>
      <c r="K37" s="78"/>
      <c r="L37" s="78"/>
    </row>
    <row r="38" spans="1:12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  <c r="J38" s="78"/>
      <c r="K38" s="78"/>
      <c r="L38" s="78"/>
    </row>
    <row r="39" spans="1:12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  <c r="J39" s="78"/>
      <c r="K39" s="78"/>
      <c r="L39" s="78"/>
    </row>
    <row r="40" spans="1:12" x14ac:dyDescent="0.25">
      <c r="A40" s="93" t="s">
        <v>116</v>
      </c>
      <c r="B40" s="84" t="s">
        <v>149</v>
      </c>
      <c r="C40" s="94"/>
      <c r="D40" s="92">
        <v>0</v>
      </c>
      <c r="E40" s="94">
        <v>2500</v>
      </c>
      <c r="F40" s="95">
        <v>2500</v>
      </c>
      <c r="G40" s="115">
        <v>2500</v>
      </c>
      <c r="H40" s="113"/>
      <c r="I40" s="78"/>
      <c r="J40" s="78"/>
      <c r="K40" s="78">
        <v>2500</v>
      </c>
      <c r="L40" s="78">
        <v>4</v>
      </c>
    </row>
    <row r="41" spans="1:12" x14ac:dyDescent="0.25">
      <c r="A41" s="83" t="s">
        <v>119</v>
      </c>
      <c r="B41" s="120" t="s">
        <v>120</v>
      </c>
      <c r="C41" s="85"/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  <c r="J41" s="78"/>
      <c r="K41" s="78"/>
      <c r="L41" s="78"/>
    </row>
    <row r="42" spans="1:12" x14ac:dyDescent="0.25">
      <c r="A42" s="83" t="s">
        <v>121</v>
      </c>
      <c r="B42" s="121" t="s">
        <v>149</v>
      </c>
      <c r="C42" s="85"/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  <c r="J42" s="78"/>
      <c r="K42" s="78"/>
      <c r="L42" s="78"/>
    </row>
    <row r="43" spans="1:12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  <c r="J43" s="78"/>
      <c r="K43" s="78"/>
      <c r="L43" s="78"/>
    </row>
    <row r="44" spans="1:12" x14ac:dyDescent="0.25">
      <c r="A44" s="83" t="s">
        <v>125</v>
      </c>
      <c r="B44" s="121" t="s">
        <v>107</v>
      </c>
      <c r="C44" s="85"/>
      <c r="D44" s="92">
        <v>0</v>
      </c>
      <c r="E44" s="85">
        <v>1500</v>
      </c>
      <c r="F44" s="86">
        <v>1500</v>
      </c>
      <c r="G44" s="98"/>
      <c r="H44" s="113"/>
      <c r="I44" s="78"/>
      <c r="J44" s="78"/>
      <c r="K44" s="78"/>
      <c r="L44" s="78"/>
    </row>
    <row r="45" spans="1:12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  <c r="J45" s="78"/>
      <c r="K45" s="78"/>
      <c r="L45" s="78"/>
    </row>
    <row r="46" spans="1:12" x14ac:dyDescent="0.25">
      <c r="A46" s="96"/>
      <c r="B46" s="84"/>
      <c r="C46" s="86"/>
      <c r="D46" s="92"/>
      <c r="E46" s="86"/>
      <c r="F46" s="86"/>
      <c r="G46" s="86"/>
      <c r="H46" s="113"/>
      <c r="I46" s="78"/>
      <c r="J46" s="78"/>
      <c r="K46" s="102"/>
      <c r="L46" s="102">
        <f ca="1">C57+D30</f>
        <v>44345119500</v>
      </c>
    </row>
    <row r="47" spans="1:12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  <c r="J47" s="78"/>
      <c r="K47" s="78"/>
      <c r="L47" s="78"/>
    </row>
    <row r="48" spans="1:12" x14ac:dyDescent="0.25">
      <c r="A48" s="109"/>
      <c r="B48" s="109"/>
      <c r="C48" s="111"/>
      <c r="D48" s="112"/>
      <c r="E48" s="111"/>
      <c r="F48" s="111"/>
      <c r="G48" s="111"/>
      <c r="H48" s="78"/>
      <c r="I48" s="78"/>
      <c r="J48" s="78"/>
      <c r="K48" s="78"/>
      <c r="L48" s="78"/>
    </row>
    <row r="49" spans="1:12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  <c r="J49" s="78"/>
      <c r="K49" s="78"/>
      <c r="L49" s="78"/>
    </row>
    <row r="50" spans="1:12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  <c r="J50" s="78"/>
      <c r="K50" s="78"/>
      <c r="L50" s="78"/>
    </row>
    <row r="51" spans="1:12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  <c r="J51" s="78"/>
      <c r="K51" s="78"/>
      <c r="L51" s="78"/>
    </row>
    <row r="52" spans="1:12" x14ac:dyDescent="0.25">
      <c r="A52" s="87">
        <v>4</v>
      </c>
      <c r="B52" s="116" t="s">
        <v>107</v>
      </c>
      <c r="C52" s="86">
        <v>4500</v>
      </c>
      <c r="E52" s="85">
        <v>4500</v>
      </c>
      <c r="F52" s="86"/>
      <c r="G52" s="86"/>
      <c r="H52" s="78"/>
      <c r="I52" s="78"/>
      <c r="J52" s="78"/>
      <c r="K52" s="78"/>
      <c r="L52" s="78"/>
    </row>
    <row r="53" spans="1:12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  <c r="J53" s="78"/>
      <c r="K53" s="78"/>
      <c r="L53" s="78"/>
    </row>
    <row r="54" spans="1:12" x14ac:dyDescent="0.25">
      <c r="A54" s="93">
        <v>6</v>
      </c>
      <c r="B54" s="116" t="s">
        <v>98</v>
      </c>
      <c r="C54" s="85"/>
      <c r="D54" s="86"/>
      <c r="E54" s="85">
        <v>4500</v>
      </c>
      <c r="F54" s="86"/>
      <c r="G54" s="86"/>
      <c r="H54" s="78"/>
      <c r="I54" s="78"/>
      <c r="J54" s="78"/>
      <c r="K54" s="78"/>
      <c r="L54" s="78"/>
    </row>
    <row r="55" spans="1:12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  <c r="J55" s="78"/>
      <c r="K55" s="78"/>
      <c r="L55" s="78">
        <v>4500</v>
      </c>
    </row>
    <row r="56" spans="1:12" x14ac:dyDescent="0.25">
      <c r="A56" s="96"/>
      <c r="B56" s="84"/>
      <c r="C56" s="86"/>
      <c r="D56" s="92"/>
      <c r="E56" s="86"/>
      <c r="F56" s="86"/>
      <c r="G56" s="86"/>
      <c r="H56" s="78"/>
      <c r="I56" s="78"/>
      <c r="J56" s="78"/>
      <c r="K56" s="78"/>
      <c r="L56" s="78">
        <v>2500</v>
      </c>
    </row>
    <row r="57" spans="1:12" x14ac:dyDescent="0.25">
      <c r="A57" s="97"/>
      <c r="B57" s="97"/>
      <c r="C57" s="98">
        <v>4500</v>
      </c>
      <c r="D57" s="98"/>
      <c r="E57" s="98">
        <v>27000</v>
      </c>
      <c r="F57" s="98">
        <v>27000</v>
      </c>
      <c r="G57" s="98">
        <v>27000</v>
      </c>
      <c r="H57" s="78"/>
      <c r="I57" s="78"/>
      <c r="J57" s="78"/>
      <c r="K57" s="78"/>
      <c r="L57" s="78">
        <f>SUM(L55:L56)</f>
        <v>7000</v>
      </c>
    </row>
    <row r="58" spans="1:12" x14ac:dyDescent="0.25">
      <c r="A58" s="79"/>
      <c r="B58" s="79"/>
      <c r="C58" s="106"/>
      <c r="D58" s="107"/>
      <c r="E58" s="106"/>
      <c r="F58" s="108"/>
      <c r="G58" s="106"/>
      <c r="H58" s="78"/>
      <c r="I58" s="78"/>
      <c r="J58" s="78"/>
      <c r="K58" s="78"/>
      <c r="L58" s="78"/>
    </row>
    <row r="59" spans="1:12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  <c r="J59" s="48"/>
      <c r="K59" s="49"/>
      <c r="L59" s="49"/>
    </row>
    <row r="60" spans="1:12" x14ac:dyDescent="0.25">
      <c r="A60" s="50"/>
      <c r="B60" s="46" t="s">
        <v>67</v>
      </c>
      <c r="C60" s="50"/>
      <c r="D60" s="102">
        <f>E30+E47+E57</f>
        <v>110500</v>
      </c>
      <c r="E60" s="78"/>
      <c r="F60" s="78"/>
      <c r="G60" s="78"/>
      <c r="H60" s="78"/>
      <c r="I60" s="78"/>
      <c r="J60" s="79"/>
      <c r="K60" s="50"/>
      <c r="L60" s="78" t="s">
        <v>158</v>
      </c>
    </row>
    <row r="61" spans="1:12" x14ac:dyDescent="0.25">
      <c r="A61" s="50"/>
      <c r="B61" s="46" t="s">
        <v>150</v>
      </c>
      <c r="C61" s="50"/>
      <c r="D61">
        <v>7000</v>
      </c>
      <c r="F61" s="78"/>
      <c r="G61" s="78"/>
      <c r="H61" s="78"/>
      <c r="I61" s="102"/>
      <c r="J61" s="79"/>
      <c r="K61" s="50"/>
      <c r="L61" s="78"/>
    </row>
    <row r="62" spans="1:12" x14ac:dyDescent="0.25">
      <c r="A62" s="50"/>
      <c r="B62" s="46" t="s">
        <v>10</v>
      </c>
      <c r="C62" s="78"/>
      <c r="D62" s="79">
        <v>2300</v>
      </c>
      <c r="E62" s="79"/>
      <c r="F62" s="78"/>
      <c r="G62" s="78"/>
      <c r="H62" s="54"/>
      <c r="I62" s="46"/>
      <c r="J62" s="55"/>
      <c r="K62" s="78"/>
      <c r="L62" s="78"/>
    </row>
    <row r="63" spans="1:12" x14ac:dyDescent="0.25">
      <c r="A63" s="78"/>
      <c r="B63" s="46" t="s">
        <v>69</v>
      </c>
      <c r="C63" s="78"/>
      <c r="D63" s="102">
        <f>D60+D61+D62</f>
        <v>119800</v>
      </c>
      <c r="E63" s="78"/>
      <c r="F63" s="78"/>
      <c r="G63" s="78"/>
      <c r="H63" s="78"/>
      <c r="I63" s="78"/>
      <c r="J63" s="78"/>
      <c r="K63" s="78"/>
      <c r="L63" s="78"/>
    </row>
    <row r="64" spans="1:12" x14ac:dyDescent="0.25">
      <c r="A64" s="50"/>
      <c r="B64" s="57" t="s">
        <v>70</v>
      </c>
      <c r="C64" s="46"/>
      <c r="D64" s="78"/>
      <c r="E64" s="78"/>
      <c r="F64" s="78"/>
      <c r="G64" s="78"/>
      <c r="H64" s="79"/>
      <c r="I64" s="78"/>
      <c r="J64" s="78"/>
      <c r="K64" s="79"/>
      <c r="L64" s="78"/>
    </row>
    <row r="65" spans="1:12" x14ac:dyDescent="0.25">
      <c r="A65" s="50" t="s">
        <v>102</v>
      </c>
      <c r="B65" s="77">
        <v>0.08</v>
      </c>
      <c r="C65" s="46"/>
      <c r="D65" s="102">
        <f>D60*B65</f>
        <v>8840</v>
      </c>
      <c r="E65" s="79" t="s">
        <v>71</v>
      </c>
      <c r="F65" s="79"/>
      <c r="G65" s="102"/>
      <c r="H65" s="78"/>
      <c r="I65" s="79"/>
      <c r="J65" s="78"/>
      <c r="K65" s="78"/>
      <c r="L65" s="78"/>
    </row>
    <row r="66" spans="1:12" x14ac:dyDescent="0.25">
      <c r="A66" s="50"/>
      <c r="B66" s="50" t="s">
        <v>151</v>
      </c>
      <c r="C66" s="46"/>
      <c r="D66" s="126">
        <v>3400</v>
      </c>
      <c r="E66" s="79" t="s">
        <v>134</v>
      </c>
      <c r="F66" s="79"/>
      <c r="G66" s="78"/>
      <c r="H66" s="79"/>
      <c r="I66" s="78"/>
      <c r="J66" s="78"/>
      <c r="K66" s="79"/>
      <c r="L66" s="78"/>
    </row>
    <row r="67" spans="1:12" x14ac:dyDescent="0.25">
      <c r="A67" s="50"/>
      <c r="B67" s="50"/>
      <c r="C67" s="46"/>
      <c r="D67" s="126">
        <f>SUM(D65:D66)</f>
        <v>12240</v>
      </c>
      <c r="E67" s="79"/>
      <c r="F67" s="79"/>
      <c r="G67" s="78"/>
      <c r="H67" s="79"/>
      <c r="I67" s="78"/>
      <c r="J67" s="78"/>
      <c r="K67" s="79"/>
      <c r="L67" s="78"/>
    </row>
    <row r="68" spans="1:12" x14ac:dyDescent="0.25">
      <c r="A68" s="50"/>
      <c r="B68" s="128" t="s">
        <v>142</v>
      </c>
      <c r="C68" s="46"/>
      <c r="D68" s="102"/>
      <c r="E68" s="59" t="s">
        <v>78</v>
      </c>
      <c r="F68" s="79"/>
      <c r="G68" s="78"/>
      <c r="H68" s="79"/>
      <c r="I68" s="79"/>
      <c r="J68" s="78"/>
      <c r="K68" s="79"/>
      <c r="L68" s="78"/>
    </row>
    <row r="69" spans="1:12" x14ac:dyDescent="0.25">
      <c r="A69" s="50"/>
      <c r="B69" s="78" t="s">
        <v>137</v>
      </c>
      <c r="C69" s="46"/>
      <c r="D69" s="102">
        <f>D63-D67</f>
        <v>107560</v>
      </c>
      <c r="E69" s="78"/>
      <c r="F69" s="78"/>
      <c r="G69" s="78"/>
      <c r="H69" s="78"/>
      <c r="I69" s="78"/>
      <c r="J69" s="78"/>
      <c r="K69" s="78"/>
      <c r="L69" s="78"/>
    </row>
    <row r="70" spans="1:12" x14ac:dyDescent="0.25">
      <c r="A70" s="50"/>
      <c r="B70" s="78" t="s">
        <v>141</v>
      </c>
      <c r="C70" s="46"/>
      <c r="D70" s="147">
        <v>3000</v>
      </c>
      <c r="E70" s="78"/>
      <c r="F70" s="78"/>
      <c r="G70" s="78"/>
      <c r="H70" s="78"/>
      <c r="I70" s="78"/>
      <c r="J70" s="78"/>
      <c r="K70" s="78"/>
      <c r="L70" s="78"/>
    </row>
    <row r="71" spans="1:12" x14ac:dyDescent="0.25">
      <c r="A71" s="50"/>
      <c r="B71" s="78" t="s">
        <v>156</v>
      </c>
      <c r="C71" s="46"/>
      <c r="D71" s="78">
        <v>15615</v>
      </c>
      <c r="E71" s="78"/>
      <c r="F71" s="78"/>
      <c r="G71" s="78"/>
      <c r="H71" s="78"/>
      <c r="I71" s="78"/>
      <c r="J71" s="78"/>
      <c r="K71" s="78"/>
      <c r="L71" s="78"/>
    </row>
    <row r="72" spans="1:12" x14ac:dyDescent="0.25">
      <c r="A72" s="50"/>
      <c r="B72" s="78"/>
      <c r="C72" s="46"/>
      <c r="D72" s="102"/>
      <c r="E72" s="78"/>
      <c r="F72" s="78"/>
      <c r="G72" s="78"/>
      <c r="H72" s="78"/>
      <c r="I72" s="78"/>
      <c r="J72" s="78"/>
      <c r="K72" s="78"/>
      <c r="L72" s="78"/>
    </row>
    <row r="73" spans="1:12" x14ac:dyDescent="0.25">
      <c r="A73" s="50"/>
      <c r="B73" s="78" t="s">
        <v>142</v>
      </c>
      <c r="C73" s="46"/>
      <c r="D73" s="102">
        <f>SUM(D69:D72)</f>
        <v>126175</v>
      </c>
      <c r="E73" s="78"/>
      <c r="F73" s="78"/>
      <c r="G73" s="78"/>
      <c r="H73" s="78"/>
      <c r="I73" s="78"/>
      <c r="J73" s="78"/>
      <c r="K73" s="78"/>
      <c r="L73" s="78"/>
    </row>
    <row r="74" spans="1:12" ht="17.25" x14ac:dyDescent="0.4">
      <c r="A74" s="78"/>
      <c r="B74" s="78" t="s">
        <v>157</v>
      </c>
      <c r="C74" s="78"/>
      <c r="D74" s="129">
        <v>105000</v>
      </c>
      <c r="E74" s="79"/>
      <c r="F74" s="78"/>
      <c r="G74" s="78"/>
      <c r="H74" s="78"/>
      <c r="I74" s="78"/>
      <c r="J74" s="78"/>
      <c r="K74" s="78"/>
      <c r="L74" s="78"/>
    </row>
    <row r="75" spans="1:12" x14ac:dyDescent="0.25">
      <c r="A75" s="79" t="s">
        <v>131</v>
      </c>
      <c r="B75" s="78" t="s">
        <v>137</v>
      </c>
      <c r="C75" s="78"/>
      <c r="D75" s="102">
        <f>D73-D74</f>
        <v>21175</v>
      </c>
      <c r="E75" s="79"/>
      <c r="F75" s="79" t="s">
        <v>135</v>
      </c>
      <c r="G75" s="79"/>
      <c r="H75" s="79" t="s">
        <v>130</v>
      </c>
      <c r="I75" s="78"/>
      <c r="J75" s="78"/>
      <c r="K75" s="78"/>
      <c r="L75" s="78"/>
    </row>
    <row r="76" spans="1:12" x14ac:dyDescent="0.25">
      <c r="A76" s="78"/>
      <c r="B76" s="78"/>
      <c r="C76" s="102"/>
      <c r="D76" s="102"/>
      <c r="E76" s="78"/>
      <c r="F76" s="79" t="s">
        <v>132</v>
      </c>
      <c r="G76" s="79"/>
      <c r="H76" s="79" t="s">
        <v>133</v>
      </c>
      <c r="I76" s="78"/>
      <c r="J76" s="78"/>
      <c r="K76" s="78"/>
      <c r="L76" s="78"/>
    </row>
    <row r="77" spans="1:12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x14ac:dyDescent="0.25">
      <c r="A78" s="78"/>
      <c r="B78" s="78"/>
      <c r="C78" s="78"/>
      <c r="D78" s="102"/>
      <c r="E78" s="78"/>
      <c r="F78" s="78"/>
      <c r="G78" s="78"/>
      <c r="H78" s="78"/>
      <c r="I78" s="78"/>
      <c r="J78" s="78"/>
      <c r="K78" s="78"/>
      <c r="L78" s="78"/>
    </row>
  </sheetData>
  <pageMargins left="0.7" right="0.7" top="0.75" bottom="0.75" header="0.3" footer="0.3"/>
  <pageSetup orientation="portrait" horizontalDpi="120" verticalDpi="72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opLeftCell="D37" zoomScaleNormal="100" workbookViewId="0">
      <selection activeCell="G30" sqref="G30"/>
    </sheetView>
  </sheetViews>
  <sheetFormatPr defaultRowHeight="15" x14ac:dyDescent="0.25"/>
  <cols>
    <col min="1" max="1" width="14.85546875" customWidth="1"/>
    <col min="13" max="13" width="9.5703125" bestFit="1" customWidth="1"/>
  </cols>
  <sheetData>
    <row r="1" spans="1:35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</row>
    <row r="2" spans="1:35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</row>
    <row r="3" spans="1:35" ht="21" x14ac:dyDescent="0.25">
      <c r="A3" s="150"/>
      <c r="B3" s="150"/>
      <c r="C3" s="150"/>
      <c r="D3" s="5" t="s">
        <v>639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</row>
    <row r="4" spans="1:35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639</v>
      </c>
      <c r="N4" s="250"/>
      <c r="O4" s="103"/>
      <c r="P4" s="103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</row>
    <row r="5" spans="1:35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</row>
    <row r="6" spans="1:35" x14ac:dyDescent="0.25">
      <c r="A6" s="196" t="s">
        <v>352</v>
      </c>
      <c r="B6" s="274" t="s">
        <v>50</v>
      </c>
      <c r="C6" s="274"/>
      <c r="D6" s="113">
        <f>'FEBRUARY 21'!I6:I21</f>
        <v>4600</v>
      </c>
      <c r="E6" s="280">
        <v>3000</v>
      </c>
      <c r="F6" s="281">
        <v>100</v>
      </c>
      <c r="G6" s="276">
        <f>D6+E6+F6+C6</f>
        <v>7700</v>
      </c>
      <c r="H6" s="277">
        <f>1000+2500+3000</f>
        <v>6500</v>
      </c>
      <c r="I6" s="273">
        <f t="shared" ref="I6:I18" si="0">G6-H6</f>
        <v>1200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</row>
    <row r="7" spans="1:35" ht="22.5" x14ac:dyDescent="0.25">
      <c r="A7" s="196" t="s">
        <v>433</v>
      </c>
      <c r="B7" s="274" t="s">
        <v>52</v>
      </c>
      <c r="C7" s="274"/>
      <c r="D7" s="113">
        <f>'FEBRUARY 21'!I7:I22</f>
        <v>2100</v>
      </c>
      <c r="E7" s="280">
        <v>3000</v>
      </c>
      <c r="F7" s="281">
        <v>100</v>
      </c>
      <c r="G7" s="276">
        <f t="shared" ref="G7:G19" si="1">D7+E7+F7+C7</f>
        <v>5200</v>
      </c>
      <c r="H7" s="277">
        <f>2600</f>
        <v>2600</v>
      </c>
      <c r="I7" s="273">
        <f t="shared" si="0"/>
        <v>2600</v>
      </c>
      <c r="J7" s="150"/>
      <c r="K7" s="83" t="s">
        <v>106</v>
      </c>
      <c r="L7" s="249" t="s">
        <v>620</v>
      </c>
      <c r="M7" s="85"/>
      <c r="N7" s="232">
        <f>'FEBRUARY 21'!R7:R17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</row>
    <row r="8" spans="1:35" x14ac:dyDescent="0.25">
      <c r="A8" s="282"/>
      <c r="B8" s="274" t="s">
        <v>54</v>
      </c>
      <c r="C8" s="274"/>
      <c r="D8" s="113">
        <f>'FEBRUARY 21'!I8:I23</f>
        <v>0</v>
      </c>
      <c r="E8" s="280"/>
      <c r="F8" s="281"/>
      <c r="G8" s="276">
        <f t="shared" si="1"/>
        <v>0</v>
      </c>
      <c r="H8" s="277"/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'FEBRUARY 21'!R8:R18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</row>
    <row r="9" spans="1:35" x14ac:dyDescent="0.25">
      <c r="A9" s="196" t="s">
        <v>228</v>
      </c>
      <c r="B9" s="274" t="s">
        <v>56</v>
      </c>
      <c r="C9" s="274"/>
      <c r="D9" s="113">
        <f>'FEBRUARY 21'!I9:I24</f>
        <v>100</v>
      </c>
      <c r="E9" s="280">
        <v>3000</v>
      </c>
      <c r="F9" s="281">
        <v>100</v>
      </c>
      <c r="G9" s="276">
        <f t="shared" si="1"/>
        <v>3200</v>
      </c>
      <c r="H9" s="277">
        <f>3100</f>
        <v>3100</v>
      </c>
      <c r="I9" s="273">
        <f t="shared" si="0"/>
        <v>100</v>
      </c>
      <c r="J9" s="150"/>
      <c r="K9" s="83" t="s">
        <v>557</v>
      </c>
      <c r="L9" s="110" t="s">
        <v>467</v>
      </c>
      <c r="M9" s="110"/>
      <c r="N9" s="232">
        <f>'FEBRUARY 21'!R9:R19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</row>
    <row r="10" spans="1:35" ht="22.5" x14ac:dyDescent="0.25">
      <c r="A10" s="282" t="s">
        <v>627</v>
      </c>
      <c r="B10" s="274" t="s">
        <v>58</v>
      </c>
      <c r="C10" s="274"/>
      <c r="D10" s="113">
        <f>'FEBRUARY 21'!I10:I25</f>
        <v>200</v>
      </c>
      <c r="E10" s="280">
        <v>3000</v>
      </c>
      <c r="F10" s="281">
        <v>100</v>
      </c>
      <c r="G10" s="276">
        <f t="shared" si="1"/>
        <v>3300</v>
      </c>
      <c r="H10" s="277">
        <f>3100</f>
        <v>3100</v>
      </c>
      <c r="I10" s="273">
        <f t="shared" si="0"/>
        <v>200</v>
      </c>
      <c r="J10" s="150"/>
      <c r="K10" s="87" t="s">
        <v>112</v>
      </c>
      <c r="L10" s="200" t="s">
        <v>578</v>
      </c>
      <c r="M10" s="110"/>
      <c r="N10" s="232">
        <f>'FEBRUARY 21'!R10:R20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</row>
    <row r="11" spans="1:35" ht="22.5" x14ac:dyDescent="0.25">
      <c r="A11" s="282" t="s">
        <v>281</v>
      </c>
      <c r="B11" s="274" t="s">
        <v>60</v>
      </c>
      <c r="C11" s="274"/>
      <c r="D11" s="113">
        <f>'FEBRUARY 21'!I11:I26</f>
        <v>0</v>
      </c>
      <c r="E11" s="280"/>
      <c r="F11" s="281"/>
      <c r="G11" s="276">
        <f t="shared" si="1"/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'FEBRUARY 21'!R11:R21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</row>
    <row r="12" spans="1:35" ht="22.5" x14ac:dyDescent="0.25">
      <c r="A12" s="282" t="s">
        <v>631</v>
      </c>
      <c r="B12" s="274" t="s">
        <v>62</v>
      </c>
      <c r="C12" s="274">
        <v>3000</v>
      </c>
      <c r="D12" s="113">
        <v>100</v>
      </c>
      <c r="E12" s="280">
        <v>3000</v>
      </c>
      <c r="F12" s="281">
        <v>100</v>
      </c>
      <c r="G12" s="276">
        <f t="shared" si="1"/>
        <v>6200</v>
      </c>
      <c r="H12" s="277">
        <f>3000</f>
        <v>3000</v>
      </c>
      <c r="I12" s="273">
        <f t="shared" si="0"/>
        <v>3200</v>
      </c>
      <c r="J12" s="150"/>
      <c r="K12" s="93" t="s">
        <v>116</v>
      </c>
      <c r="L12" s="249" t="s">
        <v>120</v>
      </c>
      <c r="M12" s="110"/>
      <c r="N12" s="232">
        <f>'FEBRUARY 21'!R12:R22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</row>
    <row r="13" spans="1:35" ht="22.5" x14ac:dyDescent="0.25">
      <c r="A13" s="196" t="s">
        <v>626</v>
      </c>
      <c r="B13" s="284" t="s">
        <v>64</v>
      </c>
      <c r="C13" s="284"/>
      <c r="D13" s="113">
        <f>'FEBRUARY 21'!I13:I28</f>
        <v>2000</v>
      </c>
      <c r="E13" s="285">
        <v>3000</v>
      </c>
      <c r="F13" s="286">
        <v>100</v>
      </c>
      <c r="G13" s="276">
        <f t="shared" si="1"/>
        <v>5100</v>
      </c>
      <c r="H13" s="277">
        <f>2000</f>
        <v>2000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'FEBRUARY 21'!R13:R23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</row>
    <row r="14" spans="1:35" ht="22.5" x14ac:dyDescent="0.25">
      <c r="A14" s="196" t="s">
        <v>645</v>
      </c>
      <c r="B14" s="284" t="s">
        <v>18</v>
      </c>
      <c r="C14" s="284">
        <v>3000</v>
      </c>
      <c r="D14" s="113">
        <f>'FEBRUARY 21'!I14:I29</f>
        <v>0</v>
      </c>
      <c r="E14" s="285">
        <v>3000</v>
      </c>
      <c r="F14" s="286">
        <v>100</v>
      </c>
      <c r="G14" s="276">
        <f t="shared" si="1"/>
        <v>6100</v>
      </c>
      <c r="H14" s="277">
        <f>6000+100</f>
        <v>6100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'FEBRUARY 21'!R14:R24</f>
        <v>100</v>
      </c>
      <c r="O14" s="320">
        <v>2500</v>
      </c>
      <c r="P14" s="232">
        <f t="shared" si="2"/>
        <v>2600</v>
      </c>
      <c r="Q14" s="234">
        <f>1000+1500</f>
        <v>2500</v>
      </c>
      <c r="R14" s="319">
        <f t="shared" si="3"/>
        <v>100</v>
      </c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</row>
    <row r="15" spans="1:35" ht="22.5" x14ac:dyDescent="0.25">
      <c r="A15" s="196"/>
      <c r="B15" s="284" t="s">
        <v>20</v>
      </c>
      <c r="C15" s="284"/>
      <c r="D15" s="113">
        <f>'FEBRUARY 21'!I15:I30</f>
        <v>0</v>
      </c>
      <c r="E15" s="285"/>
      <c r="F15" s="286"/>
      <c r="G15" s="276">
        <f t="shared" si="1"/>
        <v>0</v>
      </c>
      <c r="H15" s="277"/>
      <c r="I15" s="273">
        <f t="shared" si="0"/>
        <v>0</v>
      </c>
      <c r="J15" s="150"/>
      <c r="K15" s="83" t="s">
        <v>123</v>
      </c>
      <c r="L15" s="200" t="s">
        <v>396</v>
      </c>
      <c r="M15" s="85">
        <v>500</v>
      </c>
      <c r="N15" s="232">
        <v>3500</v>
      </c>
      <c r="O15" s="320">
        <v>2500</v>
      </c>
      <c r="P15" s="232">
        <f t="shared" si="2"/>
        <v>6500</v>
      </c>
      <c r="Q15" s="234">
        <f>1500</f>
        <v>1500</v>
      </c>
      <c r="R15" s="319">
        <f t="shared" si="3"/>
        <v>5000</v>
      </c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</row>
    <row r="16" spans="1:35" ht="22.5" x14ac:dyDescent="0.25">
      <c r="A16" s="196"/>
      <c r="B16" s="284" t="s">
        <v>22</v>
      </c>
      <c r="C16" s="284"/>
      <c r="D16" s="113">
        <f>'FEBRUARY 21'!I16:I31</f>
        <v>0</v>
      </c>
      <c r="E16" s="285"/>
      <c r="F16" s="286"/>
      <c r="G16" s="276">
        <f t="shared" si="1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'FEBRUARY 21'!R16:R26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3"/>
        <v>0</v>
      </c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</row>
    <row r="17" spans="1:35" x14ac:dyDescent="0.25">
      <c r="A17" s="196"/>
      <c r="B17" s="284" t="s">
        <v>24</v>
      </c>
      <c r="C17" s="284"/>
      <c r="D17" s="113"/>
      <c r="E17" s="285"/>
      <c r="F17" s="286"/>
      <c r="G17" s="276">
        <f t="shared" si="1"/>
        <v>0</v>
      </c>
      <c r="H17" s="277"/>
      <c r="I17" s="273">
        <f t="shared" si="0"/>
        <v>0</v>
      </c>
      <c r="J17" s="150"/>
      <c r="K17" s="83"/>
      <c r="L17" s="200"/>
      <c r="M17" s="85"/>
      <c r="N17" s="232">
        <f>'FEBRUARY 21'!R17:R27</f>
        <v>0</v>
      </c>
      <c r="O17" s="231"/>
      <c r="P17" s="232"/>
      <c r="Q17" s="234"/>
      <c r="R17" s="450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</row>
    <row r="18" spans="1:35" x14ac:dyDescent="0.25">
      <c r="A18" s="196"/>
      <c r="B18" s="284" t="s">
        <v>26</v>
      </c>
      <c r="C18" s="284"/>
      <c r="D18" s="113"/>
      <c r="E18" s="285"/>
      <c r="F18" s="286"/>
      <c r="G18" s="276">
        <f t="shared" si="1"/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'JANUARY 21'!R18:R29</f>
        <v>0</v>
      </c>
      <c r="O18" s="231"/>
      <c r="P18" s="232"/>
      <c r="Q18" s="234"/>
      <c r="R18" s="450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</row>
    <row r="19" spans="1:35" x14ac:dyDescent="0.25">
      <c r="A19" s="282" t="s">
        <v>621</v>
      </c>
      <c r="B19" s="284" t="s">
        <v>28</v>
      </c>
      <c r="C19" s="284"/>
      <c r="D19" s="113">
        <f>'FEBRUARY 21'!I19:I34</f>
        <v>3100</v>
      </c>
      <c r="E19" s="285">
        <v>3000</v>
      </c>
      <c r="F19" s="286">
        <v>100</v>
      </c>
      <c r="G19" s="276">
        <f t="shared" si="1"/>
        <v>6200</v>
      </c>
      <c r="H19" s="277">
        <v>6200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4100</v>
      </c>
      <c r="O19" s="239">
        <f>SUM(O7:O16)</f>
        <v>22000</v>
      </c>
      <c r="P19" s="232">
        <f t="shared" si="2"/>
        <v>26600</v>
      </c>
      <c r="Q19" s="240">
        <f>SUM(Q7:Q16)</f>
        <v>21000</v>
      </c>
      <c r="R19" s="323">
        <f>SUM(R7:R16)</f>
        <v>5600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</row>
    <row r="20" spans="1:35" x14ac:dyDescent="0.25">
      <c r="A20" s="294" t="s">
        <v>193</v>
      </c>
      <c r="B20" s="293"/>
      <c r="C20" s="293">
        <f t="shared" ref="C20:I20" si="4">SUM(C6:C19)</f>
        <v>6000</v>
      </c>
      <c r="D20" s="113">
        <f t="shared" si="4"/>
        <v>12200</v>
      </c>
      <c r="E20" s="240">
        <f t="shared" si="4"/>
        <v>24000</v>
      </c>
      <c r="F20" s="240">
        <f t="shared" si="4"/>
        <v>800</v>
      </c>
      <c r="G20" s="276">
        <f t="shared" si="4"/>
        <v>43000</v>
      </c>
      <c r="H20" s="361">
        <f t="shared" si="4"/>
        <v>32600</v>
      </c>
      <c r="I20" s="273">
        <f t="shared" si="4"/>
        <v>10400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</row>
    <row r="21" spans="1:35" ht="22.5" x14ac:dyDescent="0.25">
      <c r="A21" s="543"/>
      <c r="B21" s="543"/>
      <c r="C21" s="543"/>
      <c r="D21" s="275">
        <f>'DECEMBER 19'!H18:H29</f>
        <v>0</v>
      </c>
      <c r="E21" s="345" t="s">
        <v>247</v>
      </c>
      <c r="F21" s="543"/>
      <c r="G21" s="543"/>
      <c r="H21" s="344"/>
      <c r="I21" s="273">
        <f>G21-H21</f>
        <v>0</v>
      </c>
      <c r="J21" s="220">
        <f>I6+I7+I9+I10+F12+F13+H30</f>
        <v>7200</v>
      </c>
      <c r="K21" s="83">
        <v>1</v>
      </c>
      <c r="L21" s="200" t="s">
        <v>612</v>
      </c>
      <c r="M21" s="85"/>
      <c r="N21" s="232">
        <f>'FEBRUARY 21'!R21:R40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</row>
    <row r="22" spans="1:3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/>
      <c r="O22" s="320"/>
      <c r="P22" s="232">
        <f t="shared" si="5"/>
        <v>0</v>
      </c>
      <c r="Q22" s="232"/>
      <c r="R22" s="319">
        <f t="shared" si="6"/>
        <v>0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</row>
    <row r="23" spans="1:35" x14ac:dyDescent="0.25">
      <c r="A23" s="191" t="s">
        <v>313</v>
      </c>
      <c r="B23" s="85"/>
      <c r="C23" s="85">
        <v>7500</v>
      </c>
      <c r="D23" s="86">
        <f>'FEBRUARY 21'!H23:H31</f>
        <v>0</v>
      </c>
      <c r="E23" s="232">
        <v>6000</v>
      </c>
      <c r="F23" s="232">
        <f>B23+E23+D23+C23</f>
        <v>13500</v>
      </c>
      <c r="G23" s="232">
        <f>6000+7500</f>
        <v>13500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'FEBRUARY 21'!R23:R42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</row>
    <row r="24" spans="1:35" ht="22.5" x14ac:dyDescent="0.25">
      <c r="A24" s="110" t="s">
        <v>313</v>
      </c>
      <c r="B24" s="113"/>
      <c r="C24" s="113">
        <v>7000</v>
      </c>
      <c r="D24" s="86">
        <f>'FEBRUARY 21'!H24:H32</f>
        <v>0</v>
      </c>
      <c r="E24" s="110">
        <v>6000</v>
      </c>
      <c r="F24" s="232">
        <f>B24+E24+D24+C24</f>
        <v>13000</v>
      </c>
      <c r="G24" s="110">
        <f>6000+900</f>
        <v>6900</v>
      </c>
      <c r="H24" s="273">
        <f t="shared" ref="H24:H30" si="7">F24-G24</f>
        <v>6100</v>
      </c>
      <c r="I24" s="273"/>
      <c r="J24" s="78"/>
      <c r="K24" s="83">
        <v>4</v>
      </c>
      <c r="L24" s="200" t="s">
        <v>564</v>
      </c>
      <c r="M24" s="110"/>
      <c r="N24" s="232">
        <f>'FEBRUARY 21'!R24:R43</f>
        <v>2000</v>
      </c>
      <c r="O24" s="321">
        <v>3500</v>
      </c>
      <c r="P24" s="232">
        <f>M24+N24+O24</f>
        <v>5500</v>
      </c>
      <c r="Q24" s="319"/>
      <c r="R24" s="319">
        <f t="shared" si="6"/>
        <v>5500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</row>
    <row r="25" spans="1:35" x14ac:dyDescent="0.25">
      <c r="A25" s="191" t="s">
        <v>451</v>
      </c>
      <c r="B25" s="85"/>
      <c r="C25" s="85"/>
      <c r="D25" s="86">
        <f>'FEBRUARY 21'!H25:H33</f>
        <v>0</v>
      </c>
      <c r="E25" s="231">
        <v>4000</v>
      </c>
      <c r="F25" s="232">
        <f t="shared" ref="F25:F30" si="8"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646</v>
      </c>
      <c r="M25" s="85">
        <v>3500</v>
      </c>
      <c r="N25" s="232">
        <f>'FEBRUARY 21'!R25:R44</f>
        <v>0</v>
      </c>
      <c r="O25" s="320">
        <v>3500</v>
      </c>
      <c r="P25" s="232">
        <f t="shared" si="5"/>
        <v>7000</v>
      </c>
      <c r="Q25" s="234">
        <f>3500</f>
        <v>3500</v>
      </c>
      <c r="R25" s="319">
        <f t="shared" si="6"/>
        <v>3500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</row>
    <row r="26" spans="1:35" x14ac:dyDescent="0.25">
      <c r="A26" s="191"/>
      <c r="B26" s="85"/>
      <c r="C26" s="85"/>
      <c r="D26" s="86">
        <f>'FEBRUARY 21'!H26:H34</f>
        <v>0</v>
      </c>
      <c r="E26" s="231"/>
      <c r="F26" s="232">
        <f t="shared" si="8"/>
        <v>0</v>
      </c>
      <c r="G26" s="110"/>
      <c r="H26" s="273"/>
      <c r="I26" s="273"/>
      <c r="J26" s="78"/>
      <c r="K26" s="83">
        <v>6</v>
      </c>
      <c r="L26" s="249"/>
      <c r="M26" s="110"/>
      <c r="N26" s="232"/>
      <c r="O26" s="325"/>
      <c r="P26" s="232">
        <f t="shared" si="5"/>
        <v>0</v>
      </c>
      <c r="Q26" s="326"/>
      <c r="R26" s="319">
        <f t="shared" si="6"/>
        <v>0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</row>
    <row r="27" spans="1:35" ht="22.5" x14ac:dyDescent="0.25">
      <c r="A27" s="191" t="s">
        <v>350</v>
      </c>
      <c r="B27" s="86"/>
      <c r="C27" s="86"/>
      <c r="D27" s="86">
        <f>'FEBRUARY 21'!H27:H35</f>
        <v>12000</v>
      </c>
      <c r="E27" s="231">
        <v>4000</v>
      </c>
      <c r="F27" s="232">
        <f t="shared" si="8"/>
        <v>16000</v>
      </c>
      <c r="G27" s="110">
        <f>4000+4000</f>
        <v>8000</v>
      </c>
      <c r="H27" s="273">
        <f t="shared" si="7"/>
        <v>8000</v>
      </c>
      <c r="I27" s="273"/>
      <c r="J27" s="78"/>
      <c r="K27" s="83">
        <v>7</v>
      </c>
      <c r="L27" s="249" t="s">
        <v>554</v>
      </c>
      <c r="M27" s="85"/>
      <c r="N27" s="232">
        <f>'FEBRUARY 21'!R27:R46</f>
        <v>0</v>
      </c>
      <c r="O27" s="320">
        <v>3500</v>
      </c>
      <c r="P27" s="232">
        <f t="shared" si="5"/>
        <v>3500</v>
      </c>
      <c r="Q27" s="234"/>
      <c r="R27" s="319">
        <f t="shared" si="6"/>
        <v>3500</v>
      </c>
      <c r="S27" s="220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</row>
    <row r="28" spans="1:35" ht="22.5" x14ac:dyDescent="0.25">
      <c r="A28" s="191" t="s">
        <v>392</v>
      </c>
      <c r="B28" s="85"/>
      <c r="C28" s="85"/>
      <c r="D28" s="86">
        <f>'FEBRUARY 21'!H28:H36</f>
        <v>8000</v>
      </c>
      <c r="E28" s="231">
        <v>4000</v>
      </c>
      <c r="F28" s="232">
        <f t="shared" si="8"/>
        <v>12000</v>
      </c>
      <c r="G28" s="110">
        <f>4000</f>
        <v>4000</v>
      </c>
      <c r="H28" s="273">
        <f t="shared" si="7"/>
        <v>8000</v>
      </c>
      <c r="I28" s="273"/>
      <c r="J28" s="220">
        <f>H31+I20</f>
        <v>35400</v>
      </c>
      <c r="K28" s="83">
        <v>8</v>
      </c>
      <c r="L28" s="249" t="s">
        <v>490</v>
      </c>
      <c r="M28" s="85"/>
      <c r="N28" s="232">
        <f>'FEBRUARY 21'!R28:R47</f>
        <v>1500</v>
      </c>
      <c r="O28" s="320">
        <v>3500</v>
      </c>
      <c r="P28" s="232">
        <f t="shared" si="5"/>
        <v>5000</v>
      </c>
      <c r="Q28" s="234">
        <f>4000</f>
        <v>4000</v>
      </c>
      <c r="R28" s="319">
        <f t="shared" si="6"/>
        <v>1000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</row>
    <row r="29" spans="1:35" ht="22.5" x14ac:dyDescent="0.25">
      <c r="A29" s="218" t="s">
        <v>539</v>
      </c>
      <c r="B29" s="85"/>
      <c r="C29" s="85"/>
      <c r="D29" s="86">
        <f>'FEBRUARY 21'!H29:H37</f>
        <v>0</v>
      </c>
      <c r="E29" s="231">
        <v>4000</v>
      </c>
      <c r="F29" s="232">
        <f t="shared" si="8"/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'FEBRUARY 21'!R29:R48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</row>
    <row r="30" spans="1:35" x14ac:dyDescent="0.25">
      <c r="A30" s="210" t="s">
        <v>456</v>
      </c>
      <c r="B30" s="85">
        <v>0</v>
      </c>
      <c r="C30" s="85"/>
      <c r="D30" s="86">
        <f>'FEBRUARY 21'!H30:H38</f>
        <v>2950</v>
      </c>
      <c r="E30" s="231">
        <v>4000</v>
      </c>
      <c r="F30" s="232">
        <f t="shared" si="8"/>
        <v>6950</v>
      </c>
      <c r="G30" s="110">
        <f>4050</f>
        <v>4050</v>
      </c>
      <c r="H30" s="273">
        <f t="shared" si="7"/>
        <v>2900</v>
      </c>
      <c r="I30" s="273"/>
      <c r="J30" s="78"/>
      <c r="K30" s="83">
        <v>10</v>
      </c>
      <c r="L30" s="200" t="s">
        <v>281</v>
      </c>
      <c r="M30" s="85"/>
      <c r="N30" s="232"/>
      <c r="O30" s="320"/>
      <c r="P30" s="232">
        <f t="shared" si="5"/>
        <v>0</v>
      </c>
      <c r="Q30" s="234"/>
      <c r="R30" s="319">
        <f t="shared" si="6"/>
        <v>0</v>
      </c>
      <c r="S30" s="78" t="s">
        <v>473</v>
      </c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</row>
    <row r="31" spans="1:35" ht="22.5" x14ac:dyDescent="0.25">
      <c r="A31" s="339" t="s">
        <v>193</v>
      </c>
      <c r="B31" s="42"/>
      <c r="C31" s="42"/>
      <c r="D31" s="86">
        <f>SUM(D23:D30)</f>
        <v>22950</v>
      </c>
      <c r="E31" s="240">
        <f>SUM(E23:E30)</f>
        <v>32000</v>
      </c>
      <c r="F31" s="232">
        <f>SUM(F23:F30)</f>
        <v>69450</v>
      </c>
      <c r="G31" s="535">
        <f>SUM(G23:G30)</f>
        <v>44450</v>
      </c>
      <c r="H31" s="273">
        <f>F31-G31</f>
        <v>25000</v>
      </c>
      <c r="I31" s="273"/>
      <c r="J31" s="78"/>
      <c r="K31" s="83">
        <v>11</v>
      </c>
      <c r="L31" s="249" t="s">
        <v>474</v>
      </c>
      <c r="M31" s="85"/>
      <c r="N31" s="232">
        <f>'FEBRUARY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</row>
    <row r="32" spans="1:35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35400</v>
      </c>
      <c r="K32" s="83">
        <v>12</v>
      </c>
      <c r="L32" s="200" t="s">
        <v>615</v>
      </c>
      <c r="M32" s="85"/>
      <c r="N32" s="232">
        <f>'FEBRUARY 21'!R32:R51</f>
        <v>500</v>
      </c>
      <c r="O32" s="320">
        <v>3500</v>
      </c>
      <c r="P32" s="232">
        <f t="shared" si="5"/>
        <v>4000</v>
      </c>
      <c r="Q32" s="234">
        <f>3500</f>
        <v>3500</v>
      </c>
      <c r="R32" s="319">
        <f t="shared" si="6"/>
        <v>500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</row>
    <row r="33" spans="1:35" ht="24" customHeight="1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'FEBRUARY 21'!R33:R52</f>
        <v>7000</v>
      </c>
      <c r="O33" s="320">
        <v>3500</v>
      </c>
      <c r="P33" s="232">
        <f>M33+N33+O33</f>
        <v>10500</v>
      </c>
      <c r="Q33" s="234"/>
      <c r="R33" s="319">
        <f>P33-Q33</f>
        <v>10500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</row>
    <row r="34" spans="1:35" ht="22.5" x14ac:dyDescent="0.25">
      <c r="A34" s="211" t="s">
        <v>432</v>
      </c>
      <c r="B34" s="273">
        <f>E31+E20</f>
        <v>56000</v>
      </c>
      <c r="C34" s="273"/>
      <c r="D34" s="164"/>
      <c r="E34" s="164"/>
      <c r="F34" s="211" t="s">
        <v>432</v>
      </c>
      <c r="G34" s="273">
        <f>G31+H20</f>
        <v>77050</v>
      </c>
      <c r="H34" s="164"/>
      <c r="I34" s="273"/>
      <c r="J34" s="78"/>
      <c r="K34" s="83">
        <v>14</v>
      </c>
      <c r="L34" s="200" t="s">
        <v>480</v>
      </c>
      <c r="M34" s="85"/>
      <c r="N34" s="232">
        <f>'FEBRUARY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</row>
    <row r="35" spans="1:35" ht="22.5" x14ac:dyDescent="0.25">
      <c r="A35" s="211" t="s">
        <v>209</v>
      </c>
      <c r="B35" s="307">
        <v>0.1</v>
      </c>
      <c r="C35" s="307"/>
      <c r="D35" s="308">
        <f>B34*B35</f>
        <v>5600</v>
      </c>
      <c r="E35" s="211"/>
      <c r="F35" s="211" t="s">
        <v>209</v>
      </c>
      <c r="G35" s="307">
        <v>0.1</v>
      </c>
      <c r="H35" s="308">
        <f>D35</f>
        <v>5600</v>
      </c>
      <c r="I35" s="273"/>
      <c r="J35" s="78"/>
      <c r="K35" s="83">
        <v>15</v>
      </c>
      <c r="L35" s="200" t="s">
        <v>595</v>
      </c>
      <c r="M35" s="85"/>
      <c r="N35" s="232">
        <f>'FEBRUARY 21'!R35:R57</f>
        <v>3500</v>
      </c>
      <c r="O35" s="320">
        <v>3500</v>
      </c>
      <c r="P35" s="232">
        <f>M35+N35+O35</f>
        <v>7000</v>
      </c>
      <c r="Q35" s="234">
        <f>4000</f>
        <v>4000</v>
      </c>
      <c r="R35" s="319">
        <f>P35-Q35</f>
        <v>3000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</row>
    <row r="36" spans="1:35" ht="22.5" x14ac:dyDescent="0.25">
      <c r="A36" s="309" t="s">
        <v>232</v>
      </c>
      <c r="B36" s="308">
        <f>F20</f>
        <v>800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'FEBRUARY 21'!R36:R58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>P36-Q36</f>
        <v>0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</row>
    <row r="37" spans="1:3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/>
      <c r="O37" s="320"/>
      <c r="P37" s="232">
        <f t="shared" si="5"/>
        <v>0</v>
      </c>
      <c r="Q37" s="234"/>
      <c r="R37" s="319">
        <f t="shared" si="6"/>
        <v>0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</row>
    <row r="38" spans="1:35" ht="22.5" x14ac:dyDescent="0.25">
      <c r="A38" s="309" t="s">
        <v>470</v>
      </c>
      <c r="B38" s="308">
        <f>C20+C23+C24</f>
        <v>20500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'FEBRUARY 21'!R38:R60</f>
        <v>4500</v>
      </c>
      <c r="O38" s="320">
        <v>3500</v>
      </c>
      <c r="P38" s="232">
        <f t="shared" si="5"/>
        <v>8000</v>
      </c>
      <c r="Q38" s="234">
        <f>4000</f>
        <v>4000</v>
      </c>
      <c r="R38" s="319">
        <f>P38-Q38</f>
        <v>4000</v>
      </c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</row>
    <row r="39" spans="1:35" ht="22.5" x14ac:dyDescent="0.25">
      <c r="A39" s="309" t="s">
        <v>239</v>
      </c>
      <c r="B39" s="308">
        <f>'FEBRUARY 21'!E50</f>
        <v>82164.342305280035</v>
      </c>
      <c r="C39" s="308"/>
      <c r="D39" s="211"/>
      <c r="E39" s="211"/>
      <c r="F39" s="309" t="s">
        <v>239</v>
      </c>
      <c r="G39" s="308">
        <f>'FEBRUARY 21'!I50</f>
        <v>41350.275200000033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'FEBRUARY 21'!R39:R61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</row>
    <row r="40" spans="1:35" ht="22.5" x14ac:dyDescent="0.25">
      <c r="A40" s="309" t="s">
        <v>193</v>
      </c>
      <c r="B40" s="308">
        <f>B34+B36+B39+B37</f>
        <v>141964.34230528004</v>
      </c>
      <c r="C40" s="308"/>
      <c r="D40" s="211"/>
      <c r="E40" s="211"/>
      <c r="F40" s="309" t="s">
        <v>193</v>
      </c>
      <c r="G40" s="308">
        <f>G34+G36+G39+G37</f>
        <v>121400.27520000003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'FEBRUARY 21'!R40:R62</f>
        <v>13500</v>
      </c>
      <c r="O40" s="320">
        <v>3500</v>
      </c>
      <c r="P40" s="232">
        <f>M40+N40+O40</f>
        <v>17000</v>
      </c>
      <c r="Q40" s="234">
        <f>2000</f>
        <v>2000</v>
      </c>
      <c r="R40" s="319">
        <f>P40-Q40</f>
        <v>15000</v>
      </c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</row>
    <row r="41" spans="1:35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SUM(N21:N40)</f>
        <v>32500</v>
      </c>
      <c r="O41" s="239">
        <f>SUM(O21:O40)</f>
        <v>52500</v>
      </c>
      <c r="P41" s="232">
        <f>M41+N41+O41</f>
        <v>88500</v>
      </c>
      <c r="Q41" s="240">
        <f>SUM(Q21:Q40)</f>
        <v>42000</v>
      </c>
      <c r="R41" s="319">
        <f>P41-Q41</f>
        <v>46500</v>
      </c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</row>
    <row r="42" spans="1:35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</row>
    <row r="43" spans="1:35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</row>
    <row r="44" spans="1:35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432</v>
      </c>
      <c r="L44" s="273">
        <f>O41+O19</f>
        <v>74500</v>
      </c>
      <c r="M44" s="164"/>
      <c r="N44" s="232">
        <f>'FEBRUARY 21'!R44:R66</f>
        <v>0</v>
      </c>
      <c r="O44" s="211" t="s">
        <v>432</v>
      </c>
      <c r="P44" s="273">
        <f>Q41+Q19</f>
        <v>63000</v>
      </c>
      <c r="Q44" s="164"/>
      <c r="R44" s="273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</row>
    <row r="45" spans="1:35" x14ac:dyDescent="0.25">
      <c r="A45" s="370" t="s">
        <v>408</v>
      </c>
      <c r="B45" s="449">
        <v>0.3</v>
      </c>
      <c r="C45" s="449"/>
      <c r="D45" s="368">
        <f>B45*E12</f>
        <v>900</v>
      </c>
      <c r="E45" s="370"/>
      <c r="F45" s="370" t="s">
        <v>408</v>
      </c>
      <c r="G45" s="449">
        <v>0.3</v>
      </c>
      <c r="H45" s="368">
        <f>G45*C12</f>
        <v>900</v>
      </c>
      <c r="I45" s="368"/>
      <c r="J45" s="78"/>
      <c r="K45" s="211" t="s">
        <v>209</v>
      </c>
      <c r="L45" s="307">
        <v>0.1</v>
      </c>
      <c r="M45" s="308">
        <f>L44*L45</f>
        <v>7450</v>
      </c>
      <c r="N45" s="211"/>
      <c r="O45" s="211" t="s">
        <v>209</v>
      </c>
      <c r="P45" s="307">
        <v>0.1</v>
      </c>
      <c r="Q45" s="308">
        <f>M45</f>
        <v>7450</v>
      </c>
      <c r="R45" s="273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</row>
    <row r="46" spans="1:35" x14ac:dyDescent="0.25">
      <c r="A46" s="370" t="s">
        <v>637</v>
      </c>
      <c r="B46" s="370"/>
      <c r="C46" s="370"/>
      <c r="D46" s="368">
        <v>41350</v>
      </c>
      <c r="E46" s="370"/>
      <c r="F46" s="370" t="s">
        <v>637</v>
      </c>
      <c r="G46" s="370"/>
      <c r="H46" s="370">
        <v>41350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</row>
    <row r="47" spans="1:35" x14ac:dyDescent="0.25">
      <c r="A47" s="369" t="s">
        <v>650</v>
      </c>
      <c r="B47" s="370"/>
      <c r="C47" s="370"/>
      <c r="D47" s="371">
        <v>8000</v>
      </c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L47*O25</f>
        <v>1050</v>
      </c>
      <c r="N47" s="211"/>
      <c r="O47" s="211" t="s">
        <v>408</v>
      </c>
      <c r="P47" s="307">
        <v>0.3</v>
      </c>
      <c r="Q47" s="308">
        <f>M47</f>
        <v>1050</v>
      </c>
      <c r="R47" s="273"/>
      <c r="S47" s="220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</row>
    <row r="48" spans="1:35" x14ac:dyDescent="0.25">
      <c r="A48" s="369" t="s">
        <v>634</v>
      </c>
      <c r="B48" s="370"/>
      <c r="C48" s="370"/>
      <c r="D48" s="371">
        <v>8000</v>
      </c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</row>
    <row r="49" spans="1:35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'FEBRUARY 21'!N58</f>
        <v>96153.299999999988</v>
      </c>
      <c r="M49" s="211"/>
      <c r="N49" s="211"/>
      <c r="O49" s="309" t="s">
        <v>239</v>
      </c>
      <c r="P49" s="308">
        <f>'FEBRUARY 21'!R58</f>
        <v>69557.199999999953</v>
      </c>
      <c r="Q49" s="211"/>
      <c r="R49" s="273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</row>
    <row r="50" spans="1:35" x14ac:dyDescent="0.25">
      <c r="A50" s="166" t="s">
        <v>193</v>
      </c>
      <c r="B50" s="317">
        <f>B34+B36+B37+B38+B39-D35</f>
        <v>156864.34230528004</v>
      </c>
      <c r="C50" s="317"/>
      <c r="D50" s="318">
        <f>SUM(D41:D49)</f>
        <v>61250</v>
      </c>
      <c r="E50" s="318">
        <f>B50-D50</f>
        <v>95614.342305280035</v>
      </c>
      <c r="F50" s="166" t="s">
        <v>193</v>
      </c>
      <c r="G50" s="317">
        <f>G34+G36+G37+G39-H35</f>
        <v>115800.27520000003</v>
      </c>
      <c r="H50" s="318">
        <f>SUM(H41:H49)</f>
        <v>45250</v>
      </c>
      <c r="I50" s="318">
        <f>G50-H50</f>
        <v>70550.275200000033</v>
      </c>
      <c r="J50" s="78"/>
      <c r="K50" s="309" t="s">
        <v>193</v>
      </c>
      <c r="L50" s="308">
        <f>L44+L46+L49+L48</f>
        <v>174153.3</v>
      </c>
      <c r="M50" s="211"/>
      <c r="N50" s="211"/>
      <c r="O50" s="309" t="s">
        <v>193</v>
      </c>
      <c r="P50" s="308">
        <f>P44+P46+P49+P47</f>
        <v>132557.49999999994</v>
      </c>
      <c r="Q50" s="211"/>
      <c r="R50" s="273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</row>
    <row r="51" spans="1:35" x14ac:dyDescent="0.25">
      <c r="A51" s="150"/>
      <c r="B51" s="150"/>
      <c r="C51" s="150"/>
      <c r="D51" s="150"/>
      <c r="E51" s="150"/>
      <c r="F51" s="150">
        <f>+-P32*                                                                                           J32</f>
        <v>-141600000</v>
      </c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</row>
    <row r="52" spans="1:35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5" t="s">
        <v>638</v>
      </c>
      <c r="L52" s="380"/>
      <c r="M52" s="367">
        <v>70250</v>
      </c>
      <c r="N52" s="366"/>
      <c r="O52" s="365" t="s">
        <v>638</v>
      </c>
      <c r="P52" s="380"/>
      <c r="Q52" s="367">
        <v>70250</v>
      </c>
      <c r="R52" s="36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</row>
    <row r="53" spans="1:35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</row>
    <row r="54" spans="1:35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</row>
    <row r="55" spans="1:35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166703.29999999999</v>
      </c>
      <c r="M55" s="318">
        <f>SUM(M47:M54)</f>
        <v>71300</v>
      </c>
      <c r="N55" s="318">
        <f>L55-M55</f>
        <v>95403.299999999988</v>
      </c>
      <c r="O55" s="166" t="s">
        <v>193</v>
      </c>
      <c r="P55" s="317">
        <f>P44+P46+P47+P49-Q45</f>
        <v>125107.49999999994</v>
      </c>
      <c r="Q55" s="318">
        <f>SUM(Q47:Q54)</f>
        <v>71300</v>
      </c>
      <c r="R55" s="318">
        <f>P55-Q55</f>
        <v>53807.499999999942</v>
      </c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</row>
    <row r="56" spans="1:35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</row>
    <row r="57" spans="1:35" x14ac:dyDescent="0.25">
      <c r="A57" s="78"/>
      <c r="B57" s="78"/>
      <c r="C57" s="78"/>
      <c r="D57" s="78"/>
      <c r="E57" s="78"/>
      <c r="F57" s="78"/>
      <c r="G57" s="78"/>
      <c r="H57" s="220">
        <f>R55+I50</f>
        <v>124357.77519999997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</row>
    <row r="58" spans="1:35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</row>
    <row r="59" spans="1:35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220">
        <f>I50+54857</f>
        <v>125407.27520000003</v>
      </c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</row>
    <row r="60" spans="1:35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</row>
    <row r="63" spans="1:35" x14ac:dyDescent="0.25">
      <c r="J63" s="220">
        <f>I50+54850</f>
        <v>125400.27520000003</v>
      </c>
    </row>
    <row r="69" spans="14:14" x14ac:dyDescent="0.25">
      <c r="N69">
        <f>3500*5</f>
        <v>17500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10" workbookViewId="0">
      <selection activeCell="F31" sqref="F31"/>
    </sheetView>
  </sheetViews>
  <sheetFormatPr defaultRowHeight="15" x14ac:dyDescent="0.25"/>
  <cols>
    <col min="1" max="1" width="17.140625" customWidth="1"/>
    <col min="13" max="13" width="9.5703125" bestFit="1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647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647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>
        <f>'MARCH 21'!I6:I20</f>
        <v>1200</v>
      </c>
      <c r="E6" s="280">
        <v>3000</v>
      </c>
      <c r="F6" s="281">
        <v>100</v>
      </c>
      <c r="G6" s="276">
        <f>D6+E6+F6+C6</f>
        <v>4300</v>
      </c>
      <c r="H6" s="277">
        <f>1000</f>
        <v>1000</v>
      </c>
      <c r="I6" s="273">
        <f t="shared" ref="I6:I18" si="0">G6-H6</f>
        <v>3300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78">
        <f>'MARCH 21'!I7:I21</f>
        <v>2600</v>
      </c>
      <c r="E7" s="280">
        <v>3000</v>
      </c>
      <c r="F7" s="281">
        <v>100</v>
      </c>
      <c r="G7" s="276">
        <f>D7+E7+F7+C7</f>
        <v>5700</v>
      </c>
      <c r="H7" s="277">
        <f>4000</f>
        <v>4000</v>
      </c>
      <c r="I7" s="273">
        <f t="shared" si="0"/>
        <v>1700</v>
      </c>
      <c r="J7" s="150"/>
      <c r="K7" s="83" t="s">
        <v>106</v>
      </c>
      <c r="L7" s="249" t="s">
        <v>620</v>
      </c>
      <c r="M7" s="85"/>
      <c r="N7" s="232">
        <f>'MARCH 21'!R7:R19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>
        <v>3000</v>
      </c>
      <c r="D8" s="78">
        <f>'MARCH 21'!I8:I22</f>
        <v>0</v>
      </c>
      <c r="E8" s="280">
        <v>3000</v>
      </c>
      <c r="F8" s="281">
        <v>100</v>
      </c>
      <c r="G8" s="276">
        <f>D8+E8+F8+C8</f>
        <v>6100</v>
      </c>
      <c r="H8" s="277">
        <v>6100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'MARCH 21'!R8:R20</f>
        <v>0</v>
      </c>
      <c r="O8" s="320"/>
      <c r="P8" s="232">
        <f t="shared" ref="P8:P19" si="1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78">
        <f>'MARCH 21'!I9:I23</f>
        <v>100</v>
      </c>
      <c r="E9" s="280">
        <v>3000</v>
      </c>
      <c r="F9" s="281">
        <v>100</v>
      </c>
      <c r="G9" s="276">
        <f>D9+E9+F9+C9</f>
        <v>3200</v>
      </c>
      <c r="H9" s="277">
        <v>3200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'MARCH 21'!R9:R21</f>
        <v>500</v>
      </c>
      <c r="O9" s="110">
        <v>2500</v>
      </c>
      <c r="P9" s="232">
        <f t="shared" si="1"/>
        <v>3000</v>
      </c>
      <c r="Q9" s="110">
        <f>2500</f>
        <v>2500</v>
      </c>
      <c r="R9" s="319">
        <f t="shared" ref="R9:R16" si="2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/>
      <c r="D10" s="78">
        <f>'MARCH 21'!I10:I24</f>
        <v>200</v>
      </c>
      <c r="E10" s="280">
        <v>3000</v>
      </c>
      <c r="F10" s="281">
        <v>100</v>
      </c>
      <c r="G10" s="276">
        <f>D10+E10+F10+C10</f>
        <v>3300</v>
      </c>
      <c r="H10" s="277"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'MARCH 21'!R10:R22</f>
        <v>0</v>
      </c>
      <c r="O10" s="321">
        <v>2500</v>
      </c>
      <c r="P10" s="232">
        <f t="shared" si="1"/>
        <v>2500</v>
      </c>
      <c r="Q10" s="319">
        <v>2500</v>
      </c>
      <c r="R10" s="319">
        <f t="shared" si="2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78">
        <f>'MARCH 21'!I11:I25</f>
        <v>0</v>
      </c>
      <c r="E11" s="280"/>
      <c r="F11" s="281"/>
      <c r="G11" s="276">
        <f>E11+F11+C11</f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'MARCH 21'!R11:R23</f>
        <v>0</v>
      </c>
      <c r="O11" s="320">
        <v>2500</v>
      </c>
      <c r="P11" s="232">
        <f t="shared" si="1"/>
        <v>2500</v>
      </c>
      <c r="Q11" s="234">
        <v>2500</v>
      </c>
      <c r="R11" s="319">
        <f t="shared" si="2"/>
        <v>0</v>
      </c>
      <c r="S11" s="78"/>
    </row>
    <row r="12" spans="1:19" ht="22.5" x14ac:dyDescent="0.25">
      <c r="A12" s="282" t="s">
        <v>631</v>
      </c>
      <c r="B12" s="274" t="s">
        <v>62</v>
      </c>
      <c r="C12" s="274"/>
      <c r="D12" s="78">
        <f>200+3000</f>
        <v>3200</v>
      </c>
      <c r="E12" s="280">
        <v>3000</v>
      </c>
      <c r="F12" s="281">
        <v>100</v>
      </c>
      <c r="G12" s="276">
        <f>E12+F12+C12+D12</f>
        <v>6300</v>
      </c>
      <c r="H12" s="277">
        <f>3000</f>
        <v>3000</v>
      </c>
      <c r="I12" s="273">
        <f t="shared" si="0"/>
        <v>3300</v>
      </c>
      <c r="J12" s="150"/>
      <c r="K12" s="93" t="s">
        <v>116</v>
      </c>
      <c r="L12" s="249" t="s">
        <v>120</v>
      </c>
      <c r="M12" s="110"/>
      <c r="N12" s="232">
        <f>'MARCH 21'!R12:R24</f>
        <v>0</v>
      </c>
      <c r="O12" s="325">
        <v>2500</v>
      </c>
      <c r="P12" s="232">
        <f t="shared" si="1"/>
        <v>2500</v>
      </c>
      <c r="Q12" s="326"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/>
      <c r="D13" s="78">
        <f>'MARCH 21'!I13:I27</f>
        <v>3100</v>
      </c>
      <c r="E13" s="285">
        <v>3000</v>
      </c>
      <c r="F13" s="286">
        <v>100</v>
      </c>
      <c r="G13" s="276">
        <f>D13+E13+F13+C13</f>
        <v>6200</v>
      </c>
      <c r="H13" s="277">
        <f>3100</f>
        <v>3100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'MARCH 21'!R13:R25</f>
        <v>0</v>
      </c>
      <c r="O13" s="320">
        <v>2500</v>
      </c>
      <c r="P13" s="232">
        <f t="shared" si="1"/>
        <v>2500</v>
      </c>
      <c r="Q13" s="234">
        <v>2500</v>
      </c>
      <c r="R13" s="319">
        <f t="shared" si="2"/>
        <v>0</v>
      </c>
      <c r="S13" s="78"/>
    </row>
    <row r="14" spans="1:19" ht="22.5" x14ac:dyDescent="0.25">
      <c r="A14" s="196" t="s">
        <v>645</v>
      </c>
      <c r="B14" s="284" t="s">
        <v>18</v>
      </c>
      <c r="C14" s="284"/>
      <c r="D14" s="78">
        <f>'MARCH 21'!I14:I28</f>
        <v>0</v>
      </c>
      <c r="E14" s="285">
        <v>3000</v>
      </c>
      <c r="F14" s="286">
        <v>100</v>
      </c>
      <c r="G14" s="276">
        <f>D14+E14+F14+C14</f>
        <v>3100</v>
      </c>
      <c r="H14" s="277">
        <f>3100</f>
        <v>3100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'MARCH 21'!R14:R26</f>
        <v>100</v>
      </c>
      <c r="O14" s="320">
        <v>2500</v>
      </c>
      <c r="P14" s="232">
        <f t="shared" si="1"/>
        <v>2600</v>
      </c>
      <c r="Q14" s="234">
        <v>2500</v>
      </c>
      <c r="R14" s="319">
        <f t="shared" si="2"/>
        <v>100</v>
      </c>
      <c r="S14" s="78"/>
    </row>
    <row r="15" spans="1:19" ht="22.5" x14ac:dyDescent="0.25">
      <c r="A15" s="196" t="s">
        <v>651</v>
      </c>
      <c r="B15" s="284" t="s">
        <v>20</v>
      </c>
      <c r="C15" s="284">
        <v>3000</v>
      </c>
      <c r="D15" s="78">
        <f>'MARCH 21'!I15:I29</f>
        <v>0</v>
      </c>
      <c r="E15" s="285">
        <v>3000</v>
      </c>
      <c r="F15" s="286">
        <v>200</v>
      </c>
      <c r="G15" s="276">
        <f>D15+E15+F15+C15</f>
        <v>6200</v>
      </c>
      <c r="H15" s="277">
        <f>6000</f>
        <v>6000</v>
      </c>
      <c r="I15" s="273">
        <f t="shared" si="0"/>
        <v>200</v>
      </c>
      <c r="J15" s="150"/>
      <c r="K15" s="83" t="s">
        <v>123</v>
      </c>
      <c r="L15" s="200" t="s">
        <v>396</v>
      </c>
      <c r="M15" s="85">
        <v>500</v>
      </c>
      <c r="N15" s="232">
        <f>'MARCH 21'!R15:R27</f>
        <v>5000</v>
      </c>
      <c r="O15" s="320">
        <v>2500</v>
      </c>
      <c r="P15" s="232">
        <f t="shared" si="1"/>
        <v>8000</v>
      </c>
      <c r="Q15" s="234">
        <f>2000</f>
        <v>2000</v>
      </c>
      <c r="R15" s="319">
        <f t="shared" si="2"/>
        <v>6000</v>
      </c>
      <c r="S15" s="78"/>
    </row>
    <row r="16" spans="1:19" ht="22.5" x14ac:dyDescent="0.25">
      <c r="A16" s="196"/>
      <c r="B16" s="284" t="s">
        <v>22</v>
      </c>
      <c r="C16" s="284"/>
      <c r="D16" s="78">
        <f>'MARCH 21'!I16:I30</f>
        <v>0</v>
      </c>
      <c r="E16" s="285"/>
      <c r="F16" s="286"/>
      <c r="G16" s="276">
        <f>D16+E16+F16+C16</f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'MARCH 21'!R16:R28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2"/>
        <v>0</v>
      </c>
      <c r="S16" s="78"/>
    </row>
    <row r="17" spans="1:19" x14ac:dyDescent="0.25">
      <c r="A17" s="196"/>
      <c r="B17" s="284" t="s">
        <v>24</v>
      </c>
      <c r="C17" s="284"/>
      <c r="D17" s="78">
        <f>'MARCH 21'!I17:I31</f>
        <v>0</v>
      </c>
      <c r="E17" s="285"/>
      <c r="F17" s="286"/>
      <c r="G17" s="276"/>
      <c r="H17" s="277"/>
      <c r="I17" s="273">
        <f t="shared" si="0"/>
        <v>0</v>
      </c>
      <c r="J17" s="150"/>
      <c r="K17" s="83"/>
      <c r="L17" s="200"/>
      <c r="M17" s="85"/>
      <c r="N17" s="232">
        <f>'MARCH 21'!R17:R29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84"/>
      <c r="D18" s="78">
        <f>'MARCH 21'!I18:I32</f>
        <v>0</v>
      </c>
      <c r="E18" s="285"/>
      <c r="F18" s="286"/>
      <c r="G18" s="276">
        <f>D18+E18+F18+C18</f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'MARCH 21'!R18:R30</f>
        <v>0</v>
      </c>
      <c r="O18" s="231"/>
      <c r="P18" s="232"/>
      <c r="Q18" s="234"/>
      <c r="R18" s="450"/>
      <c r="S18" s="78"/>
    </row>
    <row r="19" spans="1:19" x14ac:dyDescent="0.25">
      <c r="A19" s="282" t="s">
        <v>621</v>
      </c>
      <c r="B19" s="284" t="s">
        <v>28</v>
      </c>
      <c r="C19" s="284"/>
      <c r="D19" s="78">
        <f>'MARCH 21'!I19:I33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'MARCH 21'!R19:R31</f>
        <v>5600</v>
      </c>
      <c r="O19" s="239">
        <f>SUM(O7:O16)</f>
        <v>22000</v>
      </c>
      <c r="P19" s="232">
        <f t="shared" si="1"/>
        <v>28100</v>
      </c>
      <c r="Q19" s="240">
        <f>SUM(Q7:Q16)</f>
        <v>21500</v>
      </c>
      <c r="R19" s="323">
        <f>SUM(R7:R16)</f>
        <v>6600</v>
      </c>
      <c r="S19" s="78"/>
    </row>
    <row r="20" spans="1:19" x14ac:dyDescent="0.25">
      <c r="A20" s="294" t="s">
        <v>193</v>
      </c>
      <c r="B20" s="293"/>
      <c r="C20" s="293">
        <f>SUM(C6:C19)</f>
        <v>6000</v>
      </c>
      <c r="D20" s="78">
        <f>'MARCH 21'!I20:I34</f>
        <v>10400</v>
      </c>
      <c r="E20" s="240">
        <f>SUM(E6:E19)</f>
        <v>30000</v>
      </c>
      <c r="F20" s="240">
        <f>SUM(F6:F19)</f>
        <v>1100</v>
      </c>
      <c r="G20" s="276">
        <f>SUM(G6:G19)</f>
        <v>47500</v>
      </c>
      <c r="H20" s="361">
        <f>SUM(H6:H19)</f>
        <v>35700</v>
      </c>
      <c r="I20" s="273">
        <f>SUM(I6:I19)</f>
        <v>11800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4"/>
      <c r="B21" s="544"/>
      <c r="C21" s="544"/>
      <c r="D21" s="275">
        <f>'DECEMBER 19'!H18:H29</f>
        <v>0</v>
      </c>
      <c r="E21" s="345" t="s">
        <v>247</v>
      </c>
      <c r="F21" s="544"/>
      <c r="G21" s="544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'MARCH 21'!R21:R41</f>
        <v>0</v>
      </c>
      <c r="O21" s="320">
        <v>3500</v>
      </c>
      <c r="P21" s="232">
        <f t="shared" ref="P21:P38" si="3">M21+N21+O21</f>
        <v>3500</v>
      </c>
      <c r="Q21" s="232">
        <f>3500</f>
        <v>3500</v>
      </c>
      <c r="R21" s="319">
        <f t="shared" ref="R21:R37" si="4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'MARCH 21'!R22:R42</f>
        <v>0</v>
      </c>
      <c r="O22" s="320"/>
      <c r="P22" s="232">
        <f t="shared" si="3"/>
        <v>0</v>
      </c>
      <c r="Q22" s="232"/>
      <c r="R22" s="319">
        <f t="shared" si="4"/>
        <v>0</v>
      </c>
      <c r="S22" s="78"/>
    </row>
    <row r="23" spans="1:19" x14ac:dyDescent="0.25">
      <c r="A23" s="191" t="s">
        <v>313</v>
      </c>
      <c r="B23" s="85"/>
      <c r="C23" s="85"/>
      <c r="D23" s="86">
        <f>'MARCH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'MARCH 21'!R23:R43</f>
        <v>0</v>
      </c>
      <c r="O23" s="110"/>
      <c r="P23" s="232">
        <f t="shared" si="3"/>
        <v>0</v>
      </c>
      <c r="Q23" s="110"/>
      <c r="R23" s="319">
        <f t="shared" si="4"/>
        <v>0</v>
      </c>
      <c r="S23" s="78"/>
    </row>
    <row r="24" spans="1:19" ht="22.5" x14ac:dyDescent="0.25">
      <c r="A24" s="110" t="s">
        <v>313</v>
      </c>
      <c r="B24" s="113"/>
      <c r="C24" s="113"/>
      <c r="D24" s="86">
        <f>'MARCH 21'!H24:H32</f>
        <v>6100</v>
      </c>
      <c r="E24" s="110">
        <v>6000</v>
      </c>
      <c r="F24" s="232">
        <f>B24+E24+D24+C24</f>
        <v>12100</v>
      </c>
      <c r="G24" s="110">
        <f>3000+6000+3100</f>
        <v>12100</v>
      </c>
      <c r="H24" s="273">
        <f t="shared" ref="H24:H29" si="5">F24-G24</f>
        <v>0</v>
      </c>
      <c r="I24" s="273"/>
      <c r="J24" s="78"/>
      <c r="K24" s="83">
        <v>4</v>
      </c>
      <c r="L24" s="200" t="s">
        <v>564</v>
      </c>
      <c r="M24" s="110"/>
      <c r="N24" s="232">
        <f>'MARCH 21'!R24:R44</f>
        <v>5500</v>
      </c>
      <c r="O24" s="321">
        <v>3500</v>
      </c>
      <c r="P24" s="232">
        <f>M24+N24+O24</f>
        <v>9000</v>
      </c>
      <c r="Q24" s="319">
        <f>3500</f>
        <v>3500</v>
      </c>
      <c r="R24" s="319">
        <f t="shared" si="4"/>
        <v>5500</v>
      </c>
      <c r="S24" s="78"/>
    </row>
    <row r="25" spans="1:19" x14ac:dyDescent="0.25">
      <c r="A25" s="191" t="s">
        <v>451</v>
      </c>
      <c r="B25" s="85"/>
      <c r="C25" s="85"/>
      <c r="D25" s="86">
        <f>'MARCH 21'!H25:H33</f>
        <v>0</v>
      </c>
      <c r="E25" s="231">
        <v>4000</v>
      </c>
      <c r="F25" s="232">
        <f t="shared" ref="F25:F30" si="6">B25+E25+D25</f>
        <v>4000</v>
      </c>
      <c r="G25" s="78">
        <f>4000</f>
        <v>4000</v>
      </c>
      <c r="H25" s="273"/>
      <c r="I25" s="273"/>
      <c r="J25" s="78"/>
      <c r="K25" s="83">
        <v>5</v>
      </c>
      <c r="L25" s="200" t="s">
        <v>649</v>
      </c>
      <c r="M25" s="85"/>
      <c r="N25" s="232">
        <f>'MARCH 21'!R25:R45</f>
        <v>3500</v>
      </c>
      <c r="O25" s="320">
        <v>3500</v>
      </c>
      <c r="P25" s="232">
        <f t="shared" si="3"/>
        <v>7000</v>
      </c>
      <c r="Q25" s="234">
        <f>3500+500</f>
        <v>4000</v>
      </c>
      <c r="R25" s="319">
        <f t="shared" si="4"/>
        <v>3000</v>
      </c>
      <c r="S25" s="78"/>
    </row>
    <row r="26" spans="1:19" x14ac:dyDescent="0.25">
      <c r="A26" s="191"/>
      <c r="B26" s="85"/>
      <c r="C26" s="85"/>
      <c r="D26" s="86">
        <f>'MARCH 21'!H26:H34</f>
        <v>0</v>
      </c>
      <c r="E26" s="231"/>
      <c r="F26" s="232">
        <f t="shared" si="6"/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'MARCH 21'!R26:R46</f>
        <v>0</v>
      </c>
      <c r="O26" s="325"/>
      <c r="P26" s="232">
        <f t="shared" si="3"/>
        <v>0</v>
      </c>
      <c r="Q26" s="326"/>
      <c r="R26" s="319">
        <f t="shared" si="4"/>
        <v>0</v>
      </c>
      <c r="S26" s="78"/>
    </row>
    <row r="27" spans="1:19" ht="22.5" x14ac:dyDescent="0.25">
      <c r="A27" s="191"/>
      <c r="B27" s="86"/>
      <c r="C27" s="86"/>
      <c r="D27" s="86"/>
      <c r="E27" s="231"/>
      <c r="F27" s="232">
        <f t="shared" si="6"/>
        <v>0</v>
      </c>
      <c r="G27" s="110"/>
      <c r="H27" s="273">
        <f t="shared" si="5"/>
        <v>0</v>
      </c>
      <c r="I27" s="273"/>
      <c r="J27" s="78"/>
      <c r="K27" s="83">
        <v>7</v>
      </c>
      <c r="L27" s="249" t="s">
        <v>554</v>
      </c>
      <c r="M27" s="85"/>
      <c r="N27" s="232">
        <f>'MARCH 21'!R27:R47</f>
        <v>3500</v>
      </c>
      <c r="O27" s="320">
        <v>3500</v>
      </c>
      <c r="P27" s="232">
        <f t="shared" si="3"/>
        <v>7000</v>
      </c>
      <c r="Q27" s="234">
        <f>3500</f>
        <v>3500</v>
      </c>
      <c r="R27" s="319">
        <f t="shared" si="4"/>
        <v>3500</v>
      </c>
      <c r="S27" s="220"/>
    </row>
    <row r="28" spans="1:19" ht="22.5" x14ac:dyDescent="0.25">
      <c r="A28" s="191"/>
      <c r="B28" s="85"/>
      <c r="C28" s="85"/>
      <c r="D28" s="86"/>
      <c r="E28" s="231"/>
      <c r="F28" s="232">
        <f t="shared" si="6"/>
        <v>0</v>
      </c>
      <c r="G28" s="110"/>
      <c r="H28" s="273">
        <f t="shared" si="5"/>
        <v>0</v>
      </c>
      <c r="I28" s="273"/>
      <c r="J28" s="220">
        <f>H31+I20</f>
        <v>15100</v>
      </c>
      <c r="K28" s="83">
        <v>8</v>
      </c>
      <c r="L28" s="249" t="s">
        <v>490</v>
      </c>
      <c r="M28" s="85"/>
      <c r="N28" s="232">
        <f>'MARCH 21'!R28:R48</f>
        <v>1000</v>
      </c>
      <c r="O28" s="320">
        <v>3500</v>
      </c>
      <c r="P28" s="232">
        <f t="shared" si="3"/>
        <v>4500</v>
      </c>
      <c r="Q28" s="234">
        <f>2500</f>
        <v>2500</v>
      </c>
      <c r="R28" s="319">
        <f t="shared" si="4"/>
        <v>2000</v>
      </c>
      <c r="S28" s="78"/>
    </row>
    <row r="29" spans="1:19" ht="22.5" x14ac:dyDescent="0.25">
      <c r="A29" s="218" t="s">
        <v>539</v>
      </c>
      <c r="B29" s="85"/>
      <c r="C29" s="85"/>
      <c r="D29" s="86">
        <f>'MARCH 21'!H29:H37</f>
        <v>0</v>
      </c>
      <c r="E29" s="231">
        <v>4000</v>
      </c>
      <c r="F29" s="232">
        <f t="shared" si="6"/>
        <v>4000</v>
      </c>
      <c r="G29" s="110">
        <v>4000</v>
      </c>
      <c r="H29" s="273">
        <f t="shared" si="5"/>
        <v>0</v>
      </c>
      <c r="I29" s="273"/>
      <c r="J29" s="78"/>
      <c r="K29" s="83">
        <v>9</v>
      </c>
      <c r="L29" s="200" t="s">
        <v>496</v>
      </c>
      <c r="M29" s="85"/>
      <c r="N29" s="232">
        <f>'MARCH 21'!R29:R49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4"/>
        <v>0</v>
      </c>
      <c r="S29" s="78"/>
    </row>
    <row r="30" spans="1:19" x14ac:dyDescent="0.25">
      <c r="A30" s="210" t="s">
        <v>456</v>
      </c>
      <c r="B30" s="85">
        <v>0</v>
      </c>
      <c r="C30" s="85"/>
      <c r="D30" s="86">
        <f>'MARCH 21'!H30:H38</f>
        <v>2900</v>
      </c>
      <c r="E30" s="231">
        <v>4000</v>
      </c>
      <c r="F30" s="232">
        <f t="shared" si="6"/>
        <v>6900</v>
      </c>
      <c r="G30" s="110">
        <f>1400+1200+1000</f>
        <v>3600</v>
      </c>
      <c r="H30" s="273">
        <f>F30-G30</f>
        <v>3300</v>
      </c>
      <c r="I30" s="273"/>
      <c r="J30" s="78"/>
      <c r="K30" s="83">
        <v>10</v>
      </c>
      <c r="L30" s="200" t="s">
        <v>281</v>
      </c>
      <c r="M30" s="85"/>
      <c r="N30" s="232">
        <f>'MARCH 21'!R30:R50</f>
        <v>0</v>
      </c>
      <c r="O30" s="320"/>
      <c r="P30" s="232">
        <f t="shared" si="3"/>
        <v>0</v>
      </c>
      <c r="Q30" s="234"/>
      <c r="R30" s="319">
        <f t="shared" si="4"/>
        <v>0</v>
      </c>
      <c r="S30" s="78" t="s">
        <v>473</v>
      </c>
    </row>
    <row r="31" spans="1:19" ht="22.5" x14ac:dyDescent="0.25">
      <c r="A31" s="339" t="s">
        <v>193</v>
      </c>
      <c r="B31" s="42"/>
      <c r="C31" s="42"/>
      <c r="D31" s="86">
        <f>'MARCH 21'!H31:H39</f>
        <v>25000</v>
      </c>
      <c r="E31" s="240">
        <f>SUM(E23:E30)</f>
        <v>24000</v>
      </c>
      <c r="F31" s="232">
        <f>SUM(F23:F30)</f>
        <v>33000</v>
      </c>
      <c r="G31" s="535">
        <f>SUM(G23:G30)</f>
        <v>29700</v>
      </c>
      <c r="H31" s="273">
        <f>F31-G31</f>
        <v>3300</v>
      </c>
      <c r="I31" s="273"/>
      <c r="J31" s="78"/>
      <c r="K31" s="83">
        <v>11</v>
      </c>
      <c r="L31" s="249" t="s">
        <v>474</v>
      </c>
      <c r="M31" s="85"/>
      <c r="N31" s="232">
        <f>'MARCH 21'!R31:R51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15100</v>
      </c>
      <c r="K32" s="83">
        <v>12</v>
      </c>
      <c r="L32" s="200" t="s">
        <v>652</v>
      </c>
      <c r="M32" s="85">
        <v>3500</v>
      </c>
      <c r="N32" s="232">
        <f>'MARCH 21'!R32:R52</f>
        <v>500</v>
      </c>
      <c r="O32" s="320">
        <v>3500</v>
      </c>
      <c r="P32" s="232">
        <f t="shared" si="3"/>
        <v>7500</v>
      </c>
      <c r="Q32" s="234">
        <v>7000</v>
      </c>
      <c r="R32" s="319">
        <f t="shared" si="4"/>
        <v>500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'MARCH 21'!R33:R53</f>
        <v>10500</v>
      </c>
      <c r="O33" s="320">
        <v>3500</v>
      </c>
      <c r="P33" s="232">
        <f>M33+N33+O33</f>
        <v>14000</v>
      </c>
      <c r="Q33" s="234"/>
      <c r="R33" s="319">
        <f>P33-Q33</f>
        <v>14000</v>
      </c>
      <c r="S33" s="78"/>
    </row>
    <row r="34" spans="1:19" ht="22.5" x14ac:dyDescent="0.25">
      <c r="A34" s="211" t="s">
        <v>338</v>
      </c>
      <c r="B34" s="273">
        <f>E31+E20</f>
        <v>54000</v>
      </c>
      <c r="C34" s="273"/>
      <c r="D34" s="164"/>
      <c r="E34" s="164"/>
      <c r="F34" s="211" t="s">
        <v>338</v>
      </c>
      <c r="G34" s="273">
        <f>G31+H20</f>
        <v>65400</v>
      </c>
      <c r="H34" s="164"/>
      <c r="I34" s="273"/>
      <c r="J34" s="78"/>
      <c r="K34" s="83">
        <v>14</v>
      </c>
      <c r="L34" s="200" t="s">
        <v>480</v>
      </c>
      <c r="M34" s="85"/>
      <c r="N34" s="232">
        <f>'MARCH 21'!R34:R54</f>
        <v>0</v>
      </c>
      <c r="O34" s="320">
        <v>3500</v>
      </c>
      <c r="P34" s="232">
        <f t="shared" si="3"/>
        <v>3500</v>
      </c>
      <c r="Q34" s="234">
        <f>3500</f>
        <v>3500</v>
      </c>
      <c r="R34" s="319">
        <f t="shared" si="4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5400</v>
      </c>
      <c r="E35" s="211"/>
      <c r="F35" s="211" t="s">
        <v>209</v>
      </c>
      <c r="G35" s="307">
        <v>0.1</v>
      </c>
      <c r="H35" s="308">
        <f>D35</f>
        <v>5400</v>
      </c>
      <c r="I35" s="273"/>
      <c r="J35" s="78"/>
      <c r="K35" s="83">
        <v>15</v>
      </c>
      <c r="L35" s="200" t="s">
        <v>595</v>
      </c>
      <c r="M35" s="85"/>
      <c r="N35" s="232">
        <f>'MARCH 21'!R35:R55</f>
        <v>3000</v>
      </c>
      <c r="O35" s="320">
        <v>3500</v>
      </c>
      <c r="P35" s="232">
        <f>M35+N35+O35</f>
        <v>6500</v>
      </c>
      <c r="Q35" s="234">
        <f>3500</f>
        <v>3500</v>
      </c>
      <c r="R35" s="319">
        <f>P35-Q35</f>
        <v>3000</v>
      </c>
      <c r="S35" s="78"/>
    </row>
    <row r="36" spans="1:19" ht="22.5" x14ac:dyDescent="0.25">
      <c r="A36" s="309" t="s">
        <v>232</v>
      </c>
      <c r="B36" s="308">
        <f>F20</f>
        <v>1100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'MARCH 21'!R36:R56</f>
        <v>0</v>
      </c>
      <c r="O36" s="320">
        <v>3500</v>
      </c>
      <c r="P36" s="232">
        <f>M36+N36+O36</f>
        <v>3500</v>
      </c>
      <c r="Q36" s="234">
        <f>2000</f>
        <v>2000</v>
      </c>
      <c r="R36" s="319">
        <f>P36-Q36</f>
        <v>1500</v>
      </c>
      <c r="S36" s="78"/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>
        <f>'MARCH 21'!R37:R57</f>
        <v>0</v>
      </c>
      <c r="O37" s="320"/>
      <c r="P37" s="232">
        <f t="shared" si="3"/>
        <v>0</v>
      </c>
      <c r="Q37" s="234"/>
      <c r="R37" s="319">
        <f t="shared" si="4"/>
        <v>0</v>
      </c>
      <c r="S37" s="78"/>
    </row>
    <row r="38" spans="1:19" ht="22.5" x14ac:dyDescent="0.25">
      <c r="A38" s="309" t="s">
        <v>470</v>
      </c>
      <c r="B38" s="308">
        <f>C20+C23+C24</f>
        <v>6000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'MARCH 21'!R38:R58</f>
        <v>4000</v>
      </c>
      <c r="O38" s="320">
        <v>3500</v>
      </c>
      <c r="P38" s="232">
        <f t="shared" si="3"/>
        <v>7500</v>
      </c>
      <c r="Q38" s="234">
        <f>4000</f>
        <v>4000</v>
      </c>
      <c r="R38" s="319">
        <f>P38-Q38</f>
        <v>3500</v>
      </c>
      <c r="S38" s="78"/>
    </row>
    <row r="39" spans="1:19" ht="22.5" x14ac:dyDescent="0.25">
      <c r="A39" s="309" t="s">
        <v>239</v>
      </c>
      <c r="B39" s="308">
        <f>'MARCH 21'!E50</f>
        <v>95614.342305280035</v>
      </c>
      <c r="C39" s="308"/>
      <c r="D39" s="211"/>
      <c r="E39" s="211"/>
      <c r="F39" s="309" t="s">
        <v>239</v>
      </c>
      <c r="G39" s="308">
        <f>'MARCH 21'!I50</f>
        <v>70550.275200000033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'MARCH 21'!R39:R59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</row>
    <row r="40" spans="1:19" ht="22.5" x14ac:dyDescent="0.25">
      <c r="A40" s="309" t="s">
        <v>193</v>
      </c>
      <c r="B40" s="308">
        <f>B34+B36+B39+B37</f>
        <v>153714.34230528004</v>
      </c>
      <c r="C40" s="308"/>
      <c r="D40" s="211"/>
      <c r="E40" s="211"/>
      <c r="F40" s="309" t="s">
        <v>193</v>
      </c>
      <c r="G40" s="308">
        <f>G34+G36+G39+G37</f>
        <v>138950.27520000003</v>
      </c>
      <c r="H40" s="211"/>
      <c r="I40" s="273"/>
      <c r="J40" s="78"/>
      <c r="K40" s="83">
        <v>20</v>
      </c>
      <c r="L40" s="200" t="s">
        <v>497</v>
      </c>
      <c r="M40" s="85"/>
      <c r="N40" s="232">
        <f>'MARCH 21'!R40:R60</f>
        <v>15000</v>
      </c>
      <c r="O40" s="320">
        <v>3500</v>
      </c>
      <c r="P40" s="232">
        <f>M40+N40+O40</f>
        <v>18500</v>
      </c>
      <c r="Q40" s="234">
        <f>3500+500</f>
        <v>4000</v>
      </c>
      <c r="R40" s="319">
        <f>P40-Q40</f>
        <v>14500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SUM(N21:N40)</f>
        <v>46500</v>
      </c>
      <c r="O41" s="239">
        <f>SUM(O21:O40)</f>
        <v>52500</v>
      </c>
      <c r="P41" s="232">
        <f>SUM(P21:P40)</f>
        <v>102500</v>
      </c>
      <c r="Q41" s="240">
        <f>SUM(Q21:Q40)</f>
        <v>51500</v>
      </c>
      <c r="R41" s="319">
        <f>P41-Q41</f>
        <v>51000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338</v>
      </c>
      <c r="L44" s="273">
        <f>O41+O19</f>
        <v>74500</v>
      </c>
      <c r="M44" s="164"/>
      <c r="N44" s="232">
        <f>'FEBRUARY 21'!R44:R66</f>
        <v>0</v>
      </c>
      <c r="O44" s="211" t="s">
        <v>338</v>
      </c>
      <c r="P44" s="273">
        <f>Q41+Q19</f>
        <v>73000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B45*C15+(C8*B45)</f>
        <v>1800</v>
      </c>
      <c r="E45" s="370"/>
      <c r="F45" s="370" t="s">
        <v>408</v>
      </c>
      <c r="G45" s="449">
        <v>0.3</v>
      </c>
      <c r="H45" s="368">
        <f>G45*C15+(G45*C8)</f>
        <v>1800</v>
      </c>
      <c r="I45" s="368"/>
      <c r="J45" s="78"/>
      <c r="K45" s="211" t="s">
        <v>209</v>
      </c>
      <c r="L45" s="307">
        <v>0.1</v>
      </c>
      <c r="M45" s="308">
        <f>L44*L45</f>
        <v>7450</v>
      </c>
      <c r="N45" s="211"/>
      <c r="O45" s="211" t="s">
        <v>209</v>
      </c>
      <c r="P45" s="307">
        <v>0.1</v>
      </c>
      <c r="Q45" s="308">
        <f>M45</f>
        <v>7450</v>
      </c>
      <c r="R45" s="273"/>
      <c r="S45" s="78"/>
    </row>
    <row r="46" spans="1:19" x14ac:dyDescent="0.25">
      <c r="A46" s="370" t="s">
        <v>653</v>
      </c>
      <c r="B46" s="370"/>
      <c r="C46" s="370"/>
      <c r="D46" s="368">
        <v>70550</v>
      </c>
      <c r="E46" s="370"/>
      <c r="F46" s="370" t="s">
        <v>653</v>
      </c>
      <c r="G46" s="370"/>
      <c r="H46" s="370">
        <v>70550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L47*M33</f>
        <v>0</v>
      </c>
      <c r="N47" s="211"/>
      <c r="O47" s="211" t="s">
        <v>408</v>
      </c>
      <c r="P47" s="307">
        <v>0.3</v>
      </c>
      <c r="Q47" s="308">
        <f>P47*M33</f>
        <v>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'MARCH 21'!N55</f>
        <v>95403.299999999988</v>
      </c>
      <c r="M49" s="211"/>
      <c r="N49" s="211"/>
      <c r="O49" s="309" t="s">
        <v>239</v>
      </c>
      <c r="P49" s="308">
        <f>'MARCH 21'!R55</f>
        <v>53807.499999999942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154314.34230528004</v>
      </c>
      <c r="C50" s="317"/>
      <c r="D50" s="318">
        <f>SUM(D41:D49)</f>
        <v>75350</v>
      </c>
      <c r="E50" s="318">
        <f>B50-D50</f>
        <v>78964.342305280035</v>
      </c>
      <c r="F50" s="166" t="s">
        <v>193</v>
      </c>
      <c r="G50" s="317">
        <f>G34+G36+G37+G39-H35</f>
        <v>133550.27520000003</v>
      </c>
      <c r="H50" s="318">
        <f>SUM(H41:H49)</f>
        <v>75350</v>
      </c>
      <c r="I50" s="318">
        <f>G50-H50</f>
        <v>58200.275200000033</v>
      </c>
      <c r="J50" s="78"/>
      <c r="K50" s="309" t="s">
        <v>193</v>
      </c>
      <c r="L50" s="308">
        <f>L44+L46+L49+L48</f>
        <v>173403.3</v>
      </c>
      <c r="M50" s="211"/>
      <c r="N50" s="211"/>
      <c r="O50" s="309" t="s">
        <v>193</v>
      </c>
      <c r="P50" s="308">
        <f>P44+P46+P49+P47</f>
        <v>126807.79999999994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653</v>
      </c>
      <c r="L52" s="365"/>
      <c r="M52">
        <v>54850</v>
      </c>
      <c r="N52" s="367"/>
      <c r="O52" s="436" t="s">
        <v>653</v>
      </c>
      <c r="P52" s="365"/>
      <c r="Q52" s="78">
        <v>54850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654</v>
      </c>
      <c r="L53" s="370"/>
      <c r="M53" s="371">
        <f>14500</f>
        <v>14500</v>
      </c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165953.29999999999</v>
      </c>
      <c r="M55" s="318">
        <f>SUM(M47:M54)</f>
        <v>69350</v>
      </c>
      <c r="N55" s="318">
        <f>L55-M55</f>
        <v>96603.299999999988</v>
      </c>
      <c r="O55" s="166" t="s">
        <v>193</v>
      </c>
      <c r="P55" s="317">
        <f>P44+P46+P47+P49-Q45</f>
        <v>119357.79999999994</v>
      </c>
      <c r="Q55" s="318">
        <f>SUM(Q47:Q54)</f>
        <v>54850</v>
      </c>
      <c r="R55" s="318">
        <f>P55-Q55</f>
        <v>64507.799999999945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>
        <f>R55+I50</f>
        <v>122708.07519999998</v>
      </c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3" spans="1:19" x14ac:dyDescent="0.25">
      <c r="Q63" s="380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opLeftCell="C1" workbookViewId="0">
      <selection activeCell="C1" sqref="C1"/>
    </sheetView>
  </sheetViews>
  <sheetFormatPr defaultRowHeight="15" x14ac:dyDescent="0.25"/>
  <cols>
    <col min="1" max="1" width="15.5703125" customWidth="1"/>
    <col min="11" max="11" width="15" bestFit="1" customWidth="1"/>
    <col min="13" max="13" width="10.28515625" customWidth="1"/>
  </cols>
  <sheetData>
    <row r="1" spans="1:22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  <c r="V2" s="78"/>
    </row>
    <row r="3" spans="1:22" ht="21" x14ac:dyDescent="0.25">
      <c r="A3" s="150"/>
      <c r="B3" s="150"/>
      <c r="C3" s="150"/>
      <c r="D3" s="5" t="s">
        <v>655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  <c r="V3" s="78"/>
    </row>
    <row r="4" spans="1:22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655</v>
      </c>
      <c r="N4" s="250"/>
      <c r="O4" s="103"/>
      <c r="P4" s="103"/>
      <c r="Q4" s="78"/>
      <c r="R4" s="78"/>
      <c r="S4" s="78"/>
      <c r="T4" s="78"/>
      <c r="U4" s="78"/>
      <c r="V4" s="78"/>
    </row>
    <row r="5" spans="1:22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  <c r="V5" s="78"/>
    </row>
    <row r="6" spans="1:22" x14ac:dyDescent="0.25">
      <c r="A6" s="196" t="s">
        <v>352</v>
      </c>
      <c r="B6" s="274" t="s">
        <v>50</v>
      </c>
      <c r="C6" s="274"/>
      <c r="D6" s="78">
        <f>APRIL21!I6:I19</f>
        <v>3300</v>
      </c>
      <c r="E6" s="280">
        <v>3000</v>
      </c>
      <c r="F6" s="281">
        <v>100</v>
      </c>
      <c r="G6" s="276">
        <f>D6+E6+F6+C6</f>
        <v>6400</v>
      </c>
      <c r="H6" s="277"/>
      <c r="I6" s="273">
        <f t="shared" ref="I6:I18" si="0">G6-H6</f>
        <v>6400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  <c r="V6" s="78"/>
    </row>
    <row r="7" spans="1:22" ht="22.5" x14ac:dyDescent="0.25">
      <c r="A7" s="196" t="s">
        <v>433</v>
      </c>
      <c r="B7" s="274" t="s">
        <v>52</v>
      </c>
      <c r="C7" s="274"/>
      <c r="D7" s="78">
        <f>APRIL21!I7:I20</f>
        <v>1700</v>
      </c>
      <c r="E7" s="280">
        <v>3000</v>
      </c>
      <c r="F7" s="281">
        <v>100</v>
      </c>
      <c r="G7" s="276">
        <f>D7+E7+F7+C7</f>
        <v>4800</v>
      </c>
      <c r="H7" s="277">
        <f>3700</f>
        <v>3700</v>
      </c>
      <c r="I7" s="273">
        <f t="shared" si="0"/>
        <v>1100</v>
      </c>
      <c r="J7" s="150"/>
      <c r="K7" s="83" t="s">
        <v>106</v>
      </c>
      <c r="L7" s="249" t="s">
        <v>620</v>
      </c>
      <c r="M7" s="85"/>
      <c r="N7" s="232">
        <f>APRIL21!R7:R17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  <c r="T7" s="78"/>
      <c r="U7" s="78"/>
      <c r="V7" s="78"/>
    </row>
    <row r="8" spans="1:22" x14ac:dyDescent="0.25">
      <c r="A8" s="282" t="s">
        <v>648</v>
      </c>
      <c r="B8" s="274" t="s">
        <v>54</v>
      </c>
      <c r="C8" s="274"/>
      <c r="D8" s="78">
        <f>APRIL21!I8:I21</f>
        <v>0</v>
      </c>
      <c r="E8" s="280">
        <v>3000</v>
      </c>
      <c r="F8" s="281">
        <v>100</v>
      </c>
      <c r="G8" s="276">
        <f>D8+E8+F8+C8</f>
        <v>3100</v>
      </c>
      <c r="H8" s="277">
        <f>3100</f>
        <v>3100</v>
      </c>
      <c r="I8" s="273">
        <f t="shared" si="0"/>
        <v>0</v>
      </c>
      <c r="J8" s="150"/>
      <c r="K8" s="83" t="s">
        <v>108</v>
      </c>
      <c r="L8" s="200" t="s">
        <v>284</v>
      </c>
      <c r="M8" s="85"/>
      <c r="N8" s="232">
        <f>APRIL21!R8:R18</f>
        <v>0</v>
      </c>
      <c r="O8" s="320"/>
      <c r="P8" s="232">
        <f t="shared" ref="P8:P19" si="1">M8+N8+O8</f>
        <v>0</v>
      </c>
      <c r="Q8" s="232"/>
      <c r="R8" s="319">
        <f>P8-Q8</f>
        <v>0</v>
      </c>
      <c r="S8" s="78"/>
      <c r="T8" s="78"/>
      <c r="U8" s="78"/>
      <c r="V8" s="78"/>
    </row>
    <row r="9" spans="1:22" x14ac:dyDescent="0.25">
      <c r="A9" s="196" t="s">
        <v>228</v>
      </c>
      <c r="B9" s="274" t="s">
        <v>56</v>
      </c>
      <c r="C9" s="274"/>
      <c r="D9" s="78">
        <f>APRIL21!I9:I22</f>
        <v>0</v>
      </c>
      <c r="E9" s="280">
        <v>3000</v>
      </c>
      <c r="F9" s="281">
        <v>100</v>
      </c>
      <c r="G9" s="276">
        <f>D9+E9+F9+C9</f>
        <v>3100</v>
      </c>
      <c r="H9" s="277">
        <v>3100</v>
      </c>
      <c r="I9" s="273">
        <f t="shared" si="0"/>
        <v>0</v>
      </c>
      <c r="J9" s="150"/>
      <c r="K9" s="83" t="s">
        <v>557</v>
      </c>
      <c r="L9" s="110" t="s">
        <v>467</v>
      </c>
      <c r="M9" s="110"/>
      <c r="N9" s="232">
        <f>APRIL21!R9:R19</f>
        <v>500</v>
      </c>
      <c r="O9" s="110">
        <v>2500</v>
      </c>
      <c r="P9" s="232">
        <f t="shared" si="1"/>
        <v>3000</v>
      </c>
      <c r="Q9" s="110">
        <f>2500</f>
        <v>2500</v>
      </c>
      <c r="R9" s="319">
        <f t="shared" ref="R9:R16" si="2">P9-Q9</f>
        <v>500</v>
      </c>
      <c r="S9" s="78"/>
      <c r="T9" s="78"/>
      <c r="U9" s="78"/>
      <c r="V9" s="78"/>
    </row>
    <row r="10" spans="1:22" ht="22.5" x14ac:dyDescent="0.25">
      <c r="A10" s="282" t="s">
        <v>627</v>
      </c>
      <c r="B10" s="274" t="s">
        <v>58</v>
      </c>
      <c r="C10" s="274"/>
      <c r="D10" s="78">
        <f>APRIL21!I10:I23</f>
        <v>200</v>
      </c>
      <c r="E10" s="280">
        <v>3000</v>
      </c>
      <c r="F10" s="281">
        <v>100</v>
      </c>
      <c r="G10" s="276">
        <f>D10+E10+F10+C10</f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APRIL21!R10:R20</f>
        <v>0</v>
      </c>
      <c r="O10" s="321">
        <v>2500</v>
      </c>
      <c r="P10" s="232">
        <f t="shared" si="1"/>
        <v>2500</v>
      </c>
      <c r="Q10" s="319">
        <f>2500</f>
        <v>2500</v>
      </c>
      <c r="R10" s="319">
        <f t="shared" si="2"/>
        <v>0</v>
      </c>
      <c r="S10" s="78"/>
      <c r="T10" s="78"/>
      <c r="U10" s="78"/>
      <c r="V10" s="78"/>
    </row>
    <row r="11" spans="1:22" ht="22.5" x14ac:dyDescent="0.25">
      <c r="A11" s="282" t="s">
        <v>281</v>
      </c>
      <c r="B11" s="274" t="s">
        <v>60</v>
      </c>
      <c r="C11" s="274"/>
      <c r="D11" s="78">
        <f>APRIL21!I11:I24</f>
        <v>0</v>
      </c>
      <c r="E11" s="280"/>
      <c r="F11" s="281"/>
      <c r="G11" s="276">
        <f t="shared" ref="G11:G19" si="3">D11+E11+F11+C11</f>
        <v>0</v>
      </c>
      <c r="H11" s="277"/>
      <c r="I11" s="273">
        <f t="shared" si="0"/>
        <v>0</v>
      </c>
      <c r="J11" s="150"/>
      <c r="K11" s="99" t="s">
        <v>114</v>
      </c>
      <c r="L11" s="200" t="s">
        <v>427</v>
      </c>
      <c r="M11" s="85"/>
      <c r="N11" s="232">
        <f>APRIL21!R11:R21</f>
        <v>0</v>
      </c>
      <c r="O11" s="320">
        <v>2500</v>
      </c>
      <c r="P11" s="232">
        <f t="shared" si="1"/>
        <v>2500</v>
      </c>
      <c r="Q11" s="234">
        <f>2500</f>
        <v>2500</v>
      </c>
      <c r="R11" s="319">
        <f t="shared" si="2"/>
        <v>0</v>
      </c>
      <c r="S11" s="78"/>
      <c r="T11" s="78"/>
      <c r="U11" s="78"/>
      <c r="V11" s="78"/>
    </row>
    <row r="12" spans="1:22" ht="22.5" x14ac:dyDescent="0.25">
      <c r="A12" s="282" t="s">
        <v>631</v>
      </c>
      <c r="B12" s="274" t="s">
        <v>62</v>
      </c>
      <c r="C12" s="274"/>
      <c r="D12" s="78">
        <f>APRIL21!I12:I25</f>
        <v>3300</v>
      </c>
      <c r="E12" s="280">
        <v>3000</v>
      </c>
      <c r="F12" s="281">
        <v>100</v>
      </c>
      <c r="G12" s="276">
        <f t="shared" si="3"/>
        <v>6400</v>
      </c>
      <c r="H12" s="277">
        <f>1000</f>
        <v>1000</v>
      </c>
      <c r="I12" s="273">
        <f t="shared" si="0"/>
        <v>5400</v>
      </c>
      <c r="J12" s="150"/>
      <c r="K12" s="93" t="s">
        <v>116</v>
      </c>
      <c r="L12" s="249" t="s">
        <v>120</v>
      </c>
      <c r="M12" s="110"/>
      <c r="N12" s="232">
        <f>APRIL21!R12:R22</f>
        <v>0</v>
      </c>
      <c r="O12" s="325">
        <v>2500</v>
      </c>
      <c r="P12" s="232">
        <f t="shared" si="1"/>
        <v>2500</v>
      </c>
      <c r="Q12" s="326">
        <f>2500</f>
        <v>2500</v>
      </c>
      <c r="R12" s="319">
        <f>P12-Q12</f>
        <v>0</v>
      </c>
      <c r="S12" s="78"/>
      <c r="T12" s="78"/>
      <c r="U12" s="78"/>
      <c r="V12" s="78"/>
    </row>
    <row r="13" spans="1:22" ht="22.5" x14ac:dyDescent="0.25">
      <c r="A13" s="196" t="s">
        <v>626</v>
      </c>
      <c r="B13" s="284" t="s">
        <v>64</v>
      </c>
      <c r="C13" s="284"/>
      <c r="D13" s="78">
        <f>APRIL21!I13:I26</f>
        <v>3100</v>
      </c>
      <c r="E13" s="285">
        <v>3000</v>
      </c>
      <c r="F13" s="286">
        <v>100</v>
      </c>
      <c r="G13" s="276">
        <f t="shared" si="3"/>
        <v>6200</v>
      </c>
      <c r="H13" s="277">
        <f>3100</f>
        <v>3100</v>
      </c>
      <c r="I13" s="273">
        <f t="shared" si="0"/>
        <v>3100</v>
      </c>
      <c r="J13" s="150"/>
      <c r="K13" s="83" t="s">
        <v>119</v>
      </c>
      <c r="L13" s="249" t="s">
        <v>120</v>
      </c>
      <c r="M13" s="85"/>
      <c r="N13" s="232">
        <f>APRIL21!R13:R23</f>
        <v>0</v>
      </c>
      <c r="O13" s="320">
        <v>2500</v>
      </c>
      <c r="P13" s="232">
        <f t="shared" si="1"/>
        <v>2500</v>
      </c>
      <c r="Q13" s="234">
        <f>2500</f>
        <v>2500</v>
      </c>
      <c r="R13" s="319">
        <f t="shared" si="2"/>
        <v>0</v>
      </c>
      <c r="S13" s="78"/>
      <c r="T13" s="78"/>
      <c r="U13" s="78"/>
      <c r="V13" s="78"/>
    </row>
    <row r="14" spans="1:22" ht="22.5" x14ac:dyDescent="0.25">
      <c r="A14" s="196" t="s">
        <v>645</v>
      </c>
      <c r="B14" s="284" t="s">
        <v>18</v>
      </c>
      <c r="C14" s="284"/>
      <c r="D14" s="78">
        <f>APRIL21!I14:I27</f>
        <v>0</v>
      </c>
      <c r="E14" s="285">
        <v>3000</v>
      </c>
      <c r="F14" s="286">
        <v>100</v>
      </c>
      <c r="G14" s="276">
        <f t="shared" si="3"/>
        <v>3100</v>
      </c>
      <c r="H14" s="277">
        <f>3100</f>
        <v>3100</v>
      </c>
      <c r="I14" s="273">
        <f t="shared" si="0"/>
        <v>0</v>
      </c>
      <c r="J14" s="445"/>
      <c r="K14" s="83" t="s">
        <v>121</v>
      </c>
      <c r="L14" s="249" t="s">
        <v>420</v>
      </c>
      <c r="M14" s="85"/>
      <c r="N14" s="232">
        <f>APRIL21!R14:R24</f>
        <v>100</v>
      </c>
      <c r="O14" s="320">
        <v>2500</v>
      </c>
      <c r="P14" s="232">
        <f t="shared" si="1"/>
        <v>2600</v>
      </c>
      <c r="Q14" s="234">
        <f>2500</f>
        <v>2500</v>
      </c>
      <c r="R14" s="319">
        <f t="shared" si="2"/>
        <v>100</v>
      </c>
      <c r="S14" s="78"/>
      <c r="T14" s="78"/>
      <c r="U14" s="78"/>
      <c r="V14" s="78"/>
    </row>
    <row r="15" spans="1:22" ht="22.5" x14ac:dyDescent="0.25">
      <c r="A15" s="196" t="s">
        <v>651</v>
      </c>
      <c r="B15" s="284" t="s">
        <v>20</v>
      </c>
      <c r="C15" s="284"/>
      <c r="D15" s="78">
        <f>APRIL21!I15:I28</f>
        <v>200</v>
      </c>
      <c r="E15" s="285">
        <v>3000</v>
      </c>
      <c r="F15" s="286">
        <v>100</v>
      </c>
      <c r="G15" s="276">
        <f t="shared" si="3"/>
        <v>3300</v>
      </c>
      <c r="H15" s="277">
        <f>3200</f>
        <v>3200</v>
      </c>
      <c r="I15" s="273">
        <f t="shared" si="0"/>
        <v>100</v>
      </c>
      <c r="J15" s="150"/>
      <c r="K15" s="83" t="s">
        <v>123</v>
      </c>
      <c r="L15" s="200" t="s">
        <v>396</v>
      </c>
      <c r="M15" s="85">
        <v>500</v>
      </c>
      <c r="N15" s="232">
        <v>5500</v>
      </c>
      <c r="O15" s="320">
        <v>2500</v>
      </c>
      <c r="P15" s="232">
        <f t="shared" si="1"/>
        <v>8500</v>
      </c>
      <c r="Q15" s="234"/>
      <c r="R15" s="319">
        <f t="shared" si="2"/>
        <v>8500</v>
      </c>
      <c r="S15" s="78"/>
      <c r="T15" s="78"/>
      <c r="U15" s="78"/>
      <c r="V15" s="78"/>
    </row>
    <row r="16" spans="1:22" ht="22.5" x14ac:dyDescent="0.25">
      <c r="A16" s="196"/>
      <c r="B16" s="284" t="s">
        <v>22</v>
      </c>
      <c r="C16" s="284"/>
      <c r="D16" s="78">
        <f>APRIL21!I16:I29</f>
        <v>0</v>
      </c>
      <c r="E16" s="285"/>
      <c r="F16" s="286"/>
      <c r="G16" s="276">
        <f t="shared" si="3"/>
        <v>0</v>
      </c>
      <c r="H16" s="277"/>
      <c r="I16" s="273">
        <f t="shared" si="0"/>
        <v>0</v>
      </c>
      <c r="J16" s="150"/>
      <c r="K16" s="83" t="s">
        <v>125</v>
      </c>
      <c r="L16" s="200" t="s">
        <v>636</v>
      </c>
      <c r="M16" s="85"/>
      <c r="N16" s="232">
        <f>APRIL21!R16:R26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2"/>
        <v>0</v>
      </c>
      <c r="S16" s="78"/>
      <c r="T16" s="78"/>
      <c r="U16" s="78"/>
      <c r="V16" s="78"/>
    </row>
    <row r="17" spans="1:22" x14ac:dyDescent="0.25">
      <c r="A17" s="196"/>
      <c r="B17" s="284" t="s">
        <v>24</v>
      </c>
      <c r="C17" s="284"/>
      <c r="D17" s="78">
        <f>APRIL21!I17:I30</f>
        <v>0</v>
      </c>
      <c r="E17" s="285"/>
      <c r="F17" s="286"/>
      <c r="G17" s="276">
        <f t="shared" si="3"/>
        <v>0</v>
      </c>
      <c r="H17" s="277"/>
      <c r="I17" s="273">
        <f t="shared" si="0"/>
        <v>0</v>
      </c>
      <c r="J17" s="150"/>
      <c r="K17" s="83"/>
      <c r="L17" s="200"/>
      <c r="M17" s="85"/>
      <c r="N17" s="232">
        <f>'MARCH 21'!R17:R29</f>
        <v>0</v>
      </c>
      <c r="O17" s="231"/>
      <c r="P17" s="232"/>
      <c r="Q17" s="234"/>
      <c r="R17" s="450"/>
      <c r="S17" s="78"/>
      <c r="T17" s="78"/>
      <c r="U17" s="78"/>
      <c r="V17" s="78"/>
    </row>
    <row r="18" spans="1:22" x14ac:dyDescent="0.25">
      <c r="A18" s="196"/>
      <c r="B18" s="284" t="s">
        <v>26</v>
      </c>
      <c r="C18" s="284"/>
      <c r="D18" s="78">
        <f>APRIL21!I18:I31</f>
        <v>0</v>
      </c>
      <c r="E18" s="285"/>
      <c r="F18" s="286"/>
      <c r="G18" s="276">
        <f t="shared" si="3"/>
        <v>0</v>
      </c>
      <c r="H18" s="277"/>
      <c r="I18" s="273">
        <f t="shared" si="0"/>
        <v>0</v>
      </c>
      <c r="J18" s="150"/>
      <c r="K18" s="83"/>
      <c r="L18" s="200"/>
      <c r="M18" s="85"/>
      <c r="N18" s="232">
        <f>'MARCH 21'!R18:R30</f>
        <v>0</v>
      </c>
      <c r="O18" s="231"/>
      <c r="P18" s="232"/>
      <c r="Q18" s="234"/>
      <c r="R18" s="450"/>
      <c r="S18" s="78"/>
      <c r="T18" s="78"/>
      <c r="U18" s="78"/>
      <c r="V18" s="78"/>
    </row>
    <row r="19" spans="1:22" x14ac:dyDescent="0.25">
      <c r="A19" s="282" t="s">
        <v>660</v>
      </c>
      <c r="B19" s="284" t="s">
        <v>28</v>
      </c>
      <c r="C19" s="284">
        <v>3000</v>
      </c>
      <c r="D19" s="78">
        <f>APRIL21!I19:I32</f>
        <v>0</v>
      </c>
      <c r="E19" s="285">
        <v>3000</v>
      </c>
      <c r="F19" s="286">
        <v>100</v>
      </c>
      <c r="G19" s="276">
        <f t="shared" si="3"/>
        <v>6100</v>
      </c>
      <c r="H19" s="277">
        <f>6100</f>
        <v>6100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6100</v>
      </c>
      <c r="O19" s="239">
        <f>SUM(O7:O16)</f>
        <v>22000</v>
      </c>
      <c r="P19" s="232">
        <f t="shared" si="1"/>
        <v>28600</v>
      </c>
      <c r="Q19" s="240">
        <f>SUM(Q7:Q16)</f>
        <v>19500</v>
      </c>
      <c r="R19" s="323">
        <f>SUM(R7:R16)</f>
        <v>9100</v>
      </c>
      <c r="S19" s="78"/>
      <c r="T19" s="78"/>
      <c r="U19" s="78"/>
      <c r="V19" s="78"/>
    </row>
    <row r="20" spans="1:22" x14ac:dyDescent="0.25">
      <c r="A20" s="294" t="s">
        <v>193</v>
      </c>
      <c r="B20" s="293"/>
      <c r="C20" s="293">
        <f t="shared" ref="C20:I20" si="4">SUM(C6:C19)</f>
        <v>3000</v>
      </c>
      <c r="D20" s="78">
        <f t="shared" si="4"/>
        <v>11800</v>
      </c>
      <c r="E20" s="240">
        <f t="shared" si="4"/>
        <v>30000</v>
      </c>
      <c r="F20" s="240">
        <f t="shared" si="4"/>
        <v>1000</v>
      </c>
      <c r="G20" s="276">
        <f>SUM(G6:G19)</f>
        <v>45800</v>
      </c>
      <c r="H20" s="361">
        <f t="shared" si="4"/>
        <v>29500</v>
      </c>
      <c r="I20" s="273">
        <f t="shared" si="4"/>
        <v>16300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  <c r="V20" s="78"/>
    </row>
    <row r="21" spans="1:22" ht="22.5" x14ac:dyDescent="0.25">
      <c r="A21" s="545"/>
      <c r="B21" s="545"/>
      <c r="C21" s="545"/>
      <c r="D21" s="78">
        <f>APRIL21!I21:I34</f>
        <v>0</v>
      </c>
      <c r="E21" s="345" t="s">
        <v>247</v>
      </c>
      <c r="F21" s="545"/>
      <c r="G21" s="545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APRIL21!R21:R40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  <c r="U21" s="78"/>
      <c r="V21" s="78"/>
    </row>
    <row r="22" spans="1:22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APRIL21!R22:R41</f>
        <v>0</v>
      </c>
      <c r="O22" s="320"/>
      <c r="P22" s="232">
        <f t="shared" si="5"/>
        <v>0</v>
      </c>
      <c r="Q22" s="232"/>
      <c r="R22" s="319">
        <f t="shared" si="6"/>
        <v>0</v>
      </c>
      <c r="S22" s="78"/>
      <c r="T22" s="78"/>
      <c r="U22" s="78"/>
      <c r="V22" s="78"/>
    </row>
    <row r="23" spans="1:22" x14ac:dyDescent="0.25">
      <c r="A23" s="191" t="s">
        <v>313</v>
      </c>
      <c r="B23" s="85"/>
      <c r="C23" s="85"/>
      <c r="D23" s="86">
        <f>APRIL21!H23:H30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APRIL21!R23:R42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  <c r="T23" s="78"/>
      <c r="U23" s="78"/>
      <c r="V23" s="78"/>
    </row>
    <row r="24" spans="1:22" ht="22.5" x14ac:dyDescent="0.25">
      <c r="A24" s="110" t="s">
        <v>313</v>
      </c>
      <c r="B24" s="113"/>
      <c r="C24" s="113"/>
      <c r="D24" s="86">
        <f>APRIL21!H24:H31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 t="s">
        <v>564</v>
      </c>
      <c r="M24" s="110"/>
      <c r="N24" s="232">
        <f>APRIL21!R24:R43</f>
        <v>5500</v>
      </c>
      <c r="O24" s="321">
        <v>3500</v>
      </c>
      <c r="P24" s="232">
        <f>M24+N24+O24</f>
        <v>9000</v>
      </c>
      <c r="Q24" s="319"/>
      <c r="R24" s="319"/>
      <c r="S24" s="78" t="s">
        <v>473</v>
      </c>
      <c r="T24" s="78"/>
      <c r="U24" s="78"/>
      <c r="V24" s="78"/>
    </row>
    <row r="25" spans="1:22" x14ac:dyDescent="0.25">
      <c r="A25" s="191" t="s">
        <v>451</v>
      </c>
      <c r="B25" s="85"/>
      <c r="C25" s="85"/>
      <c r="D25" s="86">
        <f>APRIL21!H25:H32</f>
        <v>0</v>
      </c>
      <c r="E25" s="231">
        <v>4000</v>
      </c>
      <c r="F25" s="232">
        <f t="shared" ref="F25:F30" si="8">B25+E25+D25</f>
        <v>4000</v>
      </c>
      <c r="G25" s="78">
        <v>4000</v>
      </c>
      <c r="H25" s="273"/>
      <c r="I25" s="273"/>
      <c r="J25" s="78"/>
      <c r="K25" s="83">
        <v>5</v>
      </c>
      <c r="L25" s="200" t="s">
        <v>649</v>
      </c>
      <c r="M25" s="85"/>
      <c r="N25" s="232">
        <f>APRIL21!R25:R44</f>
        <v>3000</v>
      </c>
      <c r="O25" s="320">
        <v>3500</v>
      </c>
      <c r="P25" s="232">
        <f t="shared" si="5"/>
        <v>6500</v>
      </c>
      <c r="Q25" s="234">
        <f>3500</f>
        <v>3500</v>
      </c>
      <c r="R25" s="319">
        <f t="shared" si="6"/>
        <v>3000</v>
      </c>
      <c r="S25" s="78"/>
      <c r="T25" s="78"/>
      <c r="U25" s="78"/>
      <c r="V25" s="78"/>
    </row>
    <row r="26" spans="1:22" x14ac:dyDescent="0.25">
      <c r="A26" s="191"/>
      <c r="B26" s="85"/>
      <c r="C26" s="85"/>
      <c r="D26" s="86">
        <f>APRIL21!H26:H33</f>
        <v>0</v>
      </c>
      <c r="E26" s="231"/>
      <c r="F26" s="232">
        <f t="shared" si="8"/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APRIL21!R26:R45</f>
        <v>0</v>
      </c>
      <c r="O26" s="325"/>
      <c r="P26" s="232">
        <f t="shared" si="5"/>
        <v>0</v>
      </c>
      <c r="Q26" s="326"/>
      <c r="R26" s="319">
        <f t="shared" si="6"/>
        <v>0</v>
      </c>
      <c r="S26" s="78"/>
      <c r="T26" s="78"/>
      <c r="U26" s="78"/>
      <c r="V26" s="78"/>
    </row>
    <row r="27" spans="1:22" ht="22.5" x14ac:dyDescent="0.25">
      <c r="A27" s="191" t="s">
        <v>657</v>
      </c>
      <c r="B27" s="86"/>
      <c r="C27" s="86">
        <v>4000</v>
      </c>
      <c r="D27" s="86">
        <f>APRIL21!H27:H34</f>
        <v>0</v>
      </c>
      <c r="E27" s="231">
        <f>4000+4000</f>
        <v>8000</v>
      </c>
      <c r="F27" s="232">
        <f>B27+E27+D27+C27</f>
        <v>12000</v>
      </c>
      <c r="G27" s="110">
        <f>8000+4000</f>
        <v>12000</v>
      </c>
      <c r="H27" s="273">
        <f t="shared" si="7"/>
        <v>0</v>
      </c>
      <c r="I27" s="273"/>
      <c r="J27" s="78"/>
      <c r="K27" s="83">
        <v>7</v>
      </c>
      <c r="L27" s="249" t="s">
        <v>554</v>
      </c>
      <c r="M27" s="85"/>
      <c r="N27" s="232">
        <f>APRIL21!R27:R46</f>
        <v>3500</v>
      </c>
      <c r="O27" s="320">
        <v>3500</v>
      </c>
      <c r="P27" s="232">
        <f t="shared" si="5"/>
        <v>7000</v>
      </c>
      <c r="Q27" s="234"/>
      <c r="R27" s="319"/>
      <c r="S27" s="220" t="s">
        <v>473</v>
      </c>
      <c r="T27" s="78"/>
      <c r="U27" s="78"/>
      <c r="V27" s="78"/>
    </row>
    <row r="28" spans="1:22" ht="22.5" x14ac:dyDescent="0.25">
      <c r="A28" s="191" t="s">
        <v>658</v>
      </c>
      <c r="B28" s="85"/>
      <c r="C28" s="85">
        <v>4000</v>
      </c>
      <c r="D28" s="86">
        <f>APRIL21!H28:H35</f>
        <v>0</v>
      </c>
      <c r="E28" s="231">
        <v>4000</v>
      </c>
      <c r="F28" s="232">
        <f>C28+D28+E28</f>
        <v>8000</v>
      </c>
      <c r="G28" s="110">
        <v>8000</v>
      </c>
      <c r="H28" s="273">
        <f t="shared" si="7"/>
        <v>0</v>
      </c>
      <c r="I28" s="273"/>
      <c r="J28" s="220">
        <f>H31+I20</f>
        <v>18600</v>
      </c>
      <c r="K28" s="83">
        <v>8</v>
      </c>
      <c r="L28" s="249" t="s">
        <v>490</v>
      </c>
      <c r="M28" s="85"/>
      <c r="N28" s="232">
        <f>APRIL21!R28:R47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  <c r="T28" s="78"/>
      <c r="U28" s="78"/>
      <c r="V28" s="78"/>
    </row>
    <row r="29" spans="1:22" ht="22.5" x14ac:dyDescent="0.25">
      <c r="A29" s="218" t="s">
        <v>539</v>
      </c>
      <c r="B29" s="85"/>
      <c r="C29" s="85"/>
      <c r="D29" s="86">
        <f>APRIL21!H29:H36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APRIL21!R29:R48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  <c r="T29" s="78"/>
      <c r="U29" s="78"/>
      <c r="V29" s="78"/>
    </row>
    <row r="30" spans="1:22" x14ac:dyDescent="0.25">
      <c r="A30" s="210" t="s">
        <v>456</v>
      </c>
      <c r="B30" s="85">
        <v>0</v>
      </c>
      <c r="C30" s="85"/>
      <c r="D30" s="86">
        <f>APRIL21!H30:H37</f>
        <v>3300</v>
      </c>
      <c r="E30" s="231">
        <v>4000</v>
      </c>
      <c r="F30" s="232">
        <f t="shared" si="8"/>
        <v>7300</v>
      </c>
      <c r="G30" s="110">
        <f>5000</f>
        <v>5000</v>
      </c>
      <c r="H30" s="273">
        <f t="shared" si="7"/>
        <v>2300</v>
      </c>
      <c r="I30" s="273"/>
      <c r="J30" s="78"/>
      <c r="K30" s="83">
        <v>10</v>
      </c>
      <c r="L30" s="200" t="s">
        <v>281</v>
      </c>
      <c r="M30" s="85"/>
      <c r="N30" s="232">
        <f>APRIL21!R30:R49</f>
        <v>0</v>
      </c>
      <c r="O30" s="320"/>
      <c r="P30" s="232">
        <f t="shared" si="5"/>
        <v>0</v>
      </c>
      <c r="Q30" s="234"/>
      <c r="R30" s="319">
        <f t="shared" si="6"/>
        <v>0</v>
      </c>
      <c r="S30" s="78"/>
      <c r="T30" s="78"/>
      <c r="U30" s="78"/>
      <c r="V30" s="78"/>
    </row>
    <row r="31" spans="1:22" ht="22.5" x14ac:dyDescent="0.25">
      <c r="A31" s="339" t="s">
        <v>193</v>
      </c>
      <c r="B31" s="42"/>
      <c r="C31" s="42">
        <f>SUM(C22:C30)</f>
        <v>8000</v>
      </c>
      <c r="D31" s="86">
        <f>SUM(D23:D30)</f>
        <v>3300</v>
      </c>
      <c r="E31" s="240">
        <f>SUM(E23:E30)</f>
        <v>36000</v>
      </c>
      <c r="F31" s="232">
        <f>SUM(F23:F30)</f>
        <v>47300</v>
      </c>
      <c r="G31" s="535">
        <f>SUM(G23:G30)</f>
        <v>45000</v>
      </c>
      <c r="H31" s="273">
        <f>F31-G31</f>
        <v>2300</v>
      </c>
      <c r="I31" s="273"/>
      <c r="J31" s="78"/>
      <c r="K31" s="83">
        <v>11</v>
      </c>
      <c r="L31" s="249" t="s">
        <v>474</v>
      </c>
      <c r="M31" s="85"/>
      <c r="N31" s="232">
        <f>APRIL21!R31:R50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  <c r="V31" s="78"/>
    </row>
    <row r="32" spans="1:22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18600</v>
      </c>
      <c r="K32" s="83">
        <v>12</v>
      </c>
      <c r="L32" s="200" t="s">
        <v>652</v>
      </c>
      <c r="M32" s="85"/>
      <c r="N32" s="232"/>
      <c r="O32" s="320">
        <v>3500</v>
      </c>
      <c r="P32" s="232">
        <f t="shared" si="5"/>
        <v>3500</v>
      </c>
      <c r="Q32" s="234">
        <v>3500</v>
      </c>
      <c r="R32" s="319">
        <f t="shared" si="6"/>
        <v>0</v>
      </c>
      <c r="S32" s="78"/>
      <c r="T32" s="78"/>
      <c r="U32" s="78"/>
      <c r="V32" s="78"/>
    </row>
    <row r="33" spans="1:22" ht="20.25" customHeight="1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APRIL21!R33:R52</f>
        <v>14000</v>
      </c>
      <c r="O33" s="320">
        <v>3500</v>
      </c>
      <c r="P33" s="232">
        <f>M33+N33+O33</f>
        <v>17500</v>
      </c>
      <c r="Q33" s="234">
        <f>5000+3000</f>
        <v>8000</v>
      </c>
      <c r="R33" s="319">
        <f>P33-Q33</f>
        <v>9500</v>
      </c>
      <c r="S33" s="78"/>
      <c r="T33" s="78"/>
      <c r="U33" s="78"/>
      <c r="V33" s="78"/>
    </row>
    <row r="34" spans="1:22" ht="22.5" x14ac:dyDescent="0.25">
      <c r="A34" s="211" t="s">
        <v>339</v>
      </c>
      <c r="B34" s="273">
        <f>E31+E20</f>
        <v>66000</v>
      </c>
      <c r="C34" s="273"/>
      <c r="D34" s="164"/>
      <c r="E34" s="164"/>
      <c r="F34" s="211" t="s">
        <v>339</v>
      </c>
      <c r="G34" s="273">
        <f>G31+H20</f>
        <v>74500</v>
      </c>
      <c r="H34" s="164"/>
      <c r="I34" s="273"/>
      <c r="J34" s="78"/>
      <c r="K34" s="83">
        <v>14</v>
      </c>
      <c r="L34" s="200" t="s">
        <v>480</v>
      </c>
      <c r="M34" s="85"/>
      <c r="N34" s="232">
        <f>APRIL21!R34:R53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  <c r="T34" s="78"/>
      <c r="U34" s="78"/>
      <c r="V34" s="78"/>
    </row>
    <row r="35" spans="1:22" ht="22.5" x14ac:dyDescent="0.25">
      <c r="A35" s="211" t="s">
        <v>209</v>
      </c>
      <c r="B35" s="307">
        <v>0.1</v>
      </c>
      <c r="C35" s="307"/>
      <c r="D35" s="308">
        <f>B34*B35</f>
        <v>6600</v>
      </c>
      <c r="E35" s="211"/>
      <c r="F35" s="211" t="s">
        <v>209</v>
      </c>
      <c r="G35" s="307">
        <v>0.1</v>
      </c>
      <c r="H35" s="308">
        <f>D35</f>
        <v>6600</v>
      </c>
      <c r="I35" s="273"/>
      <c r="J35" s="78"/>
      <c r="K35" s="83">
        <v>15</v>
      </c>
      <c r="L35" s="200" t="s">
        <v>595</v>
      </c>
      <c r="M35" s="85"/>
      <c r="N35" s="232">
        <f>APRIL21!R35:R54</f>
        <v>3000</v>
      </c>
      <c r="O35" s="320">
        <v>3500</v>
      </c>
      <c r="P35" s="232">
        <f>M35+N35+O35</f>
        <v>6500</v>
      </c>
      <c r="Q35" s="234">
        <f>4000</f>
        <v>4000</v>
      </c>
      <c r="R35" s="319">
        <f>P35-Q35</f>
        <v>2500</v>
      </c>
      <c r="S35" s="78"/>
      <c r="T35" s="78"/>
      <c r="U35" s="78"/>
      <c r="V35" s="78"/>
    </row>
    <row r="36" spans="1:22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APRIL21!R36:R55</f>
        <v>1500</v>
      </c>
      <c r="O36" s="320">
        <v>3500</v>
      </c>
      <c r="P36" s="232">
        <f>M36+N36+O36</f>
        <v>5000</v>
      </c>
      <c r="Q36" s="234">
        <f>4500</f>
        <v>4500</v>
      </c>
      <c r="R36" s="319">
        <f>P36-Q36</f>
        <v>500</v>
      </c>
      <c r="S36" s="78"/>
      <c r="T36" s="78"/>
      <c r="U36" s="78"/>
      <c r="V36" s="78"/>
    </row>
    <row r="37" spans="1:22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/>
      <c r="M37" s="85"/>
      <c r="N37" s="232">
        <f>APRIL21!R37:R56</f>
        <v>0</v>
      </c>
      <c r="O37" s="320"/>
      <c r="P37" s="232">
        <f t="shared" si="5"/>
        <v>0</v>
      </c>
      <c r="Q37" s="234"/>
      <c r="R37" s="319">
        <f t="shared" si="6"/>
        <v>0</v>
      </c>
      <c r="S37" s="78"/>
      <c r="T37" s="78"/>
      <c r="U37" s="78"/>
      <c r="V37" s="78"/>
    </row>
    <row r="38" spans="1:22" ht="22.5" x14ac:dyDescent="0.25">
      <c r="A38" s="309" t="s">
        <v>470</v>
      </c>
      <c r="B38" s="308">
        <f>C31</f>
        <v>8000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APRIL21!R38:R57</f>
        <v>3500</v>
      </c>
      <c r="O38" s="320">
        <v>3500</v>
      </c>
      <c r="P38" s="232">
        <f t="shared" si="5"/>
        <v>7000</v>
      </c>
      <c r="Q38" s="234">
        <f>3500</f>
        <v>3500</v>
      </c>
      <c r="R38" s="319">
        <f>P38-Q38</f>
        <v>3500</v>
      </c>
      <c r="S38" s="78"/>
      <c r="T38" s="78"/>
      <c r="U38" s="78"/>
      <c r="V38" s="78"/>
    </row>
    <row r="39" spans="1:22" ht="22.5" x14ac:dyDescent="0.25">
      <c r="A39" s="309" t="s">
        <v>239</v>
      </c>
      <c r="B39" s="308">
        <f>APRIL21!E50</f>
        <v>78964.342305280035</v>
      </c>
      <c r="C39" s="308"/>
      <c r="D39" s="211"/>
      <c r="E39" s="211"/>
      <c r="F39" s="309" t="s">
        <v>239</v>
      </c>
      <c r="G39" s="308">
        <f>APRIL21!I50</f>
        <v>58200.275200000033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APRIL21!R39:R58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  <c r="T39" s="78"/>
      <c r="U39" s="78"/>
      <c r="V39" s="78"/>
    </row>
    <row r="40" spans="1:22" x14ac:dyDescent="0.25">
      <c r="A40" s="309" t="s">
        <v>193</v>
      </c>
      <c r="B40" s="308">
        <f>B34+B36+B39+B37</f>
        <v>148964.34230528004</v>
      </c>
      <c r="C40" s="308"/>
      <c r="D40" s="211"/>
      <c r="E40" s="211"/>
      <c r="F40" s="309" t="s">
        <v>193</v>
      </c>
      <c r="G40" s="308">
        <f>G34+G36+G39+G37</f>
        <v>135700.27520000003</v>
      </c>
      <c r="H40" s="211"/>
      <c r="I40" s="273"/>
      <c r="J40" s="78"/>
      <c r="K40" s="83">
        <v>20</v>
      </c>
      <c r="L40" s="200"/>
      <c r="M40" s="85"/>
      <c r="N40" s="232"/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  <c r="V40" s="78"/>
    </row>
    <row r="41" spans="1:22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0</v>
      </c>
      <c r="N41" s="232">
        <f>SUM(N21:N40)</f>
        <v>36000</v>
      </c>
      <c r="O41" s="239">
        <f>SUM(O21:O40)</f>
        <v>49000</v>
      </c>
      <c r="P41" s="232">
        <f>SUM(P21:P40)</f>
        <v>85000</v>
      </c>
      <c r="Q41" s="240">
        <f>SUM(Q21:Q40)</f>
        <v>48000</v>
      </c>
      <c r="R41" s="319">
        <f>P41-Q41</f>
        <v>37000</v>
      </c>
      <c r="S41" s="78"/>
      <c r="T41" s="78"/>
      <c r="U41" s="78"/>
      <c r="V41" s="78"/>
    </row>
    <row r="42" spans="1:22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  <c r="V42" s="78"/>
    </row>
    <row r="43" spans="1:22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220"/>
      <c r="U43" s="78"/>
      <c r="V43" s="78"/>
    </row>
    <row r="44" spans="1:22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339</v>
      </c>
      <c r="L44" s="273">
        <f>O41+O19</f>
        <v>71000</v>
      </c>
      <c r="M44" s="164"/>
      <c r="N44" s="232">
        <f>'FEBRUARY 21'!R44:R66</f>
        <v>0</v>
      </c>
      <c r="O44" s="211" t="s">
        <v>339</v>
      </c>
      <c r="P44" s="273">
        <f>Q41+Q19</f>
        <v>67500</v>
      </c>
      <c r="Q44" s="164"/>
      <c r="R44" s="273"/>
      <c r="S44" s="78"/>
      <c r="T44" s="78"/>
      <c r="U44" s="78"/>
      <c r="V44" s="78"/>
    </row>
    <row r="45" spans="1:22" x14ac:dyDescent="0.25">
      <c r="A45" s="370" t="s">
        <v>408</v>
      </c>
      <c r="B45" s="449">
        <v>0.3</v>
      </c>
      <c r="C45" s="449"/>
      <c r="D45" s="368">
        <f>B45*C27+(B45*C28)+(B45*C19)</f>
        <v>3300</v>
      </c>
      <c r="E45" s="370"/>
      <c r="F45" s="370" t="s">
        <v>408</v>
      </c>
      <c r="G45" s="449">
        <v>0.3</v>
      </c>
      <c r="H45" s="368">
        <f>G45*C27+(G45*C28)+(G45*C19)</f>
        <v>3300</v>
      </c>
      <c r="I45" s="368"/>
      <c r="J45" s="78"/>
      <c r="K45" s="211" t="s">
        <v>209</v>
      </c>
      <c r="L45" s="307">
        <v>0.1</v>
      </c>
      <c r="M45" s="308">
        <f>L44*L45</f>
        <v>7100</v>
      </c>
      <c r="N45" s="211"/>
      <c r="O45" s="211" t="s">
        <v>209</v>
      </c>
      <c r="P45" s="307">
        <v>0.1</v>
      </c>
      <c r="Q45" s="308">
        <f>M45</f>
        <v>7100</v>
      </c>
      <c r="R45" s="273"/>
      <c r="S45" s="78"/>
      <c r="T45" s="78"/>
      <c r="U45" s="78"/>
      <c r="V45" s="78"/>
    </row>
    <row r="46" spans="1:22" x14ac:dyDescent="0.25">
      <c r="A46" s="370" t="s">
        <v>656</v>
      </c>
      <c r="B46" s="370"/>
      <c r="C46" s="370"/>
      <c r="D46" s="368">
        <v>58200</v>
      </c>
      <c r="E46" s="370"/>
      <c r="F46" s="370" t="s">
        <v>656</v>
      </c>
      <c r="G46" s="370"/>
      <c r="H46" s="370">
        <v>58200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  <c r="V46" s="78"/>
    </row>
    <row r="47" spans="1:22" x14ac:dyDescent="0.25">
      <c r="A47" s="369"/>
      <c r="B47" s="370"/>
      <c r="C47" s="370"/>
      <c r="D47" s="371"/>
      <c r="E47" s="370"/>
      <c r="F47" s="369"/>
      <c r="G47" s="370"/>
      <c r="H47" s="371"/>
      <c r="I47" s="368"/>
      <c r="J47" s="78"/>
      <c r="K47" s="211" t="s">
        <v>408</v>
      </c>
      <c r="L47" s="307">
        <v>0.3</v>
      </c>
      <c r="M47" s="102">
        <f>L47*M33</f>
        <v>0</v>
      </c>
      <c r="N47" s="211"/>
      <c r="O47" s="211" t="s">
        <v>408</v>
      </c>
      <c r="P47" s="307">
        <v>0.3</v>
      </c>
      <c r="Q47" s="308">
        <f>P47*M33</f>
        <v>0</v>
      </c>
      <c r="R47" s="273"/>
      <c r="S47" s="220"/>
      <c r="T47" s="78"/>
      <c r="U47" s="78"/>
      <c r="V47" s="78"/>
    </row>
    <row r="48" spans="1:22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  <c r="U48" s="78"/>
      <c r="V48" s="78"/>
    </row>
    <row r="49" spans="1:22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APRIL21!N55</f>
        <v>96603.299999999988</v>
      </c>
      <c r="M49" s="211"/>
      <c r="N49" s="211"/>
      <c r="O49" s="309" t="s">
        <v>239</v>
      </c>
      <c r="P49" s="308">
        <f>APRIL21!R55</f>
        <v>64507.799999999945</v>
      </c>
      <c r="Q49" s="211"/>
      <c r="R49" s="273"/>
      <c r="S49" s="78"/>
      <c r="T49" s="78"/>
      <c r="U49" s="78"/>
      <c r="V49" s="78"/>
    </row>
    <row r="50" spans="1:22" x14ac:dyDescent="0.25">
      <c r="A50" s="166" t="s">
        <v>193</v>
      </c>
      <c r="B50" s="317">
        <f>B34+B36+B37+B38+B39-D35</f>
        <v>150364.34230528004</v>
      </c>
      <c r="C50" s="317"/>
      <c r="D50" s="318">
        <f>SUM(D41:D49)</f>
        <v>64500</v>
      </c>
      <c r="E50" s="318">
        <f>B50-D50</f>
        <v>85864.342305280035</v>
      </c>
      <c r="F50" s="166" t="s">
        <v>193</v>
      </c>
      <c r="G50" s="317">
        <f>G34+G36+G37+G39-H35</f>
        <v>129100.27520000003</v>
      </c>
      <c r="H50" s="318">
        <f>SUM(H41:H49)</f>
        <v>64500</v>
      </c>
      <c r="I50" s="318">
        <f>G50-H50</f>
        <v>64600.275200000033</v>
      </c>
      <c r="J50" s="78"/>
      <c r="K50" s="309" t="s">
        <v>193</v>
      </c>
      <c r="L50" s="308">
        <f>L44+L46+L49+L48</f>
        <v>167603.29999999999</v>
      </c>
      <c r="M50" s="211"/>
      <c r="N50" s="211"/>
      <c r="O50" s="309" t="s">
        <v>193</v>
      </c>
      <c r="P50" s="308">
        <f>P44+P46+P49+P47</f>
        <v>132008.09999999992</v>
      </c>
      <c r="Q50" s="211"/>
      <c r="R50" s="273"/>
      <c r="S50" s="78"/>
      <c r="T50" s="78"/>
      <c r="U50" s="78"/>
      <c r="V50" s="78"/>
    </row>
    <row r="51" spans="1:22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  <c r="V51" s="78"/>
    </row>
    <row r="52" spans="1:22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656</v>
      </c>
      <c r="L52" s="365"/>
      <c r="M52" s="78">
        <v>65950</v>
      </c>
      <c r="N52" s="367"/>
      <c r="O52" s="436" t="s">
        <v>656</v>
      </c>
      <c r="P52" s="365"/>
      <c r="Q52" s="78">
        <v>65950</v>
      </c>
      <c r="R52" s="368"/>
      <c r="S52" s="78"/>
      <c r="T52" s="78"/>
      <c r="U52" s="78"/>
      <c r="V52" s="78"/>
    </row>
    <row r="53" spans="1:22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666</v>
      </c>
      <c r="L53" s="370"/>
      <c r="M53" s="371">
        <f>P24</f>
        <v>9000</v>
      </c>
      <c r="N53" s="366"/>
      <c r="O53" s="365"/>
      <c r="P53" s="380"/>
      <c r="Q53" s="367"/>
      <c r="R53" s="368"/>
      <c r="S53" s="78"/>
      <c r="T53" s="78"/>
      <c r="U53" s="78"/>
      <c r="V53" s="78"/>
    </row>
    <row r="54" spans="1:22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 t="s">
        <v>667</v>
      </c>
      <c r="L54" s="370"/>
      <c r="M54" s="371">
        <f>P27</f>
        <v>7000</v>
      </c>
      <c r="N54" s="370"/>
      <c r="O54" s="369"/>
      <c r="P54" s="370"/>
      <c r="Q54" s="371"/>
      <c r="R54" s="368"/>
      <c r="S54" s="78"/>
      <c r="T54" s="78"/>
      <c r="U54" s="78"/>
      <c r="V54" s="78"/>
    </row>
    <row r="55" spans="1:22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160503.29999999999</v>
      </c>
      <c r="M55" s="318">
        <f>SUM(M47:M54)</f>
        <v>81950</v>
      </c>
      <c r="N55" s="318">
        <f>L55-M55</f>
        <v>78553.299999999988</v>
      </c>
      <c r="O55" s="166" t="s">
        <v>193</v>
      </c>
      <c r="P55" s="317">
        <f>P44+P46+P47+P49-Q45</f>
        <v>124908.09999999995</v>
      </c>
      <c r="Q55" s="318">
        <f>SUM(Q47:Q54)</f>
        <v>65950</v>
      </c>
      <c r="R55" s="318">
        <f>P55-Q55</f>
        <v>58958.099999999948</v>
      </c>
      <c r="S55" s="78"/>
      <c r="T55" s="78"/>
      <c r="U55" s="78"/>
      <c r="V55" s="78"/>
    </row>
    <row r="56" spans="1:22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  <c r="V56" s="78"/>
    </row>
    <row r="57" spans="1:22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  <c r="V57" s="78"/>
    </row>
    <row r="58" spans="1:22" x14ac:dyDescent="0.25">
      <c r="A58" s="78"/>
      <c r="B58" s="78"/>
      <c r="C58" s="78"/>
      <c r="D58" s="78"/>
      <c r="E58" s="78"/>
      <c r="F58" s="78"/>
      <c r="G58" s="220"/>
      <c r="H58" s="78"/>
      <c r="I58" s="220">
        <f>I50+R55</f>
        <v>123558.37519999998</v>
      </c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</row>
    <row r="59" spans="1:22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spans="1:22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spans="1:22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spans="1:22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8" workbookViewId="0">
      <selection activeCell="H46" sqref="H46"/>
    </sheetView>
  </sheetViews>
  <sheetFormatPr defaultRowHeight="15" x14ac:dyDescent="0.25"/>
  <cols>
    <col min="1" max="1" width="18.5703125" customWidth="1"/>
    <col min="13" max="13" width="9.5703125" bestFit="1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661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661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78">
        <f>'MAY 21'!I6:I20</f>
        <v>6400</v>
      </c>
      <c r="E6" s="280">
        <v>3000</v>
      </c>
      <c r="F6" s="281">
        <v>100</v>
      </c>
      <c r="G6" s="276">
        <f t="shared" ref="G6:G16" si="0">D6+E6+F6+C6</f>
        <v>9500</v>
      </c>
      <c r="H6" s="277">
        <v>9500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ht="22.5" x14ac:dyDescent="0.25">
      <c r="A7" s="196" t="s">
        <v>433</v>
      </c>
      <c r="B7" s="274" t="s">
        <v>52</v>
      </c>
      <c r="C7" s="274"/>
      <c r="D7" s="78">
        <f>'MAY 21'!I7:I21</f>
        <v>1100</v>
      </c>
      <c r="E7" s="280">
        <v>3000</v>
      </c>
      <c r="F7" s="281">
        <v>100</v>
      </c>
      <c r="G7" s="276">
        <f t="shared" si="0"/>
        <v>4200</v>
      </c>
      <c r="H7" s="277"/>
      <c r="I7" s="273">
        <f t="shared" si="1"/>
        <v>4200</v>
      </c>
      <c r="J7" s="150"/>
      <c r="K7" s="83" t="s">
        <v>106</v>
      </c>
      <c r="L7" s="249" t="s">
        <v>620</v>
      </c>
      <c r="M7" s="85"/>
      <c r="N7" s="232">
        <f>'MAY 21'!R7:R19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/>
      <c r="D8" s="78">
        <f>'MAY 21'!I8:I22</f>
        <v>0</v>
      </c>
      <c r="E8" s="280">
        <v>3000</v>
      </c>
      <c r="F8" s="281">
        <v>100</v>
      </c>
      <c r="G8" s="276">
        <f t="shared" si="0"/>
        <v>3100</v>
      </c>
      <c r="H8" s="277">
        <f>3100</f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'MAY 21'!R8:R20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78">
        <f>'MAY 21'!I9:I23</f>
        <v>0</v>
      </c>
      <c r="E9" s="280">
        <v>3000</v>
      </c>
      <c r="F9" s="281">
        <v>100</v>
      </c>
      <c r="G9" s="276">
        <f t="shared" si="0"/>
        <v>3100</v>
      </c>
      <c r="H9" s="277">
        <f>3100</f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'MAY 21'!R9:R21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ht="22.5" x14ac:dyDescent="0.25">
      <c r="A10" s="282" t="s">
        <v>627</v>
      </c>
      <c r="B10" s="274" t="s">
        <v>58</v>
      </c>
      <c r="C10" s="274"/>
      <c r="D10" s="78">
        <f>'MAY 21'!I10:I24</f>
        <v>200</v>
      </c>
      <c r="E10" s="280">
        <v>3000</v>
      </c>
      <c r="F10" s="281">
        <v>100</v>
      </c>
      <c r="G10" s="276">
        <f t="shared" si="0"/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'MAY 21'!R10:R22</f>
        <v>0</v>
      </c>
      <c r="O10" s="321">
        <v>2500</v>
      </c>
      <c r="P10" s="232">
        <f t="shared" si="2"/>
        <v>2500</v>
      </c>
      <c r="Q10" s="319">
        <f>2500</f>
        <v>2500</v>
      </c>
      <c r="R10" s="319">
        <f t="shared" si="3"/>
        <v>0</v>
      </c>
      <c r="S10" s="78"/>
    </row>
    <row r="11" spans="1:19" ht="22.5" x14ac:dyDescent="0.25">
      <c r="A11" s="282" t="s">
        <v>281</v>
      </c>
      <c r="B11" s="274" t="s">
        <v>60</v>
      </c>
      <c r="C11" s="274"/>
      <c r="D11" s="78">
        <f>'MAY 21'!I11:I25</f>
        <v>0</v>
      </c>
      <c r="E11" s="280"/>
      <c r="F11" s="281"/>
      <c r="G11" s="276">
        <f t="shared" si="0"/>
        <v>0</v>
      </c>
      <c r="H11" s="277"/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'MAY 21'!R11:R23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</row>
    <row r="12" spans="1:19" ht="22.5" x14ac:dyDescent="0.25">
      <c r="A12" s="282" t="s">
        <v>631</v>
      </c>
      <c r="B12" s="274" t="s">
        <v>62</v>
      </c>
      <c r="C12" s="274"/>
      <c r="D12" s="78">
        <f>'MAY 21'!I12:I26</f>
        <v>5400</v>
      </c>
      <c r="E12" s="280">
        <v>3000</v>
      </c>
      <c r="F12" s="281">
        <v>100</v>
      </c>
      <c r="G12" s="276">
        <f t="shared" si="0"/>
        <v>8500</v>
      </c>
      <c r="H12" s="277">
        <f>3100</f>
        <v>3100</v>
      </c>
      <c r="I12" s="273">
        <f t="shared" si="1"/>
        <v>5400</v>
      </c>
      <c r="J12" s="150"/>
      <c r="K12" s="93" t="s">
        <v>116</v>
      </c>
      <c r="L12" s="249" t="s">
        <v>120</v>
      </c>
      <c r="M12" s="110"/>
      <c r="N12" s="232">
        <f>'MAY 21'!R12:R24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</row>
    <row r="13" spans="1:19" ht="22.5" x14ac:dyDescent="0.25">
      <c r="A13" s="196" t="s">
        <v>626</v>
      </c>
      <c r="B13" s="284" t="s">
        <v>64</v>
      </c>
      <c r="C13" s="284"/>
      <c r="D13" s="78">
        <f>'MAY 21'!I13:I27</f>
        <v>3100</v>
      </c>
      <c r="E13" s="285">
        <v>3000</v>
      </c>
      <c r="F13" s="286">
        <v>100</v>
      </c>
      <c r="G13" s="276">
        <f t="shared" si="0"/>
        <v>6200</v>
      </c>
      <c r="H13" s="277">
        <f>3100</f>
        <v>3100</v>
      </c>
      <c r="I13" s="273">
        <f t="shared" si="1"/>
        <v>3100</v>
      </c>
      <c r="J13" s="150"/>
      <c r="K13" s="83" t="s">
        <v>119</v>
      </c>
      <c r="L13" s="249" t="s">
        <v>120</v>
      </c>
      <c r="M13" s="85"/>
      <c r="N13" s="232">
        <f>'MAY 21'!R13:R25</f>
        <v>0</v>
      </c>
      <c r="O13" s="320">
        <v>2500</v>
      </c>
      <c r="P13" s="232">
        <f t="shared" si="2"/>
        <v>2500</v>
      </c>
      <c r="Q13" s="234">
        <f>2500</f>
        <v>2500</v>
      </c>
      <c r="R13" s="319">
        <f t="shared" si="3"/>
        <v>0</v>
      </c>
      <c r="S13" s="78"/>
    </row>
    <row r="14" spans="1:19" ht="22.5" x14ac:dyDescent="0.25">
      <c r="A14" s="196" t="s">
        <v>645</v>
      </c>
      <c r="B14" s="284" t="s">
        <v>18</v>
      </c>
      <c r="C14" s="284"/>
      <c r="D14" s="78">
        <f>'MAY 21'!I14:I28</f>
        <v>0</v>
      </c>
      <c r="E14" s="285">
        <v>3000</v>
      </c>
      <c r="F14" s="286">
        <v>100</v>
      </c>
      <c r="G14" s="276">
        <f t="shared" si="0"/>
        <v>3100</v>
      </c>
      <c r="H14" s="277">
        <v>3000</v>
      </c>
      <c r="I14" s="273">
        <f t="shared" si="1"/>
        <v>100</v>
      </c>
      <c r="J14" s="445"/>
      <c r="K14" s="83" t="s">
        <v>121</v>
      </c>
      <c r="L14" s="249" t="s">
        <v>420</v>
      </c>
      <c r="M14" s="85"/>
      <c r="N14" s="232">
        <f>'MAY 21'!R14:R26</f>
        <v>100</v>
      </c>
      <c r="O14" s="320">
        <v>2500</v>
      </c>
      <c r="P14" s="232">
        <f t="shared" si="2"/>
        <v>2600</v>
      </c>
      <c r="Q14" s="234"/>
      <c r="R14" s="319">
        <f t="shared" si="3"/>
        <v>2600</v>
      </c>
      <c r="S14" s="78"/>
    </row>
    <row r="15" spans="1:19" ht="22.5" x14ac:dyDescent="0.25">
      <c r="A15" s="196" t="s">
        <v>651</v>
      </c>
      <c r="B15" s="284" t="s">
        <v>20</v>
      </c>
      <c r="C15" s="284"/>
      <c r="D15" s="78">
        <f>'MAY 21'!I15:I29</f>
        <v>100</v>
      </c>
      <c r="E15" s="285">
        <v>3000</v>
      </c>
      <c r="F15" s="286">
        <v>100</v>
      </c>
      <c r="G15" s="276">
        <f t="shared" si="0"/>
        <v>3200</v>
      </c>
      <c r="H15" s="277">
        <v>3100</v>
      </c>
      <c r="I15" s="273">
        <f t="shared" si="1"/>
        <v>100</v>
      </c>
      <c r="J15" s="150"/>
      <c r="K15" s="83" t="s">
        <v>123</v>
      </c>
      <c r="L15" s="200" t="s">
        <v>396</v>
      </c>
      <c r="M15" s="85">
        <v>500</v>
      </c>
      <c r="N15" s="232">
        <f>'MAY 21'!R15:R27</f>
        <v>8500</v>
      </c>
      <c r="O15" s="320">
        <v>2500</v>
      </c>
      <c r="P15" s="232">
        <f t="shared" si="2"/>
        <v>11500</v>
      </c>
      <c r="Q15" s="234">
        <f>2500</f>
        <v>2500</v>
      </c>
      <c r="R15" s="319">
        <f t="shared" si="3"/>
        <v>9000</v>
      </c>
      <c r="S15" s="78"/>
    </row>
    <row r="16" spans="1:19" ht="22.5" x14ac:dyDescent="0.25">
      <c r="A16" s="196"/>
      <c r="B16" s="284" t="s">
        <v>22</v>
      </c>
      <c r="C16" s="284"/>
      <c r="D16" s="78">
        <f>'MAY 21'!I16:I30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'MAY 21'!R16:R28</f>
        <v>0</v>
      </c>
      <c r="O16" s="231">
        <v>1500</v>
      </c>
      <c r="P16" s="232">
        <f>M16+N16+O16</f>
        <v>1500</v>
      </c>
      <c r="Q16" s="234">
        <f>1500</f>
        <v>1500</v>
      </c>
      <c r="R16" s="319">
        <f t="shared" si="3"/>
        <v>0</v>
      </c>
      <c r="S16" s="78"/>
    </row>
    <row r="17" spans="1:19" x14ac:dyDescent="0.25">
      <c r="A17" s="196"/>
      <c r="B17" s="284" t="s">
        <v>24</v>
      </c>
      <c r="C17" s="284"/>
      <c r="D17" s="78">
        <f>'MAY 21'!I17:I31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'MAY 21'!R17:R29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84"/>
      <c r="D18" s="78">
        <f>'MAY 21'!I18:I32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'MAY 21'!R18:R30</f>
        <v>0</v>
      </c>
      <c r="O18" s="231"/>
      <c r="P18" s="232"/>
      <c r="Q18" s="234"/>
      <c r="R18" s="450"/>
      <c r="S18" s="78"/>
    </row>
    <row r="19" spans="1:19" x14ac:dyDescent="0.25">
      <c r="A19" s="282" t="s">
        <v>660</v>
      </c>
      <c r="B19" s="284" t="s">
        <v>28</v>
      </c>
      <c r="C19" s="284"/>
      <c r="D19" s="78">
        <f>'MAY 21'!I19:I33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'MAY 21'!R19:R31</f>
        <v>9100</v>
      </c>
      <c r="O19" s="239">
        <f>SUM(O7:O16)</f>
        <v>22000</v>
      </c>
      <c r="P19" s="232">
        <f t="shared" si="2"/>
        <v>31600</v>
      </c>
      <c r="Q19" s="240">
        <f>SUM(Q7:Q16)</f>
        <v>19500</v>
      </c>
      <c r="R19" s="323">
        <f>SUM(R7:R16)</f>
        <v>12100</v>
      </c>
      <c r="S19" s="78"/>
    </row>
    <row r="20" spans="1:19" x14ac:dyDescent="0.25">
      <c r="A20" s="294" t="s">
        <v>193</v>
      </c>
      <c r="B20" s="293"/>
      <c r="C20" s="293">
        <f t="shared" ref="C20:I20" si="4">SUM(C6:C19)</f>
        <v>0</v>
      </c>
      <c r="D20" s="78">
        <f>'MAY 21'!I20:I34</f>
        <v>16300</v>
      </c>
      <c r="E20" s="240">
        <f t="shared" si="4"/>
        <v>30000</v>
      </c>
      <c r="F20" s="240">
        <f t="shared" si="4"/>
        <v>1000</v>
      </c>
      <c r="G20" s="276">
        <f t="shared" si="4"/>
        <v>47300</v>
      </c>
      <c r="H20" s="361">
        <f t="shared" si="4"/>
        <v>34200</v>
      </c>
      <c r="I20" s="273">
        <f t="shared" si="4"/>
        <v>13100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22.5" x14ac:dyDescent="0.25">
      <c r="A21" s="546"/>
      <c r="B21" s="546"/>
      <c r="C21" s="546"/>
      <c r="D21" s="78">
        <f>APRIL21!I21:I34</f>
        <v>0</v>
      </c>
      <c r="E21" s="345" t="s">
        <v>247</v>
      </c>
      <c r="F21" s="546"/>
      <c r="G21" s="546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'MAY 21'!R21:R41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/>
      <c r="M22" s="85"/>
      <c r="N22" s="232">
        <f>'MAY 21'!R22:R42</f>
        <v>0</v>
      </c>
      <c r="O22" s="320"/>
      <c r="P22" s="232">
        <f t="shared" si="5"/>
        <v>0</v>
      </c>
      <c r="Q22" s="232"/>
      <c r="R22" s="319">
        <f t="shared" si="6"/>
        <v>0</v>
      </c>
      <c r="S22" s="78"/>
    </row>
    <row r="23" spans="1:19" x14ac:dyDescent="0.25">
      <c r="A23" s="191" t="s">
        <v>313</v>
      </c>
      <c r="B23" s="85"/>
      <c r="C23" s="85"/>
      <c r="D23" s="86">
        <f>'MAY 21'!H23:H31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/>
      <c r="M23" s="110"/>
      <c r="N23" s="232">
        <f>'MAY 21'!R23:R43</f>
        <v>0</v>
      </c>
      <c r="O23" s="110"/>
      <c r="P23" s="232">
        <f t="shared" si="5"/>
        <v>0</v>
      </c>
      <c r="Q23" s="110"/>
      <c r="R23" s="319">
        <f t="shared" si="6"/>
        <v>0</v>
      </c>
      <c r="S23" s="78"/>
    </row>
    <row r="24" spans="1:19" x14ac:dyDescent="0.25">
      <c r="A24" s="110" t="s">
        <v>313</v>
      </c>
      <c r="B24" s="113"/>
      <c r="C24" s="113"/>
      <c r="D24" s="86">
        <f>'MAY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/>
      <c r="M24" s="110"/>
      <c r="N24" s="232"/>
      <c r="O24" s="321"/>
      <c r="P24" s="232">
        <f>M24+N24+O24</f>
        <v>0</v>
      </c>
      <c r="Q24" s="319"/>
      <c r="R24" s="319">
        <f t="shared" si="6"/>
        <v>0</v>
      </c>
      <c r="S24" s="78"/>
    </row>
    <row r="25" spans="1:19" x14ac:dyDescent="0.25">
      <c r="A25" s="191" t="s">
        <v>665</v>
      </c>
      <c r="B25" s="85"/>
      <c r="C25" s="85">
        <v>4000</v>
      </c>
      <c r="D25" s="86">
        <f>'MAY 21'!H25:H33</f>
        <v>0</v>
      </c>
      <c r="E25" s="231">
        <v>4000</v>
      </c>
      <c r="F25" s="232">
        <f>B25+E25+D25+C25</f>
        <v>8000</v>
      </c>
      <c r="G25" s="78">
        <v>8000</v>
      </c>
      <c r="H25" s="273">
        <f t="shared" si="7"/>
        <v>0</v>
      </c>
      <c r="I25" s="273"/>
      <c r="J25" s="78"/>
      <c r="K25" s="83">
        <v>5</v>
      </c>
      <c r="L25" s="200" t="s">
        <v>281</v>
      </c>
      <c r="M25" s="85"/>
      <c r="N25" s="232"/>
      <c r="O25" s="320"/>
      <c r="P25" s="232">
        <f t="shared" si="5"/>
        <v>0</v>
      </c>
      <c r="Q25" s="234"/>
      <c r="R25" s="319">
        <f t="shared" si="6"/>
        <v>0</v>
      </c>
      <c r="S25" s="78"/>
    </row>
    <row r="26" spans="1:19" x14ac:dyDescent="0.25">
      <c r="A26" s="191"/>
      <c r="B26" s="85"/>
      <c r="C26" s="85"/>
      <c r="D26" s="86">
        <f>'MAY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/>
      <c r="M26" s="110"/>
      <c r="N26" s="232">
        <f>'MAY 21'!R26:R46</f>
        <v>0</v>
      </c>
      <c r="O26" s="325"/>
      <c r="P26" s="232">
        <f t="shared" si="5"/>
        <v>0</v>
      </c>
      <c r="Q26" s="326"/>
      <c r="R26" s="319">
        <f t="shared" si="6"/>
        <v>0</v>
      </c>
      <c r="S26" s="78"/>
    </row>
    <row r="27" spans="1:19" x14ac:dyDescent="0.25">
      <c r="A27" s="191" t="s">
        <v>657</v>
      </c>
      <c r="B27" s="86"/>
      <c r="C27" s="86"/>
      <c r="D27" s="86">
        <f>'MAY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7"/>
        <v>0</v>
      </c>
      <c r="I27" s="273"/>
      <c r="J27" s="78"/>
      <c r="K27" s="83">
        <v>7</v>
      </c>
      <c r="L27" s="249"/>
      <c r="M27" s="85"/>
      <c r="N27" s="232"/>
      <c r="O27" s="320"/>
      <c r="P27" s="232">
        <f t="shared" si="5"/>
        <v>0</v>
      </c>
      <c r="Q27" s="234"/>
      <c r="R27" s="319">
        <f t="shared" si="6"/>
        <v>0</v>
      </c>
      <c r="S27" s="220"/>
    </row>
    <row r="28" spans="1:19" ht="22.5" x14ac:dyDescent="0.25">
      <c r="A28" s="191" t="s">
        <v>658</v>
      </c>
      <c r="B28" s="85"/>
      <c r="C28" s="85"/>
      <c r="D28" s="86">
        <f>'MAY 21'!H28:H36</f>
        <v>0</v>
      </c>
      <c r="E28" s="231">
        <v>4000</v>
      </c>
      <c r="F28" s="232">
        <f>C28+D28+E28</f>
        <v>4000</v>
      </c>
      <c r="G28" s="110">
        <f>4000</f>
        <v>4000</v>
      </c>
      <c r="H28" s="273">
        <f t="shared" si="7"/>
        <v>0</v>
      </c>
      <c r="I28" s="273"/>
      <c r="J28" s="220">
        <f>H31+I20</f>
        <v>15300</v>
      </c>
      <c r="K28" s="83">
        <v>8</v>
      </c>
      <c r="L28" s="249" t="s">
        <v>490</v>
      </c>
      <c r="M28" s="85"/>
      <c r="N28" s="232">
        <f>'MAY 21'!R28:R48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</row>
    <row r="29" spans="1:19" ht="22.5" x14ac:dyDescent="0.25">
      <c r="A29" s="218" t="s">
        <v>539</v>
      </c>
      <c r="B29" s="85"/>
      <c r="C29" s="85"/>
      <c r="D29" s="86">
        <f>'MAY 21'!H29:H37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'MAY 21'!R29:R49</f>
        <v>0</v>
      </c>
      <c r="O29" s="320">
        <v>3500</v>
      </c>
      <c r="P29" s="232">
        <f>M29+N29+O29</f>
        <v>3500</v>
      </c>
      <c r="Q29" s="234">
        <f>3500</f>
        <v>3500</v>
      </c>
      <c r="R29" s="319">
        <f t="shared" si="6"/>
        <v>0</v>
      </c>
      <c r="S29" s="78"/>
    </row>
    <row r="30" spans="1:19" ht="22.5" x14ac:dyDescent="0.25">
      <c r="A30" s="210" t="s">
        <v>456</v>
      </c>
      <c r="B30" s="85">
        <v>0</v>
      </c>
      <c r="C30" s="85"/>
      <c r="D30" s="86">
        <f>'MAY 21'!H30:H38</f>
        <v>2300</v>
      </c>
      <c r="E30" s="231">
        <v>4000</v>
      </c>
      <c r="F30" s="232">
        <f>B30+E30+D30</f>
        <v>6300</v>
      </c>
      <c r="G30" s="110">
        <f>2100+2000</f>
        <v>4100</v>
      </c>
      <c r="H30" s="273">
        <f t="shared" si="7"/>
        <v>2200</v>
      </c>
      <c r="I30" s="273"/>
      <c r="J30" s="78"/>
      <c r="K30" s="83">
        <v>10</v>
      </c>
      <c r="L30" s="200" t="s">
        <v>664</v>
      </c>
      <c r="M30" s="85"/>
      <c r="N30" s="232">
        <f>'MAY 21'!R30:R50</f>
        <v>0</v>
      </c>
      <c r="O30" s="320">
        <v>3500</v>
      </c>
      <c r="P30" s="232">
        <f t="shared" si="5"/>
        <v>3500</v>
      </c>
      <c r="Q30" s="234">
        <v>3500</v>
      </c>
      <c r="R30" s="319">
        <f t="shared" si="6"/>
        <v>0</v>
      </c>
      <c r="S30" s="78"/>
    </row>
    <row r="31" spans="1:19" ht="22.5" x14ac:dyDescent="0.25">
      <c r="A31" s="339" t="s">
        <v>193</v>
      </c>
      <c r="B31" s="42"/>
      <c r="C31" s="42">
        <f>SUM(C22:C30)</f>
        <v>4000</v>
      </c>
      <c r="D31" s="86">
        <f>'MAY 21'!H31:H39</f>
        <v>2300</v>
      </c>
      <c r="E31" s="240">
        <f>SUM(E23:E30)</f>
        <v>32000</v>
      </c>
      <c r="F31" s="232">
        <f>SUM(F23:F30)</f>
        <v>38300</v>
      </c>
      <c r="G31" s="535">
        <f>SUM(G23:G30)</f>
        <v>36100</v>
      </c>
      <c r="H31" s="273">
        <f>F31-G31</f>
        <v>2200</v>
      </c>
      <c r="I31" s="273"/>
      <c r="J31" s="78"/>
      <c r="K31" s="83">
        <v>11</v>
      </c>
      <c r="L31" s="249" t="s">
        <v>474</v>
      </c>
      <c r="M31" s="85"/>
      <c r="N31" s="232">
        <f>'MAY 21'!R31:R51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15300</v>
      </c>
      <c r="K32" s="83">
        <v>12</v>
      </c>
      <c r="L32" s="200" t="s">
        <v>652</v>
      </c>
      <c r="M32" s="85"/>
      <c r="N32" s="232">
        <f>'MAY 21'!R32:R52</f>
        <v>0</v>
      </c>
      <c r="O32" s="320">
        <v>3500</v>
      </c>
      <c r="P32" s="232">
        <f t="shared" si="5"/>
        <v>3500</v>
      </c>
      <c r="Q32" s="234">
        <f>3500</f>
        <v>3500</v>
      </c>
      <c r="R32" s="319">
        <f t="shared" si="6"/>
        <v>0</v>
      </c>
      <c r="S32" s="78"/>
    </row>
    <row r="33" spans="1:19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'MAY 21'!R33:R53</f>
        <v>9500</v>
      </c>
      <c r="O33" s="320">
        <v>3500</v>
      </c>
      <c r="P33" s="232">
        <f>M33+N33+O33</f>
        <v>13000</v>
      </c>
      <c r="Q33" s="234">
        <f>3500</f>
        <v>3500</v>
      </c>
      <c r="R33" s="319">
        <f>P33-Q33</f>
        <v>9500</v>
      </c>
      <c r="S33" s="78"/>
    </row>
    <row r="34" spans="1:19" ht="22.5" x14ac:dyDescent="0.25">
      <c r="A34" s="211" t="s">
        <v>342</v>
      </c>
      <c r="B34" s="273">
        <f>E31+E20</f>
        <v>62000</v>
      </c>
      <c r="C34" s="273"/>
      <c r="D34" s="164"/>
      <c r="E34" s="164"/>
      <c r="F34" s="211" t="s">
        <v>342</v>
      </c>
      <c r="G34" s="273">
        <f>G31+H20</f>
        <v>70300</v>
      </c>
      <c r="H34" s="164"/>
      <c r="I34" s="273"/>
      <c r="J34" s="78"/>
      <c r="K34" s="83">
        <v>14</v>
      </c>
      <c r="L34" s="200" t="s">
        <v>480</v>
      </c>
      <c r="M34" s="85"/>
      <c r="N34" s="232">
        <f>'MAY 21'!R34:R54</f>
        <v>0</v>
      </c>
      <c r="O34" s="320">
        <v>3500</v>
      </c>
      <c r="P34" s="232">
        <f t="shared" si="5"/>
        <v>3500</v>
      </c>
      <c r="Q34" s="234">
        <f>3500</f>
        <v>3500</v>
      </c>
      <c r="R34" s="319">
        <f t="shared" si="6"/>
        <v>0</v>
      </c>
      <c r="S34" s="78"/>
    </row>
    <row r="35" spans="1:19" ht="22.5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595</v>
      </c>
      <c r="M35" s="85"/>
      <c r="N35" s="232">
        <f>'MAY 21'!R35:R55</f>
        <v>2500</v>
      </c>
      <c r="O35" s="320">
        <v>3500</v>
      </c>
      <c r="P35" s="232">
        <f>M35+N35+O35</f>
        <v>6000</v>
      </c>
      <c r="Q35" s="234">
        <f>4000</f>
        <v>4000</v>
      </c>
      <c r="R35" s="319">
        <f>P35-Q35</f>
        <v>2000</v>
      </c>
      <c r="S35" s="78"/>
    </row>
    <row r="36" spans="1:19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'MAY 21'!R36:R56</f>
        <v>500</v>
      </c>
      <c r="O36" s="320">
        <v>3500</v>
      </c>
      <c r="P36" s="232">
        <f>M36+N36+O36</f>
        <v>4000</v>
      </c>
      <c r="Q36" s="234">
        <f>1500+2500</f>
        <v>4000</v>
      </c>
      <c r="R36" s="319">
        <f>P36-Q36</f>
        <v>0</v>
      </c>
      <c r="S36" s="78"/>
    </row>
    <row r="37" spans="1:19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>
        <v>3500</v>
      </c>
      <c r="N37" s="232">
        <f>'MAY 21'!R37:R57</f>
        <v>0</v>
      </c>
      <c r="O37" s="320">
        <v>3500</v>
      </c>
      <c r="P37" s="232">
        <f t="shared" si="5"/>
        <v>7000</v>
      </c>
      <c r="Q37" s="234">
        <v>7000</v>
      </c>
      <c r="R37" s="319">
        <f t="shared" si="6"/>
        <v>0</v>
      </c>
      <c r="S37" s="78"/>
    </row>
    <row r="38" spans="1:19" ht="22.5" x14ac:dyDescent="0.25">
      <c r="A38" s="309" t="s">
        <v>470</v>
      </c>
      <c r="B38" s="308">
        <f>C31</f>
        <v>4000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'MAY 21'!R38:R58</f>
        <v>3500</v>
      </c>
      <c r="O38" s="320">
        <v>3500</v>
      </c>
      <c r="P38" s="232">
        <f t="shared" si="5"/>
        <v>7000</v>
      </c>
      <c r="Q38" s="234">
        <f>1500+1500</f>
        <v>3000</v>
      </c>
      <c r="R38" s="319">
        <f>P38-Q38</f>
        <v>4000</v>
      </c>
      <c r="S38" s="78"/>
    </row>
    <row r="39" spans="1:19" ht="22.5" x14ac:dyDescent="0.25">
      <c r="A39" s="309" t="s">
        <v>239</v>
      </c>
      <c r="B39" s="308">
        <f>'MAY 21'!E50</f>
        <v>85864.342305280035</v>
      </c>
      <c r="C39" s="308"/>
      <c r="D39" s="211"/>
      <c r="E39" s="211"/>
      <c r="F39" s="309" t="s">
        <v>239</v>
      </c>
      <c r="G39" s="308">
        <f>'MAY 21'!I50</f>
        <v>64600.275200000033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'MAY 21'!R39:R59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>P39-Q39</f>
        <v>0</v>
      </c>
      <c r="S39" s="78"/>
    </row>
    <row r="40" spans="1:19" x14ac:dyDescent="0.25">
      <c r="A40" s="309" t="s">
        <v>193</v>
      </c>
      <c r="B40" s="308">
        <f>B34+B36+B39+B37</f>
        <v>151864.34230528004</v>
      </c>
      <c r="C40" s="308"/>
      <c r="D40" s="211"/>
      <c r="E40" s="211"/>
      <c r="F40" s="309" t="s">
        <v>193</v>
      </c>
      <c r="G40" s="308">
        <f>G34+G36+G39+G37</f>
        <v>137900.27520000003</v>
      </c>
      <c r="H40" s="211"/>
      <c r="I40" s="273"/>
      <c r="J40" s="78"/>
      <c r="K40" s="83">
        <v>20</v>
      </c>
      <c r="L40" s="200"/>
      <c r="M40" s="85"/>
      <c r="N40" s="232">
        <f>'MAY 21'!R40:R60</f>
        <v>0</v>
      </c>
      <c r="O40" s="320"/>
      <c r="P40" s="232">
        <f>M40+N40+O40</f>
        <v>0</v>
      </c>
      <c r="Q40" s="234"/>
      <c r="R40" s="319">
        <f>P40-Q40</f>
        <v>0</v>
      </c>
      <c r="S40" s="78"/>
    </row>
    <row r="41" spans="1:19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3500</v>
      </c>
      <c r="N41" s="232">
        <f>'MAY 21'!R41:R61</f>
        <v>37000</v>
      </c>
      <c r="O41" s="239">
        <f>SUM(O21:O40)</f>
        <v>45500</v>
      </c>
      <c r="P41" s="232">
        <f>SUM(P21:P40)</f>
        <v>67000</v>
      </c>
      <c r="Q41" s="240">
        <f>SUM(Q21:Q40)</f>
        <v>49500</v>
      </c>
      <c r="R41" s="319">
        <f>P41-Q41</f>
        <v>17500</v>
      </c>
      <c r="S41" s="78"/>
    </row>
    <row r="42" spans="1:19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</row>
    <row r="43" spans="1:19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</row>
    <row r="44" spans="1:19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342</v>
      </c>
      <c r="L44" s="273">
        <f>O41+O19</f>
        <v>67500</v>
      </c>
      <c r="M44" s="164"/>
      <c r="N44" s="232">
        <f>'FEBRUARY 21'!R44:R66</f>
        <v>0</v>
      </c>
      <c r="O44" s="211" t="s">
        <v>342</v>
      </c>
      <c r="P44" s="273">
        <f>Q41+Q19</f>
        <v>69000</v>
      </c>
      <c r="Q44" s="164"/>
      <c r="R44" s="273"/>
      <c r="S44" s="78"/>
    </row>
    <row r="45" spans="1:19" x14ac:dyDescent="0.25">
      <c r="A45" s="370" t="s">
        <v>408</v>
      </c>
      <c r="B45" s="449">
        <v>0.3</v>
      </c>
      <c r="C45" s="449"/>
      <c r="D45" s="368">
        <f>B45*C25</f>
        <v>1200</v>
      </c>
      <c r="E45" s="370"/>
      <c r="F45" s="370" t="s">
        <v>408</v>
      </c>
      <c r="G45" s="449">
        <v>0.3</v>
      </c>
      <c r="H45" s="368">
        <f>G45*C25</f>
        <v>1200</v>
      </c>
      <c r="I45" s="368"/>
      <c r="J45" s="78"/>
      <c r="K45" s="211" t="s">
        <v>209</v>
      </c>
      <c r="L45" s="307">
        <v>0.1</v>
      </c>
      <c r="M45" s="308">
        <f>L44*L45</f>
        <v>6750</v>
      </c>
      <c r="N45" s="211"/>
      <c r="O45" s="211" t="s">
        <v>209</v>
      </c>
      <c r="P45" s="307">
        <v>0.1</v>
      </c>
      <c r="Q45" s="308">
        <f>M45</f>
        <v>6750</v>
      </c>
      <c r="R45" s="273"/>
      <c r="S45" s="78"/>
    </row>
    <row r="46" spans="1:19" x14ac:dyDescent="0.25">
      <c r="A46" s="370" t="s">
        <v>662</v>
      </c>
      <c r="B46" s="370"/>
      <c r="C46" s="370"/>
      <c r="D46" s="368">
        <v>64600</v>
      </c>
      <c r="E46" s="370"/>
      <c r="F46" s="370" t="s">
        <v>662</v>
      </c>
      <c r="G46" s="370"/>
      <c r="H46" s="370">
        <v>64600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</row>
    <row r="47" spans="1:19" x14ac:dyDescent="0.25">
      <c r="A47" s="369" t="s">
        <v>663</v>
      </c>
      <c r="B47" s="370"/>
      <c r="C47" s="370"/>
      <c r="D47" s="371">
        <v>3000</v>
      </c>
      <c r="E47" s="370"/>
      <c r="F47" s="369" t="s">
        <v>663</v>
      </c>
      <c r="G47" s="370"/>
      <c r="H47" s="370">
        <v>3000</v>
      </c>
      <c r="I47" s="371"/>
      <c r="J47" s="78"/>
      <c r="K47" s="211" t="s">
        <v>408</v>
      </c>
      <c r="L47" s="307">
        <v>0.3</v>
      </c>
      <c r="M47" s="102">
        <f>L47*M37</f>
        <v>1050</v>
      </c>
      <c r="N47" s="211"/>
      <c r="O47" s="211" t="s">
        <v>408</v>
      </c>
      <c r="P47" s="307">
        <v>0.3</v>
      </c>
      <c r="Q47" s="308">
        <f>P47*M37</f>
        <v>1050</v>
      </c>
      <c r="R47" s="273"/>
      <c r="S47" s="220"/>
    </row>
    <row r="48" spans="1:19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3500</v>
      </c>
      <c r="M48" s="308"/>
      <c r="N48" s="211"/>
      <c r="O48" s="309"/>
      <c r="P48" s="308"/>
      <c r="Q48" s="211"/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'MAY 21'!N55</f>
        <v>78553.299999999988</v>
      </c>
      <c r="M49" s="211"/>
      <c r="N49" s="211"/>
      <c r="O49" s="309" t="s">
        <v>239</v>
      </c>
      <c r="P49" s="308">
        <f>'MAY 21'!R55</f>
        <v>58958.099999999948</v>
      </c>
      <c r="Q49" s="211"/>
      <c r="R49" s="273"/>
      <c r="S49" s="78"/>
    </row>
    <row r="50" spans="1:19" x14ac:dyDescent="0.25">
      <c r="A50" s="166" t="s">
        <v>193</v>
      </c>
      <c r="B50" s="317">
        <f>B34+B36+B37+B38+B39-D35</f>
        <v>149664.34230528004</v>
      </c>
      <c r="C50" s="317"/>
      <c r="D50" s="318">
        <f>SUM(D41:D49)</f>
        <v>71800</v>
      </c>
      <c r="E50" s="318">
        <f>B50-D50</f>
        <v>77864.342305280035</v>
      </c>
      <c r="F50" s="166" t="s">
        <v>193</v>
      </c>
      <c r="G50" s="317">
        <f>G34+G36+G37+G39-H35</f>
        <v>131700.27520000003</v>
      </c>
      <c r="H50" s="318">
        <f>SUM(H41:H49)</f>
        <v>71800</v>
      </c>
      <c r="I50" s="318">
        <f>G50-H50</f>
        <v>59900.275200000033</v>
      </c>
      <c r="J50" s="78"/>
      <c r="K50" s="309" t="s">
        <v>193</v>
      </c>
      <c r="L50" s="308">
        <f>L44+L46+L49+L48</f>
        <v>149553.29999999999</v>
      </c>
      <c r="M50" s="211"/>
      <c r="N50" s="211"/>
      <c r="O50" s="309" t="s">
        <v>193</v>
      </c>
      <c r="P50" s="308">
        <f>P44+P46+P49+P47</f>
        <v>127958.39999999995</v>
      </c>
      <c r="Q50" s="211"/>
      <c r="R50" s="273"/>
      <c r="S50" s="78"/>
    </row>
    <row r="51" spans="1:19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</row>
    <row r="52" spans="1:19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662</v>
      </c>
      <c r="L52" s="365"/>
      <c r="M52" s="78">
        <v>58950</v>
      </c>
      <c r="N52" s="367"/>
      <c r="O52" s="436" t="s">
        <v>662</v>
      </c>
      <c r="P52" s="365"/>
      <c r="Q52" s="78">
        <v>58950</v>
      </c>
      <c r="R52" s="368"/>
      <c r="S52" s="78"/>
    </row>
    <row r="53" spans="1:19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</row>
    <row r="54" spans="1:19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</row>
    <row r="55" spans="1:19" x14ac:dyDescent="0.2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166" t="s">
        <v>193</v>
      </c>
      <c r="L55" s="317">
        <f>L44+L48+L49-M45</f>
        <v>142803.29999999999</v>
      </c>
      <c r="M55" s="318">
        <f>SUM(M47:M54)</f>
        <v>60000</v>
      </c>
      <c r="N55" s="318">
        <f>L55-M55</f>
        <v>82803.299999999988</v>
      </c>
      <c r="O55" s="166" t="s">
        <v>193</v>
      </c>
      <c r="P55" s="317">
        <f>P44+P46+P47+P49-Q45</f>
        <v>121208.39999999995</v>
      </c>
      <c r="Q55" s="318">
        <f>SUM(Q47:Q54)</f>
        <v>60000</v>
      </c>
      <c r="R55" s="318">
        <f>P55-Q55</f>
        <v>61208.399999999951</v>
      </c>
      <c r="S55" s="78"/>
    </row>
    <row r="56" spans="1:19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</row>
    <row r="57" spans="1:19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</row>
    <row r="58" spans="1:19" x14ac:dyDescent="0.25">
      <c r="A58" s="78"/>
      <c r="B58" s="78"/>
      <c r="C58" s="78"/>
      <c r="D58" s="78"/>
      <c r="E58" s="78"/>
      <c r="F58" s="78"/>
      <c r="G58" s="220"/>
      <c r="H58" s="78"/>
      <c r="I58" s="220">
        <f>I50+R55</f>
        <v>121108.67519999998</v>
      </c>
      <c r="J58" s="78"/>
      <c r="K58" s="78"/>
      <c r="L58" s="78"/>
      <c r="M58" s="78"/>
      <c r="N58" s="78"/>
      <c r="O58" s="78"/>
      <c r="P58" s="78"/>
      <c r="Q58" s="78"/>
      <c r="R58" s="78"/>
      <c r="S58" s="78"/>
    </row>
    <row r="59" spans="1:19" x14ac:dyDescent="0.25">
      <c r="A59" s="78"/>
      <c r="B59" s="78"/>
      <c r="C59" s="78"/>
      <c r="D59" s="78"/>
      <c r="E59" s="78"/>
      <c r="F59" s="78"/>
      <c r="G59" s="78"/>
      <c r="H59" s="78"/>
      <c r="I59" s="78">
        <v>164742</v>
      </c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A60" s="78"/>
      <c r="B60" s="78"/>
      <c r="C60" s="78"/>
      <c r="D60" s="78"/>
      <c r="E60" s="78"/>
      <c r="F60" s="78"/>
      <c r="G60" s="78"/>
      <c r="H60" s="78"/>
      <c r="I60" s="220">
        <f>I58+I59</f>
        <v>285850.6752</v>
      </c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M62" sqref="M62"/>
    </sheetView>
  </sheetViews>
  <sheetFormatPr defaultRowHeight="15" x14ac:dyDescent="0.25"/>
  <cols>
    <col min="1" max="1" width="18.42578125" customWidth="1"/>
    <col min="13" max="13" width="9.5703125" bestFit="1" customWidth="1"/>
  </cols>
  <sheetData>
    <row r="1" spans="1:21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</row>
    <row r="3" spans="1:21" ht="21" x14ac:dyDescent="0.25">
      <c r="A3" s="150"/>
      <c r="B3" s="150"/>
      <c r="C3" s="150"/>
      <c r="D3" s="5" t="s">
        <v>669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</row>
    <row r="4" spans="1:21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669</v>
      </c>
      <c r="N4" s="250"/>
      <c r="O4" s="103"/>
      <c r="P4" s="103"/>
      <c r="Q4" s="78"/>
      <c r="R4" s="78"/>
      <c r="S4" s="78"/>
      <c r="T4" s="78"/>
      <c r="U4" s="78"/>
    </row>
    <row r="5" spans="1:21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</row>
    <row r="6" spans="1:21" x14ac:dyDescent="0.25">
      <c r="A6" s="196" t="s">
        <v>352</v>
      </c>
      <c r="B6" s="274" t="s">
        <v>50</v>
      </c>
      <c r="C6" s="274"/>
      <c r="D6" s="78">
        <f>'JUNE 21'!I6:I19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/>
      <c r="I6" s="273">
        <f t="shared" ref="I6:I18" si="1">G6-H6</f>
        <v>3100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</row>
    <row r="7" spans="1:21" ht="22.5" x14ac:dyDescent="0.25">
      <c r="A7" s="196" t="s">
        <v>433</v>
      </c>
      <c r="B7" s="274" t="s">
        <v>52</v>
      </c>
      <c r="C7" s="274"/>
      <c r="D7" s="78">
        <f>'JUNE 21'!I7:I20</f>
        <v>4200</v>
      </c>
      <c r="E7" s="280">
        <v>3000</v>
      </c>
      <c r="F7" s="281">
        <v>100</v>
      </c>
      <c r="G7" s="276">
        <f t="shared" si="0"/>
        <v>7300</v>
      </c>
      <c r="H7" s="277">
        <f>5000</f>
        <v>5000</v>
      </c>
      <c r="I7" s="273">
        <f t="shared" si="1"/>
        <v>2300</v>
      </c>
      <c r="J7" s="150"/>
      <c r="K7" s="83" t="s">
        <v>106</v>
      </c>
      <c r="L7" s="249" t="s">
        <v>620</v>
      </c>
      <c r="M7" s="85"/>
      <c r="N7" s="232">
        <f>'JUNE 21'!R7:R18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  <c r="S7" s="78"/>
      <c r="T7" s="78"/>
      <c r="U7" s="78"/>
    </row>
    <row r="8" spans="1:21" x14ac:dyDescent="0.25">
      <c r="A8" s="282" t="s">
        <v>648</v>
      </c>
      <c r="B8" s="274" t="s">
        <v>54</v>
      </c>
      <c r="C8" s="274"/>
      <c r="D8" s="78">
        <f>'JUNE 21'!I8:I21</f>
        <v>0</v>
      </c>
      <c r="E8" s="280">
        <v>3000</v>
      </c>
      <c r="F8" s="281">
        <v>100</v>
      </c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'JUNE 21'!R8:R19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</row>
    <row r="9" spans="1:21" x14ac:dyDescent="0.25">
      <c r="A9" s="196" t="s">
        <v>228</v>
      </c>
      <c r="B9" s="274" t="s">
        <v>56</v>
      </c>
      <c r="C9" s="274"/>
      <c r="D9" s="78">
        <f>'JUNE 21'!I9:I22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'JUNE 21'!R9:R20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  <c r="S9" s="78"/>
      <c r="T9" s="78"/>
      <c r="U9" s="78"/>
    </row>
    <row r="10" spans="1:21" ht="22.5" x14ac:dyDescent="0.25">
      <c r="A10" s="282" t="s">
        <v>627</v>
      </c>
      <c r="B10" s="274" t="s">
        <v>58</v>
      </c>
      <c r="C10" s="274"/>
      <c r="D10" s="78">
        <f>'JUNE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f>3100</f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'JUNE 21'!R10:R21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  <c r="U10" s="78"/>
    </row>
    <row r="11" spans="1:21" ht="22.5" x14ac:dyDescent="0.25">
      <c r="A11" s="282" t="s">
        <v>281</v>
      </c>
      <c r="B11" s="274" t="s">
        <v>60</v>
      </c>
      <c r="C11" s="274"/>
      <c r="D11" s="78">
        <f>'JUNE 21'!I11:I24</f>
        <v>0</v>
      </c>
      <c r="E11" s="280"/>
      <c r="F11" s="281"/>
      <c r="G11" s="276">
        <f t="shared" si="0"/>
        <v>0</v>
      </c>
      <c r="H11" s="277"/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'JUNE 21'!R11:R22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  <c r="S11" s="78"/>
      <c r="T11" s="78"/>
      <c r="U11" s="78"/>
    </row>
    <row r="12" spans="1:21" ht="22.5" x14ac:dyDescent="0.25">
      <c r="A12" s="282" t="s">
        <v>631</v>
      </c>
      <c r="B12" s="274" t="s">
        <v>62</v>
      </c>
      <c r="C12" s="274"/>
      <c r="D12" s="78">
        <f>'JUNE 21'!I12:I25</f>
        <v>5400</v>
      </c>
      <c r="E12" s="280">
        <v>3000</v>
      </c>
      <c r="F12" s="281">
        <v>100</v>
      </c>
      <c r="G12" s="276">
        <f t="shared" si="0"/>
        <v>8500</v>
      </c>
      <c r="H12" s="277">
        <f>1000</f>
        <v>1000</v>
      </c>
      <c r="I12" s="273">
        <f t="shared" si="1"/>
        <v>7500</v>
      </c>
      <c r="J12" s="150"/>
      <c r="K12" s="93" t="s">
        <v>116</v>
      </c>
      <c r="L12" s="249" t="s">
        <v>120</v>
      </c>
      <c r="M12" s="110"/>
      <c r="N12" s="232">
        <f>'JUNE 21'!R12:R23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</row>
    <row r="13" spans="1:21" ht="22.5" x14ac:dyDescent="0.25">
      <c r="A13" s="196" t="s">
        <v>626</v>
      </c>
      <c r="B13" s="284" t="s">
        <v>64</v>
      </c>
      <c r="C13" s="284"/>
      <c r="D13" s="78">
        <f>'JUNE 21'!I13:I26</f>
        <v>3100</v>
      </c>
      <c r="E13" s="285">
        <v>3000</v>
      </c>
      <c r="F13" s="286">
        <v>100</v>
      </c>
      <c r="G13" s="276">
        <f t="shared" si="0"/>
        <v>6200</v>
      </c>
      <c r="H13" s="277">
        <f>2500</f>
        <v>2500</v>
      </c>
      <c r="I13" s="273">
        <f t="shared" si="1"/>
        <v>3700</v>
      </c>
      <c r="J13" s="150"/>
      <c r="K13" s="83" t="s">
        <v>119</v>
      </c>
      <c r="L13" s="249" t="s">
        <v>120</v>
      </c>
      <c r="M13" s="85"/>
      <c r="N13" s="232">
        <f>'JUNE 21'!R13:R24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</row>
    <row r="14" spans="1:21" ht="22.5" x14ac:dyDescent="0.25">
      <c r="A14" s="196" t="s">
        <v>645</v>
      </c>
      <c r="B14" s="284" t="s">
        <v>18</v>
      </c>
      <c r="C14" s="284"/>
      <c r="D14" s="78">
        <f>'JUNE 21'!I14:I27</f>
        <v>100</v>
      </c>
      <c r="E14" s="285">
        <v>3000</v>
      </c>
      <c r="F14" s="286">
        <v>100</v>
      </c>
      <c r="G14" s="276">
        <f t="shared" si="0"/>
        <v>3200</v>
      </c>
      <c r="H14" s="277"/>
      <c r="I14" s="273">
        <f t="shared" si="1"/>
        <v>3200</v>
      </c>
      <c r="J14" s="445"/>
      <c r="K14" s="83" t="s">
        <v>121</v>
      </c>
      <c r="L14" s="249" t="s">
        <v>420</v>
      </c>
      <c r="M14" s="85"/>
      <c r="N14" s="232">
        <f>'JUNE 21'!R14:R25</f>
        <v>2600</v>
      </c>
      <c r="O14" s="320">
        <v>2500</v>
      </c>
      <c r="P14" s="232">
        <f t="shared" si="2"/>
        <v>5100</v>
      </c>
      <c r="Q14" s="234">
        <v>2500</v>
      </c>
      <c r="R14" s="319">
        <f t="shared" si="3"/>
        <v>2600</v>
      </c>
      <c r="S14" s="78"/>
      <c r="T14" s="78"/>
      <c r="U14" s="78"/>
    </row>
    <row r="15" spans="1:21" ht="22.5" x14ac:dyDescent="0.25">
      <c r="A15" s="196" t="s">
        <v>651</v>
      </c>
      <c r="B15" s="284" t="s">
        <v>20</v>
      </c>
      <c r="C15" s="284"/>
      <c r="D15" s="78">
        <f>'JUNE 21'!I15:I28</f>
        <v>100</v>
      </c>
      <c r="E15" s="285">
        <v>3000</v>
      </c>
      <c r="F15" s="286">
        <v>100</v>
      </c>
      <c r="G15" s="276">
        <f t="shared" si="0"/>
        <v>3200</v>
      </c>
      <c r="H15" s="277">
        <v>3200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8500</v>
      </c>
      <c r="O15" s="320">
        <v>2500</v>
      </c>
      <c r="P15" s="232">
        <f t="shared" si="2"/>
        <v>11500</v>
      </c>
      <c r="Q15" s="234">
        <f>2500</f>
        <v>2500</v>
      </c>
      <c r="R15" s="319">
        <f t="shared" si="3"/>
        <v>9000</v>
      </c>
      <c r="S15" s="78"/>
      <c r="T15" s="78"/>
      <c r="U15" s="78"/>
    </row>
    <row r="16" spans="1:21" ht="22.5" x14ac:dyDescent="0.25">
      <c r="A16" s="196"/>
      <c r="B16" s="284" t="s">
        <v>22</v>
      </c>
      <c r="C16" s="284"/>
      <c r="D16" s="78">
        <f>'JUNE 21'!I16:I29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'JUNE 21'!R16:R27</f>
        <v>0</v>
      </c>
      <c r="O16" s="231">
        <v>1500</v>
      </c>
      <c r="P16" s="232">
        <f>M16+N16+O16</f>
        <v>1500</v>
      </c>
      <c r="Q16" s="234"/>
      <c r="R16" s="319">
        <f t="shared" si="3"/>
        <v>1500</v>
      </c>
      <c r="S16" s="78"/>
      <c r="T16" s="78"/>
      <c r="U16" s="78"/>
    </row>
    <row r="17" spans="1:21" x14ac:dyDescent="0.25">
      <c r="A17" s="196"/>
      <c r="B17" s="284" t="s">
        <v>24</v>
      </c>
      <c r="C17" s="284"/>
      <c r="D17" s="78">
        <f>'JUNE 21'!I17:I30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'JUNE 21'!R17:R28</f>
        <v>0</v>
      </c>
      <c r="O17" s="231"/>
      <c r="P17" s="232"/>
      <c r="Q17" s="234"/>
      <c r="R17" s="450"/>
      <c r="S17" s="78"/>
      <c r="T17" s="78"/>
      <c r="U17" s="78"/>
    </row>
    <row r="18" spans="1:21" x14ac:dyDescent="0.25">
      <c r="A18" s="196"/>
      <c r="B18" s="284" t="s">
        <v>26</v>
      </c>
      <c r="C18" s="284"/>
      <c r="D18" s="78">
        <f>'JUNE 21'!I18:I31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'JUNE 21'!R18:R29</f>
        <v>0</v>
      </c>
      <c r="O18" s="231"/>
      <c r="P18" s="232"/>
      <c r="Q18" s="234"/>
      <c r="R18" s="450"/>
      <c r="S18" s="78"/>
      <c r="T18" s="78"/>
      <c r="U18" s="78"/>
    </row>
    <row r="19" spans="1:21" x14ac:dyDescent="0.25">
      <c r="A19" s="282" t="s">
        <v>660</v>
      </c>
      <c r="B19" s="284" t="s">
        <v>28</v>
      </c>
      <c r="C19" s="284"/>
      <c r="D19" s="78">
        <f>'JUNE 21'!I19:I32</f>
        <v>0</v>
      </c>
      <c r="E19" s="285">
        <v>1500</v>
      </c>
      <c r="F19" s="286">
        <v>100</v>
      </c>
      <c r="G19" s="276">
        <f>D19+E19+F19+C19</f>
        <v>1600</v>
      </c>
      <c r="H19" s="277">
        <v>1600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11600</v>
      </c>
      <c r="O19" s="239">
        <f>SUM(O7:O16)</f>
        <v>22000</v>
      </c>
      <c r="P19" s="232">
        <f t="shared" si="2"/>
        <v>34100</v>
      </c>
      <c r="Q19" s="240">
        <f>SUM(Q7:Q16)</f>
        <v>20500</v>
      </c>
      <c r="R19" s="323">
        <f>SUM(R7:R16)</f>
        <v>13600</v>
      </c>
      <c r="S19" s="78"/>
      <c r="T19" s="78"/>
      <c r="U19" s="78"/>
    </row>
    <row r="20" spans="1:21" x14ac:dyDescent="0.25">
      <c r="A20" s="294" t="s">
        <v>193</v>
      </c>
      <c r="B20" s="293"/>
      <c r="C20" s="293">
        <f t="shared" ref="C20:I20" si="4">SUM(C6:C19)</f>
        <v>0</v>
      </c>
      <c r="D20" s="78">
        <f>SUM(D6:D19)</f>
        <v>13100</v>
      </c>
      <c r="E20" s="240">
        <f t="shared" si="4"/>
        <v>28500</v>
      </c>
      <c r="F20" s="240">
        <f t="shared" si="4"/>
        <v>1000</v>
      </c>
      <c r="G20" s="276">
        <f t="shared" si="4"/>
        <v>42600</v>
      </c>
      <c r="H20" s="361">
        <f t="shared" si="4"/>
        <v>22600</v>
      </c>
      <c r="I20" s="273">
        <f t="shared" si="4"/>
        <v>20000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</row>
    <row r="21" spans="1:21" ht="22.5" x14ac:dyDescent="0.25">
      <c r="A21" s="547"/>
      <c r="B21" s="547"/>
      <c r="C21" s="547"/>
      <c r="D21" s="78">
        <f>APRIL21!I21:I34</f>
        <v>0</v>
      </c>
      <c r="E21" s="345" t="s">
        <v>247</v>
      </c>
      <c r="F21" s="547"/>
      <c r="G21" s="547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'JUNE 21'!R21:R40</f>
        <v>0</v>
      </c>
      <c r="O21" s="320">
        <v>3500</v>
      </c>
      <c r="P21" s="232">
        <f t="shared" ref="P21:P38" si="5">M21+N21+O21</f>
        <v>3500</v>
      </c>
      <c r="Q21" s="232">
        <v>3500</v>
      </c>
      <c r="R21" s="319">
        <f t="shared" ref="R21:R37" si="6">P21-Q21</f>
        <v>0</v>
      </c>
      <c r="S21" s="78"/>
      <c r="T21" s="78"/>
      <c r="U21" s="78"/>
    </row>
    <row r="22" spans="1:21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>
        <v>3500</v>
      </c>
      <c r="N22" s="232">
        <f>'JUNE 21'!R22:R41</f>
        <v>0</v>
      </c>
      <c r="O22" s="320">
        <v>3500</v>
      </c>
      <c r="P22" s="232">
        <f t="shared" si="5"/>
        <v>7000</v>
      </c>
      <c r="Q22" s="232">
        <f>2000+3500</f>
        <v>5500</v>
      </c>
      <c r="R22" s="319">
        <f t="shared" si="6"/>
        <v>1500</v>
      </c>
      <c r="S22" s="78"/>
      <c r="T22" s="78"/>
      <c r="U22" s="78"/>
    </row>
    <row r="23" spans="1:21" x14ac:dyDescent="0.25">
      <c r="A23" s="191" t="s">
        <v>313</v>
      </c>
      <c r="B23" s="85"/>
      <c r="C23" s="85"/>
      <c r="D23" s="86">
        <f>'JUNE 21'!H23:H30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>
        <v>3500</v>
      </c>
      <c r="N23" s="232">
        <f>'JUNE 21'!R23:R42</f>
        <v>0</v>
      </c>
      <c r="O23" s="110">
        <v>3500</v>
      </c>
      <c r="P23" s="232">
        <f t="shared" si="5"/>
        <v>7000</v>
      </c>
      <c r="Q23" s="110">
        <v>7000</v>
      </c>
      <c r="R23" s="319">
        <f t="shared" si="6"/>
        <v>0</v>
      </c>
      <c r="S23" s="78"/>
      <c r="T23" s="78"/>
      <c r="U23" s="78"/>
    </row>
    <row r="24" spans="1:21" ht="22.5" x14ac:dyDescent="0.25">
      <c r="A24" s="110" t="s">
        <v>313</v>
      </c>
      <c r="B24" s="113"/>
      <c r="C24" s="113"/>
      <c r="D24" s="86">
        <f>'JUNE 21'!H24:H31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 t="s">
        <v>672</v>
      </c>
      <c r="M24" s="110">
        <v>3500</v>
      </c>
      <c r="N24" s="232">
        <f>'JUNE 21'!R24:R43</f>
        <v>0</v>
      </c>
      <c r="O24" s="321">
        <v>3500</v>
      </c>
      <c r="P24" s="232">
        <f>M24+N24+O24</f>
        <v>7000</v>
      </c>
      <c r="Q24" s="319">
        <v>6000</v>
      </c>
      <c r="R24" s="319">
        <f t="shared" si="6"/>
        <v>1000</v>
      </c>
      <c r="S24" s="78"/>
      <c r="T24" s="78"/>
      <c r="U24" s="78"/>
    </row>
    <row r="25" spans="1:21" x14ac:dyDescent="0.25">
      <c r="A25" s="191" t="s">
        <v>665</v>
      </c>
      <c r="B25" s="85"/>
      <c r="C25" s="85"/>
      <c r="D25" s="86">
        <f>'JUNE 21'!H25:H32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7"/>
        <v>0</v>
      </c>
      <c r="I25" s="273"/>
      <c r="J25" s="78"/>
      <c r="K25" s="83">
        <v>5</v>
      </c>
      <c r="L25" s="121" t="s">
        <v>281</v>
      </c>
      <c r="M25" s="85"/>
      <c r="N25" s="232">
        <f>'JUNE 21'!R25:R44</f>
        <v>0</v>
      </c>
      <c r="O25" s="320"/>
      <c r="P25" s="232">
        <f t="shared" si="5"/>
        <v>0</v>
      </c>
      <c r="Q25" s="234"/>
      <c r="R25" s="319">
        <f t="shared" si="6"/>
        <v>0</v>
      </c>
      <c r="S25" s="78"/>
      <c r="T25" s="78"/>
      <c r="U25" s="78"/>
    </row>
    <row r="26" spans="1:21" ht="22.5" x14ac:dyDescent="0.25">
      <c r="A26" s="191"/>
      <c r="B26" s="85"/>
      <c r="C26" s="85"/>
      <c r="D26" s="86">
        <f>'JUNE 21'!H26:H33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>
        <v>3500</v>
      </c>
      <c r="N26" s="232">
        <f>'JUNE 21'!R26:R45</f>
        <v>0</v>
      </c>
      <c r="O26" s="325">
        <v>3500</v>
      </c>
      <c r="P26" s="232">
        <f t="shared" si="5"/>
        <v>7000</v>
      </c>
      <c r="Q26" s="326">
        <v>7000</v>
      </c>
      <c r="R26" s="319">
        <f t="shared" si="6"/>
        <v>0</v>
      </c>
      <c r="S26" s="78"/>
      <c r="T26" s="78"/>
      <c r="U26" s="78"/>
    </row>
    <row r="27" spans="1:21" x14ac:dyDescent="0.25">
      <c r="A27" s="191" t="s">
        <v>657</v>
      </c>
      <c r="B27" s="86"/>
      <c r="C27" s="86"/>
      <c r="D27" s="86">
        <f>'JUNE 21'!H27:H34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7"/>
        <v>0</v>
      </c>
      <c r="I27" s="273"/>
      <c r="J27" s="78"/>
      <c r="K27" s="83">
        <v>7</v>
      </c>
      <c r="L27" s="548" t="s">
        <v>281</v>
      </c>
      <c r="M27" s="85"/>
      <c r="N27" s="232">
        <f>'JUNE 21'!R27:R46</f>
        <v>0</v>
      </c>
      <c r="O27" s="320"/>
      <c r="P27" s="232">
        <f t="shared" si="5"/>
        <v>0</v>
      </c>
      <c r="Q27" s="234"/>
      <c r="R27" s="319">
        <f t="shared" si="6"/>
        <v>0</v>
      </c>
      <c r="S27" s="220"/>
      <c r="T27" s="78"/>
      <c r="U27" s="78"/>
    </row>
    <row r="28" spans="1:21" ht="22.5" x14ac:dyDescent="0.25">
      <c r="A28" s="191" t="s">
        <v>658</v>
      </c>
      <c r="B28" s="85"/>
      <c r="C28" s="85"/>
      <c r="D28" s="86">
        <f>'JUNE 21'!H28:H35</f>
        <v>0</v>
      </c>
      <c r="E28" s="231">
        <v>4000</v>
      </c>
      <c r="F28" s="232">
        <f>C28+D28+E28</f>
        <v>4000</v>
      </c>
      <c r="G28" s="110">
        <v>4000</v>
      </c>
      <c r="H28" s="273">
        <f t="shared" si="7"/>
        <v>0</v>
      </c>
      <c r="I28" s="273"/>
      <c r="J28" s="220">
        <f>H31+I20</f>
        <v>20000</v>
      </c>
      <c r="K28" s="83">
        <v>8</v>
      </c>
      <c r="L28" s="249" t="s">
        <v>490</v>
      </c>
      <c r="M28" s="85"/>
      <c r="N28" s="232">
        <f>'JUNE 21'!R28:R47</f>
        <v>2000</v>
      </c>
      <c r="O28" s="320">
        <v>3500</v>
      </c>
      <c r="P28" s="232">
        <f t="shared" si="5"/>
        <v>5500</v>
      </c>
      <c r="Q28" s="234">
        <v>3500</v>
      </c>
      <c r="R28" s="319">
        <f t="shared" si="6"/>
        <v>2000</v>
      </c>
      <c r="S28" s="78"/>
      <c r="T28" s="78"/>
      <c r="U28" s="78"/>
    </row>
    <row r="29" spans="1:21" ht="22.5" x14ac:dyDescent="0.25">
      <c r="A29" s="218" t="s">
        <v>539</v>
      </c>
      <c r="B29" s="85"/>
      <c r="C29" s="85"/>
      <c r="D29" s="86">
        <f>'JUNE 21'!H29:H36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'JUNE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6"/>
        <v>0</v>
      </c>
      <c r="S29" s="78"/>
      <c r="T29" s="78"/>
      <c r="U29" s="78"/>
    </row>
    <row r="30" spans="1:21" ht="22.5" x14ac:dyDescent="0.25">
      <c r="A30" s="210" t="s">
        <v>456</v>
      </c>
      <c r="B30" s="85">
        <v>0</v>
      </c>
      <c r="C30" s="85"/>
      <c r="D30" s="86">
        <f>'JUNE 21'!H30:H37</f>
        <v>2200</v>
      </c>
      <c r="E30" s="231">
        <v>4000</v>
      </c>
      <c r="F30" s="232">
        <f>B30+E30+D30</f>
        <v>6200</v>
      </c>
      <c r="G30" s="110">
        <v>6200</v>
      </c>
      <c r="H30" s="273">
        <f t="shared" si="7"/>
        <v>0</v>
      </c>
      <c r="I30" s="273"/>
      <c r="J30" s="78"/>
      <c r="K30" s="83">
        <v>10</v>
      </c>
      <c r="L30" s="200" t="s">
        <v>675</v>
      </c>
      <c r="M30" s="85"/>
      <c r="N30" s="232">
        <f>'JUNE 21'!R30:R49</f>
        <v>0</v>
      </c>
      <c r="O30" s="320">
        <v>3500</v>
      </c>
      <c r="P30" s="232">
        <f t="shared" si="5"/>
        <v>3500</v>
      </c>
      <c r="Q30" s="234"/>
      <c r="R30" s="319">
        <f t="shared" si="6"/>
        <v>3500</v>
      </c>
      <c r="S30" s="78"/>
      <c r="T30" s="78"/>
      <c r="U30" s="78"/>
    </row>
    <row r="31" spans="1:21" ht="22.5" x14ac:dyDescent="0.25">
      <c r="A31" s="339" t="s">
        <v>193</v>
      </c>
      <c r="B31" s="42"/>
      <c r="C31" s="42">
        <f>SUM(C22:C30)</f>
        <v>0</v>
      </c>
      <c r="D31" s="86">
        <f>'MAY 21'!H31:H39</f>
        <v>2300</v>
      </c>
      <c r="E31" s="240">
        <f>SUM(E23:E30)</f>
        <v>32000</v>
      </c>
      <c r="F31" s="232">
        <f>SUM(F23:F30)</f>
        <v>34200</v>
      </c>
      <c r="G31" s="535">
        <f>SUM(G23:G30)</f>
        <v>34200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'JUNE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</row>
    <row r="32" spans="1:21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20000</v>
      </c>
      <c r="K32" s="83">
        <v>12</v>
      </c>
      <c r="L32" s="200" t="s">
        <v>652</v>
      </c>
      <c r="M32" s="85"/>
      <c r="N32" s="232">
        <f>'JUNE 21'!R32:R51</f>
        <v>0</v>
      </c>
      <c r="O32" s="320">
        <v>3500</v>
      </c>
      <c r="P32" s="232">
        <f t="shared" si="5"/>
        <v>3500</v>
      </c>
      <c r="Q32" s="234"/>
      <c r="R32" s="319">
        <f t="shared" si="6"/>
        <v>3500</v>
      </c>
      <c r="S32" s="78"/>
      <c r="T32" s="78"/>
      <c r="U32" s="78"/>
    </row>
    <row r="33" spans="1:21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'JUNE 21'!R33:R52</f>
        <v>9500</v>
      </c>
      <c r="O33" s="320">
        <v>3500</v>
      </c>
      <c r="P33" s="232">
        <f>M33+N33+O33</f>
        <v>13000</v>
      </c>
      <c r="Q33" s="234">
        <f>3500+3000</f>
        <v>6500</v>
      </c>
      <c r="R33" s="319">
        <f>P33-Q33</f>
        <v>6500</v>
      </c>
      <c r="S33" s="78"/>
      <c r="T33" s="78"/>
      <c r="U33" s="78"/>
    </row>
    <row r="34" spans="1:21" ht="22.5" x14ac:dyDescent="0.25">
      <c r="A34" s="211" t="s">
        <v>355</v>
      </c>
      <c r="B34" s="273">
        <f>E31+E20</f>
        <v>60500</v>
      </c>
      <c r="C34" s="273"/>
      <c r="D34" s="164"/>
      <c r="E34" s="164"/>
      <c r="F34" s="211" t="s">
        <v>355</v>
      </c>
      <c r="G34" s="273">
        <f>G31+H20</f>
        <v>56800</v>
      </c>
      <c r="H34" s="164"/>
      <c r="I34" s="273"/>
      <c r="J34" s="78"/>
      <c r="K34" s="83">
        <v>14</v>
      </c>
      <c r="L34" s="200" t="s">
        <v>480</v>
      </c>
      <c r="M34" s="85"/>
      <c r="N34" s="232">
        <f>'JUNE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</row>
    <row r="35" spans="1:21" ht="22.5" x14ac:dyDescent="0.25">
      <c r="A35" s="211" t="s">
        <v>209</v>
      </c>
      <c r="B35" s="307">
        <v>0.1</v>
      </c>
      <c r="C35" s="307"/>
      <c r="D35" s="308">
        <f>B34*B35</f>
        <v>6050</v>
      </c>
      <c r="E35" s="211"/>
      <c r="F35" s="211" t="s">
        <v>209</v>
      </c>
      <c r="G35" s="307">
        <v>0.1</v>
      </c>
      <c r="H35" s="308">
        <f>D35</f>
        <v>6050</v>
      </c>
      <c r="I35" s="273"/>
      <c r="J35" s="78"/>
      <c r="K35" s="83">
        <v>15</v>
      </c>
      <c r="L35" s="200" t="s">
        <v>595</v>
      </c>
      <c r="M35" s="85"/>
      <c r="N35" s="232">
        <f>'JUNE 21'!R35:R54</f>
        <v>2000</v>
      </c>
      <c r="O35" s="320">
        <v>3500</v>
      </c>
      <c r="P35" s="232">
        <f>M35+N35+O35</f>
        <v>5500</v>
      </c>
      <c r="Q35" s="234">
        <f>4000</f>
        <v>4000</v>
      </c>
      <c r="R35" s="319">
        <f>P35-Q35</f>
        <v>1500</v>
      </c>
      <c r="S35" s="78"/>
      <c r="T35" s="78"/>
      <c r="U35" s="78"/>
    </row>
    <row r="36" spans="1:21" ht="22.5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'JUNE 21'!R36:R55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  <c r="S36" s="78"/>
      <c r="T36" s="78"/>
      <c r="U36" s="78"/>
    </row>
    <row r="37" spans="1:21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/>
      <c r="N37" s="232">
        <f>'JUNE 21'!R37:R56</f>
        <v>0</v>
      </c>
      <c r="O37" s="320">
        <v>3500</v>
      </c>
      <c r="P37" s="232">
        <f t="shared" si="5"/>
        <v>3500</v>
      </c>
      <c r="Q37" s="234"/>
      <c r="R37" s="319">
        <f t="shared" si="6"/>
        <v>3500</v>
      </c>
      <c r="S37" s="78"/>
      <c r="T37" s="78"/>
      <c r="U37" s="78"/>
    </row>
    <row r="38" spans="1:21" ht="22.5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'JUNE 21'!R38:R57</f>
        <v>4000</v>
      </c>
      <c r="O38" s="320">
        <v>3500</v>
      </c>
      <c r="P38" s="232">
        <f t="shared" si="5"/>
        <v>7500</v>
      </c>
      <c r="Q38" s="234">
        <f>3500</f>
        <v>3500</v>
      </c>
      <c r="R38" s="319">
        <f>P38-Q38</f>
        <v>4000</v>
      </c>
      <c r="S38" s="78"/>
      <c r="T38" s="78"/>
      <c r="U38" s="78"/>
    </row>
    <row r="39" spans="1:21" ht="22.5" x14ac:dyDescent="0.25">
      <c r="A39" s="309" t="s">
        <v>239</v>
      </c>
      <c r="B39" s="308">
        <f>'JUNE 21'!E50</f>
        <v>77864.342305280035</v>
      </c>
      <c r="C39" s="308"/>
      <c r="D39" s="211"/>
      <c r="E39" s="211"/>
      <c r="F39" s="309" t="s">
        <v>239</v>
      </c>
      <c r="G39" s="308">
        <f>'JUNE 21'!I50</f>
        <v>59900.275200000033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'JUNE 21'!R39:R58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</row>
    <row r="40" spans="1:21" x14ac:dyDescent="0.25">
      <c r="A40" s="309" t="s">
        <v>193</v>
      </c>
      <c r="B40" s="308">
        <f>B34+B36+B39+B37</f>
        <v>142364.34230528004</v>
      </c>
      <c r="C40" s="308"/>
      <c r="D40" s="211"/>
      <c r="E40" s="211"/>
      <c r="F40" s="309" t="s">
        <v>193</v>
      </c>
      <c r="G40" s="308">
        <f>G34+G36+G39+G37</f>
        <v>119700.27520000003</v>
      </c>
      <c r="H40" s="211"/>
      <c r="I40" s="273"/>
      <c r="J40" s="78"/>
      <c r="K40" s="83">
        <v>20</v>
      </c>
      <c r="L40" s="200"/>
      <c r="M40" s="85"/>
      <c r="N40" s="232">
        <f>'JUNE 21'!R40:R59</f>
        <v>0</v>
      </c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</row>
    <row r="41" spans="1:21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14000</v>
      </c>
      <c r="N41" s="232">
        <f>SUM(N21:N40)</f>
        <v>17500</v>
      </c>
      <c r="O41" s="239">
        <f>SUM(O21:O40)</f>
        <v>59500</v>
      </c>
      <c r="P41" s="232">
        <f>SUM(P21:P40)</f>
        <v>91000</v>
      </c>
      <c r="Q41" s="240">
        <f>SUM(Q21:Q40)</f>
        <v>64000</v>
      </c>
      <c r="R41" s="319">
        <f>P41-Q41</f>
        <v>27000</v>
      </c>
      <c r="S41" s="78"/>
      <c r="T41" s="78"/>
      <c r="U41" s="78"/>
    </row>
    <row r="42" spans="1:21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</row>
    <row r="43" spans="1:21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</row>
    <row r="44" spans="1:21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355</v>
      </c>
      <c r="L44" s="273">
        <f>O41+O19</f>
        <v>81500</v>
      </c>
      <c r="M44" s="164"/>
      <c r="N44" s="232">
        <f>'FEBRUARY 21'!R44:R66</f>
        <v>0</v>
      </c>
      <c r="O44" s="211" t="s">
        <v>355</v>
      </c>
      <c r="P44" s="273">
        <f>Q41+Q19</f>
        <v>84500</v>
      </c>
      <c r="Q44" s="164"/>
      <c r="R44" s="273"/>
      <c r="S44" s="78"/>
      <c r="T44" s="78"/>
      <c r="U44" s="78"/>
    </row>
    <row r="45" spans="1:21" x14ac:dyDescent="0.25">
      <c r="A45" s="370" t="s">
        <v>408</v>
      </c>
      <c r="B45" s="449">
        <v>0.3</v>
      </c>
      <c r="C45" s="449"/>
      <c r="D45" s="368">
        <f>B45*C27+(B45*C28)</f>
        <v>0</v>
      </c>
      <c r="E45" s="370"/>
      <c r="F45" s="370" t="s">
        <v>408</v>
      </c>
      <c r="G45" s="449">
        <v>0.3</v>
      </c>
      <c r="H45" s="368">
        <f>G45*C27+(G45*C28)</f>
        <v>0</v>
      </c>
      <c r="I45" s="368"/>
      <c r="J45" s="78"/>
      <c r="K45" s="211" t="s">
        <v>209</v>
      </c>
      <c r="L45" s="307">
        <v>0.1</v>
      </c>
      <c r="M45" s="308">
        <f>L44*L45</f>
        <v>8150</v>
      </c>
      <c r="N45" s="211"/>
      <c r="O45" s="211" t="s">
        <v>209</v>
      </c>
      <c r="P45" s="307">
        <v>0.1</v>
      </c>
      <c r="Q45" s="308">
        <f>M45</f>
        <v>8150</v>
      </c>
      <c r="R45" s="273"/>
      <c r="S45" s="78"/>
      <c r="T45" s="78"/>
      <c r="U45" s="78"/>
    </row>
    <row r="46" spans="1:21" x14ac:dyDescent="0.25">
      <c r="A46" s="370" t="s">
        <v>668</v>
      </c>
      <c r="B46" s="370"/>
      <c r="C46" s="370"/>
      <c r="D46" s="368">
        <v>61100</v>
      </c>
      <c r="E46" s="370"/>
      <c r="F46" s="370" t="s">
        <v>668</v>
      </c>
      <c r="G46" s="370"/>
      <c r="H46" s="370">
        <v>61100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</row>
    <row r="47" spans="1:21" x14ac:dyDescent="0.25">
      <c r="A47" s="369"/>
      <c r="B47" s="370"/>
      <c r="C47" s="370"/>
      <c r="D47" s="371"/>
      <c r="E47" s="370"/>
      <c r="F47" s="369"/>
      <c r="G47" s="370"/>
      <c r="H47" s="370"/>
      <c r="I47" s="371"/>
      <c r="J47" s="78"/>
      <c r="K47" s="211" t="s">
        <v>408</v>
      </c>
      <c r="L47" s="307">
        <v>0.3</v>
      </c>
      <c r="M47" s="102">
        <f>L47*M22+(L47*M23)+(M24*L47)+(L47*M26)</f>
        <v>4200</v>
      </c>
      <c r="N47" s="211"/>
      <c r="O47" s="211" t="s">
        <v>408</v>
      </c>
      <c r="P47" s="307">
        <v>0.3</v>
      </c>
      <c r="Q47" s="308">
        <f>P47*M22+(P47*M23)+(P47*M24)+(M26*P47)</f>
        <v>4200</v>
      </c>
      <c r="R47" s="273"/>
      <c r="S47" s="220"/>
      <c r="T47" s="78"/>
      <c r="U47" s="78"/>
    </row>
    <row r="48" spans="1:21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14000</v>
      </c>
      <c r="M48" s="308"/>
      <c r="N48" s="211"/>
      <c r="O48" s="309"/>
      <c r="P48" s="308"/>
      <c r="Q48" s="211"/>
      <c r="R48" s="273"/>
      <c r="S48" s="220"/>
      <c r="T48" s="78"/>
      <c r="U48" s="78"/>
    </row>
    <row r="49" spans="1:21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'JUNE 21'!N55</f>
        <v>82803.299999999988</v>
      </c>
      <c r="M49" s="211"/>
      <c r="N49" s="211"/>
      <c r="O49" s="309" t="s">
        <v>239</v>
      </c>
      <c r="P49" s="308">
        <f>'JUNE 21'!R55</f>
        <v>61208.399999999951</v>
      </c>
      <c r="Q49" s="211"/>
      <c r="R49" s="273"/>
      <c r="S49" s="78"/>
      <c r="T49" s="78"/>
      <c r="U49" s="78"/>
    </row>
    <row r="50" spans="1:21" x14ac:dyDescent="0.25">
      <c r="A50" s="166" t="s">
        <v>193</v>
      </c>
      <c r="B50" s="317">
        <f>B34+B36+B37+B38+B39-D35</f>
        <v>136314.34230528004</v>
      </c>
      <c r="C50" s="317"/>
      <c r="D50" s="318">
        <f>SUM(D41:D49)</f>
        <v>64100</v>
      </c>
      <c r="E50" s="318">
        <f>B50-D50</f>
        <v>72214.342305280035</v>
      </c>
      <c r="F50" s="166" t="s">
        <v>193</v>
      </c>
      <c r="G50" s="317">
        <f>G34+G36+G37+G39-H35</f>
        <v>113650.27520000003</v>
      </c>
      <c r="H50" s="318">
        <f>SUM(H41:H49)</f>
        <v>64100</v>
      </c>
      <c r="I50" s="318">
        <f>G50-H50</f>
        <v>49550.275200000033</v>
      </c>
      <c r="J50" s="78"/>
      <c r="K50" s="309" t="s">
        <v>193</v>
      </c>
      <c r="L50" s="308">
        <f>L44+L46+L49+L48</f>
        <v>178303.3</v>
      </c>
      <c r="M50" s="211"/>
      <c r="N50" s="211"/>
      <c r="O50" s="309" t="s">
        <v>193</v>
      </c>
      <c r="P50" s="308">
        <f>P44+P46+P49+P47</f>
        <v>145708.69999999995</v>
      </c>
      <c r="Q50" s="211"/>
      <c r="R50" s="273"/>
      <c r="S50" s="78"/>
      <c r="T50" s="78"/>
      <c r="U50" s="78"/>
    </row>
    <row r="51" spans="1:21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</row>
    <row r="52" spans="1:21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436" t="s">
        <v>668</v>
      </c>
      <c r="L52" s="365"/>
      <c r="M52" s="78">
        <v>55600</v>
      </c>
      <c r="N52" s="367"/>
      <c r="O52" s="436" t="s">
        <v>668</v>
      </c>
      <c r="P52" s="365"/>
      <c r="Q52" s="78">
        <v>55600</v>
      </c>
      <c r="R52" s="368"/>
      <c r="S52" s="78"/>
      <c r="T52" s="78"/>
      <c r="U52" s="78"/>
    </row>
    <row r="53" spans="1:21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/>
      <c r="L53" s="370"/>
      <c r="M53" s="371"/>
      <c r="N53" s="366"/>
      <c r="O53" s="365"/>
      <c r="P53" s="380"/>
      <c r="Q53" s="367"/>
      <c r="R53" s="368"/>
      <c r="S53" s="78"/>
      <c r="T53" s="78"/>
      <c r="U53" s="78"/>
    </row>
    <row r="54" spans="1:21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/>
      <c r="L54" s="370"/>
      <c r="M54" s="371"/>
      <c r="N54" s="370"/>
      <c r="O54" s="369"/>
      <c r="P54" s="370"/>
      <c r="Q54" s="371"/>
      <c r="R54" s="368"/>
      <c r="S54" s="78"/>
      <c r="T54" s="78"/>
      <c r="U54" s="78"/>
    </row>
    <row r="55" spans="1:21" x14ac:dyDescent="0.25">
      <c r="A55" s="78"/>
      <c r="B55" s="78"/>
      <c r="C55" s="78"/>
      <c r="D55" s="78"/>
      <c r="E55" s="78"/>
      <c r="F55" s="78"/>
      <c r="G55" s="78"/>
      <c r="H55" s="78"/>
      <c r="I55" s="220"/>
      <c r="J55" s="78"/>
      <c r="K55" s="166" t="s">
        <v>193</v>
      </c>
      <c r="L55" s="317">
        <f>L44+L48+L49-M45</f>
        <v>170153.3</v>
      </c>
      <c r="M55" s="318">
        <f>SUM(M47:M54)</f>
        <v>59800</v>
      </c>
      <c r="N55" s="318">
        <f>L55-M55</f>
        <v>110353.29999999999</v>
      </c>
      <c r="O55" s="166" t="s">
        <v>193</v>
      </c>
      <c r="P55" s="317">
        <f>P44+P46+P47+P49-Q45</f>
        <v>137558.69999999995</v>
      </c>
      <c r="Q55" s="318">
        <f>SUM(Q47:Q54)</f>
        <v>59800</v>
      </c>
      <c r="R55" s="318">
        <f>P55-Q55</f>
        <v>77758.699999999953</v>
      </c>
      <c r="S55" s="78"/>
      <c r="T55" s="78"/>
      <c r="U55" s="78"/>
    </row>
    <row r="56" spans="1:21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</row>
    <row r="57" spans="1:21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</row>
    <row r="58" spans="1:21" x14ac:dyDescent="0.25">
      <c r="A58" s="78"/>
      <c r="B58" s="78"/>
      <c r="C58" s="78"/>
      <c r="D58" s="78"/>
      <c r="E58" s="78"/>
      <c r="F58" s="78"/>
      <c r="G58" s="220"/>
      <c r="H58" s="78"/>
      <c r="I58" s="220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1:2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1:21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1:2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4" spans="1:21" x14ac:dyDescent="0.25">
      <c r="I64" s="220">
        <f>R55+I50</f>
        <v>127308.97519999999</v>
      </c>
    </row>
    <row r="69" spans="11:11" x14ac:dyDescent="0.25">
      <c r="K69">
        <f>6000-3500</f>
        <v>2500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Normal="100" workbookViewId="0">
      <selection activeCell="H11" sqref="H11"/>
    </sheetView>
  </sheetViews>
  <sheetFormatPr defaultRowHeight="15" x14ac:dyDescent="0.25"/>
  <cols>
    <col min="1" max="1" width="14.140625" customWidth="1"/>
    <col min="6" max="6" width="13.28515625" customWidth="1"/>
  </cols>
  <sheetData>
    <row r="1" spans="1:21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</row>
    <row r="2" spans="1:21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  <c r="T2" s="78"/>
      <c r="U2" s="78"/>
    </row>
    <row r="3" spans="1:21" ht="21" x14ac:dyDescent="0.25">
      <c r="A3" s="150"/>
      <c r="B3" s="150"/>
      <c r="C3" s="150"/>
      <c r="D3" s="5" t="s">
        <v>676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  <c r="T3" s="78"/>
      <c r="U3" s="78"/>
    </row>
    <row r="4" spans="1:21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676</v>
      </c>
      <c r="N4" s="250"/>
      <c r="O4" s="103"/>
      <c r="P4" s="103"/>
      <c r="Q4" s="78"/>
      <c r="R4" s="78"/>
      <c r="S4" s="78"/>
      <c r="T4" s="78"/>
      <c r="U4" s="78"/>
    </row>
    <row r="5" spans="1:21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  <c r="T5" s="78"/>
      <c r="U5" s="78"/>
    </row>
    <row r="6" spans="1:21" x14ac:dyDescent="0.25">
      <c r="A6" s="196" t="s">
        <v>352</v>
      </c>
      <c r="B6" s="274" t="s">
        <v>50</v>
      </c>
      <c r="C6" s="274"/>
      <c r="D6" s="78">
        <f>'JULY 21'!I6:I19</f>
        <v>3100</v>
      </c>
      <c r="E6" s="280">
        <v>3000</v>
      </c>
      <c r="F6" s="281">
        <v>100</v>
      </c>
      <c r="G6" s="276">
        <f t="shared" ref="G6:G16" si="0">D6+E6+F6+C6</f>
        <v>6200</v>
      </c>
      <c r="H6" s="277">
        <f>3000</f>
        <v>3000</v>
      </c>
      <c r="I6" s="273">
        <f t="shared" ref="I6:I18" si="1">G6-H6</f>
        <v>3200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  <c r="T6" s="78"/>
      <c r="U6" s="78"/>
    </row>
    <row r="7" spans="1:21" x14ac:dyDescent="0.25">
      <c r="A7" s="196" t="s">
        <v>433</v>
      </c>
      <c r="B7" s="274" t="s">
        <v>52</v>
      </c>
      <c r="C7" s="274"/>
      <c r="D7" s="78">
        <f>'JULY 21'!I7:I20</f>
        <v>2300</v>
      </c>
      <c r="E7" s="280">
        <v>3000</v>
      </c>
      <c r="F7" s="281">
        <v>100</v>
      </c>
      <c r="G7" s="276">
        <f t="shared" si="0"/>
        <v>5400</v>
      </c>
      <c r="H7" s="277">
        <f>3100</f>
        <v>3100</v>
      </c>
      <c r="I7" s="273">
        <f t="shared" si="1"/>
        <v>2300</v>
      </c>
      <c r="J7" s="150"/>
      <c r="K7" s="83" t="s">
        <v>106</v>
      </c>
      <c r="L7" s="249"/>
      <c r="M7" s="85"/>
      <c r="N7" s="232">
        <f>'JULY 21'!R7:R16</f>
        <v>0</v>
      </c>
      <c r="O7" s="320"/>
      <c r="P7" s="232">
        <f>M7+N7+O7</f>
        <v>0</v>
      </c>
      <c r="Q7" s="234"/>
      <c r="R7" s="319">
        <f>P7-Q7</f>
        <v>0</v>
      </c>
      <c r="S7" s="78"/>
      <c r="T7" s="78"/>
      <c r="U7" s="78"/>
    </row>
    <row r="8" spans="1:21" x14ac:dyDescent="0.25">
      <c r="A8" s="282" t="s">
        <v>648</v>
      </c>
      <c r="B8" s="274" t="s">
        <v>54</v>
      </c>
      <c r="C8" s="274"/>
      <c r="D8" s="78">
        <f>'JULY 21'!I8:I21</f>
        <v>0</v>
      </c>
      <c r="E8" s="280">
        <v>3000</v>
      </c>
      <c r="F8" s="281">
        <v>100</v>
      </c>
      <c r="G8" s="276">
        <f t="shared" si="0"/>
        <v>3100</v>
      </c>
      <c r="H8" s="277"/>
      <c r="I8" s="273">
        <f t="shared" si="1"/>
        <v>3100</v>
      </c>
      <c r="J8" s="150"/>
      <c r="K8" s="83" t="s">
        <v>108</v>
      </c>
      <c r="L8" s="200" t="s">
        <v>284</v>
      </c>
      <c r="M8" s="85"/>
      <c r="N8" s="232">
        <f>'JULY 21'!R8:R17</f>
        <v>0</v>
      </c>
      <c r="O8" s="320"/>
      <c r="P8" s="232">
        <f t="shared" ref="P8:P19" si="2">M8+N8+O8</f>
        <v>0</v>
      </c>
      <c r="Q8" s="232"/>
      <c r="R8" s="319">
        <f>P8-Q8</f>
        <v>0</v>
      </c>
      <c r="S8" s="78"/>
      <c r="T8" s="78"/>
      <c r="U8" s="78"/>
    </row>
    <row r="9" spans="1:21" x14ac:dyDescent="0.25">
      <c r="A9" s="196" t="s">
        <v>228</v>
      </c>
      <c r="B9" s="274" t="s">
        <v>56</v>
      </c>
      <c r="C9" s="274"/>
      <c r="D9" s="78">
        <f>'JULY 21'!I9:I22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'JULY 21'!R9:R18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  <c r="T9" s="78"/>
      <c r="U9" s="78"/>
    </row>
    <row r="10" spans="1:21" ht="22.5" x14ac:dyDescent="0.25">
      <c r="A10" s="282" t="s">
        <v>627</v>
      </c>
      <c r="B10" s="274" t="s">
        <v>58</v>
      </c>
      <c r="C10" s="274"/>
      <c r="D10" s="78">
        <f>'JULY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v>3100</v>
      </c>
      <c r="I10" s="273">
        <f>G10-H10</f>
        <v>200</v>
      </c>
      <c r="J10" s="150"/>
      <c r="K10" s="87" t="s">
        <v>112</v>
      </c>
      <c r="L10" s="200" t="s">
        <v>578</v>
      </c>
      <c r="M10" s="110"/>
      <c r="N10" s="232">
        <f>'JULY 21'!R10:R19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  <c r="T10" s="78"/>
      <c r="U10" s="78"/>
    </row>
    <row r="11" spans="1:21" ht="22.5" x14ac:dyDescent="0.25">
      <c r="A11" s="282" t="s">
        <v>682</v>
      </c>
      <c r="B11" s="274" t="s">
        <v>60</v>
      </c>
      <c r="C11" s="274">
        <v>3000</v>
      </c>
      <c r="D11" s="78">
        <f>'JULY 21'!I11:I24</f>
        <v>0</v>
      </c>
      <c r="E11" s="280">
        <v>3000</v>
      </c>
      <c r="F11" s="281">
        <v>100</v>
      </c>
      <c r="G11" s="276">
        <f t="shared" si="0"/>
        <v>6100</v>
      </c>
      <c r="H11" s="277">
        <f>6100</f>
        <v>6100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'JULY 21'!R11:R20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  <c r="T11" s="78"/>
      <c r="U11" s="78"/>
    </row>
    <row r="12" spans="1:21" ht="22.5" x14ac:dyDescent="0.25">
      <c r="A12" s="282" t="s">
        <v>631</v>
      </c>
      <c r="B12" s="274" t="s">
        <v>62</v>
      </c>
      <c r="C12" s="274"/>
      <c r="D12" s="78">
        <f>'JULY 21'!I12:I25</f>
        <v>7500</v>
      </c>
      <c r="E12" s="280">
        <v>3000</v>
      </c>
      <c r="F12" s="281">
        <v>100</v>
      </c>
      <c r="G12" s="276">
        <f t="shared" si="0"/>
        <v>10600</v>
      </c>
      <c r="H12" s="277">
        <f>900+500+450</f>
        <v>1850</v>
      </c>
      <c r="I12" s="273">
        <f t="shared" si="1"/>
        <v>8750</v>
      </c>
      <c r="J12" s="150"/>
      <c r="K12" s="93" t="s">
        <v>116</v>
      </c>
      <c r="L12" s="249" t="s">
        <v>120</v>
      </c>
      <c r="M12" s="110"/>
      <c r="N12" s="232">
        <f>'JULY 21'!R12:R21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  <c r="S12" s="78"/>
      <c r="T12" s="78"/>
      <c r="U12" s="78"/>
    </row>
    <row r="13" spans="1:21" ht="22.5" x14ac:dyDescent="0.25">
      <c r="A13" s="196" t="s">
        <v>679</v>
      </c>
      <c r="B13" s="284" t="s">
        <v>64</v>
      </c>
      <c r="C13" s="284">
        <v>2000</v>
      </c>
      <c r="D13" s="78"/>
      <c r="E13" s="285">
        <v>3000</v>
      </c>
      <c r="F13" s="286"/>
      <c r="G13" s="276">
        <f t="shared" si="0"/>
        <v>5000</v>
      </c>
      <c r="H13" s="277">
        <f>5000</f>
        <v>5000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'JULY 21'!R13:R22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  <c r="S13" s="78"/>
      <c r="T13" s="78"/>
      <c r="U13" s="78"/>
    </row>
    <row r="14" spans="1:21" ht="22.5" x14ac:dyDescent="0.25">
      <c r="A14" s="196"/>
      <c r="B14" s="284" t="s">
        <v>18</v>
      </c>
      <c r="C14" s="284"/>
      <c r="D14" s="78"/>
      <c r="E14" s="285"/>
      <c r="F14" s="286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420</v>
      </c>
      <c r="M14" s="85"/>
      <c r="N14" s="232"/>
      <c r="O14" s="320"/>
      <c r="P14" s="232">
        <f t="shared" si="2"/>
        <v>0</v>
      </c>
      <c r="Q14" s="234"/>
      <c r="R14" s="319">
        <f t="shared" si="3"/>
        <v>0</v>
      </c>
      <c r="S14" s="78"/>
      <c r="T14" s="78"/>
      <c r="U14" s="78"/>
    </row>
    <row r="15" spans="1:21" ht="22.5" x14ac:dyDescent="0.25">
      <c r="A15" s="196" t="s">
        <v>651</v>
      </c>
      <c r="B15" s="284" t="s">
        <v>20</v>
      </c>
      <c r="C15" s="284"/>
      <c r="D15" s="78">
        <f>'JULY 21'!I15:I28</f>
        <v>0</v>
      </c>
      <c r="E15" s="285">
        <v>3000</v>
      </c>
      <c r="F15" s="286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8500</v>
      </c>
      <c r="O15" s="320">
        <v>2500</v>
      </c>
      <c r="P15" s="232">
        <f t="shared" si="2"/>
        <v>11500</v>
      </c>
      <c r="Q15" s="234">
        <f>2000+2000</f>
        <v>4000</v>
      </c>
      <c r="R15" s="319">
        <f t="shared" si="3"/>
        <v>7500</v>
      </c>
      <c r="S15" s="78"/>
      <c r="T15" s="78"/>
      <c r="U15" s="78"/>
    </row>
    <row r="16" spans="1:21" ht="22.5" x14ac:dyDescent="0.25">
      <c r="A16" s="196"/>
      <c r="B16" s="284" t="s">
        <v>22</v>
      </c>
      <c r="C16" s="284"/>
      <c r="D16" s="78">
        <f>'JULY 21'!I16:I29</f>
        <v>0</v>
      </c>
      <c r="E16" s="285"/>
      <c r="F16" s="286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'JULY 21'!R16:R25</f>
        <v>1500</v>
      </c>
      <c r="O16" s="231">
        <v>1500</v>
      </c>
      <c r="P16" s="232">
        <f>M16+N16+O16</f>
        <v>3000</v>
      </c>
      <c r="Q16" s="234"/>
      <c r="R16" s="319">
        <f t="shared" si="3"/>
        <v>3000</v>
      </c>
      <c r="S16" s="78"/>
      <c r="T16" s="78"/>
      <c r="U16" s="78"/>
    </row>
    <row r="17" spans="1:21" x14ac:dyDescent="0.25">
      <c r="A17" s="196"/>
      <c r="B17" s="284" t="s">
        <v>24</v>
      </c>
      <c r="C17" s="284"/>
      <c r="D17" s="78">
        <f>'JULY 21'!I17:I30</f>
        <v>0</v>
      </c>
      <c r="E17" s="285"/>
      <c r="F17" s="286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'JULY 21'!R17:R26</f>
        <v>0</v>
      </c>
      <c r="O17" s="231"/>
      <c r="P17" s="232"/>
      <c r="Q17" s="234"/>
      <c r="R17" s="450"/>
      <c r="S17" s="78"/>
      <c r="T17" s="78"/>
      <c r="U17" s="78"/>
    </row>
    <row r="18" spans="1:21" x14ac:dyDescent="0.25">
      <c r="A18" s="196"/>
      <c r="B18" s="284" t="s">
        <v>26</v>
      </c>
      <c r="C18" s="284"/>
      <c r="D18" s="78">
        <f>'JULY 21'!I18:I31</f>
        <v>0</v>
      </c>
      <c r="E18" s="285"/>
      <c r="F18" s="286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'JUNE 21'!R18:R29</f>
        <v>0</v>
      </c>
      <c r="O18" s="231"/>
      <c r="P18" s="232"/>
      <c r="Q18" s="234"/>
      <c r="R18" s="450"/>
      <c r="S18" s="78"/>
      <c r="T18" s="78"/>
      <c r="U18" s="78"/>
    </row>
    <row r="19" spans="1:21" x14ac:dyDescent="0.25">
      <c r="A19" s="282" t="s">
        <v>660</v>
      </c>
      <c r="B19" s="284" t="s">
        <v>28</v>
      </c>
      <c r="C19" s="284"/>
      <c r="D19" s="78">
        <f>'JULY 21'!I19:I32</f>
        <v>0</v>
      </c>
      <c r="E19" s="285">
        <v>3000</v>
      </c>
      <c r="F19" s="286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10500</v>
      </c>
      <c r="O19" s="239">
        <f>SUM(O7:O16)</f>
        <v>16500</v>
      </c>
      <c r="P19" s="232">
        <f t="shared" si="2"/>
        <v>27500</v>
      </c>
      <c r="Q19" s="240">
        <f>SUM(Q7:Q16)</f>
        <v>16500</v>
      </c>
      <c r="R19" s="323">
        <f>SUM(R7:R16)</f>
        <v>11000</v>
      </c>
      <c r="S19" s="78"/>
      <c r="T19" s="78"/>
      <c r="U19" s="78"/>
    </row>
    <row r="20" spans="1:21" x14ac:dyDescent="0.25">
      <c r="A20" s="294" t="s">
        <v>193</v>
      </c>
      <c r="B20" s="293"/>
      <c r="C20" s="293">
        <f t="shared" ref="C20:I20" si="4">SUM(C6:C19)</f>
        <v>5000</v>
      </c>
      <c r="D20" s="78">
        <f>SUM(D6:D19)</f>
        <v>13100</v>
      </c>
      <c r="E20" s="240">
        <f t="shared" si="4"/>
        <v>30000</v>
      </c>
      <c r="F20" s="240">
        <f t="shared" si="4"/>
        <v>900</v>
      </c>
      <c r="G20" s="276">
        <f t="shared" si="4"/>
        <v>49000</v>
      </c>
      <c r="H20" s="361">
        <f t="shared" si="4"/>
        <v>31450</v>
      </c>
      <c r="I20" s="273">
        <f t="shared" si="4"/>
        <v>17550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  <c r="T20" s="78"/>
      <c r="U20" s="78"/>
    </row>
    <row r="21" spans="1:21" ht="22.5" x14ac:dyDescent="0.25">
      <c r="A21" s="549"/>
      <c r="B21" s="549"/>
      <c r="C21" s="549"/>
      <c r="D21" s="78">
        <f>APRIL21!I21:I34</f>
        <v>0</v>
      </c>
      <c r="E21" s="345" t="s">
        <v>247</v>
      </c>
      <c r="F21" s="549"/>
      <c r="G21" s="549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'JULY 21'!R21:R40</f>
        <v>0</v>
      </c>
      <c r="O21" s="320">
        <v>3500</v>
      </c>
      <c r="P21" s="232">
        <f t="shared" ref="P21:P38" si="5">M21+N21+O21</f>
        <v>3500</v>
      </c>
      <c r="Q21" s="232">
        <f>3500</f>
        <v>3500</v>
      </c>
      <c r="R21" s="319">
        <f t="shared" ref="R21:R37" si="6">P21-Q21</f>
        <v>0</v>
      </c>
      <c r="S21" s="78"/>
      <c r="T21" s="78"/>
      <c r="U21" s="78"/>
    </row>
    <row r="22" spans="1:21" ht="22.5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'JULY 21'!R22:R41</f>
        <v>1500</v>
      </c>
      <c r="O22" s="320">
        <v>3500</v>
      </c>
      <c r="P22" s="232">
        <f t="shared" si="5"/>
        <v>5000</v>
      </c>
      <c r="Q22" s="232">
        <f>3500</f>
        <v>3500</v>
      </c>
      <c r="R22" s="319">
        <f t="shared" si="6"/>
        <v>1500</v>
      </c>
      <c r="S22" s="78"/>
      <c r="T22" s="78"/>
      <c r="U22" s="78"/>
    </row>
    <row r="23" spans="1:21" x14ac:dyDescent="0.25">
      <c r="A23" s="191" t="s">
        <v>313</v>
      </c>
      <c r="B23" s="85"/>
      <c r="C23" s="85"/>
      <c r="D23" s="86">
        <f>'JULY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'JULY 21'!R23:R42</f>
        <v>0</v>
      </c>
      <c r="O23" s="110">
        <v>3500</v>
      </c>
      <c r="P23" s="232">
        <f t="shared" si="5"/>
        <v>3500</v>
      </c>
      <c r="Q23" s="110">
        <v>3500</v>
      </c>
      <c r="R23" s="319">
        <f t="shared" si="6"/>
        <v>0</v>
      </c>
      <c r="S23" s="78"/>
      <c r="T23" s="78"/>
      <c r="U23" s="78"/>
    </row>
    <row r="24" spans="1:21" x14ac:dyDescent="0.25">
      <c r="A24" s="110" t="s">
        <v>313</v>
      </c>
      <c r="B24" s="113"/>
      <c r="C24" s="113"/>
      <c r="D24" s="86">
        <f>'JULY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7">F24-G24</f>
        <v>0</v>
      </c>
      <c r="I24" s="273"/>
      <c r="J24" s="78"/>
      <c r="K24" s="83">
        <v>4</v>
      </c>
      <c r="L24" s="200"/>
      <c r="M24" s="110"/>
      <c r="N24" s="232"/>
      <c r="O24" s="321"/>
      <c r="P24" s="232">
        <f>M24+N24+O24</f>
        <v>0</v>
      </c>
      <c r="Q24" s="319"/>
      <c r="R24" s="319">
        <f t="shared" si="6"/>
        <v>0</v>
      </c>
      <c r="S24" s="78"/>
      <c r="T24" s="78"/>
      <c r="U24" s="78"/>
    </row>
    <row r="25" spans="1:21" x14ac:dyDescent="0.25">
      <c r="A25" s="191" t="s">
        <v>665</v>
      </c>
      <c r="B25" s="85"/>
      <c r="C25" s="85"/>
      <c r="D25" s="86">
        <f>'JULY 21'!H25:H33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7"/>
        <v>0</v>
      </c>
      <c r="I25" s="273"/>
      <c r="J25" s="78"/>
      <c r="K25" s="83">
        <v>5</v>
      </c>
      <c r="L25" s="121" t="s">
        <v>281</v>
      </c>
      <c r="M25" s="85"/>
      <c r="N25" s="232">
        <f>'JULY 21'!R25:R44</f>
        <v>0</v>
      </c>
      <c r="O25" s="320"/>
      <c r="P25" s="232">
        <f t="shared" si="5"/>
        <v>0</v>
      </c>
      <c r="Q25" s="234"/>
      <c r="R25" s="319">
        <f t="shared" si="6"/>
        <v>0</v>
      </c>
      <c r="S25" s="78"/>
      <c r="T25" s="78"/>
      <c r="U25" s="78"/>
    </row>
    <row r="26" spans="1:21" ht="22.5" x14ac:dyDescent="0.25">
      <c r="A26" s="191"/>
      <c r="B26" s="85"/>
      <c r="C26" s="85"/>
      <c r="D26" s="86">
        <f>'JULY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'JULY 21'!R26:R45</f>
        <v>0</v>
      </c>
      <c r="O26" s="325">
        <v>3500</v>
      </c>
      <c r="P26" s="232">
        <f t="shared" si="5"/>
        <v>3500</v>
      </c>
      <c r="Q26" s="326">
        <v>3500</v>
      </c>
      <c r="R26" s="319">
        <f t="shared" si="6"/>
        <v>0</v>
      </c>
      <c r="S26" s="78"/>
      <c r="T26" s="78"/>
      <c r="U26" s="78"/>
    </row>
    <row r="27" spans="1:21" x14ac:dyDescent="0.25">
      <c r="A27" s="191" t="s">
        <v>657</v>
      </c>
      <c r="B27" s="86"/>
      <c r="C27" s="86"/>
      <c r="D27" s="86">
        <f>'JULY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7"/>
        <v>0</v>
      </c>
      <c r="I27" s="273"/>
      <c r="J27" s="78"/>
      <c r="K27" s="83">
        <v>7</v>
      </c>
      <c r="L27" s="548" t="s">
        <v>281</v>
      </c>
      <c r="M27" s="85"/>
      <c r="N27" s="232">
        <f>'JULY 21'!R27:R46</f>
        <v>0</v>
      </c>
      <c r="O27" s="320"/>
      <c r="P27" s="232">
        <f t="shared" si="5"/>
        <v>0</v>
      </c>
      <c r="Q27" s="234"/>
      <c r="R27" s="319">
        <f t="shared" si="6"/>
        <v>0</v>
      </c>
      <c r="S27" s="220"/>
      <c r="T27" s="78"/>
      <c r="U27" s="78"/>
    </row>
    <row r="28" spans="1:21" ht="22.5" x14ac:dyDescent="0.25">
      <c r="A28" s="191" t="s">
        <v>658</v>
      </c>
      <c r="B28" s="85"/>
      <c r="C28" s="85"/>
      <c r="D28" s="86">
        <f>'JULY 21'!H28:H36</f>
        <v>0</v>
      </c>
      <c r="E28" s="231">
        <v>4000</v>
      </c>
      <c r="F28" s="232">
        <f>C28+D28+E28</f>
        <v>4000</v>
      </c>
      <c r="G28" s="110">
        <f>3000+1000</f>
        <v>4000</v>
      </c>
      <c r="H28" s="273">
        <f t="shared" si="7"/>
        <v>0</v>
      </c>
      <c r="I28" s="273"/>
      <c r="J28" s="220">
        <f>H31+I20</f>
        <v>18550</v>
      </c>
      <c r="K28" s="83">
        <v>8</v>
      </c>
      <c r="L28" s="249" t="s">
        <v>490</v>
      </c>
      <c r="M28" s="85"/>
      <c r="N28" s="232">
        <f>'JULY 21'!R28:R47</f>
        <v>2000</v>
      </c>
      <c r="O28" s="320">
        <v>3500</v>
      </c>
      <c r="P28" s="232">
        <f t="shared" si="5"/>
        <v>5500</v>
      </c>
      <c r="Q28" s="234">
        <f>3500</f>
        <v>3500</v>
      </c>
      <c r="R28" s="319">
        <f t="shared" si="6"/>
        <v>2000</v>
      </c>
      <c r="S28" s="78"/>
      <c r="T28" s="78"/>
      <c r="U28" s="78"/>
    </row>
    <row r="29" spans="1:21" ht="22.5" x14ac:dyDescent="0.25">
      <c r="A29" s="218" t="s">
        <v>539</v>
      </c>
      <c r="B29" s="85"/>
      <c r="C29" s="85"/>
      <c r="D29" s="86">
        <f>'JULY 21'!H29:H37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7"/>
        <v>0</v>
      </c>
      <c r="I29" s="273"/>
      <c r="J29" s="78"/>
      <c r="K29" s="83">
        <v>9</v>
      </c>
      <c r="L29" s="200" t="s">
        <v>496</v>
      </c>
      <c r="M29" s="85"/>
      <c r="N29" s="232">
        <f>'JULY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6"/>
        <v>0</v>
      </c>
      <c r="S29" s="78"/>
      <c r="T29" s="78"/>
      <c r="U29" s="78"/>
    </row>
    <row r="30" spans="1:21" ht="22.5" x14ac:dyDescent="0.25">
      <c r="A30" s="210" t="s">
        <v>456</v>
      </c>
      <c r="B30" s="85">
        <v>0</v>
      </c>
      <c r="C30" s="85"/>
      <c r="D30" s="86">
        <f>'JULY 21'!H30:H38</f>
        <v>0</v>
      </c>
      <c r="E30" s="231">
        <v>4000</v>
      </c>
      <c r="F30" s="232">
        <f>B30+E30+D30</f>
        <v>4000</v>
      </c>
      <c r="G30" s="110">
        <f>3000</f>
        <v>3000</v>
      </c>
      <c r="H30" s="273">
        <f t="shared" si="7"/>
        <v>1000</v>
      </c>
      <c r="I30" s="273"/>
      <c r="J30" s="78"/>
      <c r="K30" s="83">
        <v>10</v>
      </c>
      <c r="L30" s="200" t="s">
        <v>675</v>
      </c>
      <c r="M30" s="85"/>
      <c r="N30" s="232">
        <f>'JULY 21'!R30:R49</f>
        <v>3500</v>
      </c>
      <c r="O30" s="320">
        <v>3500</v>
      </c>
      <c r="P30" s="232">
        <f t="shared" si="5"/>
        <v>7000</v>
      </c>
      <c r="Q30" s="234">
        <v>7000</v>
      </c>
      <c r="R30" s="319">
        <f t="shared" si="6"/>
        <v>0</v>
      </c>
      <c r="S30" s="78"/>
      <c r="T30" s="78"/>
      <c r="U30" s="78"/>
    </row>
    <row r="31" spans="1:21" ht="22.5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31000</v>
      </c>
      <c r="H31" s="273">
        <f>F31-G31</f>
        <v>1000</v>
      </c>
      <c r="I31" s="273"/>
      <c r="J31" s="78"/>
      <c r="K31" s="83">
        <v>11</v>
      </c>
      <c r="L31" s="249" t="s">
        <v>474</v>
      </c>
      <c r="M31" s="85"/>
      <c r="N31" s="232">
        <f>'JULY 21'!R31:R50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  <c r="S31" s="78"/>
      <c r="T31" s="78"/>
      <c r="U31" s="78"/>
    </row>
    <row r="32" spans="1:21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18550</v>
      </c>
      <c r="K32" s="83">
        <v>12</v>
      </c>
      <c r="L32" s="200" t="s">
        <v>652</v>
      </c>
      <c r="M32" s="85"/>
      <c r="N32" s="232">
        <f>'JULY 21'!R32:R51</f>
        <v>3500</v>
      </c>
      <c r="O32" s="320">
        <v>3500</v>
      </c>
      <c r="P32" s="232">
        <f t="shared" si="5"/>
        <v>7000</v>
      </c>
      <c r="Q32" s="234"/>
      <c r="R32" s="319">
        <f t="shared" si="6"/>
        <v>7000</v>
      </c>
      <c r="S32" s="78"/>
      <c r="T32" s="78"/>
      <c r="U32" s="78"/>
    </row>
    <row r="33" spans="1:21" ht="22.5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'JULY 21'!R33:R52</f>
        <v>6500</v>
      </c>
      <c r="O33" s="320">
        <v>3500</v>
      </c>
      <c r="P33" s="232">
        <f>M33+N33+O33</f>
        <v>10000</v>
      </c>
      <c r="Q33" s="234">
        <f>3500</f>
        <v>3500</v>
      </c>
      <c r="R33" s="319">
        <f>P33-Q33</f>
        <v>6500</v>
      </c>
      <c r="S33" s="78"/>
      <c r="T33" s="78"/>
      <c r="U33" s="78"/>
    </row>
    <row r="34" spans="1:21" ht="22.5" x14ac:dyDescent="0.25">
      <c r="A34" s="211" t="s">
        <v>463</v>
      </c>
      <c r="B34" s="273">
        <f>E31+E20</f>
        <v>62000</v>
      </c>
      <c r="C34" s="273"/>
      <c r="D34" s="164"/>
      <c r="E34" s="164"/>
      <c r="F34" s="211" t="s">
        <v>463</v>
      </c>
      <c r="G34" s="273">
        <f>G31+H20</f>
        <v>62450</v>
      </c>
      <c r="H34" s="164"/>
      <c r="I34" s="273"/>
      <c r="J34" s="78"/>
      <c r="K34" s="83">
        <v>14</v>
      </c>
      <c r="L34" s="200" t="s">
        <v>480</v>
      </c>
      <c r="M34" s="85"/>
      <c r="N34" s="232">
        <f>'JULY 21'!R34:R53</f>
        <v>0</v>
      </c>
      <c r="O34" s="320">
        <v>3500</v>
      </c>
      <c r="P34" s="232">
        <f t="shared" si="5"/>
        <v>3500</v>
      </c>
      <c r="Q34" s="234">
        <v>3500</v>
      </c>
      <c r="R34" s="319">
        <f t="shared" si="6"/>
        <v>0</v>
      </c>
      <c r="S34" s="78"/>
      <c r="T34" s="78"/>
      <c r="U34" s="78"/>
    </row>
    <row r="35" spans="1:21" ht="22.5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595</v>
      </c>
      <c r="M35" s="85"/>
      <c r="N35" s="232">
        <f>'JULY 21'!R35:R54</f>
        <v>1500</v>
      </c>
      <c r="O35" s="320"/>
      <c r="P35" s="232">
        <f>M35+N35+O35</f>
        <v>1500</v>
      </c>
      <c r="Q35" s="234"/>
      <c r="R35" s="319">
        <f>P35-Q35</f>
        <v>1500</v>
      </c>
      <c r="S35" s="78"/>
      <c r="T35" s="78"/>
      <c r="U35" s="78"/>
    </row>
    <row r="36" spans="1:21" ht="22.5" x14ac:dyDescent="0.25">
      <c r="A36" s="309" t="s">
        <v>232</v>
      </c>
      <c r="B36" s="308">
        <f>F20</f>
        <v>900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'JULY 21'!R36:R55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  <c r="S36" s="78"/>
      <c r="T36" s="78"/>
      <c r="U36" s="78"/>
    </row>
    <row r="37" spans="1:21" ht="22.5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674</v>
      </c>
      <c r="M37" s="85"/>
      <c r="N37" s="232">
        <f>'JULY 21'!R37:R56</f>
        <v>3500</v>
      </c>
      <c r="O37" s="320"/>
      <c r="P37" s="232">
        <f t="shared" si="5"/>
        <v>3500</v>
      </c>
      <c r="Q37" s="234"/>
      <c r="R37" s="319">
        <f t="shared" si="6"/>
        <v>3500</v>
      </c>
      <c r="S37" s="78"/>
      <c r="T37" s="78"/>
      <c r="U37" s="78"/>
    </row>
    <row r="38" spans="1:21" ht="22.5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'JULY 21'!R38:R57</f>
        <v>4000</v>
      </c>
      <c r="O38" s="320">
        <v>3500</v>
      </c>
      <c r="P38" s="232">
        <f t="shared" si="5"/>
        <v>7500</v>
      </c>
      <c r="Q38" s="234">
        <f>2000</f>
        <v>2000</v>
      </c>
      <c r="R38" s="319">
        <f>P38-Q38</f>
        <v>5500</v>
      </c>
      <c r="S38" s="78"/>
      <c r="T38" s="78"/>
      <c r="U38" s="78"/>
    </row>
    <row r="39" spans="1:21" ht="22.5" x14ac:dyDescent="0.25">
      <c r="A39" s="309" t="s">
        <v>239</v>
      </c>
      <c r="B39" s="308">
        <f>'JULY 21'!E50</f>
        <v>72214.342305280035</v>
      </c>
      <c r="C39" s="308"/>
      <c r="D39" s="211"/>
      <c r="E39" s="211"/>
      <c r="F39" s="309" t="s">
        <v>239</v>
      </c>
      <c r="G39" s="308">
        <f>'JULY 21'!I50</f>
        <v>49550.275200000033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'JULY 21'!R39:R58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  <c r="S39" s="78"/>
      <c r="T39" s="78"/>
      <c r="U39" s="78"/>
    </row>
    <row r="40" spans="1:21" x14ac:dyDescent="0.25">
      <c r="A40" s="309" t="s">
        <v>193</v>
      </c>
      <c r="B40" s="308">
        <f>B34+B36+B39+B37</f>
        <v>138114.34230528004</v>
      </c>
      <c r="C40" s="308"/>
      <c r="D40" s="211"/>
      <c r="E40" s="211"/>
      <c r="F40" s="309" t="s">
        <v>193</v>
      </c>
      <c r="G40" s="308">
        <f>G34+G36+G39+G37</f>
        <v>115000.27520000003</v>
      </c>
      <c r="H40" s="211"/>
      <c r="I40" s="273"/>
      <c r="J40" s="78"/>
      <c r="K40" s="83">
        <v>20</v>
      </c>
      <c r="L40" s="200"/>
      <c r="M40" s="85"/>
      <c r="N40" s="232">
        <f>'JULY 21'!R40:R59</f>
        <v>0</v>
      </c>
      <c r="O40" s="320"/>
      <c r="P40" s="232">
        <f>M40+N40+O40</f>
        <v>0</v>
      </c>
      <c r="Q40" s="234"/>
      <c r="R40" s="319">
        <f>P40-Q40</f>
        <v>0</v>
      </c>
      <c r="S40" s="78"/>
      <c r="T40" s="78"/>
      <c r="U40" s="78"/>
    </row>
    <row r="41" spans="1:21" x14ac:dyDescent="0.25">
      <c r="A41" s="365"/>
      <c r="B41" s="366"/>
      <c r="C41" s="366"/>
      <c r="D41" s="367"/>
      <c r="E41" s="366"/>
      <c r="F41" s="309"/>
      <c r="G41" s="308"/>
      <c r="H41" s="367"/>
      <c r="I41" s="368"/>
      <c r="J41" s="78">
        <f>7000-4500</f>
        <v>2500</v>
      </c>
      <c r="K41" s="83"/>
      <c r="L41" s="204" t="s">
        <v>193</v>
      </c>
      <c r="M41" s="205">
        <f>SUM(M21:M40)</f>
        <v>0</v>
      </c>
      <c r="N41" s="232">
        <f>SUM(N21:N40)</f>
        <v>26000</v>
      </c>
      <c r="O41" s="239">
        <f>SUM(O21:O40)</f>
        <v>49000</v>
      </c>
      <c r="P41" s="232">
        <f>SUM(P21:P40)</f>
        <v>75000</v>
      </c>
      <c r="Q41" s="240">
        <f>SUM(Q21:Q40)</f>
        <v>47500</v>
      </c>
      <c r="R41" s="319">
        <f>P41-Q41</f>
        <v>27500</v>
      </c>
      <c r="S41" s="78"/>
      <c r="T41" s="78"/>
      <c r="U41" s="78"/>
    </row>
    <row r="42" spans="1:21" x14ac:dyDescent="0.25">
      <c r="A42" s="446" t="s">
        <v>194</v>
      </c>
      <c r="B42" s="366"/>
      <c r="C42" s="366"/>
      <c r="D42" s="367"/>
      <c r="E42" s="366"/>
      <c r="F42" s="446" t="s">
        <v>194</v>
      </c>
      <c r="G42" s="366"/>
      <c r="H42" s="367"/>
      <c r="I42" s="368"/>
      <c r="J42" s="78"/>
      <c r="K42" s="382" t="s">
        <v>509</v>
      </c>
      <c r="L42" s="106"/>
      <c r="M42" s="107"/>
      <c r="N42" s="232">
        <f>'FEBRUARY 21'!R42:R64</f>
        <v>0</v>
      </c>
      <c r="O42" s="108"/>
      <c r="P42" s="106"/>
      <c r="Q42" s="150"/>
      <c r="R42" s="269"/>
      <c r="S42" s="78"/>
      <c r="T42" s="78"/>
      <c r="U42" s="78"/>
    </row>
    <row r="43" spans="1:21" x14ac:dyDescent="0.25">
      <c r="A43" s="369" t="s">
        <v>468</v>
      </c>
      <c r="B43" s="78"/>
      <c r="C43" s="78"/>
      <c r="D43" s="371">
        <v>3000</v>
      </c>
      <c r="E43" s="370"/>
      <c r="F43" s="369" t="s">
        <v>468</v>
      </c>
      <c r="G43" s="78"/>
      <c r="H43" s="371">
        <v>3000</v>
      </c>
      <c r="I43" s="368"/>
      <c r="J43" s="78"/>
      <c r="K43" s="359" t="s">
        <v>204</v>
      </c>
      <c r="L43" s="359" t="s">
        <v>205</v>
      </c>
      <c r="M43" s="359" t="s">
        <v>207</v>
      </c>
      <c r="N43" s="232" t="str">
        <f>'FEBRUARY 21'!R43:R65</f>
        <v>BAL</v>
      </c>
      <c r="O43" s="359" t="s">
        <v>204</v>
      </c>
      <c r="P43" s="359" t="s">
        <v>205</v>
      </c>
      <c r="Q43" s="359" t="s">
        <v>207</v>
      </c>
      <c r="R43" s="360" t="s">
        <v>306</v>
      </c>
      <c r="S43" s="78"/>
      <c r="T43" s="78"/>
      <c r="U43" s="78"/>
    </row>
    <row r="44" spans="1:21" x14ac:dyDescent="0.25">
      <c r="A44" s="369"/>
      <c r="B44" s="370"/>
      <c r="C44" s="370"/>
      <c r="D44" s="371"/>
      <c r="E44" s="370"/>
      <c r="F44" s="369"/>
      <c r="G44" s="370"/>
      <c r="H44" s="371"/>
      <c r="I44" s="368"/>
      <c r="J44" s="78"/>
      <c r="K44" s="211" t="s">
        <v>463</v>
      </c>
      <c r="L44" s="273">
        <f>O41+O19</f>
        <v>65500</v>
      </c>
      <c r="M44" s="164"/>
      <c r="N44" s="232">
        <f>'FEBRUARY 21'!R44:R66</f>
        <v>0</v>
      </c>
      <c r="O44" s="211" t="s">
        <v>463</v>
      </c>
      <c r="P44" s="273">
        <f>Q41+Q19</f>
        <v>64000</v>
      </c>
      <c r="Q44" s="164"/>
      <c r="R44" s="273"/>
      <c r="S44" s="78"/>
      <c r="T44" s="78"/>
      <c r="U44" s="78"/>
    </row>
    <row r="45" spans="1:21" x14ac:dyDescent="0.25">
      <c r="A45" s="370" t="s">
        <v>408</v>
      </c>
      <c r="B45" s="449">
        <v>0.3</v>
      </c>
      <c r="C45" s="449"/>
      <c r="D45" s="368">
        <f>B45*C11+(B45*C13)</f>
        <v>1500</v>
      </c>
      <c r="E45" s="370"/>
      <c r="F45" s="370" t="s">
        <v>408</v>
      </c>
      <c r="G45" s="449">
        <v>0.3</v>
      </c>
      <c r="H45" s="368"/>
      <c r="I45" s="368"/>
      <c r="J45" s="78"/>
      <c r="K45" s="211" t="s">
        <v>209</v>
      </c>
      <c r="L45" s="307">
        <v>0.1</v>
      </c>
      <c r="M45" s="308">
        <f>L44*L45</f>
        <v>6550</v>
      </c>
      <c r="N45" s="211"/>
      <c r="O45" s="211" t="s">
        <v>209</v>
      </c>
      <c r="P45" s="307">
        <v>0.1</v>
      </c>
      <c r="Q45" s="308">
        <f>M45</f>
        <v>6550</v>
      </c>
      <c r="R45" s="273"/>
      <c r="S45" s="78"/>
      <c r="T45" s="78"/>
      <c r="U45" s="78"/>
    </row>
    <row r="46" spans="1:21" x14ac:dyDescent="0.25">
      <c r="A46" s="370" t="s">
        <v>677</v>
      </c>
      <c r="B46" s="370"/>
      <c r="C46" s="370"/>
      <c r="D46" s="368">
        <v>4000</v>
      </c>
      <c r="E46" s="370"/>
      <c r="F46" s="370" t="s">
        <v>81</v>
      </c>
      <c r="G46" s="370"/>
      <c r="H46" s="370">
        <v>4000</v>
      </c>
      <c r="I46" s="368"/>
      <c r="J46" s="78"/>
      <c r="K46" s="309"/>
      <c r="L46" s="308"/>
      <c r="M46" s="211"/>
      <c r="N46" s="211"/>
      <c r="O46" s="309"/>
      <c r="P46" s="308"/>
      <c r="Q46" s="211"/>
      <c r="R46" s="273"/>
      <c r="S46" s="78"/>
      <c r="T46" s="78"/>
      <c r="U46" s="78"/>
    </row>
    <row r="47" spans="1:21" x14ac:dyDescent="0.25">
      <c r="A47" s="369" t="s">
        <v>678</v>
      </c>
      <c r="B47" s="370"/>
      <c r="C47" s="370"/>
      <c r="D47" s="371">
        <v>49550</v>
      </c>
      <c r="E47" s="370"/>
      <c r="F47" s="369" t="s">
        <v>678</v>
      </c>
      <c r="G47" s="370"/>
      <c r="H47" s="370">
        <v>49550</v>
      </c>
      <c r="I47" s="371"/>
      <c r="J47" s="78"/>
      <c r="K47" s="211" t="s">
        <v>408</v>
      </c>
      <c r="L47" s="307">
        <v>0.3</v>
      </c>
      <c r="M47" s="102">
        <f>L47*M22+(L47*M23)+(M24*L47)+(L47*M26)</f>
        <v>0</v>
      </c>
      <c r="N47" s="211"/>
      <c r="O47" s="211" t="s">
        <v>408</v>
      </c>
      <c r="P47" s="307">
        <v>0.3</v>
      </c>
      <c r="Q47" s="308">
        <f>P47*M22+(P47*M23)+(P47*M24)+(M26*P47)</f>
        <v>0</v>
      </c>
      <c r="R47" s="273"/>
      <c r="S47" s="220"/>
      <c r="T47" s="78"/>
      <c r="U47" s="78"/>
    </row>
    <row r="48" spans="1:21" x14ac:dyDescent="0.25">
      <c r="A48" s="369"/>
      <c r="B48" s="370"/>
      <c r="C48" s="370"/>
      <c r="D48" s="371"/>
      <c r="E48" s="370"/>
      <c r="F48" s="369"/>
      <c r="G48" s="370"/>
      <c r="H48" s="371"/>
      <c r="I48" s="368"/>
      <c r="J48" s="78"/>
      <c r="K48" s="309" t="s">
        <v>470</v>
      </c>
      <c r="L48" s="308">
        <f>M41</f>
        <v>0</v>
      </c>
      <c r="M48" s="308"/>
      <c r="N48" s="211"/>
      <c r="O48" s="309"/>
      <c r="P48" s="308"/>
      <c r="Q48" s="211"/>
      <c r="R48" s="273"/>
      <c r="S48" s="220"/>
      <c r="T48" s="78"/>
      <c r="U48" s="78"/>
    </row>
    <row r="49" spans="1:21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239</v>
      </c>
      <c r="L49" s="308">
        <f>'JULY 21'!N55</f>
        <v>110353.29999999999</v>
      </c>
      <c r="M49" s="211"/>
      <c r="N49" s="211"/>
      <c r="O49" s="309" t="s">
        <v>239</v>
      </c>
      <c r="P49" s="308">
        <f>'JULY 21'!R55</f>
        <v>77758.699999999953</v>
      </c>
      <c r="Q49" s="211"/>
      <c r="R49" s="273"/>
      <c r="S49" s="78"/>
      <c r="T49" s="78"/>
      <c r="U49" s="78"/>
    </row>
    <row r="50" spans="1:21" x14ac:dyDescent="0.25">
      <c r="A50" s="166" t="s">
        <v>193</v>
      </c>
      <c r="B50" s="317">
        <f>B34+B36+B37+B38+B39-D35</f>
        <v>131914.34230528004</v>
      </c>
      <c r="C50" s="317"/>
      <c r="D50" s="318">
        <f>SUM(D41:D49)</f>
        <v>58050</v>
      </c>
      <c r="E50" s="318">
        <f>B50-D50</f>
        <v>73864.342305280035</v>
      </c>
      <c r="F50" s="166" t="s">
        <v>193</v>
      </c>
      <c r="G50" s="317">
        <f>G34+G36+G37+G39-H35</f>
        <v>108800.27520000003</v>
      </c>
      <c r="H50" s="318">
        <f>SUM(H41:H49)</f>
        <v>56550</v>
      </c>
      <c r="I50" s="318">
        <f>G50-H50</f>
        <v>52250.275200000033</v>
      </c>
      <c r="J50" s="78"/>
      <c r="K50" s="309" t="s">
        <v>193</v>
      </c>
      <c r="L50" s="308">
        <f>L44+L46+L49+L48</f>
        <v>175853.3</v>
      </c>
      <c r="M50" s="211"/>
      <c r="N50" s="211"/>
      <c r="O50" s="309" t="s">
        <v>193</v>
      </c>
      <c r="P50" s="308">
        <f>P44+P46+P49+P47</f>
        <v>141758.99999999994</v>
      </c>
      <c r="Q50" s="211"/>
      <c r="R50" s="273"/>
      <c r="S50" s="78"/>
      <c r="T50" s="78"/>
      <c r="U50" s="78"/>
    </row>
    <row r="51" spans="1:21" x14ac:dyDescent="0.25">
      <c r="A51" s="150"/>
      <c r="B51" s="150"/>
      <c r="C51" s="150"/>
      <c r="D51" s="150"/>
      <c r="E51" s="150"/>
      <c r="F51" s="150"/>
      <c r="G51" s="79"/>
      <c r="H51" s="150"/>
      <c r="I51" s="269"/>
      <c r="J51" s="78"/>
      <c r="K51" s="212" t="s">
        <v>194</v>
      </c>
      <c r="L51" s="307"/>
      <c r="M51" s="78"/>
      <c r="N51" s="214"/>
      <c r="O51" s="212" t="s">
        <v>194</v>
      </c>
      <c r="P51" s="307"/>
      <c r="Q51" s="214"/>
      <c r="R51" s="273"/>
      <c r="S51" s="78"/>
      <c r="T51" s="78"/>
      <c r="U51" s="78"/>
    </row>
    <row r="52" spans="1:21" x14ac:dyDescent="0.25">
      <c r="A52" s="150" t="s">
        <v>71</v>
      </c>
      <c r="B52" s="79"/>
      <c r="C52" s="79"/>
      <c r="D52" s="78"/>
      <c r="E52" s="150" t="s">
        <v>72</v>
      </c>
      <c r="F52" s="78"/>
      <c r="G52" s="78"/>
      <c r="H52" s="150" t="s">
        <v>73</v>
      </c>
      <c r="I52" s="269"/>
      <c r="J52" s="78"/>
      <c r="K52" s="369" t="s">
        <v>678</v>
      </c>
      <c r="L52" s="370"/>
      <c r="M52" s="78">
        <v>81250</v>
      </c>
      <c r="N52" s="367"/>
      <c r="O52" s="369" t="s">
        <v>678</v>
      </c>
      <c r="P52" s="370"/>
      <c r="Q52" s="78">
        <v>81250</v>
      </c>
      <c r="R52" s="368"/>
      <c r="S52" s="78"/>
      <c r="T52" s="78"/>
      <c r="U52" s="78"/>
    </row>
    <row r="53" spans="1:21" x14ac:dyDescent="0.25">
      <c r="A53" s="150" t="s">
        <v>471</v>
      </c>
      <c r="B53" s="150"/>
      <c r="C53" s="78"/>
      <c r="D53" s="150" t="s">
        <v>135</v>
      </c>
      <c r="E53" s="78"/>
      <c r="F53" s="78"/>
      <c r="G53" s="78"/>
      <c r="H53" s="150" t="s">
        <v>130</v>
      </c>
      <c r="I53" s="78"/>
      <c r="J53" s="78"/>
      <c r="K53" s="369" t="s">
        <v>688</v>
      </c>
      <c r="L53" s="370"/>
      <c r="M53" s="371">
        <v>3500</v>
      </c>
      <c r="N53" s="366"/>
      <c r="O53" s="365"/>
      <c r="P53" s="380"/>
      <c r="Q53" s="367"/>
      <c r="R53" s="368"/>
      <c r="S53" s="78"/>
      <c r="T53" s="78"/>
      <c r="U53" s="78"/>
    </row>
    <row r="54" spans="1:21" x14ac:dyDescent="0.25">
      <c r="A54" s="150"/>
      <c r="B54" s="150"/>
      <c r="C54" s="150"/>
      <c r="D54" s="269"/>
      <c r="E54" s="150"/>
      <c r="F54" s="269"/>
      <c r="G54" s="150"/>
      <c r="H54" s="150"/>
      <c r="I54" s="269"/>
      <c r="J54" s="78"/>
      <c r="K54" s="369" t="s">
        <v>692</v>
      </c>
      <c r="L54" s="370"/>
      <c r="M54" s="371">
        <v>1500</v>
      </c>
      <c r="N54" s="370"/>
      <c r="O54" s="369"/>
      <c r="P54" s="370"/>
      <c r="Q54" s="371"/>
      <c r="R54" s="368"/>
      <c r="S54" s="78"/>
      <c r="T54" s="78"/>
      <c r="U54" s="78"/>
    </row>
    <row r="55" spans="1:21" x14ac:dyDescent="0.25">
      <c r="A55" s="78"/>
      <c r="B55" s="78"/>
      <c r="C55" s="78"/>
      <c r="D55" s="78"/>
      <c r="E55" s="78"/>
      <c r="F55" s="78"/>
      <c r="G55" s="78"/>
      <c r="H55" s="78"/>
      <c r="I55" s="220"/>
      <c r="J55" s="78"/>
      <c r="K55" s="166" t="s">
        <v>193</v>
      </c>
      <c r="L55" s="317">
        <f>L44+L48+L49-M45</f>
        <v>169303.3</v>
      </c>
      <c r="M55" s="318">
        <f>SUM(M47:M54)</f>
        <v>86250</v>
      </c>
      <c r="N55" s="318">
        <f>L55-M55</f>
        <v>83053.299999999988</v>
      </c>
      <c r="O55" s="166" t="s">
        <v>193</v>
      </c>
      <c r="P55" s="317">
        <f>P44+P46+P47+P49-Q45</f>
        <v>135208.99999999994</v>
      </c>
      <c r="Q55" s="318">
        <f>SUM(Q47:Q54)</f>
        <v>81250</v>
      </c>
      <c r="R55" s="318">
        <f>P55-Q55</f>
        <v>53958.999999999942</v>
      </c>
      <c r="S55" s="78"/>
      <c r="T55" s="78"/>
      <c r="U55" s="78"/>
    </row>
    <row r="56" spans="1:21" x14ac:dyDescent="0.25">
      <c r="A56" s="78"/>
      <c r="B56" s="78"/>
      <c r="C56" s="78"/>
      <c r="D56" s="78"/>
      <c r="E56" s="78"/>
      <c r="F56" s="78"/>
      <c r="G56" s="220"/>
      <c r="H56" s="78"/>
      <c r="I56" s="78"/>
      <c r="J56" s="78"/>
      <c r="K56" s="150" t="s">
        <v>71</v>
      </c>
      <c r="L56" s="79"/>
      <c r="M56" s="78"/>
      <c r="N56" s="150" t="s">
        <v>72</v>
      </c>
      <c r="O56" s="78"/>
      <c r="P56" s="78"/>
      <c r="Q56" s="150" t="s">
        <v>73</v>
      </c>
      <c r="R56" s="269"/>
      <c r="S56" s="220"/>
      <c r="T56" s="78"/>
      <c r="U56" s="78"/>
    </row>
    <row r="57" spans="1:21" x14ac:dyDescent="0.25">
      <c r="A57" s="78"/>
      <c r="B57" s="78"/>
      <c r="C57" s="78"/>
      <c r="D57" s="78"/>
      <c r="E57" s="78"/>
      <c r="F57" s="78"/>
      <c r="G57" s="78"/>
      <c r="H57" s="220"/>
      <c r="I57" s="78"/>
      <c r="J57" s="78"/>
      <c r="K57" s="150" t="s">
        <v>471</v>
      </c>
      <c r="L57" s="150"/>
      <c r="M57" s="78"/>
      <c r="N57" s="150" t="s">
        <v>135</v>
      </c>
      <c r="O57" s="78"/>
      <c r="P57" s="78"/>
      <c r="Q57" s="150" t="s">
        <v>130</v>
      </c>
      <c r="R57" s="78"/>
      <c r="S57" s="220"/>
      <c r="T57" s="78"/>
      <c r="U57" s="78"/>
    </row>
    <row r="58" spans="1:21" x14ac:dyDescent="0.25">
      <c r="A58" s="78"/>
      <c r="B58" s="78"/>
      <c r="C58" s="78"/>
      <c r="D58" s="78"/>
      <c r="E58" s="78"/>
      <c r="F58" s="78"/>
      <c r="G58" s="220"/>
      <c r="H58" s="78"/>
      <c r="I58" s="220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</row>
    <row r="59" spans="1:2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</row>
    <row r="60" spans="1:21" x14ac:dyDescent="0.25">
      <c r="A60" s="78"/>
      <c r="B60" s="78"/>
      <c r="C60" s="78"/>
      <c r="D60" s="78"/>
      <c r="E60" s="78"/>
      <c r="F60" s="78"/>
      <c r="G60" s="78"/>
      <c r="H60" s="78"/>
      <c r="I60" s="220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</row>
    <row r="61" spans="1:21" x14ac:dyDescent="0.25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</row>
    <row r="62" spans="1:21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</row>
    <row r="63" spans="1:2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</row>
    <row r="64" spans="1:21" x14ac:dyDescent="0.25">
      <c r="A64" s="78"/>
      <c r="B64" s="78"/>
      <c r="C64" s="78"/>
      <c r="D64" s="78"/>
      <c r="E64" s="78"/>
      <c r="F64" s="78"/>
      <c r="G64" s="78"/>
      <c r="H64" s="78"/>
      <c r="I64" s="220">
        <f>R55+I50</f>
        <v>106209.27519999997</v>
      </c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D25" workbookViewId="0">
      <selection activeCell="Q21" sqref="Q21"/>
    </sheetView>
  </sheetViews>
  <sheetFormatPr defaultRowHeight="15" x14ac:dyDescent="0.25"/>
  <cols>
    <col min="1" max="1" width="16.42578125" customWidth="1"/>
    <col min="11" max="11" width="12.140625" customWidth="1"/>
    <col min="12" max="12" width="12.85546875" customWidth="1"/>
    <col min="13" max="13" width="9.42578125" customWidth="1"/>
    <col min="15" max="15" width="12.28515625" customWidth="1"/>
  </cols>
  <sheetData>
    <row r="1" spans="1:19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  <c r="S1" s="78"/>
    </row>
    <row r="2" spans="1:19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  <c r="S2" s="78"/>
    </row>
    <row r="3" spans="1:19" ht="21" x14ac:dyDescent="0.25">
      <c r="A3" s="150"/>
      <c r="B3" s="150"/>
      <c r="C3" s="150"/>
      <c r="D3" s="5" t="s">
        <v>686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  <c r="S3" s="78"/>
    </row>
    <row r="4" spans="1:19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686</v>
      </c>
      <c r="N4" s="250"/>
      <c r="O4" s="103"/>
      <c r="P4" s="103"/>
      <c r="Q4" s="78"/>
      <c r="R4" s="78"/>
      <c r="S4" s="78"/>
    </row>
    <row r="5" spans="1:19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  <c r="S5" s="78"/>
    </row>
    <row r="6" spans="1:19" x14ac:dyDescent="0.25">
      <c r="A6" s="196" t="s">
        <v>352</v>
      </c>
      <c r="B6" s="274" t="s">
        <v>50</v>
      </c>
      <c r="C6" s="274"/>
      <c r="D6" s="113">
        <f>'AUGUST 21'!I6:I19</f>
        <v>3200</v>
      </c>
      <c r="E6" s="280">
        <v>3000</v>
      </c>
      <c r="F6" s="281">
        <v>100</v>
      </c>
      <c r="G6" s="276">
        <f t="shared" ref="G6:G16" si="0">D6+E6+F6+C6</f>
        <v>6300</v>
      </c>
      <c r="H6" s="277">
        <f>3100+3200</f>
        <v>6300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  <c r="S6" s="78"/>
    </row>
    <row r="7" spans="1:19" x14ac:dyDescent="0.25">
      <c r="A7" s="196" t="s">
        <v>433</v>
      </c>
      <c r="B7" s="274" t="s">
        <v>52</v>
      </c>
      <c r="C7" s="274"/>
      <c r="D7" s="113">
        <f>'AUGUST 21'!I7:I20</f>
        <v>2300</v>
      </c>
      <c r="E7" s="280">
        <v>3000</v>
      </c>
      <c r="F7" s="281">
        <v>100</v>
      </c>
      <c r="G7" s="276">
        <f t="shared" si="0"/>
        <v>5400</v>
      </c>
      <c r="H7" s="277">
        <f>3500</f>
        <v>3500</v>
      </c>
      <c r="I7" s="273">
        <f t="shared" si="1"/>
        <v>1900</v>
      </c>
      <c r="J7" s="150"/>
      <c r="K7" s="83" t="s">
        <v>106</v>
      </c>
      <c r="L7" s="249" t="s">
        <v>681</v>
      </c>
      <c r="M7" s="85"/>
      <c r="N7" s="232">
        <f>'AUGUST 21'!R7:R18</f>
        <v>0</v>
      </c>
      <c r="O7" s="320">
        <v>3000</v>
      </c>
      <c r="P7" s="232">
        <f>M7+N7+O7</f>
        <v>3000</v>
      </c>
      <c r="Q7" s="234">
        <f>3000</f>
        <v>3000</v>
      </c>
      <c r="R7" s="319">
        <f>P7-Q7</f>
        <v>0</v>
      </c>
      <c r="S7" s="78"/>
    </row>
    <row r="8" spans="1:19" x14ac:dyDescent="0.25">
      <c r="A8" s="282" t="s">
        <v>648</v>
      </c>
      <c r="B8" s="274" t="s">
        <v>54</v>
      </c>
      <c r="C8" s="274"/>
      <c r="D8" s="113">
        <f>'AUGUST 21'!I8:I21</f>
        <v>3100</v>
      </c>
      <c r="E8" s="280">
        <v>3000</v>
      </c>
      <c r="F8" s="281">
        <v>100</v>
      </c>
      <c r="G8" s="276">
        <f t="shared" si="0"/>
        <v>6200</v>
      </c>
      <c r="H8" s="277">
        <f>3100</f>
        <v>3100</v>
      </c>
      <c r="I8" s="273">
        <f t="shared" si="1"/>
        <v>3100</v>
      </c>
      <c r="J8" s="150"/>
      <c r="K8" s="83" t="s">
        <v>108</v>
      </c>
      <c r="L8" s="200" t="s">
        <v>284</v>
      </c>
      <c r="M8" s="85"/>
      <c r="N8" s="232">
        <f>'AUGUST 21'!R8:R19</f>
        <v>0</v>
      </c>
      <c r="O8" s="320"/>
      <c r="P8" s="232">
        <f t="shared" ref="P8:P15" si="2">M8+N8+O8</f>
        <v>0</v>
      </c>
      <c r="Q8" s="232"/>
      <c r="R8" s="319">
        <f>P8-Q8</f>
        <v>0</v>
      </c>
      <c r="S8" s="78"/>
    </row>
    <row r="9" spans="1:19" x14ac:dyDescent="0.25">
      <c r="A9" s="196" t="s">
        <v>228</v>
      </c>
      <c r="B9" s="274" t="s">
        <v>56</v>
      </c>
      <c r="C9" s="274"/>
      <c r="D9" s="113">
        <f>'AUGUST 21'!I9:I22</f>
        <v>0</v>
      </c>
      <c r="E9" s="280">
        <v>3000</v>
      </c>
      <c r="F9" s="281">
        <v>100</v>
      </c>
      <c r="G9" s="276">
        <f t="shared" si="0"/>
        <v>3100</v>
      </c>
      <c r="H9" s="277">
        <f>3100</f>
        <v>3100</v>
      </c>
      <c r="I9" s="273">
        <f t="shared" si="1"/>
        <v>0</v>
      </c>
      <c r="J9" s="150"/>
      <c r="K9" s="83" t="s">
        <v>557</v>
      </c>
      <c r="L9" s="110" t="s">
        <v>467</v>
      </c>
      <c r="M9" s="110"/>
      <c r="N9" s="232">
        <f>'AUGUST 21'!R9:R20</f>
        <v>500</v>
      </c>
      <c r="O9" s="110">
        <v>2500</v>
      </c>
      <c r="P9" s="232">
        <f t="shared" si="2"/>
        <v>3000</v>
      </c>
      <c r="Q9" s="110">
        <f>2500</f>
        <v>2500</v>
      </c>
      <c r="R9" s="319">
        <f t="shared" ref="R9:R16" si="3">P9-Q9</f>
        <v>500</v>
      </c>
      <c r="S9" s="78"/>
    </row>
    <row r="10" spans="1:19" x14ac:dyDescent="0.25">
      <c r="A10" s="282" t="s">
        <v>627</v>
      </c>
      <c r="B10" s="274" t="s">
        <v>58</v>
      </c>
      <c r="C10" s="274"/>
      <c r="D10" s="113">
        <f>'AUGUST 21'!I10:I23</f>
        <v>200</v>
      </c>
      <c r="E10" s="280">
        <v>3000</v>
      </c>
      <c r="F10" s="281">
        <v>100</v>
      </c>
      <c r="G10" s="276">
        <f t="shared" si="0"/>
        <v>3300</v>
      </c>
      <c r="H10" s="277">
        <f>1500+1500</f>
        <v>3000</v>
      </c>
      <c r="I10" s="273">
        <f>G10-H10</f>
        <v>300</v>
      </c>
      <c r="J10" s="150"/>
      <c r="K10" s="87" t="s">
        <v>112</v>
      </c>
      <c r="L10" s="200" t="s">
        <v>578</v>
      </c>
      <c r="M10" s="110"/>
      <c r="N10" s="232">
        <f>'AUGUST 21'!R10:R21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  <c r="S10" s="78"/>
    </row>
    <row r="11" spans="1:19" x14ac:dyDescent="0.25">
      <c r="A11" s="282" t="s">
        <v>682</v>
      </c>
      <c r="B11" s="274" t="s">
        <v>60</v>
      </c>
      <c r="C11" s="274"/>
      <c r="D11" s="113">
        <f>'AUGUST 21'!I11:I24</f>
        <v>0</v>
      </c>
      <c r="E11" s="280">
        <v>3000</v>
      </c>
      <c r="F11" s="281">
        <v>100</v>
      </c>
      <c r="G11" s="276">
        <f t="shared" si="0"/>
        <v>3100</v>
      </c>
      <c r="H11" s="277"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'AUGUST 21'!R11:R22</f>
        <v>0</v>
      </c>
      <c r="O11" s="320">
        <v>2500</v>
      </c>
      <c r="P11" s="232">
        <f t="shared" si="2"/>
        <v>2500</v>
      </c>
      <c r="Q11" s="234">
        <f>2500</f>
        <v>2500</v>
      </c>
      <c r="R11" s="319">
        <f t="shared" si="3"/>
        <v>0</v>
      </c>
      <c r="S11" s="78"/>
    </row>
    <row r="12" spans="1:19" x14ac:dyDescent="0.25">
      <c r="A12" s="282" t="s">
        <v>631</v>
      </c>
      <c r="B12" s="274" t="s">
        <v>62</v>
      </c>
      <c r="C12" s="274"/>
      <c r="D12" s="113">
        <f>'AUGUST 21'!I12:I25</f>
        <v>8750</v>
      </c>
      <c r="E12" s="280">
        <v>3000</v>
      </c>
      <c r="F12" s="281">
        <v>100</v>
      </c>
      <c r="G12" s="276">
        <f>D12+E12+F12+C12</f>
        <v>11850</v>
      </c>
      <c r="H12" s="277">
        <f>3000+2950</f>
        <v>5950</v>
      </c>
      <c r="I12" s="273">
        <f t="shared" si="1"/>
        <v>5900</v>
      </c>
      <c r="J12" s="150"/>
      <c r="K12" s="93" t="s">
        <v>116</v>
      </c>
      <c r="L12" s="249" t="s">
        <v>120</v>
      </c>
      <c r="M12" s="110"/>
      <c r="N12" s="232">
        <f>'AUGUST 21'!R12:R23</f>
        <v>0</v>
      </c>
      <c r="O12" s="325">
        <v>2500</v>
      </c>
      <c r="P12" s="232">
        <f t="shared" si="2"/>
        <v>2500</v>
      </c>
      <c r="Q12" s="326">
        <f>2500</f>
        <v>2500</v>
      </c>
      <c r="R12" s="319">
        <f>P12-Q12</f>
        <v>0</v>
      </c>
      <c r="S12" s="78"/>
    </row>
    <row r="13" spans="1:19" x14ac:dyDescent="0.25">
      <c r="A13" s="196" t="s">
        <v>700</v>
      </c>
      <c r="B13" s="284" t="s">
        <v>64</v>
      </c>
      <c r="C13" s="274">
        <v>3000</v>
      </c>
      <c r="D13" s="113">
        <f>'AUGUST 21'!I13:I26</f>
        <v>0</v>
      </c>
      <c r="E13" s="329">
        <v>3000</v>
      </c>
      <c r="F13" s="553">
        <v>100</v>
      </c>
      <c r="G13" s="276">
        <f t="shared" si="0"/>
        <v>6100</v>
      </c>
      <c r="H13" s="277">
        <v>6100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'AUGUST 21'!R13:R24</f>
        <v>0</v>
      </c>
      <c r="O13" s="320">
        <v>2500</v>
      </c>
      <c r="P13" s="232">
        <f t="shared" si="2"/>
        <v>2500</v>
      </c>
      <c r="Q13" s="234">
        <f>2500</f>
        <v>2500</v>
      </c>
      <c r="R13" s="319">
        <f t="shared" si="3"/>
        <v>0</v>
      </c>
      <c r="S13" s="78"/>
    </row>
    <row r="14" spans="1:19" x14ac:dyDescent="0.25">
      <c r="A14" s="196"/>
      <c r="B14" s="284" t="s">
        <v>18</v>
      </c>
      <c r="C14" s="274"/>
      <c r="D14" s="113">
        <f>'AUGUST 21'!I14:I27</f>
        <v>0</v>
      </c>
      <c r="E14" s="329"/>
      <c r="F14" s="553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704</v>
      </c>
      <c r="M14" s="85"/>
      <c r="N14" s="232">
        <f>'AUGUST 21'!R14:R25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  <c r="S14" s="78"/>
    </row>
    <row r="15" spans="1:19" x14ac:dyDescent="0.25">
      <c r="A15" s="196" t="s">
        <v>651</v>
      </c>
      <c r="B15" s="284" t="s">
        <v>20</v>
      </c>
      <c r="C15" s="274"/>
      <c r="D15" s="113">
        <f>'AUGUST 21'!I15:I28</f>
        <v>0</v>
      </c>
      <c r="E15" s="329">
        <v>3000</v>
      </c>
      <c r="F15" s="553">
        <v>100</v>
      </c>
      <c r="G15" s="276">
        <f t="shared" si="0"/>
        <v>3100</v>
      </c>
      <c r="H15" s="277">
        <f>3100</f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f>'AUGUST 21'!R15:R26</f>
        <v>7500</v>
      </c>
      <c r="O15" s="320">
        <v>2500</v>
      </c>
      <c r="P15" s="232">
        <f t="shared" si="2"/>
        <v>10500</v>
      </c>
      <c r="Q15" s="234">
        <v>2500</v>
      </c>
      <c r="R15" s="319">
        <f t="shared" si="3"/>
        <v>8000</v>
      </c>
      <c r="S15" s="78"/>
    </row>
    <row r="16" spans="1:19" x14ac:dyDescent="0.25">
      <c r="A16" s="196"/>
      <c r="B16" s="284" t="s">
        <v>22</v>
      </c>
      <c r="C16" s="274"/>
      <c r="D16" s="113">
        <f>'AUGUST 21'!I16:I29</f>
        <v>0</v>
      </c>
      <c r="E16" s="329"/>
      <c r="F16" s="553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'AUGUST 21'!R16:R27</f>
        <v>3000</v>
      </c>
      <c r="O16" s="231">
        <v>1500</v>
      </c>
      <c r="P16" s="232">
        <f>M16+N16+O16</f>
        <v>4500</v>
      </c>
      <c r="Q16" s="234"/>
      <c r="R16" s="319">
        <f t="shared" si="3"/>
        <v>4500</v>
      </c>
      <c r="S16" s="78"/>
    </row>
    <row r="17" spans="1:19" x14ac:dyDescent="0.25">
      <c r="A17" s="196"/>
      <c r="B17" s="284" t="s">
        <v>24</v>
      </c>
      <c r="C17" s="274"/>
      <c r="D17" s="113">
        <f>'AUGUST 21'!I17:I30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'AUGUST 21'!R17:R28</f>
        <v>0</v>
      </c>
      <c r="O17" s="231"/>
      <c r="P17" s="232"/>
      <c r="Q17" s="234"/>
      <c r="R17" s="450"/>
      <c r="S17" s="78"/>
    </row>
    <row r="18" spans="1:19" x14ac:dyDescent="0.25">
      <c r="A18" s="196"/>
      <c r="B18" s="284" t="s">
        <v>26</v>
      </c>
      <c r="C18" s="274"/>
      <c r="D18" s="113">
        <f>'AUGUST 21'!I18:I31</f>
        <v>0</v>
      </c>
      <c r="E18" s="329"/>
      <c r="F18" s="553"/>
      <c r="G18" s="276">
        <f>D18+E18+F18+C18</f>
        <v>0</v>
      </c>
      <c r="H18" s="277"/>
      <c r="I18" s="273">
        <f t="shared" si="1"/>
        <v>0</v>
      </c>
      <c r="J18" s="150"/>
      <c r="K18" s="83"/>
      <c r="L18" s="200"/>
      <c r="M18" s="85"/>
      <c r="N18" s="232">
        <f>'AUGUST 21'!R18:R29</f>
        <v>0</v>
      </c>
      <c r="O18" s="231"/>
      <c r="P18" s="232"/>
      <c r="Q18" s="234"/>
      <c r="R18" s="450"/>
      <c r="S18" s="78"/>
    </row>
    <row r="19" spans="1:19" x14ac:dyDescent="0.25">
      <c r="A19" s="282" t="s">
        <v>660</v>
      </c>
      <c r="B19" s="284" t="s">
        <v>28</v>
      </c>
      <c r="C19" s="274"/>
      <c r="D19" s="113">
        <f>'AUGUST 21'!I19:I32</f>
        <v>0</v>
      </c>
      <c r="E19" s="329">
        <v>3000</v>
      </c>
      <c r="F19" s="553">
        <v>100</v>
      </c>
      <c r="G19" s="276">
        <f>D19+E19+F19+C19</f>
        <v>3100</v>
      </c>
      <c r="H19" s="277">
        <f>3100</f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05">
        <f t="shared" ref="N19:P19" si="4">SUM(N7:N16)</f>
        <v>11000</v>
      </c>
      <c r="O19" s="205">
        <f t="shared" si="4"/>
        <v>22000</v>
      </c>
      <c r="P19" s="205">
        <f t="shared" si="4"/>
        <v>33500</v>
      </c>
      <c r="Q19" s="240">
        <f>SUM(Q7:Q16)</f>
        <v>20500</v>
      </c>
      <c r="R19" s="323">
        <f>SUM(R7:R16)</f>
        <v>13000</v>
      </c>
      <c r="S19" s="78"/>
    </row>
    <row r="20" spans="1:19" x14ac:dyDescent="0.25">
      <c r="A20" s="294" t="s">
        <v>193</v>
      </c>
      <c r="B20" s="293"/>
      <c r="C20" s="293">
        <f t="shared" ref="C20:I20" si="5">SUM(C6:C19)</f>
        <v>3000</v>
      </c>
      <c r="D20" s="113">
        <f>SUM(D6:D19)</f>
        <v>17550</v>
      </c>
      <c r="E20" s="240">
        <f t="shared" si="5"/>
        <v>30000</v>
      </c>
      <c r="F20" s="240">
        <f t="shared" si="5"/>
        <v>1000</v>
      </c>
      <c r="G20" s="276">
        <f t="shared" si="5"/>
        <v>51550</v>
      </c>
      <c r="H20" s="361">
        <f t="shared" si="5"/>
        <v>40350</v>
      </c>
      <c r="I20" s="273">
        <f t="shared" si="5"/>
        <v>11200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  <c r="S20" s="78"/>
    </row>
    <row r="21" spans="1:19" ht="18.75" x14ac:dyDescent="0.25">
      <c r="A21" s="550"/>
      <c r="B21" s="550"/>
      <c r="C21" s="551"/>
      <c r="D21" s="78">
        <f>APRIL21!I21:I34</f>
        <v>0</v>
      </c>
      <c r="E21" s="552" t="s">
        <v>247</v>
      </c>
      <c r="F21" s="551"/>
      <c r="G21" s="550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'AUGUST 21'!R21:R40</f>
        <v>0</v>
      </c>
      <c r="O21" s="320">
        <v>3500</v>
      </c>
      <c r="P21" s="232">
        <f t="shared" ref="P21:P38" si="6">M21+N21+O21</f>
        <v>3500</v>
      </c>
      <c r="Q21" s="232">
        <f>3500</f>
        <v>3500</v>
      </c>
      <c r="R21" s="319">
        <f t="shared" ref="R21:R34" si="7">P21-Q21</f>
        <v>0</v>
      </c>
      <c r="S21" s="78"/>
    </row>
    <row r="22" spans="1:19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'AUGUST 21'!R22:R41</f>
        <v>1500</v>
      </c>
      <c r="O22" s="320">
        <v>3500</v>
      </c>
      <c r="P22" s="232">
        <f t="shared" si="6"/>
        <v>5000</v>
      </c>
      <c r="Q22" s="232">
        <v>500</v>
      </c>
      <c r="R22" s="319">
        <f t="shared" si="7"/>
        <v>4500</v>
      </c>
      <c r="S22" s="78"/>
    </row>
    <row r="23" spans="1:19" x14ac:dyDescent="0.25">
      <c r="A23" s="191" t="s">
        <v>313</v>
      </c>
      <c r="B23" s="85"/>
      <c r="C23" s="85"/>
      <c r="D23" s="86">
        <f>'JULY 21'!H23:H31</f>
        <v>0</v>
      </c>
      <c r="E23" s="232">
        <v>6000</v>
      </c>
      <c r="F23" s="232">
        <f>B23+E23+D23+C23</f>
        <v>6000</v>
      </c>
      <c r="G23" s="232">
        <f>6000</f>
        <v>6000</v>
      </c>
      <c r="H23" s="273">
        <f>F23-G23</f>
        <v>0</v>
      </c>
      <c r="I23" s="273"/>
      <c r="J23" s="78"/>
      <c r="K23" s="83">
        <v>3</v>
      </c>
      <c r="L23" s="110" t="s">
        <v>671</v>
      </c>
      <c r="M23" s="110"/>
      <c r="N23" s="232">
        <f>'AUGUST 21'!R23:R42</f>
        <v>0</v>
      </c>
      <c r="O23" s="110">
        <v>3500</v>
      </c>
      <c r="P23" s="232">
        <f t="shared" si="6"/>
        <v>3500</v>
      </c>
      <c r="Q23" s="110">
        <f>3500</f>
        <v>3500</v>
      </c>
      <c r="R23" s="319">
        <f t="shared" si="7"/>
        <v>0</v>
      </c>
      <c r="S23" s="78"/>
    </row>
    <row r="24" spans="1:19" x14ac:dyDescent="0.25">
      <c r="A24" s="110" t="s">
        <v>313</v>
      </c>
      <c r="B24" s="113"/>
      <c r="C24" s="113"/>
      <c r="D24" s="86">
        <f>'JULY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685</v>
      </c>
      <c r="M24" s="110">
        <v>3500</v>
      </c>
      <c r="N24" s="232">
        <f>'AUGUST 21'!R24:R43</f>
        <v>0</v>
      </c>
      <c r="O24" s="321">
        <v>3500</v>
      </c>
      <c r="P24" s="232">
        <f>M24+N24+O24</f>
        <v>7000</v>
      </c>
      <c r="Q24" s="319">
        <f>6500</f>
        <v>6500</v>
      </c>
      <c r="R24" s="319">
        <f t="shared" si="7"/>
        <v>500</v>
      </c>
      <c r="S24" s="78"/>
    </row>
    <row r="25" spans="1:19" x14ac:dyDescent="0.25">
      <c r="A25" s="191" t="s">
        <v>665</v>
      </c>
      <c r="B25" s="85"/>
      <c r="C25" s="85"/>
      <c r="D25" s="86">
        <f>'JULY 21'!H25:H33</f>
        <v>0</v>
      </c>
      <c r="E25" s="231">
        <v>4000</v>
      </c>
      <c r="F25" s="232">
        <f>B25+E25+D25+C25</f>
        <v>4000</v>
      </c>
      <c r="G25" s="78">
        <f>4000</f>
        <v>4000</v>
      </c>
      <c r="H25" s="273">
        <f t="shared" si="8"/>
        <v>0</v>
      </c>
      <c r="I25" s="273"/>
      <c r="J25" s="78"/>
      <c r="K25" s="83">
        <v>5</v>
      </c>
      <c r="L25" s="200" t="s">
        <v>679</v>
      </c>
      <c r="M25" s="85">
        <v>500</v>
      </c>
      <c r="N25" s="232">
        <f>'AUGUST 21'!R25:R44</f>
        <v>0</v>
      </c>
      <c r="O25" s="320">
        <v>3300</v>
      </c>
      <c r="P25" s="232">
        <f t="shared" si="6"/>
        <v>3800</v>
      </c>
      <c r="Q25" s="234"/>
      <c r="R25" s="319">
        <f t="shared" si="7"/>
        <v>3800</v>
      </c>
      <c r="S25" s="78"/>
    </row>
    <row r="26" spans="1:19" x14ac:dyDescent="0.25">
      <c r="A26" s="191"/>
      <c r="B26" s="85"/>
      <c r="C26" s="85"/>
      <c r="D26" s="86">
        <f>'JULY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'AUGUST 21'!R26:R45</f>
        <v>0</v>
      </c>
      <c r="O26" s="325">
        <v>3500</v>
      </c>
      <c r="P26" s="232">
        <f t="shared" si="6"/>
        <v>3500</v>
      </c>
      <c r="Q26" s="326">
        <f>3500</f>
        <v>3500</v>
      </c>
      <c r="R26" s="319">
        <f t="shared" si="7"/>
        <v>0</v>
      </c>
      <c r="S26" s="78"/>
    </row>
    <row r="27" spans="1:19" x14ac:dyDescent="0.25">
      <c r="A27" s="191" t="s">
        <v>657</v>
      </c>
      <c r="B27" s="86"/>
      <c r="C27" s="86"/>
      <c r="D27" s="86">
        <f>'JULY 21'!H27:H35</f>
        <v>0</v>
      </c>
      <c r="E27" s="231">
        <v>4000</v>
      </c>
      <c r="F27" s="232">
        <f>B27+E27+D27+C27</f>
        <v>4000</v>
      </c>
      <c r="G27" s="110">
        <f>4000</f>
        <v>4000</v>
      </c>
      <c r="H27" s="273">
        <f t="shared" si="8"/>
        <v>0</v>
      </c>
      <c r="I27" s="273"/>
      <c r="J27" s="78"/>
      <c r="K27" s="83">
        <v>7</v>
      </c>
      <c r="L27" s="548" t="s">
        <v>281</v>
      </c>
      <c r="M27" s="85"/>
      <c r="N27" s="232">
        <f>'AUGUST 21'!R27:R46</f>
        <v>0</v>
      </c>
      <c r="O27" s="320"/>
      <c r="P27" s="232">
        <f t="shared" si="6"/>
        <v>0</v>
      </c>
      <c r="Q27" s="234"/>
      <c r="R27" s="319">
        <f t="shared" si="7"/>
        <v>0</v>
      </c>
      <c r="S27" s="220"/>
    </row>
    <row r="28" spans="1:19" ht="22.5" x14ac:dyDescent="0.25">
      <c r="A28" s="191" t="s">
        <v>658</v>
      </c>
      <c r="B28" s="85"/>
      <c r="C28" s="85"/>
      <c r="D28" s="86">
        <f>'JULY 21'!H28:H36</f>
        <v>0</v>
      </c>
      <c r="E28" s="231">
        <v>4000</v>
      </c>
      <c r="F28" s="232">
        <f>C28+D28+E28</f>
        <v>4000</v>
      </c>
      <c r="G28" s="110">
        <f>4000</f>
        <v>4000</v>
      </c>
      <c r="H28" s="273">
        <f t="shared" si="8"/>
        <v>0</v>
      </c>
      <c r="I28" s="273"/>
      <c r="J28" s="220"/>
      <c r="K28" s="83">
        <v>8</v>
      </c>
      <c r="L28" s="249" t="s">
        <v>490</v>
      </c>
      <c r="M28" s="85"/>
      <c r="N28" s="232">
        <f>'AUGUST 21'!R28:R47</f>
        <v>2000</v>
      </c>
      <c r="O28" s="320">
        <v>3500</v>
      </c>
      <c r="P28" s="232">
        <f t="shared" si="6"/>
        <v>5500</v>
      </c>
      <c r="Q28" s="234"/>
      <c r="R28" s="319">
        <f t="shared" si="7"/>
        <v>5500</v>
      </c>
      <c r="S28" s="78"/>
    </row>
    <row r="29" spans="1:19" x14ac:dyDescent="0.25">
      <c r="A29" s="218" t="s">
        <v>539</v>
      </c>
      <c r="B29" s="85"/>
      <c r="C29" s="85"/>
      <c r="D29" s="86">
        <f>'JULY 21'!H29:H37</f>
        <v>0</v>
      </c>
      <c r="E29" s="231">
        <v>4000</v>
      </c>
      <c r="F29" s="232">
        <f>B29+E29+D29</f>
        <v>4000</v>
      </c>
      <c r="G29" s="110">
        <f>4000</f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'AUGUST 21'!R29:R48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  <c r="S29" s="78"/>
    </row>
    <row r="30" spans="1:19" x14ac:dyDescent="0.25">
      <c r="A30" s="210" t="s">
        <v>456</v>
      </c>
      <c r="B30" s="85">
        <v>0</v>
      </c>
      <c r="C30" s="85"/>
      <c r="D30" s="86">
        <f>'JULY 21'!H30:H38</f>
        <v>0</v>
      </c>
      <c r="E30" s="231">
        <v>4000</v>
      </c>
      <c r="F30" s="232">
        <f>B30+E30+D30</f>
        <v>4000</v>
      </c>
      <c r="G30" s="110">
        <f>4000</f>
        <v>4000</v>
      </c>
      <c r="H30" s="273">
        <f t="shared" si="8"/>
        <v>0</v>
      </c>
      <c r="I30" s="273"/>
      <c r="J30" s="78"/>
      <c r="K30" s="83">
        <v>10</v>
      </c>
      <c r="L30" s="200" t="s">
        <v>675</v>
      </c>
      <c r="M30" s="85"/>
      <c r="N30" s="232">
        <f>'AUGUST 21'!R30:R49</f>
        <v>0</v>
      </c>
      <c r="O30" s="320">
        <v>3500</v>
      </c>
      <c r="P30" s="232">
        <f t="shared" si="6"/>
        <v>3500</v>
      </c>
      <c r="Q30" s="234">
        <f>3500</f>
        <v>3500</v>
      </c>
      <c r="R30" s="319">
        <f t="shared" si="7"/>
        <v>0</v>
      </c>
      <c r="S30" s="78"/>
    </row>
    <row r="31" spans="1:19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32000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'AUGUST 21'!R31:R50</f>
        <v>0</v>
      </c>
      <c r="O31" s="320">
        <v>3500</v>
      </c>
      <c r="P31" s="232">
        <f>M31+N31+O31</f>
        <v>3500</v>
      </c>
      <c r="Q31" s="234">
        <f>3500</f>
        <v>3500</v>
      </c>
      <c r="R31" s="319">
        <f>P31-Q31</f>
        <v>0</v>
      </c>
      <c r="S31" s="78"/>
    </row>
    <row r="32" spans="1:19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/>
      <c r="K32" s="83">
        <v>12</v>
      </c>
      <c r="L32" s="200" t="s">
        <v>652</v>
      </c>
      <c r="M32" s="85"/>
      <c r="N32" s="232">
        <f>'AUGUST 21'!R32:R51</f>
        <v>7000</v>
      </c>
      <c r="O32" s="320">
        <v>3500</v>
      </c>
      <c r="P32" s="232">
        <f t="shared" si="6"/>
        <v>10500</v>
      </c>
      <c r="Q32" s="234"/>
      <c r="R32" s="319">
        <f t="shared" si="7"/>
        <v>10500</v>
      </c>
      <c r="S32" s="78"/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'AUGUST 21'!R33:R52</f>
        <v>6500</v>
      </c>
      <c r="O33" s="320">
        <v>3500</v>
      </c>
      <c r="P33" s="232">
        <f>M33+N33+O33</f>
        <v>10000</v>
      </c>
      <c r="Q33" s="234">
        <f>3500</f>
        <v>3500</v>
      </c>
      <c r="R33" s="319">
        <f>P33-Q33</f>
        <v>6500</v>
      </c>
      <c r="S33" s="78"/>
    </row>
    <row r="34" spans="1:19" x14ac:dyDescent="0.25">
      <c r="A34" s="211" t="s">
        <v>599</v>
      </c>
      <c r="B34" s="273">
        <f>E31+E20</f>
        <v>62000</v>
      </c>
      <c r="C34" s="273"/>
      <c r="D34" s="164"/>
      <c r="E34" s="164"/>
      <c r="F34" s="211" t="s">
        <v>463</v>
      </c>
      <c r="G34" s="273">
        <f>G31+H20</f>
        <v>72350</v>
      </c>
      <c r="H34" s="164"/>
      <c r="I34" s="273"/>
      <c r="J34" s="78"/>
      <c r="K34" s="83">
        <v>14</v>
      </c>
      <c r="L34" s="200" t="s">
        <v>480</v>
      </c>
      <c r="M34" s="85"/>
      <c r="N34" s="232">
        <f>'AUGUST 21'!R34:R53</f>
        <v>0</v>
      </c>
      <c r="O34" s="320">
        <v>3500</v>
      </c>
      <c r="P34" s="232">
        <f t="shared" si="6"/>
        <v>3500</v>
      </c>
      <c r="Q34" s="234">
        <f>3500</f>
        <v>3500</v>
      </c>
      <c r="R34" s="319">
        <f t="shared" si="7"/>
        <v>0</v>
      </c>
      <c r="S34" s="78"/>
    </row>
    <row r="35" spans="1:19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680</v>
      </c>
      <c r="M35" s="85">
        <v>3500</v>
      </c>
      <c r="N35" s="232"/>
      <c r="O35" s="320">
        <v>3500</v>
      </c>
      <c r="P35" s="232">
        <f>M35+N35+O35</f>
        <v>7000</v>
      </c>
      <c r="Q35" s="234">
        <v>5000</v>
      </c>
      <c r="R35" s="319">
        <f t="shared" ref="R35:R42" si="9">P35-Q35</f>
        <v>2000</v>
      </c>
      <c r="S35" s="78"/>
    </row>
    <row r="36" spans="1:19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'AUGUST 21'!R36:R55</f>
        <v>0</v>
      </c>
      <c r="O36" s="320">
        <v>3500</v>
      </c>
      <c r="P36" s="232">
        <f>M36+N36+O36</f>
        <v>3500</v>
      </c>
      <c r="Q36" s="234">
        <f>3500</f>
        <v>3500</v>
      </c>
      <c r="R36" s="319">
        <f t="shared" si="9"/>
        <v>0</v>
      </c>
      <c r="S36" s="78"/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689</v>
      </c>
      <c r="M37" s="85">
        <v>3500</v>
      </c>
      <c r="N37" s="232"/>
      <c r="O37" s="320">
        <v>3500</v>
      </c>
      <c r="P37" s="232">
        <f t="shared" si="6"/>
        <v>7000</v>
      </c>
      <c r="Q37" s="234">
        <v>7000</v>
      </c>
      <c r="R37" s="319">
        <f t="shared" si="9"/>
        <v>0</v>
      </c>
      <c r="S37" s="78"/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'AUGUST 21'!R38:R57</f>
        <v>5500</v>
      </c>
      <c r="O38" s="320">
        <v>3500</v>
      </c>
      <c r="P38" s="232">
        <f t="shared" si="6"/>
        <v>9000</v>
      </c>
      <c r="Q38" s="234">
        <f>3800</f>
        <v>3800</v>
      </c>
      <c r="R38" s="319">
        <f t="shared" si="9"/>
        <v>5200</v>
      </c>
      <c r="S38" s="78"/>
    </row>
    <row r="39" spans="1:19" x14ac:dyDescent="0.25">
      <c r="A39" s="309" t="s">
        <v>239</v>
      </c>
      <c r="B39" s="308">
        <f>'AUGUST 21'!E50</f>
        <v>73864.342305280035</v>
      </c>
      <c r="C39" s="308"/>
      <c r="D39" s="211"/>
      <c r="E39" s="211"/>
      <c r="F39" s="309" t="s">
        <v>239</v>
      </c>
      <c r="G39" s="308">
        <f>'AUGUST 21'!I50</f>
        <v>52250.275200000033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'AUGUST 21'!R39:R58</f>
        <v>0</v>
      </c>
      <c r="O39" s="320">
        <v>3500</v>
      </c>
      <c r="P39" s="232">
        <f>M39+N39+O39</f>
        <v>3500</v>
      </c>
      <c r="Q39" s="234">
        <f>3500</f>
        <v>3500</v>
      </c>
      <c r="R39" s="319">
        <f t="shared" si="9"/>
        <v>0</v>
      </c>
      <c r="S39" s="78"/>
    </row>
    <row r="40" spans="1:19" s="78" customFormat="1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>
        <v>3500</v>
      </c>
      <c r="N40" s="232">
        <f>'AUGUST 21'!R40:R59</f>
        <v>0</v>
      </c>
      <c r="O40" s="320">
        <v>1633</v>
      </c>
      <c r="P40" s="232">
        <f>M40+N40+O40</f>
        <v>5133</v>
      </c>
      <c r="Q40" s="234">
        <v>4000</v>
      </c>
      <c r="R40" s="319">
        <f t="shared" si="9"/>
        <v>1133</v>
      </c>
    </row>
    <row r="41" spans="1:19" x14ac:dyDescent="0.25">
      <c r="A41" s="309" t="s">
        <v>193</v>
      </c>
      <c r="B41" s="308">
        <f>B34+B36+B39+B37</f>
        <v>139864.34230528004</v>
      </c>
      <c r="C41" s="308"/>
      <c r="D41" s="211"/>
      <c r="E41" s="211"/>
      <c r="F41" s="309" t="s">
        <v>193</v>
      </c>
      <c r="G41" s="308">
        <f>G34+G36+G39+G37</f>
        <v>127600.27520000003</v>
      </c>
      <c r="H41" s="211"/>
      <c r="I41" s="273"/>
      <c r="J41" s="78"/>
      <c r="K41" s="83"/>
      <c r="L41" s="200"/>
      <c r="M41" s="85"/>
      <c r="N41" s="232"/>
      <c r="O41" s="320"/>
      <c r="P41" s="232">
        <f>M41+N41+O41</f>
        <v>0</v>
      </c>
      <c r="Q41" s="234"/>
      <c r="R41" s="319">
        <f t="shared" si="9"/>
        <v>0</v>
      </c>
      <c r="S41" s="78"/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/>
      <c r="K42" s="83"/>
      <c r="L42" s="204" t="s">
        <v>193</v>
      </c>
      <c r="M42" s="205">
        <f>SUM(M21:M41)</f>
        <v>14500</v>
      </c>
      <c r="N42" s="232">
        <f>SUM(N21:N41)</f>
        <v>22500</v>
      </c>
      <c r="O42" s="239">
        <f>SUM(O21:O41)</f>
        <v>64433</v>
      </c>
      <c r="P42" s="232">
        <f>SUM(P21:P41)</f>
        <v>101433</v>
      </c>
      <c r="Q42" s="240">
        <f>SUM(Q21:Q41)</f>
        <v>61800</v>
      </c>
      <c r="R42" s="319">
        <f t="shared" si="9"/>
        <v>39633</v>
      </c>
      <c r="S42" s="78"/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J43" s="7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  <c r="S43" s="78"/>
    </row>
    <row r="44" spans="1:19" x14ac:dyDescent="0.25">
      <c r="A44" s="369" t="s">
        <v>468</v>
      </c>
      <c r="B44" s="78"/>
      <c r="C44" s="78"/>
      <c r="D44" s="371">
        <v>3000</v>
      </c>
      <c r="E44" s="370"/>
      <c r="F44" s="369" t="s">
        <v>468</v>
      </c>
      <c r="G44" s="78"/>
      <c r="H44" s="371">
        <v>3000</v>
      </c>
      <c r="I44" s="368"/>
      <c r="J44" s="7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  <c r="S44" s="78"/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J45" s="78"/>
      <c r="K45" s="211" t="s">
        <v>599</v>
      </c>
      <c r="L45" s="273">
        <f>O42+O19</f>
        <v>86433</v>
      </c>
      <c r="M45" s="164"/>
      <c r="N45" s="232">
        <f>'FEBRUARY 21'!R44:R66</f>
        <v>0</v>
      </c>
      <c r="O45" s="211" t="s">
        <v>599</v>
      </c>
      <c r="P45" s="273">
        <f>Q42+Q19</f>
        <v>82300</v>
      </c>
      <c r="Q45" s="164"/>
      <c r="R45" s="273"/>
      <c r="S45" s="78"/>
    </row>
    <row r="46" spans="1:19" x14ac:dyDescent="0.25">
      <c r="A46" s="370" t="s">
        <v>408</v>
      </c>
      <c r="B46" s="449">
        <v>0.3</v>
      </c>
      <c r="C46" s="449"/>
      <c r="D46" s="368">
        <f>B46*E11+(B46*C13)</f>
        <v>1800</v>
      </c>
      <c r="E46" s="370"/>
      <c r="F46" s="370" t="s">
        <v>408</v>
      </c>
      <c r="G46" s="449">
        <v>0.3</v>
      </c>
      <c r="H46" s="368">
        <f>D46</f>
        <v>1800</v>
      </c>
      <c r="I46" s="368"/>
      <c r="J46" s="78"/>
      <c r="K46" s="211" t="s">
        <v>209</v>
      </c>
      <c r="L46" s="307">
        <v>0.1</v>
      </c>
      <c r="M46" s="308">
        <f>L45*L46</f>
        <v>8643.3000000000011</v>
      </c>
      <c r="N46" s="211"/>
      <c r="O46" s="211" t="s">
        <v>209</v>
      </c>
      <c r="P46" s="307">
        <v>0.1</v>
      </c>
      <c r="Q46" s="308">
        <f>M46</f>
        <v>8643.3000000000011</v>
      </c>
      <c r="R46" s="273"/>
      <c r="S46" s="78"/>
    </row>
    <row r="47" spans="1:19" x14ac:dyDescent="0.25">
      <c r="A47" s="370" t="s">
        <v>683</v>
      </c>
      <c r="B47" s="370"/>
      <c r="C47" s="370"/>
      <c r="D47" s="368">
        <v>52250</v>
      </c>
      <c r="E47" s="370"/>
      <c r="F47" s="370" t="s">
        <v>683</v>
      </c>
      <c r="G47" s="370"/>
      <c r="H47" s="370">
        <v>52250</v>
      </c>
      <c r="I47" s="368"/>
      <c r="J47" s="78"/>
      <c r="K47" s="309"/>
      <c r="L47" s="308"/>
      <c r="M47" s="211"/>
      <c r="N47" s="211"/>
      <c r="O47" s="309"/>
      <c r="P47" s="308"/>
      <c r="Q47" s="211"/>
      <c r="R47" s="273"/>
      <c r="S47" s="78"/>
    </row>
    <row r="48" spans="1:19" x14ac:dyDescent="0.25">
      <c r="A48" s="369" t="s">
        <v>690</v>
      </c>
      <c r="B48" s="370"/>
      <c r="C48" s="370"/>
      <c r="D48" s="371">
        <v>3100</v>
      </c>
      <c r="E48" s="370"/>
      <c r="F48" s="369"/>
      <c r="G48" s="370"/>
      <c r="H48" s="370"/>
      <c r="I48" s="371"/>
      <c r="J48" s="78"/>
      <c r="K48" s="211" t="s">
        <v>408</v>
      </c>
      <c r="L48" s="307">
        <v>0.3</v>
      </c>
      <c r="M48" s="102">
        <f>L48*M24+(L48*M40)+(L48*M37)+(L48*M35)</f>
        <v>4200</v>
      </c>
      <c r="N48" s="211"/>
      <c r="O48" s="211" t="s">
        <v>408</v>
      </c>
      <c r="P48" s="307">
        <v>0.3</v>
      </c>
      <c r="Q48" s="308">
        <f>M48</f>
        <v>4200</v>
      </c>
      <c r="R48" s="273"/>
      <c r="S48" s="220"/>
    </row>
    <row r="49" spans="1:19" x14ac:dyDescent="0.25">
      <c r="A49" s="369" t="s">
        <v>691</v>
      </c>
      <c r="B49" s="370"/>
      <c r="C49" s="370"/>
      <c r="D49" s="371">
        <v>3000</v>
      </c>
      <c r="E49" s="370"/>
      <c r="F49" s="369" t="s">
        <v>691</v>
      </c>
      <c r="G49" s="370"/>
      <c r="H49" s="370">
        <v>3000</v>
      </c>
      <c r="I49" s="371"/>
      <c r="J49" s="78"/>
      <c r="K49" s="309" t="s">
        <v>470</v>
      </c>
      <c r="L49" s="308">
        <f>M42</f>
        <v>14500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J50" s="78"/>
      <c r="K50" s="309" t="s">
        <v>239</v>
      </c>
      <c r="L50" s="308">
        <f>'AUGUST 21'!N55</f>
        <v>83053.299999999988</v>
      </c>
      <c r="M50" s="211"/>
      <c r="N50" s="211"/>
      <c r="O50" s="309" t="s">
        <v>239</v>
      </c>
      <c r="P50" s="308">
        <f>'AUGUST 21'!R55</f>
        <v>53958.999999999942</v>
      </c>
      <c r="Q50" s="211"/>
      <c r="R50" s="273"/>
      <c r="S50" s="78"/>
    </row>
    <row r="51" spans="1:19" x14ac:dyDescent="0.25">
      <c r="A51" s="166" t="s">
        <v>193</v>
      </c>
      <c r="B51" s="317">
        <f>B34+B36+B37+B38+B39-D35</f>
        <v>133664.34230528004</v>
      </c>
      <c r="C51" s="317"/>
      <c r="D51" s="318">
        <f>SUM(D42:D50)</f>
        <v>63150</v>
      </c>
      <c r="E51" s="318">
        <f>B51-D51</f>
        <v>70514.342305280035</v>
      </c>
      <c r="F51" s="166" t="s">
        <v>193</v>
      </c>
      <c r="G51" s="317">
        <f>G34+G36+G37+G39-H35</f>
        <v>121400.27520000003</v>
      </c>
      <c r="H51" s="318">
        <f>SUM(H42:H50)</f>
        <v>60050</v>
      </c>
      <c r="I51" s="318">
        <f>G51-H51</f>
        <v>61350.275200000033</v>
      </c>
      <c r="J51" s="78"/>
      <c r="K51" s="309" t="s">
        <v>193</v>
      </c>
      <c r="L51" s="308">
        <f>L45+L47+L50+L49</f>
        <v>183986.3</v>
      </c>
      <c r="M51" s="211"/>
      <c r="N51" s="211"/>
      <c r="O51" s="309" t="s">
        <v>193</v>
      </c>
      <c r="P51" s="308">
        <f>P45+P47+P50+P48</f>
        <v>136259.29999999993</v>
      </c>
      <c r="Q51" s="211"/>
      <c r="R51" s="273"/>
      <c r="S51" s="78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J52" s="78"/>
      <c r="K52" s="212" t="s">
        <v>194</v>
      </c>
      <c r="L52" s="307"/>
      <c r="M52" s="78"/>
      <c r="N52" s="214"/>
      <c r="O52" s="212" t="s">
        <v>194</v>
      </c>
      <c r="P52" s="307"/>
      <c r="Q52" s="214"/>
      <c r="R52" s="273"/>
      <c r="S52" s="78"/>
    </row>
    <row r="53" spans="1:19" x14ac:dyDescent="0.25">
      <c r="A53" s="150" t="s">
        <v>71</v>
      </c>
      <c r="B53" s="79"/>
      <c r="C53" s="79"/>
      <c r="D53" s="78"/>
      <c r="E53" s="150" t="s">
        <v>72</v>
      </c>
      <c r="F53" s="78"/>
      <c r="G53" s="78"/>
      <c r="H53" s="150" t="s">
        <v>73</v>
      </c>
      <c r="I53" s="269"/>
      <c r="J53" s="78"/>
      <c r="K53" s="369" t="s">
        <v>683</v>
      </c>
      <c r="L53" s="370"/>
      <c r="M53" s="78">
        <v>60950</v>
      </c>
      <c r="N53" s="367"/>
      <c r="O53" s="369" t="s">
        <v>683</v>
      </c>
      <c r="P53" s="370"/>
      <c r="Q53" s="78">
        <v>60950</v>
      </c>
      <c r="R53" s="368"/>
      <c r="S53" s="78"/>
    </row>
    <row r="54" spans="1:19" x14ac:dyDescent="0.25">
      <c r="A54" s="150" t="s">
        <v>471</v>
      </c>
      <c r="B54" s="150"/>
      <c r="C54" s="78"/>
      <c r="D54" s="150" t="s">
        <v>135</v>
      </c>
      <c r="E54" s="78"/>
      <c r="F54" s="78"/>
      <c r="G54" s="78"/>
      <c r="H54" s="150" t="s">
        <v>130</v>
      </c>
      <c r="I54" s="78"/>
      <c r="J54" s="78"/>
      <c r="K54" s="369" t="s">
        <v>694</v>
      </c>
      <c r="L54" s="370"/>
      <c r="M54" s="371">
        <v>5500</v>
      </c>
      <c r="N54" s="366"/>
      <c r="O54" s="365"/>
      <c r="P54" s="380"/>
      <c r="Q54" s="367"/>
      <c r="R54" s="368"/>
      <c r="S54" s="78"/>
    </row>
    <row r="55" spans="1:19" x14ac:dyDescent="0.25">
      <c r="A55" s="150"/>
      <c r="B55" s="150"/>
      <c r="C55" s="150"/>
      <c r="D55" s="269"/>
      <c r="E55" s="150"/>
      <c r="F55" s="269"/>
      <c r="G55" s="150"/>
      <c r="H55" s="150"/>
      <c r="I55" s="269"/>
      <c r="J55" s="78"/>
      <c r="K55" s="369" t="s">
        <v>695</v>
      </c>
      <c r="L55" s="370"/>
      <c r="M55" s="371">
        <f>P32</f>
        <v>10500</v>
      </c>
      <c r="N55" s="370"/>
      <c r="O55" s="369"/>
      <c r="P55" s="370"/>
      <c r="Q55" s="371"/>
      <c r="R55" s="368"/>
      <c r="S55" s="78"/>
    </row>
    <row r="56" spans="1:19" x14ac:dyDescent="0.25">
      <c r="A56" s="78"/>
      <c r="B56" s="78"/>
      <c r="C56" s="78"/>
      <c r="D56" s="78"/>
      <c r="E56" s="78"/>
      <c r="F56" s="78"/>
      <c r="G56" s="78"/>
      <c r="H56" s="78"/>
      <c r="I56" s="220"/>
      <c r="J56" s="78"/>
      <c r="K56" s="166" t="s">
        <v>193</v>
      </c>
      <c r="L56" s="317">
        <f>L45+L49+L50-M46</f>
        <v>175343</v>
      </c>
      <c r="M56" s="318">
        <f>SUM(M48:M55)</f>
        <v>81150</v>
      </c>
      <c r="N56" s="318">
        <f>L56-M56</f>
        <v>94193</v>
      </c>
      <c r="O56" s="166" t="s">
        <v>193</v>
      </c>
      <c r="P56" s="317">
        <f>P45+P47+P48+P50-Q46</f>
        <v>127615.99999999993</v>
      </c>
      <c r="Q56" s="318">
        <f>SUM(Q48:Q55)</f>
        <v>65150</v>
      </c>
      <c r="R56" s="318">
        <f>P56-Q56</f>
        <v>62465.999999999927</v>
      </c>
      <c r="S56" s="78"/>
    </row>
    <row r="57" spans="1:19" x14ac:dyDescent="0.25">
      <c r="A57" s="78"/>
      <c r="B57" s="78"/>
      <c r="C57" s="78"/>
      <c r="D57" s="78"/>
      <c r="E57" s="78"/>
      <c r="F57" s="78"/>
      <c r="G57" s="220"/>
      <c r="H57" s="78"/>
      <c r="I57" s="78"/>
      <c r="J57" s="78"/>
      <c r="K57" s="150" t="s">
        <v>71</v>
      </c>
      <c r="L57" s="79"/>
      <c r="M57" s="78"/>
      <c r="N57" s="150" t="s">
        <v>72</v>
      </c>
      <c r="O57" s="78"/>
      <c r="P57" s="78"/>
      <c r="Q57" s="150" t="s">
        <v>73</v>
      </c>
      <c r="R57" s="269"/>
      <c r="S57" s="220"/>
    </row>
    <row r="58" spans="1:19" x14ac:dyDescent="0.25">
      <c r="A58" s="78"/>
      <c r="B58" s="78"/>
      <c r="C58" s="78"/>
      <c r="D58" s="78"/>
      <c r="E58" s="78"/>
      <c r="F58" s="78"/>
      <c r="G58" s="78"/>
      <c r="H58" s="220"/>
      <c r="I58" s="78"/>
      <c r="J58" s="78"/>
      <c r="K58" s="150" t="s">
        <v>471</v>
      </c>
      <c r="L58" s="150"/>
      <c r="M58" s="78"/>
      <c r="N58" s="150" t="s">
        <v>135</v>
      </c>
      <c r="O58" s="78"/>
      <c r="P58" s="78"/>
      <c r="Q58" s="150" t="s">
        <v>130</v>
      </c>
      <c r="R58" s="78"/>
      <c r="S58" s="220"/>
    </row>
    <row r="59" spans="1:19" x14ac:dyDescent="0.25">
      <c r="A59" s="78"/>
      <c r="B59" s="78"/>
      <c r="C59" s="78"/>
      <c r="D59" s="78"/>
      <c r="E59" s="78"/>
      <c r="F59" s="78"/>
      <c r="G59" s="220"/>
      <c r="H59" s="78"/>
      <c r="I59" s="220"/>
      <c r="J59" s="78"/>
      <c r="K59" s="78"/>
      <c r="L59" s="78"/>
      <c r="M59" s="78"/>
      <c r="N59" s="78"/>
      <c r="O59" s="78"/>
      <c r="P59" s="78"/>
      <c r="Q59" s="78"/>
      <c r="R59" s="78"/>
      <c r="S59" s="78"/>
    </row>
    <row r="60" spans="1:19" x14ac:dyDescent="0.25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</row>
    <row r="61" spans="1:19" x14ac:dyDescent="0.25">
      <c r="A61" s="78"/>
      <c r="B61" s="78"/>
      <c r="C61" s="78"/>
      <c r="D61" s="78"/>
      <c r="E61" s="78"/>
      <c r="F61" s="78"/>
      <c r="G61" s="78"/>
      <c r="H61" s="78"/>
      <c r="I61" s="220">
        <f>I51+R56</f>
        <v>123816.27519999996</v>
      </c>
      <c r="J61" s="78"/>
      <c r="K61" s="78"/>
      <c r="L61" s="78"/>
      <c r="M61" s="78"/>
      <c r="N61" s="78"/>
      <c r="O61" s="78"/>
      <c r="P61" s="78"/>
      <c r="Q61" s="78"/>
      <c r="R61" s="78"/>
      <c r="S61" s="78"/>
    </row>
    <row r="62" spans="1:19" x14ac:dyDescent="0.25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</row>
    <row r="63" spans="1:19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</row>
    <row r="64" spans="1:19" x14ac:dyDescent="0.25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</row>
  </sheetData>
  <pageMargins left="0.7" right="0.7" top="0.75" bottom="0.75" header="0.3" footer="0.3"/>
  <pageSetup paperSize="0" orientation="portrait" horizontalDpi="203" verticalDpi="203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>
      <selection activeCell="N63" sqref="N63"/>
    </sheetView>
  </sheetViews>
  <sheetFormatPr defaultRowHeight="15" x14ac:dyDescent="0.25"/>
  <cols>
    <col min="1" max="1" width="16.140625" customWidth="1"/>
    <col min="12" max="12" width="13.7109375" customWidth="1"/>
    <col min="13" max="13" width="11.5703125" customWidth="1"/>
  </cols>
  <sheetData>
    <row r="1" spans="1:18" ht="15.75" x14ac:dyDescent="0.25">
      <c r="A1" s="78"/>
      <c r="B1" s="78"/>
      <c r="C1" s="78"/>
      <c r="D1" s="251" t="s">
        <v>356</v>
      </c>
      <c r="E1" s="150"/>
      <c r="F1" s="150"/>
      <c r="G1" s="150"/>
      <c r="H1" s="150"/>
      <c r="I1" s="150"/>
      <c r="J1" s="150"/>
      <c r="K1" s="78"/>
      <c r="L1" s="78"/>
      <c r="M1" s="78"/>
      <c r="N1" s="78"/>
      <c r="O1" s="78"/>
      <c r="P1" s="78"/>
      <c r="Q1" s="78"/>
      <c r="R1" s="78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K2" s="78"/>
      <c r="L2" s="78"/>
      <c r="M2" s="251" t="s">
        <v>356</v>
      </c>
      <c r="N2" s="150"/>
      <c r="O2" s="150"/>
      <c r="P2" s="150"/>
      <c r="Q2" s="78"/>
      <c r="R2" s="78"/>
    </row>
    <row r="3" spans="1:18" ht="21" x14ac:dyDescent="0.25">
      <c r="A3" s="150"/>
      <c r="B3" s="150"/>
      <c r="C3" s="150"/>
      <c r="D3" s="5" t="s">
        <v>687</v>
      </c>
      <c r="E3" s="250"/>
      <c r="F3" s="103"/>
      <c r="G3" s="103"/>
      <c r="H3" s="103"/>
      <c r="I3" s="269"/>
      <c r="J3" s="150"/>
      <c r="K3" s="78"/>
      <c r="L3" s="78"/>
      <c r="M3" s="250" t="s">
        <v>357</v>
      </c>
      <c r="N3" s="5"/>
      <c r="O3" s="150"/>
      <c r="P3" s="150"/>
      <c r="Q3" s="78"/>
      <c r="R3" s="78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K4" s="78"/>
      <c r="L4" s="78"/>
      <c r="M4" s="5" t="s">
        <v>687</v>
      </c>
      <c r="N4" s="250"/>
      <c r="O4" s="103"/>
      <c r="P4" s="103"/>
      <c r="Q4" s="78"/>
      <c r="R4" s="78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K5" s="78"/>
      <c r="L5" s="78"/>
      <c r="M5" s="78"/>
      <c r="N5" s="384" t="s">
        <v>346</v>
      </c>
      <c r="O5" s="78"/>
      <c r="P5" s="78"/>
      <c r="Q5" s="78"/>
      <c r="R5" s="78"/>
    </row>
    <row r="6" spans="1:18" x14ac:dyDescent="0.25">
      <c r="A6" s="196" t="s">
        <v>352</v>
      </c>
      <c r="B6" s="274" t="s">
        <v>50</v>
      </c>
      <c r="C6" s="274"/>
      <c r="D6" s="113">
        <f>'SEP 21'!I6:I20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>
        <v>3100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'SEP 21'!I7:I21</f>
        <v>1900</v>
      </c>
      <c r="E7" s="280">
        <v>3000</v>
      </c>
      <c r="F7" s="281">
        <v>100</v>
      </c>
      <c r="G7" s="276">
        <f t="shared" si="0"/>
        <v>5000</v>
      </c>
      <c r="H7" s="277">
        <v>5000</v>
      </c>
      <c r="I7" s="273">
        <f t="shared" si="1"/>
        <v>0</v>
      </c>
      <c r="J7" s="150"/>
      <c r="K7" s="83" t="s">
        <v>106</v>
      </c>
      <c r="L7" s="249" t="s">
        <v>681</v>
      </c>
      <c r="M7" s="85"/>
      <c r="N7" s="232">
        <f>'SEP 21'!R7:R19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</row>
    <row r="8" spans="1:18" x14ac:dyDescent="0.25">
      <c r="A8" s="282" t="s">
        <v>648</v>
      </c>
      <c r="B8" s="274" t="s">
        <v>54</v>
      </c>
      <c r="C8" s="274"/>
      <c r="D8" s="113">
        <f>'SEP 21'!I8:I22</f>
        <v>3100</v>
      </c>
      <c r="E8" s="280"/>
      <c r="F8" s="281"/>
      <c r="G8" s="276">
        <f t="shared" si="0"/>
        <v>3100</v>
      </c>
      <c r="H8" s="277">
        <v>3100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'SEP 21'!R8:R20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'SEP 21'!I9:I23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'SEP 21'!R9:R21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</row>
    <row r="10" spans="1:18" x14ac:dyDescent="0.25">
      <c r="A10" s="282" t="s">
        <v>627</v>
      </c>
      <c r="B10" s="274" t="s">
        <v>58</v>
      </c>
      <c r="C10" s="274"/>
      <c r="D10" s="113">
        <f>'SEP 21'!I10:I24</f>
        <v>300</v>
      </c>
      <c r="E10" s="280">
        <v>3000</v>
      </c>
      <c r="F10" s="281">
        <v>100</v>
      </c>
      <c r="G10" s="276">
        <f t="shared" si="0"/>
        <v>3400</v>
      </c>
      <c r="H10" s="277">
        <v>3100</v>
      </c>
      <c r="I10" s="273">
        <f>G10-H10</f>
        <v>300</v>
      </c>
      <c r="J10" s="150"/>
      <c r="K10" s="87" t="s">
        <v>112</v>
      </c>
      <c r="L10" s="200" t="s">
        <v>578</v>
      </c>
      <c r="M10" s="110"/>
      <c r="N10" s="232">
        <f>'SEP 21'!R10:R22</f>
        <v>0</v>
      </c>
      <c r="O10" s="321">
        <v>2500</v>
      </c>
      <c r="P10" s="232">
        <f t="shared" si="2"/>
        <v>2500</v>
      </c>
      <c r="Q10" s="319">
        <v>2500</v>
      </c>
      <c r="R10" s="319">
        <f t="shared" si="3"/>
        <v>0</v>
      </c>
    </row>
    <row r="11" spans="1:18" x14ac:dyDescent="0.25">
      <c r="A11" s="282" t="s">
        <v>682</v>
      </c>
      <c r="B11" s="274" t="s">
        <v>60</v>
      </c>
      <c r="C11" s="274"/>
      <c r="D11" s="113">
        <f>'SEP 21'!I11:I25</f>
        <v>0</v>
      </c>
      <c r="E11" s="280">
        <v>3000</v>
      </c>
      <c r="F11" s="281">
        <v>100</v>
      </c>
      <c r="G11" s="276">
        <f t="shared" si="0"/>
        <v>3100</v>
      </c>
      <c r="H11" s="277">
        <f>3000+100</f>
        <v>3100</v>
      </c>
      <c r="I11" s="273">
        <f t="shared" si="1"/>
        <v>0</v>
      </c>
      <c r="J11" s="150"/>
      <c r="K11" s="99" t="s">
        <v>114</v>
      </c>
      <c r="L11" s="200" t="s">
        <v>427</v>
      </c>
      <c r="M11" s="85"/>
      <c r="N11" s="232">
        <f>'SEP 21'!R11:R23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x14ac:dyDescent="0.25">
      <c r="A12" s="282" t="s">
        <v>631</v>
      </c>
      <c r="B12" s="274" t="s">
        <v>62</v>
      </c>
      <c r="C12" s="274"/>
      <c r="D12" s="113">
        <f>'SEP 21'!I12:I26</f>
        <v>5900</v>
      </c>
      <c r="E12" s="280">
        <v>3000</v>
      </c>
      <c r="F12" s="281">
        <v>100</v>
      </c>
      <c r="G12" s="276">
        <f>D12+E12+F12+C12</f>
        <v>9000</v>
      </c>
      <c r="H12" s="277">
        <v>3100</v>
      </c>
      <c r="I12" s="273">
        <f t="shared" si="1"/>
        <v>5900</v>
      </c>
      <c r="J12" s="150"/>
      <c r="K12" s="93" t="s">
        <v>116</v>
      </c>
      <c r="L12" s="249" t="s">
        <v>120</v>
      </c>
      <c r="M12" s="110"/>
      <c r="N12" s="232">
        <f>'SEP 21'!R12:R24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'SEP 21'!I13:I27</f>
        <v>0</v>
      </c>
      <c r="E13" s="329">
        <v>3000</v>
      </c>
      <c r="F13" s="553">
        <v>100</v>
      </c>
      <c r="G13" s="276">
        <f t="shared" si="0"/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'SEP 21'!R13:R25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/>
      <c r="B14" s="284" t="s">
        <v>18</v>
      </c>
      <c r="C14" s="274"/>
      <c r="D14" s="113">
        <f>'SEP 21'!I14:I28</f>
        <v>0</v>
      </c>
      <c r="E14" s="329"/>
      <c r="F14" s="553"/>
      <c r="G14" s="276">
        <f t="shared" si="0"/>
        <v>0</v>
      </c>
      <c r="H14" s="277"/>
      <c r="I14" s="273">
        <f t="shared" si="1"/>
        <v>0</v>
      </c>
      <c r="J14" s="445"/>
      <c r="K14" s="83" t="s">
        <v>121</v>
      </c>
      <c r="L14" s="249" t="s">
        <v>704</v>
      </c>
      <c r="M14" s="85"/>
      <c r="N14" s="232">
        <f>'SEP 21'!R14:R26</f>
        <v>0</v>
      </c>
      <c r="O14" s="320">
        <v>2500</v>
      </c>
      <c r="P14" s="232">
        <f t="shared" si="2"/>
        <v>2500</v>
      </c>
      <c r="Q14" s="234">
        <v>2500</v>
      </c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'SEP 21'!I15:I29</f>
        <v>0</v>
      </c>
      <c r="E15" s="329">
        <v>3000</v>
      </c>
      <c r="F15" s="553">
        <v>100</v>
      </c>
      <c r="G15" s="276">
        <f t="shared" si="0"/>
        <v>3100</v>
      </c>
      <c r="H15" s="277">
        <v>3100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f>'SEP 21'!R15:R27</f>
        <v>8000</v>
      </c>
      <c r="O15" s="320">
        <v>2500</v>
      </c>
      <c r="P15" s="232">
        <f t="shared" si="2"/>
        <v>11000</v>
      </c>
      <c r="Q15" s="234">
        <f>2500</f>
        <v>2500</v>
      </c>
      <c r="R15" s="319">
        <f t="shared" si="3"/>
        <v>8500</v>
      </c>
    </row>
    <row r="16" spans="1:18" x14ac:dyDescent="0.25">
      <c r="A16" s="196"/>
      <c r="B16" s="284" t="s">
        <v>22</v>
      </c>
      <c r="C16" s="274"/>
      <c r="D16" s="113">
        <f>'SEP 21'!I16:I30</f>
        <v>0</v>
      </c>
      <c r="E16" s="329"/>
      <c r="F16" s="553"/>
      <c r="G16" s="276">
        <f t="shared" si="0"/>
        <v>0</v>
      </c>
      <c r="H16" s="277"/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'SEP 21'!R16:R28</f>
        <v>4500</v>
      </c>
      <c r="O16" s="231">
        <v>1500</v>
      </c>
      <c r="P16" s="232">
        <f>M16+N16+O16</f>
        <v>6000</v>
      </c>
      <c r="Q16" s="234">
        <f>1500+1500</f>
        <v>3000</v>
      </c>
      <c r="R16" s="319">
        <f t="shared" si="3"/>
        <v>3000</v>
      </c>
    </row>
    <row r="17" spans="1:18" x14ac:dyDescent="0.25">
      <c r="A17" s="196"/>
      <c r="B17" s="284" t="s">
        <v>24</v>
      </c>
      <c r="C17" s="274"/>
      <c r="D17" s="113">
        <f>'SEP 21'!I17:I31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'SEP 21'!R17:R29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>
        <v>3000</v>
      </c>
      <c r="D18" s="113">
        <f>'SEP 21'!I18:I32</f>
        <v>0</v>
      </c>
      <c r="E18" s="329">
        <v>3000</v>
      </c>
      <c r="F18" s="553">
        <v>100</v>
      </c>
      <c r="G18" s="276">
        <f>D18+E18+F18+C18</f>
        <v>6100</v>
      </c>
      <c r="H18" s="277">
        <v>6100</v>
      </c>
      <c r="I18" s="273">
        <f t="shared" si="1"/>
        <v>0</v>
      </c>
      <c r="J18" s="150"/>
      <c r="K18" s="83"/>
      <c r="L18" s="200"/>
      <c r="M18" s="85"/>
      <c r="N18" s="232">
        <f>'SEP 21'!R18:R30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'SEP 21'!I19:I33</f>
        <v>0</v>
      </c>
      <c r="E19" s="329">
        <v>3000</v>
      </c>
      <c r="F19" s="553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SUM(M7:M16)</f>
        <v>500</v>
      </c>
      <c r="N19" s="232">
        <f>'SEP 21'!R19:R31</f>
        <v>13000</v>
      </c>
      <c r="O19" s="205">
        <f t="shared" ref="O19:P19" si="4">SUM(O7:O16)</f>
        <v>22000</v>
      </c>
      <c r="P19" s="205">
        <f t="shared" si="4"/>
        <v>35500</v>
      </c>
      <c r="Q19" s="240">
        <f>SUM(Q7:Q16)</f>
        <v>23500</v>
      </c>
      <c r="R19" s="323">
        <f>SUM(R7:R16)</f>
        <v>12000</v>
      </c>
    </row>
    <row r="20" spans="1:18" x14ac:dyDescent="0.25">
      <c r="A20" s="294" t="s">
        <v>193</v>
      </c>
      <c r="B20" s="293"/>
      <c r="C20" s="293">
        <f t="shared" ref="C20:I20" si="5">SUM(C6:C19)</f>
        <v>3000</v>
      </c>
      <c r="D20" s="113">
        <f>'SEP 21'!I20:I34</f>
        <v>11200</v>
      </c>
      <c r="E20" s="240">
        <f t="shared" si="5"/>
        <v>30000</v>
      </c>
      <c r="F20" s="240">
        <f t="shared" si="5"/>
        <v>1000</v>
      </c>
      <c r="G20" s="276">
        <f t="shared" si="5"/>
        <v>45200</v>
      </c>
      <c r="H20" s="361">
        <f t="shared" si="5"/>
        <v>39000</v>
      </c>
      <c r="I20" s="273">
        <f t="shared" si="5"/>
        <v>6200</v>
      </c>
      <c r="J20" s="150" t="s">
        <v>557</v>
      </c>
      <c r="K20" s="78"/>
      <c r="L20" s="78"/>
      <c r="M20" s="384"/>
      <c r="N20" s="384" t="s">
        <v>481</v>
      </c>
      <c r="O20" s="384"/>
      <c r="P20" s="78"/>
      <c r="Q20" s="78"/>
      <c r="R20" s="78"/>
    </row>
    <row r="21" spans="1:18" ht="18.75" x14ac:dyDescent="0.25">
      <c r="A21" s="554"/>
      <c r="B21" s="554"/>
      <c r="C21" s="551"/>
      <c r="D21" s="78">
        <f>APRIL21!I21:I34</f>
        <v>0</v>
      </c>
      <c r="E21" s="552" t="s">
        <v>247</v>
      </c>
      <c r="F21" s="551"/>
      <c r="G21" s="554"/>
      <c r="H21" s="344"/>
      <c r="I21" s="273">
        <f>G21-H21</f>
        <v>0</v>
      </c>
      <c r="J21" s="78"/>
      <c r="K21" s="83">
        <v>1</v>
      </c>
      <c r="L21" s="200" t="s">
        <v>612</v>
      </c>
      <c r="M21" s="85"/>
      <c r="N21" s="232">
        <f>'SEP 21'!R21:R42</f>
        <v>0</v>
      </c>
      <c r="O21" s="320">
        <v>3500</v>
      </c>
      <c r="P21" s="232">
        <f t="shared" ref="P21:P38" si="6">M21+N21+O21</f>
        <v>3500</v>
      </c>
      <c r="Q21" s="232">
        <v>3500</v>
      </c>
      <c r="R21" s="319">
        <f t="shared" ref="R21:R37" si="7">P21-Q21</f>
        <v>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J22" s="78"/>
      <c r="K22" s="83">
        <v>2</v>
      </c>
      <c r="L22" s="200" t="s">
        <v>670</v>
      </c>
      <c r="M22" s="85"/>
      <c r="N22" s="232">
        <f>'SEP 21'!R22:R43</f>
        <v>4500</v>
      </c>
      <c r="O22" s="320">
        <v>3500</v>
      </c>
      <c r="P22" s="232">
        <f t="shared" si="6"/>
        <v>8000</v>
      </c>
      <c r="Q22" s="232"/>
      <c r="R22" s="319">
        <f t="shared" si="7"/>
        <v>8000</v>
      </c>
    </row>
    <row r="23" spans="1:18" x14ac:dyDescent="0.25">
      <c r="A23" s="191" t="s">
        <v>313</v>
      </c>
      <c r="B23" s="85"/>
      <c r="C23" s="85"/>
      <c r="D23" s="86">
        <f>'SEP 21'!H23:H31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'SEP 21'!R23:R44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'SEP 21'!H24:H32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J24" s="78"/>
      <c r="K24" s="83">
        <v>4</v>
      </c>
      <c r="L24" s="200" t="s">
        <v>685</v>
      </c>
      <c r="M24" s="110"/>
      <c r="N24" s="232">
        <f>'SEP 21'!R24:R45</f>
        <v>500</v>
      </c>
      <c r="O24" s="321">
        <v>3500</v>
      </c>
      <c r="P24" s="232">
        <f>M24+N24+O24</f>
        <v>4000</v>
      </c>
      <c r="Q24" s="319">
        <v>4000</v>
      </c>
      <c r="R24" s="319">
        <f t="shared" si="7"/>
        <v>0</v>
      </c>
    </row>
    <row r="25" spans="1:18" x14ac:dyDescent="0.25">
      <c r="A25" s="191" t="s">
        <v>665</v>
      </c>
      <c r="B25" s="85"/>
      <c r="C25" s="85"/>
      <c r="D25" s="86">
        <f>'SEP 21'!H25:H33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J25" s="78"/>
      <c r="K25" s="83">
        <v>5</v>
      </c>
      <c r="L25" s="200" t="s">
        <v>679</v>
      </c>
      <c r="M25" s="85"/>
      <c r="N25" s="232">
        <f>'SEP 21'!R25:R46</f>
        <v>3800</v>
      </c>
      <c r="O25" s="320">
        <v>3500</v>
      </c>
      <c r="P25" s="232">
        <f t="shared" si="6"/>
        <v>7300</v>
      </c>
      <c r="Q25" s="234">
        <v>1700</v>
      </c>
      <c r="R25" s="319">
        <f t="shared" si="7"/>
        <v>5600</v>
      </c>
    </row>
    <row r="26" spans="1:18" x14ac:dyDescent="0.25">
      <c r="A26" s="191"/>
      <c r="B26" s="85"/>
      <c r="C26" s="85"/>
      <c r="D26" s="86">
        <f>'SEP 21'!H26:H34</f>
        <v>0</v>
      </c>
      <c r="E26" s="231"/>
      <c r="F26" s="232">
        <f>B26+E26+D26</f>
        <v>0</v>
      </c>
      <c r="G26" s="110"/>
      <c r="H26" s="273"/>
      <c r="I26" s="273"/>
      <c r="J26" s="78"/>
      <c r="K26" s="83">
        <v>6</v>
      </c>
      <c r="L26" s="249" t="s">
        <v>673</v>
      </c>
      <c r="M26" s="110"/>
      <c r="N26" s="232">
        <f>'SEP 21'!R26:R47</f>
        <v>0</v>
      </c>
      <c r="O26" s="325">
        <v>3500</v>
      </c>
      <c r="P26" s="232">
        <f t="shared" si="6"/>
        <v>3500</v>
      </c>
      <c r="Q26" s="326">
        <v>3500</v>
      </c>
      <c r="R26" s="319">
        <f t="shared" si="7"/>
        <v>0</v>
      </c>
    </row>
    <row r="27" spans="1:18" x14ac:dyDescent="0.25">
      <c r="A27" s="191" t="s">
        <v>657</v>
      </c>
      <c r="B27" s="86"/>
      <c r="C27" s="86"/>
      <c r="D27" s="86">
        <f>'SEP 21'!H27:H35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8"/>
        <v>0</v>
      </c>
      <c r="I27" s="273"/>
      <c r="J27" s="78"/>
      <c r="K27" s="83">
        <v>7</v>
      </c>
      <c r="L27" s="548" t="s">
        <v>281</v>
      </c>
      <c r="M27" s="85"/>
      <c r="N27" s="232">
        <f>'SEP 21'!R27:R48</f>
        <v>0</v>
      </c>
      <c r="O27" s="320"/>
      <c r="P27" s="232">
        <f t="shared" si="6"/>
        <v>0</v>
      </c>
      <c r="Q27" s="234"/>
      <c r="R27" s="319">
        <f t="shared" si="7"/>
        <v>0</v>
      </c>
    </row>
    <row r="28" spans="1:18" x14ac:dyDescent="0.25">
      <c r="A28" s="191" t="s">
        <v>658</v>
      </c>
      <c r="B28" s="85"/>
      <c r="C28" s="85"/>
      <c r="D28" s="86">
        <f>'SEP 21'!H28:H36</f>
        <v>0</v>
      </c>
      <c r="E28" s="231">
        <v>4000</v>
      </c>
      <c r="F28" s="232">
        <f>C28+D28+E28</f>
        <v>4000</v>
      </c>
      <c r="G28" s="110">
        <f>3000+1000</f>
        <v>4000</v>
      </c>
      <c r="H28" s="273">
        <f t="shared" si="8"/>
        <v>0</v>
      </c>
      <c r="I28" s="273"/>
      <c r="J28" s="220">
        <f>H31+I20</f>
        <v>6200</v>
      </c>
      <c r="K28" s="83">
        <v>8</v>
      </c>
      <c r="L28" s="548" t="s">
        <v>281</v>
      </c>
      <c r="M28" s="85"/>
      <c r="N28" s="232"/>
      <c r="O28" s="320"/>
      <c r="P28" s="232">
        <f t="shared" si="6"/>
        <v>0</v>
      </c>
      <c r="Q28" s="234"/>
      <c r="R28" s="319">
        <f t="shared" si="7"/>
        <v>0</v>
      </c>
    </row>
    <row r="29" spans="1:18" x14ac:dyDescent="0.25">
      <c r="A29" s="218" t="s">
        <v>539</v>
      </c>
      <c r="B29" s="85"/>
      <c r="C29" s="85"/>
      <c r="D29" s="86">
        <f>'SEP 21'!H29:H37</f>
        <v>0</v>
      </c>
      <c r="E29" s="231">
        <v>4000</v>
      </c>
      <c r="F29" s="232">
        <f>B29+E29+D29</f>
        <v>4000</v>
      </c>
      <c r="G29" s="110">
        <v>4000</v>
      </c>
      <c r="H29" s="273">
        <f t="shared" si="8"/>
        <v>0</v>
      </c>
      <c r="I29" s="273"/>
      <c r="J29" s="78"/>
      <c r="K29" s="83">
        <v>9</v>
      </c>
      <c r="L29" s="200" t="s">
        <v>496</v>
      </c>
      <c r="M29" s="85"/>
      <c r="N29" s="232">
        <f>'SEP 21'!R29:R50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</row>
    <row r="30" spans="1:18" x14ac:dyDescent="0.25">
      <c r="A30" s="210" t="s">
        <v>456</v>
      </c>
      <c r="B30" s="85">
        <v>0</v>
      </c>
      <c r="C30" s="85"/>
      <c r="D30" s="86">
        <f>'SEP 21'!H30:H38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J30" s="78"/>
      <c r="K30" s="83">
        <v>10</v>
      </c>
      <c r="L30" s="200" t="s">
        <v>675</v>
      </c>
      <c r="M30" s="85"/>
      <c r="N30" s="232">
        <f>'SEP 21'!R30:R51</f>
        <v>0</v>
      </c>
      <c r="O30" s="320">
        <v>3500</v>
      </c>
      <c r="P30" s="232">
        <f t="shared" si="6"/>
        <v>3500</v>
      </c>
      <c r="Q30" s="234">
        <v>3500</v>
      </c>
      <c r="R30" s="319">
        <f t="shared" si="7"/>
        <v>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32000</v>
      </c>
      <c r="H31" s="273">
        <f>F31-G31</f>
        <v>0</v>
      </c>
      <c r="I31" s="273"/>
      <c r="J31" s="78"/>
      <c r="K31" s="83">
        <v>11</v>
      </c>
      <c r="L31" s="249" t="s">
        <v>474</v>
      </c>
      <c r="M31" s="85"/>
      <c r="N31" s="232">
        <f>'SEP 21'!R31:R52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6200</v>
      </c>
      <c r="K32" s="83">
        <v>12</v>
      </c>
      <c r="L32" s="200" t="s">
        <v>652</v>
      </c>
      <c r="M32" s="85"/>
      <c r="N32" s="232">
        <f>'SEP 21'!R32:R53</f>
        <v>10500</v>
      </c>
      <c r="O32" s="320"/>
      <c r="P32" s="232">
        <f t="shared" si="6"/>
        <v>10500</v>
      </c>
      <c r="Q32" s="234"/>
      <c r="R32" s="319">
        <f t="shared" si="7"/>
        <v>10500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J33" s="78"/>
      <c r="K33" s="83">
        <v>13</v>
      </c>
      <c r="L33" s="200" t="s">
        <v>659</v>
      </c>
      <c r="M33" s="85"/>
      <c r="N33" s="232">
        <f>'SEP 21'!R33:R54</f>
        <v>6500</v>
      </c>
      <c r="O33" s="320">
        <v>3500</v>
      </c>
      <c r="P33" s="232">
        <f>M33+N33+O33</f>
        <v>10000</v>
      </c>
      <c r="Q33" s="234">
        <f>3500+1500</f>
        <v>5000</v>
      </c>
      <c r="R33" s="319">
        <f>P33-Q33</f>
        <v>5000</v>
      </c>
    </row>
    <row r="34" spans="1:19" x14ac:dyDescent="0.25">
      <c r="A34" s="211" t="s">
        <v>511</v>
      </c>
      <c r="B34" s="273">
        <f>E31+E20</f>
        <v>62000</v>
      </c>
      <c r="C34" s="273"/>
      <c r="D34" s="164"/>
      <c r="E34" s="164"/>
      <c r="F34" s="211" t="s">
        <v>511</v>
      </c>
      <c r="G34" s="273">
        <f>G31+H20</f>
        <v>71000</v>
      </c>
      <c r="H34" s="164"/>
      <c r="I34" s="273"/>
      <c r="J34" s="78"/>
      <c r="K34" s="83">
        <v>14</v>
      </c>
      <c r="L34" s="200" t="s">
        <v>480</v>
      </c>
      <c r="M34" s="85"/>
      <c r="N34" s="232">
        <f>'SEP 21'!R34:R55</f>
        <v>0</v>
      </c>
      <c r="O34" s="320">
        <v>3500</v>
      </c>
      <c r="P34" s="232">
        <f t="shared" si="6"/>
        <v>3500</v>
      </c>
      <c r="Q34" s="234">
        <v>3500</v>
      </c>
      <c r="R34" s="319">
        <f t="shared" si="7"/>
        <v>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6200</v>
      </c>
      <c r="E35" s="211"/>
      <c r="F35" s="211" t="s">
        <v>209</v>
      </c>
      <c r="G35" s="307">
        <v>0.1</v>
      </c>
      <c r="H35" s="308">
        <f>D35</f>
        <v>6200</v>
      </c>
      <c r="I35" s="273"/>
      <c r="J35" s="78"/>
      <c r="K35" s="83">
        <v>15</v>
      </c>
      <c r="L35" s="200" t="s">
        <v>680</v>
      </c>
      <c r="M35" s="85"/>
      <c r="N35" s="232">
        <f>'SEP 21'!R35:R56</f>
        <v>2000</v>
      </c>
      <c r="O35" s="320">
        <v>3500</v>
      </c>
      <c r="P35" s="232">
        <f>M35+N35+O35</f>
        <v>5500</v>
      </c>
      <c r="Q35" s="234">
        <v>3500</v>
      </c>
      <c r="R35" s="319">
        <f>P35-Q35</f>
        <v>2000</v>
      </c>
    </row>
    <row r="36" spans="1:19" x14ac:dyDescent="0.25">
      <c r="A36" s="309" t="s">
        <v>232</v>
      </c>
      <c r="B36" s="308">
        <f>F20</f>
        <v>1000</v>
      </c>
      <c r="C36" s="308"/>
      <c r="D36" s="211"/>
      <c r="E36" s="309"/>
      <c r="F36" s="78"/>
      <c r="G36" s="308"/>
      <c r="H36" s="211"/>
      <c r="I36" s="273"/>
      <c r="J36" s="78"/>
      <c r="K36" s="83">
        <v>16</v>
      </c>
      <c r="L36" s="200" t="s">
        <v>488</v>
      </c>
      <c r="M36" s="85"/>
      <c r="N36" s="232">
        <f>'SEP 21'!R36:R57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J37" s="78"/>
      <c r="K37" s="83">
        <v>17</v>
      </c>
      <c r="L37" s="200" t="s">
        <v>689</v>
      </c>
      <c r="M37" s="85"/>
      <c r="N37" s="232">
        <f>'SEP 21'!R37:R58</f>
        <v>0</v>
      </c>
      <c r="O37" s="320">
        <v>3500</v>
      </c>
      <c r="P37" s="232">
        <f t="shared" si="6"/>
        <v>3500</v>
      </c>
      <c r="Q37" s="234">
        <f>3500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J38" s="78"/>
      <c r="K38" s="83">
        <v>18</v>
      </c>
      <c r="L38" s="200" t="s">
        <v>526</v>
      </c>
      <c r="M38" s="85"/>
      <c r="N38" s="232">
        <f>'SEP 21'!R38:R59</f>
        <v>5200</v>
      </c>
      <c r="O38" s="320">
        <v>3500</v>
      </c>
      <c r="P38" s="232">
        <f t="shared" si="6"/>
        <v>8700</v>
      </c>
      <c r="Q38" s="234">
        <f>3500</f>
        <v>3500</v>
      </c>
      <c r="R38" s="319">
        <f>P38-Q38</f>
        <v>5200</v>
      </c>
    </row>
    <row r="39" spans="1:19" x14ac:dyDescent="0.25">
      <c r="A39" s="309" t="s">
        <v>239</v>
      </c>
      <c r="B39" s="308">
        <f>'SEP 21'!E51</f>
        <v>70514.342305280035</v>
      </c>
      <c r="C39" s="308"/>
      <c r="D39" s="211"/>
      <c r="E39" s="211"/>
      <c r="F39" s="309" t="s">
        <v>239</v>
      </c>
      <c r="G39" s="308">
        <f>'SEP 21'!I51</f>
        <v>61350.275200000033</v>
      </c>
      <c r="H39" s="211"/>
      <c r="I39" s="273"/>
      <c r="J39" s="78"/>
      <c r="K39" s="83">
        <v>19</v>
      </c>
      <c r="L39" s="200" t="s">
        <v>596</v>
      </c>
      <c r="M39" s="85"/>
      <c r="N39" s="232">
        <f>'SEP 21'!R39:R60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J40" s="78"/>
      <c r="K40" s="83">
        <v>20</v>
      </c>
      <c r="L40" s="200" t="s">
        <v>684</v>
      </c>
      <c r="M40" s="85"/>
      <c r="N40" s="232">
        <f>'SEP 21'!R40:R61</f>
        <v>1133</v>
      </c>
      <c r="O40" s="320">
        <v>3500</v>
      </c>
      <c r="P40" s="232">
        <f>M40+N40+O40</f>
        <v>4633</v>
      </c>
      <c r="Q40" s="234">
        <f>2500+1000+1133</f>
        <v>4633</v>
      </c>
      <c r="R40" s="319">
        <f>P40-Q40</f>
        <v>0</v>
      </c>
    </row>
    <row r="41" spans="1:19" x14ac:dyDescent="0.25">
      <c r="A41" s="309" t="s">
        <v>193</v>
      </c>
      <c r="B41" s="308">
        <f>B34+B36+B39+B37</f>
        <v>136514.34230528004</v>
      </c>
      <c r="C41" s="308"/>
      <c r="D41" s="211"/>
      <c r="E41" s="211"/>
      <c r="F41" s="309" t="s">
        <v>193</v>
      </c>
      <c r="G41" s="308">
        <f>G34+G36+G39+G37</f>
        <v>135350.27520000003</v>
      </c>
      <c r="H41" s="211"/>
      <c r="I41" s="273"/>
      <c r="J41" s="78"/>
      <c r="K41" s="83"/>
      <c r="L41" s="200"/>
      <c r="M41" s="85"/>
      <c r="N41" s="232">
        <f>'SEP 21'!R41:R62</f>
        <v>0</v>
      </c>
      <c r="O41" s="320"/>
      <c r="P41" s="232">
        <f>M41+N41+O41</f>
        <v>0</v>
      </c>
      <c r="Q41" s="234"/>
      <c r="R41" s="319">
        <f>P41-Q41</f>
        <v>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>
        <f>7000-4500</f>
        <v>2500</v>
      </c>
      <c r="K42" s="83"/>
      <c r="L42" s="204" t="s">
        <v>193</v>
      </c>
      <c r="M42" s="205">
        <f>SUM(M21:M41)</f>
        <v>0</v>
      </c>
      <c r="N42" s="232">
        <f>'SEP 21'!R42:R63</f>
        <v>39633</v>
      </c>
      <c r="O42" s="239">
        <f>SUM(O21:O41)</f>
        <v>59500</v>
      </c>
      <c r="P42" s="232">
        <f>SUM(P21:P41)</f>
        <v>93633</v>
      </c>
      <c r="Q42" s="240">
        <f>SUM(Q21:Q41)</f>
        <v>57333</v>
      </c>
      <c r="R42" s="319">
        <f>P42-Q42</f>
        <v>36300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J43" s="7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  <c r="S43" s="78"/>
    </row>
    <row r="44" spans="1:19" x14ac:dyDescent="0.25">
      <c r="A44" s="369" t="s">
        <v>468</v>
      </c>
      <c r="B44" s="78"/>
      <c r="C44" s="78"/>
      <c r="D44" s="371">
        <v>3000</v>
      </c>
      <c r="E44" s="370"/>
      <c r="F44" s="369" t="s">
        <v>468</v>
      </c>
      <c r="G44" s="78"/>
      <c r="H44" s="371">
        <v>3000</v>
      </c>
      <c r="I44" s="368"/>
      <c r="J44" s="7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  <c r="S44" s="78"/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J45" s="78"/>
      <c r="K45" s="211" t="s">
        <v>511</v>
      </c>
      <c r="L45" s="273">
        <f>O42+O19</f>
        <v>81500</v>
      </c>
      <c r="M45" s="164"/>
      <c r="N45" s="232">
        <f>'FEBRUARY 21'!R44:R66</f>
        <v>0</v>
      </c>
      <c r="O45" s="211" t="s">
        <v>511</v>
      </c>
      <c r="P45" s="273">
        <f>Q42+Q19</f>
        <v>80833</v>
      </c>
      <c r="Q45" s="164"/>
      <c r="R45" s="273"/>
      <c r="S45" s="78"/>
    </row>
    <row r="46" spans="1:19" x14ac:dyDescent="0.25">
      <c r="A46" s="370" t="s">
        <v>408</v>
      </c>
      <c r="B46" s="449">
        <v>0.3</v>
      </c>
      <c r="C46" s="449"/>
      <c r="D46" s="368">
        <f>B46*C18</f>
        <v>900</v>
      </c>
      <c r="E46" s="370"/>
      <c r="F46" s="370" t="s">
        <v>408</v>
      </c>
      <c r="G46" s="449">
        <v>0.3</v>
      </c>
      <c r="H46" s="368">
        <f>G46*C18</f>
        <v>900</v>
      </c>
      <c r="I46" s="368"/>
      <c r="J46" s="78"/>
      <c r="K46" s="211" t="s">
        <v>209</v>
      </c>
      <c r="L46" s="307">
        <v>0.1</v>
      </c>
      <c r="M46" s="308">
        <f>L45*L46</f>
        <v>8150</v>
      </c>
      <c r="N46" s="211"/>
      <c r="O46" s="211" t="s">
        <v>209</v>
      </c>
      <c r="P46" s="307">
        <v>0.1</v>
      </c>
      <c r="Q46" s="308">
        <f>M46</f>
        <v>8150</v>
      </c>
      <c r="R46" s="273"/>
      <c r="S46" s="78"/>
    </row>
    <row r="47" spans="1:19" x14ac:dyDescent="0.25">
      <c r="A47" s="370" t="s">
        <v>693</v>
      </c>
      <c r="B47" s="370"/>
      <c r="C47" s="370"/>
      <c r="D47" s="368">
        <v>56450</v>
      </c>
      <c r="E47" s="370"/>
      <c r="F47" s="370" t="s">
        <v>693</v>
      </c>
      <c r="G47" s="370"/>
      <c r="H47" s="370">
        <v>56450</v>
      </c>
      <c r="I47" s="368"/>
      <c r="J47" s="78"/>
      <c r="K47" s="309"/>
      <c r="L47" s="308"/>
      <c r="M47" s="211"/>
      <c r="N47" s="211"/>
      <c r="O47" s="309"/>
      <c r="P47" s="308"/>
      <c r="Q47" s="211"/>
      <c r="R47" s="273"/>
      <c r="S47" s="78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J48" s="78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J49" s="78"/>
      <c r="K49" s="309" t="s">
        <v>470</v>
      </c>
      <c r="L49" s="308">
        <f>M42</f>
        <v>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J50" s="78"/>
      <c r="K50" s="309" t="s">
        <v>239</v>
      </c>
      <c r="L50" s="308">
        <f>'SEP 21'!N56</f>
        <v>94193</v>
      </c>
      <c r="M50" s="211"/>
      <c r="N50" s="211"/>
      <c r="O50" s="309" t="s">
        <v>239</v>
      </c>
      <c r="P50" s="308">
        <f>'SEP 21'!R56</f>
        <v>62465.999999999927</v>
      </c>
      <c r="Q50" s="211"/>
      <c r="R50" s="273"/>
      <c r="S50" s="78"/>
    </row>
    <row r="51" spans="1:19" x14ac:dyDescent="0.25">
      <c r="A51" s="166" t="s">
        <v>193</v>
      </c>
      <c r="B51" s="317">
        <f>B34+B36+B37+B38+B39-D35</f>
        <v>130314.34230528004</v>
      </c>
      <c r="C51" s="317"/>
      <c r="D51" s="318">
        <f>SUM(D42:D50)</f>
        <v>60350</v>
      </c>
      <c r="E51" s="318">
        <f>B51-D51</f>
        <v>69964.342305280035</v>
      </c>
      <c r="F51" s="166" t="s">
        <v>193</v>
      </c>
      <c r="G51" s="317">
        <f>G34+G36+G37+G39-H35</f>
        <v>129150.27520000003</v>
      </c>
      <c r="H51" s="318">
        <f>SUM(H42:H50)</f>
        <v>60350</v>
      </c>
      <c r="I51" s="318">
        <f>G51-H51</f>
        <v>68800.275200000033</v>
      </c>
      <c r="J51" s="78"/>
      <c r="K51" s="309" t="s">
        <v>193</v>
      </c>
      <c r="L51" s="308">
        <f>L45+L47+L50+L49</f>
        <v>175693</v>
      </c>
      <c r="M51" s="211"/>
      <c r="N51" s="211"/>
      <c r="O51" s="309" t="s">
        <v>193</v>
      </c>
      <c r="P51" s="308">
        <f>P45+P47+P50+P48</f>
        <v>143299.29999999993</v>
      </c>
      <c r="Q51" s="211"/>
      <c r="R51" s="273"/>
      <c r="S51" s="78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J52" s="78"/>
      <c r="K52" s="212" t="s">
        <v>194</v>
      </c>
      <c r="L52" s="307"/>
      <c r="M52" s="78"/>
      <c r="N52" s="214"/>
      <c r="O52" s="212" t="s">
        <v>194</v>
      </c>
      <c r="P52" s="307"/>
      <c r="Q52" s="214"/>
      <c r="R52" s="273"/>
      <c r="S52" s="78"/>
    </row>
    <row r="53" spans="1:19" x14ac:dyDescent="0.25">
      <c r="A53" s="150" t="s">
        <v>71</v>
      </c>
      <c r="B53" s="79"/>
      <c r="C53" s="79"/>
      <c r="D53" s="78"/>
      <c r="E53" s="150" t="s">
        <v>72</v>
      </c>
      <c r="F53" s="78"/>
      <c r="G53" s="78"/>
      <c r="H53" s="150" t="s">
        <v>73</v>
      </c>
      <c r="I53" s="269"/>
      <c r="J53" s="78"/>
      <c r="K53" s="370" t="s">
        <v>693</v>
      </c>
      <c r="L53" s="370"/>
      <c r="M53" s="78">
        <v>60216</v>
      </c>
      <c r="N53" s="367"/>
      <c r="O53" s="370" t="s">
        <v>693</v>
      </c>
      <c r="P53" s="370"/>
      <c r="Q53" s="78">
        <v>60216</v>
      </c>
      <c r="R53" s="368"/>
      <c r="S53" s="78"/>
    </row>
    <row r="54" spans="1:19" x14ac:dyDescent="0.25">
      <c r="A54" s="150" t="s">
        <v>471</v>
      </c>
      <c r="B54" s="150"/>
      <c r="C54" s="78"/>
      <c r="D54" s="150" t="s">
        <v>135</v>
      </c>
      <c r="E54" s="78"/>
      <c r="F54" s="78"/>
      <c r="G54" s="78"/>
      <c r="H54" s="150" t="s">
        <v>130</v>
      </c>
      <c r="I54" s="78"/>
      <c r="J54" s="78"/>
      <c r="K54" s="369"/>
      <c r="L54" s="370"/>
      <c r="M54" s="371"/>
      <c r="N54" s="366"/>
      <c r="O54" s="365"/>
      <c r="P54" s="380"/>
      <c r="Q54" s="367"/>
      <c r="R54" s="368"/>
      <c r="S54" s="7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  <c r="S55" s="78"/>
    </row>
    <row r="56" spans="1:19" x14ac:dyDescent="0.25">
      <c r="K56" s="166" t="s">
        <v>193</v>
      </c>
      <c r="L56" s="317">
        <f>L45+L49+L50-M46</f>
        <v>167543</v>
      </c>
      <c r="M56" s="318">
        <f>SUM(M48:M55)</f>
        <v>60216</v>
      </c>
      <c r="N56" s="318">
        <f>L56-M56</f>
        <v>107327</v>
      </c>
      <c r="O56" s="166" t="s">
        <v>193</v>
      </c>
      <c r="P56" s="317">
        <f>P45+P47+P48+P50-Q46</f>
        <v>135149.29999999993</v>
      </c>
      <c r="Q56" s="318">
        <f>SUM(Q48:Q55)</f>
        <v>60216</v>
      </c>
      <c r="R56" s="318">
        <f>P56-Q56</f>
        <v>74933.29999999993</v>
      </c>
      <c r="S56" s="78"/>
    </row>
    <row r="57" spans="1:19" x14ac:dyDescent="0.25">
      <c r="K57" s="150" t="s">
        <v>71</v>
      </c>
      <c r="L57" s="79"/>
      <c r="M57" s="78"/>
      <c r="N57" s="150" t="s">
        <v>72</v>
      </c>
      <c r="O57" s="78"/>
      <c r="P57" s="78"/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M58" s="78"/>
      <c r="N58" s="150" t="s">
        <v>135</v>
      </c>
      <c r="O58" s="78"/>
      <c r="P58" s="78"/>
      <c r="Q58" s="150" t="s">
        <v>130</v>
      </c>
      <c r="R58" s="78"/>
      <c r="S58" s="220"/>
    </row>
    <row r="59" spans="1:19" x14ac:dyDescent="0.25">
      <c r="K59" s="78"/>
      <c r="L59" s="78"/>
      <c r="M59" s="78"/>
      <c r="N59" s="78"/>
      <c r="O59" s="78"/>
      <c r="P59" s="78"/>
      <c r="Q59" s="78"/>
      <c r="R59" s="78"/>
      <c r="S59" s="78"/>
    </row>
    <row r="63" spans="1:19" x14ac:dyDescent="0.25">
      <c r="N63" s="220">
        <f>I51+R56</f>
        <v>143733.57519999996</v>
      </c>
    </row>
    <row r="71" spans="8:9" x14ac:dyDescent="0.25">
      <c r="H71">
        <f>3500/30</f>
        <v>116.66666666666667</v>
      </c>
    </row>
    <row r="72" spans="8:9" x14ac:dyDescent="0.25">
      <c r="I72">
        <f>H71*10</f>
        <v>1166.6666666666667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D19" workbookViewId="0">
      <selection activeCell="M20" sqref="M20"/>
    </sheetView>
  </sheetViews>
  <sheetFormatPr defaultRowHeight="15" x14ac:dyDescent="0.25"/>
  <cols>
    <col min="1" max="1" width="16.140625" style="78" customWidth="1"/>
    <col min="2" max="5" width="9.140625" style="78"/>
    <col min="6" max="6" width="12.85546875" style="78" customWidth="1"/>
    <col min="7" max="11" width="9.140625" style="78"/>
    <col min="12" max="12" width="13.7109375" style="78" customWidth="1"/>
    <col min="13" max="13" width="11.5703125" style="78" customWidth="1"/>
    <col min="14" max="16384" width="9.140625" style="78"/>
  </cols>
  <sheetData>
    <row r="1" spans="1:18" ht="15.75" x14ac:dyDescent="0.25"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150"/>
      <c r="B3" s="150"/>
      <c r="C3" s="150"/>
      <c r="D3" s="5" t="s">
        <v>696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696</v>
      </c>
      <c r="N4" s="250"/>
      <c r="O4" s="103"/>
      <c r="P4" s="103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196" t="s">
        <v>352</v>
      </c>
      <c r="B6" s="274" t="s">
        <v>50</v>
      </c>
      <c r="C6" s="274"/>
      <c r="D6" s="113">
        <f>'OCT 21'!I6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>
        <v>3100</v>
      </c>
      <c r="I6" s="273">
        <f t="shared" ref="I6:I18" si="1">G6-H6</f>
        <v>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'OCT 21'!I7</f>
        <v>0</v>
      </c>
      <c r="E7" s="280">
        <v>3000</v>
      </c>
      <c r="F7" s="281">
        <v>100</v>
      </c>
      <c r="G7" s="276">
        <f t="shared" si="0"/>
        <v>3100</v>
      </c>
      <c r="H7" s="277">
        <v>2500</v>
      </c>
      <c r="I7" s="273">
        <f t="shared" si="1"/>
        <v>600</v>
      </c>
      <c r="J7" s="150"/>
      <c r="K7" s="83" t="s">
        <v>106</v>
      </c>
      <c r="L7" s="249" t="s">
        <v>681</v>
      </c>
      <c r="M7" s="85"/>
      <c r="N7" s="232">
        <f>'OCT 21'!R7</f>
        <v>0</v>
      </c>
      <c r="O7" s="320">
        <v>3000</v>
      </c>
      <c r="P7" s="232">
        <f>M7+N7+O7</f>
        <v>3000</v>
      </c>
      <c r="Q7" s="234">
        <v>3000</v>
      </c>
      <c r="R7" s="319">
        <f>P7-Q7</f>
        <v>0</v>
      </c>
    </row>
    <row r="8" spans="1:18" x14ac:dyDescent="0.25">
      <c r="A8" s="282" t="s">
        <v>699</v>
      </c>
      <c r="B8" s="274" t="s">
        <v>54</v>
      </c>
      <c r="C8" s="274">
        <v>3000</v>
      </c>
      <c r="D8" s="113">
        <f>'OCT 21'!I8</f>
        <v>0</v>
      </c>
      <c r="E8" s="280">
        <v>3000</v>
      </c>
      <c r="F8" s="281">
        <v>100</v>
      </c>
      <c r="G8" s="276">
        <f t="shared" si="0"/>
        <v>6100</v>
      </c>
      <c r="H8" s="277">
        <v>6100</v>
      </c>
      <c r="I8" s="273">
        <f t="shared" si="1"/>
        <v>0</v>
      </c>
      <c r="J8" s="150"/>
      <c r="K8" s="83" t="s">
        <v>108</v>
      </c>
      <c r="L8" s="200" t="s">
        <v>284</v>
      </c>
      <c r="M8" s="85"/>
      <c r="N8" s="232">
        <f>'OCT 21'!R8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'OCT 21'!I9</f>
        <v>0</v>
      </c>
      <c r="E9" s="280">
        <v>3000</v>
      </c>
      <c r="F9" s="281">
        <v>100</v>
      </c>
      <c r="G9" s="276">
        <f t="shared" si="0"/>
        <v>3100</v>
      </c>
      <c r="H9" s="277">
        <v>3100</v>
      </c>
      <c r="I9" s="273">
        <f t="shared" si="1"/>
        <v>0</v>
      </c>
      <c r="J9" s="150"/>
      <c r="K9" s="83" t="s">
        <v>110</v>
      </c>
      <c r="L9" s="110" t="s">
        <v>467</v>
      </c>
      <c r="M9" s="110"/>
      <c r="N9" s="232">
        <f>'OCT 21'!R9</f>
        <v>500</v>
      </c>
      <c r="O9" s="110">
        <v>2500</v>
      </c>
      <c r="P9" s="232">
        <f t="shared" si="2"/>
        <v>3000</v>
      </c>
      <c r="Q9" s="110">
        <v>2500</v>
      </c>
      <c r="R9" s="319">
        <f t="shared" ref="R9:R16" si="3">P9-Q9</f>
        <v>500</v>
      </c>
    </row>
    <row r="10" spans="1:18" x14ac:dyDescent="0.25">
      <c r="A10" s="282" t="s">
        <v>627</v>
      </c>
      <c r="B10" s="274" t="s">
        <v>58</v>
      </c>
      <c r="C10" s="274"/>
      <c r="D10" s="113">
        <f>'OCT 21'!I10</f>
        <v>300</v>
      </c>
      <c r="E10" s="280">
        <v>3000</v>
      </c>
      <c r="F10" s="281">
        <v>100</v>
      </c>
      <c r="G10" s="276">
        <f t="shared" si="0"/>
        <v>3400</v>
      </c>
      <c r="H10" s="277">
        <v>3100</v>
      </c>
      <c r="I10" s="273">
        <f>G10-H10</f>
        <v>300</v>
      </c>
      <c r="J10" s="150"/>
      <c r="K10" s="87" t="s">
        <v>112</v>
      </c>
      <c r="L10" s="200" t="s">
        <v>281</v>
      </c>
      <c r="M10" s="110"/>
      <c r="N10" s="232">
        <f>'OCT 21'!R10</f>
        <v>0</v>
      </c>
      <c r="O10" s="321"/>
      <c r="P10" s="232">
        <f t="shared" si="2"/>
        <v>0</v>
      </c>
      <c r="Q10" s="319"/>
      <c r="R10" s="319">
        <f t="shared" si="3"/>
        <v>0</v>
      </c>
    </row>
    <row r="11" spans="1:18" x14ac:dyDescent="0.25">
      <c r="A11" s="282" t="s">
        <v>682</v>
      </c>
      <c r="B11" s="274" t="s">
        <v>60</v>
      </c>
      <c r="C11" s="274"/>
      <c r="D11" s="113">
        <f>'OCT 21'!I11</f>
        <v>0</v>
      </c>
      <c r="E11" s="280">
        <v>3000</v>
      </c>
      <c r="F11" s="281">
        <v>100</v>
      </c>
      <c r="G11" s="276">
        <f t="shared" si="0"/>
        <v>3100</v>
      </c>
      <c r="H11" s="277"/>
      <c r="I11" s="273">
        <f t="shared" si="1"/>
        <v>3100</v>
      </c>
      <c r="J11" s="150"/>
      <c r="K11" s="99" t="s">
        <v>114</v>
      </c>
      <c r="L11" s="200" t="s">
        <v>427</v>
      </c>
      <c r="M11" s="85"/>
      <c r="N11" s="232">
        <f>'OCT 21'!R11</f>
        <v>0</v>
      </c>
      <c r="O11" s="320">
        <v>2500</v>
      </c>
      <c r="P11" s="232">
        <f t="shared" si="2"/>
        <v>2500</v>
      </c>
      <c r="Q11" s="234">
        <v>2500</v>
      </c>
      <c r="R11" s="319">
        <f t="shared" si="3"/>
        <v>0</v>
      </c>
    </row>
    <row r="12" spans="1:18" x14ac:dyDescent="0.25">
      <c r="A12" s="282" t="s">
        <v>631</v>
      </c>
      <c r="B12" s="274" t="s">
        <v>62</v>
      </c>
      <c r="C12" s="274"/>
      <c r="D12" s="113">
        <f>'OCT 21'!I12</f>
        <v>5900</v>
      </c>
      <c r="E12" s="280">
        <v>3000</v>
      </c>
      <c r="F12" s="281">
        <v>100</v>
      </c>
      <c r="G12" s="276">
        <f>D12+E12+F12+C12</f>
        <v>9000</v>
      </c>
      <c r="H12" s="277">
        <f>1000+1450+500+2000+1000</f>
        <v>5950</v>
      </c>
      <c r="I12" s="273">
        <f t="shared" si="1"/>
        <v>3050</v>
      </c>
      <c r="J12" s="150"/>
      <c r="K12" s="93" t="s">
        <v>116</v>
      </c>
      <c r="L12" s="249" t="s">
        <v>120</v>
      </c>
      <c r="M12" s="110"/>
      <c r="N12" s="232">
        <f>'OCT 21'!R12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'OCT 21'!I13</f>
        <v>0</v>
      </c>
      <c r="E13" s="329">
        <v>3000</v>
      </c>
      <c r="F13" s="553">
        <v>100</v>
      </c>
      <c r="G13" s="276">
        <f t="shared" si="0"/>
        <v>3100</v>
      </c>
      <c r="H13" s="277"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'OCT 21'!R13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 t="s">
        <v>702</v>
      </c>
      <c r="B14" s="284" t="s">
        <v>18</v>
      </c>
      <c r="C14" s="274"/>
      <c r="D14" s="113">
        <f>'OCT 21'!I14</f>
        <v>0</v>
      </c>
      <c r="E14" s="329">
        <v>3000</v>
      </c>
      <c r="F14" s="553">
        <v>100</v>
      </c>
      <c r="G14" s="276">
        <f t="shared" si="0"/>
        <v>3100</v>
      </c>
      <c r="H14" s="277">
        <v>3100</v>
      </c>
      <c r="I14" s="273">
        <f t="shared" si="1"/>
        <v>0</v>
      </c>
      <c r="J14" s="445"/>
      <c r="K14" s="83" t="s">
        <v>121</v>
      </c>
      <c r="L14" s="249" t="s">
        <v>281</v>
      </c>
      <c r="M14" s="85"/>
      <c r="N14" s="232">
        <f>'OCT 21'!R14</f>
        <v>0</v>
      </c>
      <c r="O14" s="320"/>
      <c r="P14" s="232">
        <f t="shared" si="2"/>
        <v>0</v>
      </c>
      <c r="Q14" s="234"/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'OCT 21'!I15</f>
        <v>0</v>
      </c>
      <c r="E15" s="329">
        <v>3000</v>
      </c>
      <c r="F15" s="553">
        <v>200</v>
      </c>
      <c r="G15" s="276">
        <f t="shared" si="0"/>
        <v>3200</v>
      </c>
      <c r="H15" s="277">
        <v>3200</v>
      </c>
      <c r="I15" s="273">
        <f t="shared" si="1"/>
        <v>0</v>
      </c>
      <c r="J15" s="150"/>
      <c r="K15" s="83" t="s">
        <v>123</v>
      </c>
      <c r="L15" s="200" t="s">
        <v>396</v>
      </c>
      <c r="M15" s="85">
        <v>500</v>
      </c>
      <c r="N15" s="232">
        <v>8000</v>
      </c>
      <c r="O15" s="320">
        <v>2500</v>
      </c>
      <c r="P15" s="232">
        <f t="shared" si="2"/>
        <v>11000</v>
      </c>
      <c r="Q15" s="234">
        <f>2500+500</f>
        <v>3000</v>
      </c>
      <c r="R15" s="319">
        <f t="shared" si="3"/>
        <v>8000</v>
      </c>
    </row>
    <row r="16" spans="1:18" x14ac:dyDescent="0.25">
      <c r="A16" s="196" t="s">
        <v>698</v>
      </c>
      <c r="B16" s="284" t="s">
        <v>22</v>
      </c>
      <c r="C16" s="274">
        <v>3000</v>
      </c>
      <c r="D16" s="113">
        <f>'OCT 21'!I16</f>
        <v>0</v>
      </c>
      <c r="E16" s="329">
        <v>3000</v>
      </c>
      <c r="F16" s="553">
        <v>100</v>
      </c>
      <c r="G16" s="276">
        <f t="shared" si="0"/>
        <v>6100</v>
      </c>
      <c r="H16" s="277">
        <v>6100</v>
      </c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'OCT 21'!R16</f>
        <v>3000</v>
      </c>
      <c r="O16" s="231">
        <v>1500</v>
      </c>
      <c r="P16" s="232">
        <f>M16+N16+O16</f>
        <v>4500</v>
      </c>
      <c r="Q16" s="234"/>
      <c r="R16" s="319">
        <f t="shared" si="3"/>
        <v>4500</v>
      </c>
    </row>
    <row r="17" spans="1:18" x14ac:dyDescent="0.25">
      <c r="A17" s="196"/>
      <c r="B17" s="284" t="s">
        <v>24</v>
      </c>
      <c r="C17" s="274"/>
      <c r="D17" s="113">
        <f>'OCT 21'!I17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'OCT 21'!R17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/>
      <c r="D18" s="113">
        <f>'OCT 21'!I18</f>
        <v>0</v>
      </c>
      <c r="E18" s="329">
        <v>3000</v>
      </c>
      <c r="F18" s="553">
        <v>100</v>
      </c>
      <c r="G18" s="276">
        <f>D18+E18+F18+C18</f>
        <v>3100</v>
      </c>
      <c r="H18" s="277">
        <v>3100</v>
      </c>
      <c r="I18" s="273">
        <f t="shared" si="1"/>
        <v>0</v>
      </c>
      <c r="J18" s="150"/>
      <c r="K18" s="83"/>
      <c r="L18" s="200"/>
      <c r="M18" s="85"/>
      <c r="N18" s="232">
        <f>'OCT 21'!R18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'OCT 21'!I19</f>
        <v>0</v>
      </c>
      <c r="E19" s="329">
        <v>3000</v>
      </c>
      <c r="F19" s="553">
        <v>100</v>
      </c>
      <c r="G19" s="276">
        <f>D19+E19+F19+C19</f>
        <v>3100</v>
      </c>
      <c r="H19" s="277">
        <v>3100</v>
      </c>
      <c r="I19" s="273">
        <f>G19-H19</f>
        <v>0</v>
      </c>
      <c r="J19" s="150"/>
      <c r="K19" s="83"/>
      <c r="L19" s="204" t="s">
        <v>193</v>
      </c>
      <c r="M19" s="205">
        <f>SUM(M7:M17)</f>
        <v>500</v>
      </c>
      <c r="N19" s="232">
        <f>SUM(N7:N18)</f>
        <v>11500</v>
      </c>
      <c r="O19" s="205">
        <f t="shared" ref="O19:P19" si="4">SUM(O7:O16)</f>
        <v>17000</v>
      </c>
      <c r="P19" s="205">
        <f t="shared" si="4"/>
        <v>29000</v>
      </c>
      <c r="Q19" s="240">
        <f>SUM(Q7:Q16)</f>
        <v>16000</v>
      </c>
      <c r="R19" s="323">
        <f>SUM(R7:R16)</f>
        <v>13000</v>
      </c>
    </row>
    <row r="20" spans="1:18" x14ac:dyDescent="0.25">
      <c r="A20" s="294" t="s">
        <v>193</v>
      </c>
      <c r="B20" s="293"/>
      <c r="C20" s="293">
        <f t="shared" ref="C20:I20" si="5">SUM(C6:C19)</f>
        <v>6000</v>
      </c>
      <c r="D20" s="113">
        <f>'SEP 21'!I20:I34</f>
        <v>11200</v>
      </c>
      <c r="E20" s="240">
        <f t="shared" si="5"/>
        <v>39000</v>
      </c>
      <c r="F20" s="240">
        <f t="shared" si="5"/>
        <v>1400</v>
      </c>
      <c r="G20" s="276">
        <f t="shared" si="5"/>
        <v>52600</v>
      </c>
      <c r="H20" s="361">
        <f t="shared" si="5"/>
        <v>45550</v>
      </c>
      <c r="I20" s="273">
        <f t="shared" si="5"/>
        <v>7050</v>
      </c>
      <c r="J20" s="150" t="s">
        <v>557</v>
      </c>
      <c r="M20" s="384"/>
      <c r="N20" s="384" t="s">
        <v>481</v>
      </c>
      <c r="O20" s="384"/>
    </row>
    <row r="21" spans="1:18" ht="18.75" x14ac:dyDescent="0.25">
      <c r="A21" s="555"/>
      <c r="B21" s="555"/>
      <c r="C21" s="551"/>
      <c r="D21" s="78">
        <f>APRIL21!I21:I34</f>
        <v>0</v>
      </c>
      <c r="E21" s="552" t="s">
        <v>247</v>
      </c>
      <c r="F21" s="551"/>
      <c r="G21" s="555"/>
      <c r="H21" s="344"/>
      <c r="I21" s="273">
        <f>G21-H21</f>
        <v>0</v>
      </c>
      <c r="K21" s="83">
        <v>1</v>
      </c>
      <c r="L21" s="200" t="s">
        <v>612</v>
      </c>
      <c r="M21" s="85"/>
      <c r="N21" s="232">
        <f>'OCT 21'!R21</f>
        <v>0</v>
      </c>
      <c r="O21" s="320">
        <v>3500</v>
      </c>
      <c r="P21" s="232">
        <f t="shared" ref="P21:P38" si="6">M21+N21+O21</f>
        <v>3500</v>
      </c>
      <c r="Q21" s="232">
        <v>3500</v>
      </c>
      <c r="R21" s="319">
        <f t="shared" ref="R21:R37" si="7">P21-Q21</f>
        <v>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K22" s="83">
        <v>2</v>
      </c>
      <c r="L22" s="200" t="s">
        <v>670</v>
      </c>
      <c r="M22" s="85"/>
      <c r="N22" s="232">
        <f>'OCT 21'!R22</f>
        <v>8000</v>
      </c>
      <c r="O22" s="320">
        <v>3500</v>
      </c>
      <c r="P22" s="232">
        <f t="shared" si="6"/>
        <v>11500</v>
      </c>
      <c r="Q22" s="232">
        <f>7000</f>
        <v>7000</v>
      </c>
      <c r="R22" s="319">
        <f t="shared" si="7"/>
        <v>4500</v>
      </c>
    </row>
    <row r="23" spans="1:18" x14ac:dyDescent="0.25">
      <c r="A23" s="191" t="s">
        <v>313</v>
      </c>
      <c r="B23" s="85"/>
      <c r="C23" s="85"/>
      <c r="D23" s="86">
        <f>'OCT 21'!H23</f>
        <v>0</v>
      </c>
      <c r="E23" s="232">
        <v>6000</v>
      </c>
      <c r="F23" s="232">
        <f>B23+E23+D23+C23</f>
        <v>6000</v>
      </c>
      <c r="G23" s="232">
        <v>6000</v>
      </c>
      <c r="H23" s="273">
        <f>F23-G23</f>
        <v>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'OCT 21'!R23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'OCT 21'!H24</f>
        <v>0</v>
      </c>
      <c r="E24" s="110">
        <v>6000</v>
      </c>
      <c r="F24" s="232">
        <f>B24+E24+D24+C24</f>
        <v>6000</v>
      </c>
      <c r="G24" s="110">
        <v>6000</v>
      </c>
      <c r="H24" s="273">
        <f t="shared" ref="H24:H30" si="8">F24-G24</f>
        <v>0</v>
      </c>
      <c r="I24" s="273"/>
      <c r="K24" s="83">
        <v>4</v>
      </c>
      <c r="L24" s="200" t="s">
        <v>685</v>
      </c>
      <c r="M24" s="110"/>
      <c r="N24" s="232">
        <f>'OCT 21'!R24</f>
        <v>0</v>
      </c>
      <c r="O24" s="321">
        <v>3500</v>
      </c>
      <c r="P24" s="232">
        <f>M24+N24+O24</f>
        <v>3500</v>
      </c>
      <c r="Q24" s="319">
        <v>3400</v>
      </c>
      <c r="R24" s="319">
        <f t="shared" si="7"/>
        <v>100</v>
      </c>
    </row>
    <row r="25" spans="1:18" x14ac:dyDescent="0.25">
      <c r="A25" s="191" t="s">
        <v>665</v>
      </c>
      <c r="B25" s="85"/>
      <c r="C25" s="85"/>
      <c r="D25" s="86">
        <f>'OCT 21'!H25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K25" s="83">
        <v>5</v>
      </c>
      <c r="L25" s="200" t="s">
        <v>679</v>
      </c>
      <c r="M25" s="85"/>
      <c r="N25" s="232">
        <f>'OCT 21'!R25</f>
        <v>5600</v>
      </c>
      <c r="O25" s="320">
        <v>3500</v>
      </c>
      <c r="P25" s="232">
        <f t="shared" si="6"/>
        <v>9100</v>
      </c>
      <c r="Q25" s="234"/>
      <c r="R25" s="319">
        <f t="shared" si="7"/>
        <v>9100</v>
      </c>
    </row>
    <row r="26" spans="1:18" x14ac:dyDescent="0.25">
      <c r="A26" s="191"/>
      <c r="B26" s="85"/>
      <c r="C26" s="85"/>
      <c r="D26" s="86">
        <f>'OCT 21'!H26</f>
        <v>0</v>
      </c>
      <c r="E26" s="231"/>
      <c r="F26" s="232">
        <f>B26+E26+D26</f>
        <v>0</v>
      </c>
      <c r="G26" s="110"/>
      <c r="H26" s="273"/>
      <c r="I26" s="273"/>
      <c r="K26" s="83">
        <v>6</v>
      </c>
      <c r="L26" s="249" t="s">
        <v>673</v>
      </c>
      <c r="M26" s="110"/>
      <c r="N26" s="232">
        <f>'OCT 21'!R26</f>
        <v>0</v>
      </c>
      <c r="O26" s="325">
        <v>3500</v>
      </c>
      <c r="P26" s="232">
        <f t="shared" si="6"/>
        <v>3500</v>
      </c>
      <c r="Q26" s="326">
        <v>3500</v>
      </c>
      <c r="R26" s="319">
        <f t="shared" si="7"/>
        <v>0</v>
      </c>
    </row>
    <row r="27" spans="1:18" x14ac:dyDescent="0.25">
      <c r="A27" s="191" t="s">
        <v>657</v>
      </c>
      <c r="B27" s="86"/>
      <c r="C27" s="86"/>
      <c r="D27" s="86">
        <f>'OCT 21'!H27</f>
        <v>0</v>
      </c>
      <c r="E27" s="231">
        <v>4000</v>
      </c>
      <c r="F27" s="232">
        <f>B27+E27+D27+C27</f>
        <v>4000</v>
      </c>
      <c r="G27" s="110">
        <v>4000</v>
      </c>
      <c r="H27" s="273">
        <f t="shared" si="8"/>
        <v>0</v>
      </c>
      <c r="I27" s="273"/>
      <c r="K27" s="83">
        <v>7</v>
      </c>
      <c r="L27" s="548" t="s">
        <v>281</v>
      </c>
      <c r="M27" s="85"/>
      <c r="N27" s="232">
        <f>'OCT 21'!R27</f>
        <v>0</v>
      </c>
      <c r="O27" s="320"/>
      <c r="P27" s="232">
        <f t="shared" si="6"/>
        <v>0</v>
      </c>
      <c r="Q27" s="234"/>
      <c r="R27" s="319">
        <f t="shared" si="7"/>
        <v>0</v>
      </c>
    </row>
    <row r="28" spans="1:18" x14ac:dyDescent="0.25">
      <c r="A28" s="191" t="s">
        <v>658</v>
      </c>
      <c r="B28" s="85"/>
      <c r="C28" s="85"/>
      <c r="D28" s="86">
        <f>'OCT 21'!H28</f>
        <v>0</v>
      </c>
      <c r="E28" s="231">
        <v>4000</v>
      </c>
      <c r="F28" s="232">
        <f>C28+D28+E28</f>
        <v>4000</v>
      </c>
      <c r="G28" s="110">
        <f>2000</f>
        <v>2000</v>
      </c>
      <c r="H28" s="273">
        <f t="shared" si="8"/>
        <v>2000</v>
      </c>
      <c r="I28" s="273"/>
      <c r="J28" s="220">
        <f>H31+I20</f>
        <v>9050</v>
      </c>
      <c r="K28" s="83">
        <v>8</v>
      </c>
      <c r="L28" s="249"/>
      <c r="M28" s="85"/>
      <c r="N28" s="232">
        <f>'OCT 21'!R28</f>
        <v>0</v>
      </c>
      <c r="O28" s="320"/>
      <c r="P28" s="232">
        <f t="shared" si="6"/>
        <v>0</v>
      </c>
      <c r="Q28" s="234"/>
      <c r="R28" s="319">
        <f t="shared" si="7"/>
        <v>0</v>
      </c>
    </row>
    <row r="29" spans="1:18" x14ac:dyDescent="0.25">
      <c r="A29" s="218" t="s">
        <v>539</v>
      </c>
      <c r="B29" s="85"/>
      <c r="C29" s="85"/>
      <c r="D29" s="86">
        <f>'OCT 21'!H29</f>
        <v>0</v>
      </c>
      <c r="E29" s="231">
        <v>4000</v>
      </c>
      <c r="F29" s="232">
        <f>B29+E29+D29</f>
        <v>4000</v>
      </c>
      <c r="G29" s="110">
        <v>4000</v>
      </c>
      <c r="H29" s="273">
        <f>F29-G29</f>
        <v>0</v>
      </c>
      <c r="I29" s="273"/>
      <c r="K29" s="83">
        <v>9</v>
      </c>
      <c r="L29" s="200" t="s">
        <v>496</v>
      </c>
      <c r="M29" s="85"/>
      <c r="N29" s="232">
        <f>'OCT 21'!R29</f>
        <v>0</v>
      </c>
      <c r="O29" s="320">
        <v>3500</v>
      </c>
      <c r="P29" s="232">
        <f>M29+N29+O29</f>
        <v>3500</v>
      </c>
      <c r="Q29" s="234">
        <v>3500</v>
      </c>
      <c r="R29" s="319">
        <f t="shared" si="7"/>
        <v>0</v>
      </c>
    </row>
    <row r="30" spans="1:18" x14ac:dyDescent="0.25">
      <c r="A30" s="210" t="s">
        <v>456</v>
      </c>
      <c r="B30" s="85">
        <v>0</v>
      </c>
      <c r="C30" s="85"/>
      <c r="D30" s="86">
        <f>'OCT 21'!H30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K30" s="83">
        <v>10</v>
      </c>
      <c r="L30" s="200" t="s">
        <v>675</v>
      </c>
      <c r="M30" s="85"/>
      <c r="N30" s="232">
        <f>'OCT 21'!R30</f>
        <v>0</v>
      </c>
      <c r="O30" s="320">
        <v>3500</v>
      </c>
      <c r="P30" s="232">
        <f t="shared" si="6"/>
        <v>3500</v>
      </c>
      <c r="Q30" s="234">
        <v>3500</v>
      </c>
      <c r="R30" s="319">
        <f t="shared" si="7"/>
        <v>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0</v>
      </c>
      <c r="E31" s="240">
        <f>SUM(E23:E30)</f>
        <v>32000</v>
      </c>
      <c r="F31" s="232">
        <f>SUM(F23:F30)</f>
        <v>32000</v>
      </c>
      <c r="G31" s="535">
        <f>SUM(G23:G30)</f>
        <v>30000</v>
      </c>
      <c r="H31" s="273">
        <f>F31-G31</f>
        <v>2000</v>
      </c>
      <c r="I31" s="273"/>
      <c r="K31" s="83">
        <v>11</v>
      </c>
      <c r="L31" s="249" t="s">
        <v>474</v>
      </c>
      <c r="M31" s="85"/>
      <c r="N31" s="232">
        <f>'OCT 21'!R31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9050</v>
      </c>
      <c r="K32" s="83">
        <v>12</v>
      </c>
      <c r="L32" s="200"/>
      <c r="M32" s="85"/>
      <c r="N32" s="232"/>
      <c r="O32" s="320"/>
      <c r="P32" s="232">
        <f t="shared" si="6"/>
        <v>0</v>
      </c>
      <c r="Q32" s="234"/>
      <c r="R32" s="319">
        <f t="shared" si="7"/>
        <v>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K33" s="83">
        <v>13</v>
      </c>
      <c r="L33" s="200" t="s">
        <v>659</v>
      </c>
      <c r="M33" s="85"/>
      <c r="N33" s="232">
        <f>'OCT 21'!R33</f>
        <v>5000</v>
      </c>
      <c r="O33" s="320">
        <v>3500</v>
      </c>
      <c r="P33" s="232">
        <f>M33+N33+O33</f>
        <v>8500</v>
      </c>
      <c r="Q33" s="234"/>
      <c r="R33" s="319">
        <f>P33-Q33</f>
        <v>8500</v>
      </c>
    </row>
    <row r="34" spans="1:19" x14ac:dyDescent="0.25">
      <c r="A34" s="211" t="s">
        <v>289</v>
      </c>
      <c r="B34" s="273">
        <f>E31+E20</f>
        <v>71000</v>
      </c>
      <c r="C34" s="273"/>
      <c r="D34" s="164"/>
      <c r="E34" s="164"/>
      <c r="F34" s="211" t="s">
        <v>289</v>
      </c>
      <c r="G34" s="273">
        <f>G31+H20</f>
        <v>75550</v>
      </c>
      <c r="H34" s="164"/>
      <c r="I34" s="273"/>
      <c r="K34" s="83">
        <v>14</v>
      </c>
      <c r="L34" s="200" t="s">
        <v>480</v>
      </c>
      <c r="M34" s="85"/>
      <c r="N34" s="232">
        <f>'OCT 21'!R34</f>
        <v>0</v>
      </c>
      <c r="O34" s="320">
        <v>3500</v>
      </c>
      <c r="P34" s="232">
        <f t="shared" si="6"/>
        <v>3500</v>
      </c>
      <c r="Q34" s="234">
        <v>3500</v>
      </c>
      <c r="R34" s="319">
        <f t="shared" si="7"/>
        <v>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7100</v>
      </c>
      <c r="E35" s="211"/>
      <c r="F35" s="211" t="s">
        <v>209</v>
      </c>
      <c r="G35" s="307">
        <v>0.1</v>
      </c>
      <c r="H35" s="308">
        <f>D35</f>
        <v>7100</v>
      </c>
      <c r="I35" s="273"/>
      <c r="K35" s="83">
        <v>15</v>
      </c>
      <c r="L35" s="200" t="s">
        <v>680</v>
      </c>
      <c r="M35" s="85"/>
      <c r="N35" s="232">
        <f>'OCT 21'!R35</f>
        <v>2000</v>
      </c>
      <c r="O35" s="320">
        <v>3500</v>
      </c>
      <c r="P35" s="232">
        <f>M35+N35+O35</f>
        <v>5500</v>
      </c>
      <c r="Q35" s="234">
        <v>3500</v>
      </c>
      <c r="R35" s="319">
        <f>P35-Q35</f>
        <v>2000</v>
      </c>
    </row>
    <row r="36" spans="1:19" x14ac:dyDescent="0.25">
      <c r="A36" s="309" t="s">
        <v>232</v>
      </c>
      <c r="B36" s="308">
        <f>F20</f>
        <v>1400</v>
      </c>
      <c r="C36" s="308"/>
      <c r="D36" s="211"/>
      <c r="E36" s="309"/>
      <c r="G36" s="308"/>
      <c r="H36" s="211"/>
      <c r="I36" s="273"/>
      <c r="K36" s="83">
        <v>16</v>
      </c>
      <c r="L36" s="200" t="s">
        <v>488</v>
      </c>
      <c r="M36" s="85"/>
      <c r="N36" s="232">
        <f>'OCT 21'!R36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K37" s="83">
        <v>17</v>
      </c>
      <c r="L37" s="200" t="s">
        <v>689</v>
      </c>
      <c r="M37" s="85"/>
      <c r="N37" s="232">
        <f>'OCT 21'!R37</f>
        <v>0</v>
      </c>
      <c r="O37" s="320">
        <v>3500</v>
      </c>
      <c r="P37" s="232">
        <f t="shared" si="6"/>
        <v>3500</v>
      </c>
      <c r="Q37" s="234">
        <f>1750+1750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C20</f>
        <v>6000</v>
      </c>
      <c r="C38" s="308"/>
      <c r="D38" s="211"/>
      <c r="E38" s="211"/>
      <c r="F38" s="309" t="s">
        <v>323</v>
      </c>
      <c r="G38" s="308"/>
      <c r="H38" s="211"/>
      <c r="I38" s="273"/>
      <c r="K38" s="83">
        <v>18</v>
      </c>
      <c r="L38" s="200" t="s">
        <v>526</v>
      </c>
      <c r="M38" s="85"/>
      <c r="N38" s="232">
        <f>'OCT 21'!R38</f>
        <v>5200</v>
      </c>
      <c r="O38" s="320">
        <v>3500</v>
      </c>
      <c r="P38" s="232">
        <f t="shared" si="6"/>
        <v>8700</v>
      </c>
      <c r="Q38" s="234">
        <f>3500</f>
        <v>3500</v>
      </c>
      <c r="R38" s="319">
        <f>P38-Q38</f>
        <v>5200</v>
      </c>
    </row>
    <row r="39" spans="1:19" x14ac:dyDescent="0.25">
      <c r="A39" s="309" t="s">
        <v>239</v>
      </c>
      <c r="B39" s="308">
        <f>'OCT 21'!E51</f>
        <v>69964.342305280035</v>
      </c>
      <c r="C39" s="308"/>
      <c r="D39" s="211"/>
      <c r="E39" s="211"/>
      <c r="F39" s="309" t="s">
        <v>239</v>
      </c>
      <c r="G39" s="308">
        <f>'OCT 21'!I51</f>
        <v>68800.275200000033</v>
      </c>
      <c r="H39" s="211"/>
      <c r="I39" s="273"/>
      <c r="K39" s="83">
        <v>19</v>
      </c>
      <c r="L39" s="200" t="s">
        <v>596</v>
      </c>
      <c r="M39" s="85"/>
      <c r="N39" s="232">
        <f>'OCT 21'!R39</f>
        <v>0</v>
      </c>
      <c r="O39" s="320">
        <v>3500</v>
      </c>
      <c r="P39" s="232">
        <f>M39+N39+O39</f>
        <v>3500</v>
      </c>
      <c r="Q39" s="234">
        <v>3500</v>
      </c>
      <c r="R39" s="319">
        <f>P39-Q39</f>
        <v>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/>
      <c r="N40" s="232">
        <f>'OCT 21'!R40</f>
        <v>0</v>
      </c>
      <c r="O40" s="320">
        <v>3500</v>
      </c>
      <c r="P40" s="232">
        <f>M40+N40+O40</f>
        <v>3500</v>
      </c>
      <c r="Q40" s="234">
        <v>3500</v>
      </c>
      <c r="R40" s="319">
        <f>P40-Q40</f>
        <v>0</v>
      </c>
    </row>
    <row r="41" spans="1:19" x14ac:dyDescent="0.25">
      <c r="A41" s="309" t="s">
        <v>193</v>
      </c>
      <c r="B41" s="308">
        <f>B34+B36+B39+B37</f>
        <v>145364.34230528004</v>
      </c>
      <c r="C41" s="308"/>
      <c r="D41" s="211"/>
      <c r="E41" s="211"/>
      <c r="F41" s="309" t="s">
        <v>193</v>
      </c>
      <c r="G41" s="308">
        <f>G34+G36+G39+G37</f>
        <v>147350.27520000003</v>
      </c>
      <c r="H41" s="211"/>
      <c r="I41" s="273"/>
      <c r="K41" s="83"/>
      <c r="L41" s="200"/>
      <c r="M41" s="85"/>
      <c r="N41" s="232">
        <f>'OCT 21'!R41</f>
        <v>0</v>
      </c>
      <c r="O41" s="320"/>
      <c r="P41" s="232">
        <f>M41+N41+O41</f>
        <v>0</v>
      </c>
      <c r="Q41" s="234"/>
      <c r="R41" s="319">
        <f>P41-Q41</f>
        <v>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>
        <f>7000-4500</f>
        <v>2500</v>
      </c>
      <c r="K42" s="83"/>
      <c r="L42" s="204" t="s">
        <v>193</v>
      </c>
      <c r="M42" s="205">
        <f>SUM(M21:M41)</f>
        <v>0</v>
      </c>
      <c r="N42" s="232">
        <f>SUM(N21:N41)</f>
        <v>25800</v>
      </c>
      <c r="O42" s="239">
        <f>SUM(O21:O41)</f>
        <v>59500</v>
      </c>
      <c r="P42" s="232">
        <f>SUM(P21:P41)</f>
        <v>85300</v>
      </c>
      <c r="Q42" s="240">
        <f>SUM(Q21:Q41)</f>
        <v>55900</v>
      </c>
      <c r="R42" s="319">
        <f>P42-Q42</f>
        <v>29400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</row>
    <row r="44" spans="1:19" x14ac:dyDescent="0.25">
      <c r="A44" s="369" t="s">
        <v>468</v>
      </c>
      <c r="D44" s="371">
        <v>3000</v>
      </c>
      <c r="E44" s="370"/>
      <c r="F44" s="369" t="s">
        <v>468</v>
      </c>
      <c r="H44" s="371">
        <v>3000</v>
      </c>
      <c r="I44" s="36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K45" s="211" t="s">
        <v>289</v>
      </c>
      <c r="L45" s="273">
        <f>O42+O19</f>
        <v>76500</v>
      </c>
      <c r="M45" s="164"/>
      <c r="N45" s="232">
        <f>'FEBRUARY 21'!R44:R66</f>
        <v>0</v>
      </c>
      <c r="O45" s="211" t="s">
        <v>289</v>
      </c>
      <c r="P45" s="273">
        <f>Q42+Q19</f>
        <v>71900</v>
      </c>
      <c r="Q45" s="164"/>
      <c r="R45" s="273"/>
    </row>
    <row r="46" spans="1:19" x14ac:dyDescent="0.25">
      <c r="A46" s="370" t="s">
        <v>408</v>
      </c>
      <c r="B46" s="449">
        <v>0.3</v>
      </c>
      <c r="C46" s="449"/>
      <c r="D46" s="368">
        <f>B46*C8+(B46*C16)</f>
        <v>1800</v>
      </c>
      <c r="E46" s="370"/>
      <c r="F46" s="370" t="s">
        <v>408</v>
      </c>
      <c r="G46" s="449">
        <v>0.3</v>
      </c>
      <c r="H46" s="368">
        <f>G46*C8+(G46*C16)</f>
        <v>1800</v>
      </c>
      <c r="I46" s="368"/>
      <c r="K46" s="211" t="s">
        <v>209</v>
      </c>
      <c r="L46" s="307">
        <v>0.1</v>
      </c>
      <c r="M46" s="308">
        <f>L45*L46</f>
        <v>7650</v>
      </c>
      <c r="N46" s="211"/>
      <c r="O46" s="211" t="s">
        <v>209</v>
      </c>
      <c r="P46" s="307">
        <v>0.1</v>
      </c>
      <c r="Q46" s="308">
        <f>M46</f>
        <v>7650</v>
      </c>
      <c r="R46" s="273"/>
    </row>
    <row r="47" spans="1:19" x14ac:dyDescent="0.25">
      <c r="A47" s="370" t="s">
        <v>697</v>
      </c>
      <c r="B47" s="370"/>
      <c r="C47" s="370"/>
      <c r="D47" s="368">
        <v>56200</v>
      </c>
      <c r="E47" s="370"/>
      <c r="F47" s="370" t="s">
        <v>697</v>
      </c>
      <c r="G47" s="370"/>
      <c r="H47" s="370">
        <v>56200</v>
      </c>
      <c r="I47" s="368"/>
      <c r="K47" s="309"/>
      <c r="L47" s="308"/>
      <c r="M47" s="211"/>
      <c r="N47" s="211"/>
      <c r="O47" s="309"/>
      <c r="P47" s="308"/>
      <c r="Q47" s="211"/>
      <c r="R47" s="273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K49" s="309" t="s">
        <v>470</v>
      </c>
      <c r="L49" s="308">
        <f>M42</f>
        <v>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K50" s="309" t="s">
        <v>239</v>
      </c>
      <c r="L50" s="308">
        <f>'OCT 21'!N56</f>
        <v>107327</v>
      </c>
      <c r="M50" s="211"/>
      <c r="N50" s="211"/>
      <c r="O50" s="309" t="s">
        <v>239</v>
      </c>
      <c r="P50" s="308">
        <f>'OCT 21'!R56</f>
        <v>74933.29999999993</v>
      </c>
      <c r="Q50" s="211"/>
      <c r="R50" s="273"/>
    </row>
    <row r="51" spans="1:19" x14ac:dyDescent="0.25">
      <c r="A51" s="166" t="s">
        <v>193</v>
      </c>
      <c r="B51" s="317">
        <f>B34+B36+B37+B38+B39-D35</f>
        <v>144264.34230528004</v>
      </c>
      <c r="C51" s="317"/>
      <c r="D51" s="318">
        <f>SUM(D42:D50)</f>
        <v>61000</v>
      </c>
      <c r="E51" s="318">
        <f>B51-D51</f>
        <v>83264.342305280035</v>
      </c>
      <c r="F51" s="166" t="s">
        <v>193</v>
      </c>
      <c r="G51" s="317">
        <f>G34+G36+G37+G39-H35</f>
        <v>140250.27520000003</v>
      </c>
      <c r="H51" s="318">
        <f>SUM(H42:H50)</f>
        <v>61000</v>
      </c>
      <c r="I51" s="318">
        <f>G51-H51</f>
        <v>79250.275200000033</v>
      </c>
      <c r="K51" s="309" t="s">
        <v>193</v>
      </c>
      <c r="L51" s="308">
        <f>L45+L47+L50+L49</f>
        <v>183827</v>
      </c>
      <c r="M51" s="211"/>
      <c r="N51" s="211"/>
      <c r="O51" s="309" t="s">
        <v>193</v>
      </c>
      <c r="P51" s="308">
        <f>P45+P47+P50+P48</f>
        <v>146833.59999999992</v>
      </c>
      <c r="Q51" s="211"/>
      <c r="R51" s="273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K52" s="212" t="s">
        <v>194</v>
      </c>
      <c r="L52" s="307"/>
      <c r="N52" s="214"/>
      <c r="O52" s="212" t="s">
        <v>194</v>
      </c>
      <c r="P52" s="307"/>
      <c r="Q52" s="214"/>
      <c r="R52" s="273"/>
    </row>
    <row r="53" spans="1:19" x14ac:dyDescent="0.25">
      <c r="A53" s="150" t="s">
        <v>71</v>
      </c>
      <c r="B53" s="150" t="s">
        <v>71</v>
      </c>
      <c r="C53" s="79"/>
      <c r="E53" s="150" t="s">
        <v>72</v>
      </c>
      <c r="H53" s="150" t="s">
        <v>73</v>
      </c>
      <c r="I53" s="269"/>
      <c r="K53" s="370"/>
      <c r="L53" s="370"/>
      <c r="N53" s="367"/>
      <c r="O53" s="370"/>
      <c r="P53" s="370"/>
      <c r="R53" s="368"/>
    </row>
    <row r="54" spans="1:19" x14ac:dyDescent="0.25">
      <c r="A54" s="150" t="s">
        <v>471</v>
      </c>
      <c r="B54" s="150" t="s">
        <v>471</v>
      </c>
      <c r="C54" s="150"/>
      <c r="E54" s="150" t="s">
        <v>135</v>
      </c>
      <c r="H54" s="150" t="s">
        <v>130</v>
      </c>
      <c r="K54" s="369" t="s">
        <v>697</v>
      </c>
      <c r="L54" s="370"/>
      <c r="M54" s="371">
        <v>73580</v>
      </c>
      <c r="N54" s="366"/>
      <c r="O54" s="369" t="s">
        <v>697</v>
      </c>
      <c r="P54" s="370"/>
      <c r="Q54" s="371">
        <v>73580</v>
      </c>
      <c r="R54" s="36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</row>
    <row r="56" spans="1:19" x14ac:dyDescent="0.25">
      <c r="K56" s="166" t="s">
        <v>193</v>
      </c>
      <c r="L56" s="317">
        <f>L45+L49+L50-M46</f>
        <v>176177</v>
      </c>
      <c r="M56" s="318">
        <f>SUM(M48:M55)</f>
        <v>73580</v>
      </c>
      <c r="N56" s="318">
        <f>L56-M56</f>
        <v>102597</v>
      </c>
      <c r="O56" s="166" t="s">
        <v>193</v>
      </c>
      <c r="P56" s="317">
        <f>P45+P47+P48+P50-Q46</f>
        <v>139183.59999999992</v>
      </c>
      <c r="Q56" s="318">
        <f>SUM(Q48:Q55)</f>
        <v>73580</v>
      </c>
      <c r="R56" s="318">
        <f>P56-Q56</f>
        <v>65603.599999999919</v>
      </c>
    </row>
    <row r="57" spans="1:19" x14ac:dyDescent="0.25">
      <c r="K57" s="150" t="s">
        <v>71</v>
      </c>
      <c r="L57" s="79"/>
      <c r="N57" s="150" t="s">
        <v>72</v>
      </c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N58" s="150" t="s">
        <v>135</v>
      </c>
      <c r="Q58" s="150" t="s">
        <v>130</v>
      </c>
      <c r="S58" s="220"/>
    </row>
    <row r="61" spans="1:19" x14ac:dyDescent="0.25">
      <c r="G61" s="125"/>
      <c r="M61" s="125"/>
    </row>
    <row r="62" spans="1:19" x14ac:dyDescent="0.25">
      <c r="I62" s="220">
        <f>I51+R56</f>
        <v>144853.87519999995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17" workbookViewId="0">
      <selection activeCell="G26" sqref="G26"/>
    </sheetView>
  </sheetViews>
  <sheetFormatPr defaultRowHeight="15" x14ac:dyDescent="0.25"/>
  <cols>
    <col min="1" max="1" width="16.140625" style="78" customWidth="1"/>
    <col min="2" max="5" width="9.140625" style="78"/>
    <col min="6" max="6" width="12.85546875" style="78" customWidth="1"/>
    <col min="7" max="10" width="9.140625" style="78"/>
    <col min="11" max="11" width="22" style="78" customWidth="1"/>
    <col min="12" max="12" width="13.7109375" style="78" customWidth="1"/>
    <col min="13" max="13" width="11.5703125" style="78" customWidth="1"/>
    <col min="14" max="16384" width="9.140625" style="78"/>
  </cols>
  <sheetData>
    <row r="1" spans="1:18" ht="15.75" x14ac:dyDescent="0.25">
      <c r="D1" s="251" t="s">
        <v>356</v>
      </c>
      <c r="E1" s="150"/>
      <c r="F1" s="150"/>
      <c r="G1" s="150"/>
      <c r="H1" s="150"/>
      <c r="I1" s="150"/>
      <c r="J1" s="150"/>
    </row>
    <row r="2" spans="1:18" ht="15.75" x14ac:dyDescent="0.25">
      <c r="A2" s="150"/>
      <c r="B2" s="150"/>
      <c r="C2" s="150"/>
      <c r="D2" s="250" t="s">
        <v>357</v>
      </c>
      <c r="E2" s="5"/>
      <c r="F2" s="150"/>
      <c r="G2" s="150"/>
      <c r="H2" s="150"/>
      <c r="I2" s="150"/>
      <c r="J2" s="150"/>
      <c r="M2" s="251" t="s">
        <v>356</v>
      </c>
      <c r="N2" s="150"/>
      <c r="O2" s="150"/>
      <c r="P2" s="150"/>
    </row>
    <row r="3" spans="1:18" ht="21" x14ac:dyDescent="0.25">
      <c r="A3" s="150"/>
      <c r="B3" s="150"/>
      <c r="C3" s="150"/>
      <c r="D3" s="5" t="s">
        <v>703</v>
      </c>
      <c r="E3" s="250"/>
      <c r="F3" s="103"/>
      <c r="G3" s="103"/>
      <c r="H3" s="103"/>
      <c r="I3" s="269"/>
      <c r="J3" s="150"/>
      <c r="M3" s="250" t="s">
        <v>357</v>
      </c>
      <c r="N3" s="5"/>
      <c r="O3" s="150"/>
      <c r="P3" s="150"/>
    </row>
    <row r="4" spans="1:18" ht="21" x14ac:dyDescent="0.25">
      <c r="A4" s="150"/>
      <c r="B4" s="150"/>
      <c r="C4" s="150"/>
      <c r="D4" s="5"/>
      <c r="E4" s="343" t="s">
        <v>435</v>
      </c>
      <c r="F4" s="103"/>
      <c r="G4" s="103"/>
      <c r="H4" s="103"/>
      <c r="I4" s="269"/>
      <c r="J4" s="150"/>
      <c r="M4" s="5" t="s">
        <v>696</v>
      </c>
      <c r="N4" s="250"/>
      <c r="O4" s="103"/>
      <c r="P4" s="103"/>
    </row>
    <row r="5" spans="1:18" x14ac:dyDescent="0.25">
      <c r="A5" s="332" t="s">
        <v>4</v>
      </c>
      <c r="B5" s="332" t="s">
        <v>5</v>
      </c>
      <c r="C5" s="332" t="s">
        <v>323</v>
      </c>
      <c r="D5" s="332" t="s">
        <v>239</v>
      </c>
      <c r="E5" s="332" t="s">
        <v>9</v>
      </c>
      <c r="F5" s="333" t="s">
        <v>10</v>
      </c>
      <c r="G5" s="333" t="s">
        <v>11</v>
      </c>
      <c r="H5" s="334" t="s">
        <v>12</v>
      </c>
      <c r="I5" s="318" t="s">
        <v>306</v>
      </c>
      <c r="J5" s="150"/>
      <c r="N5" s="384" t="s">
        <v>346</v>
      </c>
    </row>
    <row r="6" spans="1:18" x14ac:dyDescent="0.25">
      <c r="A6" s="196" t="s">
        <v>352</v>
      </c>
      <c r="B6" s="274" t="s">
        <v>50</v>
      </c>
      <c r="C6" s="274"/>
      <c r="D6" s="113">
        <f>'NOVEMBER 21'!I6:I19</f>
        <v>0</v>
      </c>
      <c r="E6" s="280">
        <v>3000</v>
      </c>
      <c r="F6" s="281">
        <v>100</v>
      </c>
      <c r="G6" s="276">
        <f t="shared" ref="G6:G16" si="0">D6+E6+F6+C6</f>
        <v>3100</v>
      </c>
      <c r="H6" s="277"/>
      <c r="I6" s="273">
        <f t="shared" ref="I6:I18" si="1">G6-H6</f>
        <v>3100</v>
      </c>
      <c r="J6" s="150"/>
      <c r="K6" s="353" t="s">
        <v>3</v>
      </c>
      <c r="L6" s="353" t="s">
        <v>4</v>
      </c>
      <c r="M6" s="353" t="s">
        <v>104</v>
      </c>
      <c r="N6" s="353" t="s">
        <v>8</v>
      </c>
      <c r="O6" s="353" t="s">
        <v>9</v>
      </c>
      <c r="P6" s="354" t="s">
        <v>11</v>
      </c>
      <c r="Q6" s="353" t="s">
        <v>12</v>
      </c>
      <c r="R6" s="355" t="s">
        <v>105</v>
      </c>
    </row>
    <row r="7" spans="1:18" x14ac:dyDescent="0.25">
      <c r="A7" s="196" t="s">
        <v>433</v>
      </c>
      <c r="B7" s="274" t="s">
        <v>52</v>
      </c>
      <c r="C7" s="274"/>
      <c r="D7" s="113">
        <f>'NOVEMBER 21'!I7:I20</f>
        <v>600</v>
      </c>
      <c r="E7" s="280">
        <v>3000</v>
      </c>
      <c r="F7" s="281">
        <v>100</v>
      </c>
      <c r="G7" s="276">
        <f t="shared" si="0"/>
        <v>3700</v>
      </c>
      <c r="H7" s="277">
        <v>3500</v>
      </c>
      <c r="I7" s="273">
        <f t="shared" si="1"/>
        <v>200</v>
      </c>
      <c r="J7" s="150"/>
      <c r="K7" s="83" t="s">
        <v>106</v>
      </c>
      <c r="L7" s="249" t="s">
        <v>681</v>
      </c>
      <c r="M7" s="85"/>
      <c r="N7" s="232">
        <f>'NOVEMBER 21'!R7</f>
        <v>0</v>
      </c>
      <c r="O7" s="320">
        <v>3000</v>
      </c>
      <c r="P7" s="232">
        <f>M7+N7+O7</f>
        <v>3000</v>
      </c>
      <c r="Q7" s="234"/>
      <c r="R7" s="319">
        <f>P7-Q7</f>
        <v>3000</v>
      </c>
    </row>
    <row r="8" spans="1:18" x14ac:dyDescent="0.25">
      <c r="A8" s="282" t="s">
        <v>699</v>
      </c>
      <c r="B8" s="274" t="s">
        <v>54</v>
      </c>
      <c r="C8" s="274">
        <v>3000</v>
      </c>
      <c r="D8" s="113">
        <f>'NOVEMBER 21'!I8:I21</f>
        <v>0</v>
      </c>
      <c r="E8" s="280">
        <v>3000</v>
      </c>
      <c r="F8" s="281">
        <v>100</v>
      </c>
      <c r="G8" s="276">
        <f t="shared" si="0"/>
        <v>6100</v>
      </c>
      <c r="H8" s="277">
        <f>2100+1000</f>
        <v>3100</v>
      </c>
      <c r="I8" s="273">
        <f t="shared" si="1"/>
        <v>3000</v>
      </c>
      <c r="J8" s="150"/>
      <c r="K8" s="83" t="s">
        <v>108</v>
      </c>
      <c r="L8" s="200" t="s">
        <v>284</v>
      </c>
      <c r="M8" s="85"/>
      <c r="N8" s="232">
        <f>'NOVEMBER 21'!R8</f>
        <v>0</v>
      </c>
      <c r="O8" s="320"/>
      <c r="P8" s="232">
        <f t="shared" ref="P8:P15" si="2">M8+N8+O8</f>
        <v>0</v>
      </c>
      <c r="Q8" s="232"/>
      <c r="R8" s="319">
        <f>P8-Q8</f>
        <v>0</v>
      </c>
    </row>
    <row r="9" spans="1:18" x14ac:dyDescent="0.25">
      <c r="A9" s="196" t="s">
        <v>228</v>
      </c>
      <c r="B9" s="274" t="s">
        <v>56</v>
      </c>
      <c r="C9" s="274"/>
      <c r="D9" s="113">
        <f>'NOVEMBER 21'!I9:I22</f>
        <v>0</v>
      </c>
      <c r="E9" s="280">
        <v>3000</v>
      </c>
      <c r="F9" s="281">
        <v>100</v>
      </c>
      <c r="G9" s="276">
        <f t="shared" si="0"/>
        <v>3100</v>
      </c>
      <c r="H9" s="277"/>
      <c r="I9" s="273">
        <f t="shared" si="1"/>
        <v>3100</v>
      </c>
      <c r="J9" s="150"/>
      <c r="K9" s="83" t="s">
        <v>110</v>
      </c>
      <c r="L9" s="110" t="s">
        <v>467</v>
      </c>
      <c r="M9" s="110"/>
      <c r="N9" s="232">
        <f>'NOVEMBER 21'!R9</f>
        <v>500</v>
      </c>
      <c r="O9" s="110">
        <v>2500</v>
      </c>
      <c r="P9" s="232">
        <f t="shared" si="2"/>
        <v>3000</v>
      </c>
      <c r="Q9" s="110"/>
      <c r="R9" s="319">
        <f t="shared" ref="R9:R16" si="3">P9-Q9</f>
        <v>3000</v>
      </c>
    </row>
    <row r="10" spans="1:18" x14ac:dyDescent="0.25">
      <c r="A10" s="282" t="s">
        <v>627</v>
      </c>
      <c r="B10" s="274" t="s">
        <v>58</v>
      </c>
      <c r="C10" s="274"/>
      <c r="D10" s="113">
        <f>'NOVEMBER 21'!I10:I23</f>
        <v>300</v>
      </c>
      <c r="E10" s="280">
        <v>3000</v>
      </c>
      <c r="F10" s="281">
        <v>100</v>
      </c>
      <c r="G10" s="276">
        <f t="shared" si="0"/>
        <v>3400</v>
      </c>
      <c r="H10" s="277"/>
      <c r="I10" s="273">
        <f>G10-H10</f>
        <v>3400</v>
      </c>
      <c r="J10" s="150"/>
      <c r="K10" s="87" t="s">
        <v>112</v>
      </c>
      <c r="L10" s="200" t="s">
        <v>578</v>
      </c>
      <c r="M10" s="110"/>
      <c r="N10" s="232">
        <f>'NOVEMBER 21'!R10</f>
        <v>0</v>
      </c>
      <c r="O10" s="321">
        <v>2500</v>
      </c>
      <c r="P10" s="232">
        <f t="shared" si="2"/>
        <v>2500</v>
      </c>
      <c r="Q10" s="319"/>
      <c r="R10" s="319">
        <f t="shared" si="3"/>
        <v>2500</v>
      </c>
    </row>
    <row r="11" spans="1:18" x14ac:dyDescent="0.25">
      <c r="A11" s="282" t="s">
        <v>682</v>
      </c>
      <c r="B11" s="274" t="s">
        <v>60</v>
      </c>
      <c r="C11" s="274"/>
      <c r="D11" s="113">
        <f>'NOVEMBER 21'!I11:I24</f>
        <v>3100</v>
      </c>
      <c r="E11" s="280">
        <v>3000</v>
      </c>
      <c r="F11" s="281">
        <v>100</v>
      </c>
      <c r="G11" s="276">
        <f t="shared" si="0"/>
        <v>6200</v>
      </c>
      <c r="H11" s="277">
        <f>2000</f>
        <v>2000</v>
      </c>
      <c r="I11" s="273">
        <f t="shared" si="1"/>
        <v>4200</v>
      </c>
      <c r="J11" s="150"/>
      <c r="K11" s="99" t="s">
        <v>114</v>
      </c>
      <c r="L11" s="200" t="s">
        <v>427</v>
      </c>
      <c r="M11" s="85"/>
      <c r="N11" s="232">
        <f>'NOVEMBER 21'!R11</f>
        <v>0</v>
      </c>
      <c r="O11" s="320">
        <v>2500</v>
      </c>
      <c r="P11" s="232">
        <f t="shared" si="2"/>
        <v>2500</v>
      </c>
      <c r="Q11" s="234"/>
      <c r="R11" s="319">
        <f t="shared" si="3"/>
        <v>2500</v>
      </c>
    </row>
    <row r="12" spans="1:18" x14ac:dyDescent="0.25">
      <c r="A12" s="282" t="s">
        <v>631</v>
      </c>
      <c r="B12" s="274" t="s">
        <v>62</v>
      </c>
      <c r="C12" s="274"/>
      <c r="D12" s="113">
        <f>'NOVEMBER 21'!I12:I25</f>
        <v>3050</v>
      </c>
      <c r="E12" s="280">
        <v>3000</v>
      </c>
      <c r="F12" s="281">
        <v>100</v>
      </c>
      <c r="G12" s="276">
        <f>D12+E12+F12+C12</f>
        <v>6150</v>
      </c>
      <c r="H12" s="277">
        <f>1000</f>
        <v>1000</v>
      </c>
      <c r="I12" s="273">
        <f t="shared" si="1"/>
        <v>5150</v>
      </c>
      <c r="J12" s="150"/>
      <c r="K12" s="93" t="s">
        <v>116</v>
      </c>
      <c r="L12" s="249" t="s">
        <v>120</v>
      </c>
      <c r="M12" s="110"/>
      <c r="N12" s="232">
        <f>'NOVEMBER 21'!R12</f>
        <v>0</v>
      </c>
      <c r="O12" s="325">
        <v>2500</v>
      </c>
      <c r="P12" s="232">
        <f t="shared" si="2"/>
        <v>2500</v>
      </c>
      <c r="Q12" s="326">
        <v>2500</v>
      </c>
      <c r="R12" s="319">
        <f>P12-Q12</f>
        <v>0</v>
      </c>
    </row>
    <row r="13" spans="1:18" x14ac:dyDescent="0.25">
      <c r="A13" s="196" t="s">
        <v>700</v>
      </c>
      <c r="B13" s="284" t="s">
        <v>64</v>
      </c>
      <c r="C13" s="274"/>
      <c r="D13" s="113">
        <f>'NOVEMBER 21'!I13:I26</f>
        <v>0</v>
      </c>
      <c r="E13" s="329">
        <v>3000</v>
      </c>
      <c r="F13" s="553">
        <v>100</v>
      </c>
      <c r="G13" s="276">
        <f t="shared" si="0"/>
        <v>3100</v>
      </c>
      <c r="H13" s="277">
        <f>3000+100</f>
        <v>3100</v>
      </c>
      <c r="I13" s="273">
        <f t="shared" si="1"/>
        <v>0</v>
      </c>
      <c r="J13" s="150"/>
      <c r="K13" s="83" t="s">
        <v>119</v>
      </c>
      <c r="L13" s="249" t="s">
        <v>120</v>
      </c>
      <c r="M13" s="85"/>
      <c r="N13" s="232">
        <f>'NOVEMBER 21'!R13</f>
        <v>0</v>
      </c>
      <c r="O13" s="320">
        <v>2500</v>
      </c>
      <c r="P13" s="232">
        <f t="shared" si="2"/>
        <v>2500</v>
      </c>
      <c r="Q13" s="234">
        <v>2500</v>
      </c>
      <c r="R13" s="319">
        <f t="shared" si="3"/>
        <v>0</v>
      </c>
    </row>
    <row r="14" spans="1:18" x14ac:dyDescent="0.25">
      <c r="A14" s="196" t="s">
        <v>702</v>
      </c>
      <c r="B14" s="284" t="s">
        <v>18</v>
      </c>
      <c r="C14" s="274"/>
      <c r="D14" s="113">
        <f>'NOVEMBER 21'!I14:I27</f>
        <v>0</v>
      </c>
      <c r="E14" s="329">
        <v>3000</v>
      </c>
      <c r="F14" s="553">
        <v>100</v>
      </c>
      <c r="G14" s="276">
        <f t="shared" si="0"/>
        <v>3100</v>
      </c>
      <c r="H14" s="277"/>
      <c r="I14" s="273">
        <f t="shared" si="1"/>
        <v>3100</v>
      </c>
      <c r="J14" s="445"/>
      <c r="K14" s="83" t="s">
        <v>121</v>
      </c>
      <c r="L14" s="249" t="s">
        <v>420</v>
      </c>
      <c r="M14" s="85"/>
      <c r="N14" s="232">
        <f>'NOVEMBER 21'!R14</f>
        <v>0</v>
      </c>
      <c r="O14" s="320"/>
      <c r="P14" s="232">
        <f t="shared" si="2"/>
        <v>0</v>
      </c>
      <c r="Q14" s="234"/>
      <c r="R14" s="319">
        <f t="shared" si="3"/>
        <v>0</v>
      </c>
    </row>
    <row r="15" spans="1:18" x14ac:dyDescent="0.25">
      <c r="A15" s="196" t="s">
        <v>651</v>
      </c>
      <c r="B15" s="284" t="s">
        <v>20</v>
      </c>
      <c r="C15" s="274"/>
      <c r="D15" s="113">
        <f>'NOVEMBER 21'!I15:I28</f>
        <v>0</v>
      </c>
      <c r="E15" s="329">
        <v>3000</v>
      </c>
      <c r="F15" s="553">
        <v>200</v>
      </c>
      <c r="G15" s="276">
        <f t="shared" si="0"/>
        <v>3200</v>
      </c>
      <c r="H15" s="277"/>
      <c r="I15" s="273">
        <f t="shared" si="1"/>
        <v>3200</v>
      </c>
      <c r="J15" s="150"/>
      <c r="K15" s="83" t="s">
        <v>123</v>
      </c>
      <c r="L15" s="200" t="s">
        <v>396</v>
      </c>
      <c r="M15" s="85">
        <v>500</v>
      </c>
      <c r="N15" s="232">
        <f>'NOVEMBER 21'!R15</f>
        <v>8000</v>
      </c>
      <c r="O15" s="320">
        <v>2500</v>
      </c>
      <c r="P15" s="232">
        <f t="shared" si="2"/>
        <v>11000</v>
      </c>
      <c r="Q15" s="234"/>
      <c r="R15" s="319">
        <f t="shared" si="3"/>
        <v>11000</v>
      </c>
    </row>
    <row r="16" spans="1:18" x14ac:dyDescent="0.25">
      <c r="A16" s="196" t="s">
        <v>698</v>
      </c>
      <c r="B16" s="284" t="s">
        <v>22</v>
      </c>
      <c r="C16" s="274"/>
      <c r="D16" s="113">
        <f>'NOVEMBER 21'!I16:I29</f>
        <v>0</v>
      </c>
      <c r="E16" s="329">
        <v>3000</v>
      </c>
      <c r="F16" s="553">
        <v>100</v>
      </c>
      <c r="G16" s="276">
        <f t="shared" si="0"/>
        <v>3100</v>
      </c>
      <c r="H16" s="277">
        <v>3100</v>
      </c>
      <c r="I16" s="273">
        <f t="shared" si="1"/>
        <v>0</v>
      </c>
      <c r="J16" s="150"/>
      <c r="K16" s="83" t="s">
        <v>125</v>
      </c>
      <c r="L16" s="200" t="s">
        <v>636</v>
      </c>
      <c r="M16" s="85"/>
      <c r="N16" s="232">
        <f>'NOVEMBER 21'!R16</f>
        <v>4500</v>
      </c>
      <c r="O16" s="231">
        <v>1500</v>
      </c>
      <c r="P16" s="232">
        <f>M16+N16+O16</f>
        <v>6000</v>
      </c>
      <c r="Q16" s="234"/>
      <c r="R16" s="319">
        <f t="shared" si="3"/>
        <v>6000</v>
      </c>
    </row>
    <row r="17" spans="1:18" x14ac:dyDescent="0.25">
      <c r="A17" s="196"/>
      <c r="B17" s="284" t="s">
        <v>24</v>
      </c>
      <c r="C17" s="274"/>
      <c r="D17" s="113">
        <f>'NOVEMBER 21'!I17:I30</f>
        <v>0</v>
      </c>
      <c r="E17" s="329"/>
      <c r="F17" s="553"/>
      <c r="G17" s="276"/>
      <c r="H17" s="277"/>
      <c r="I17" s="273">
        <f t="shared" si="1"/>
        <v>0</v>
      </c>
      <c r="J17" s="150"/>
      <c r="K17" s="83"/>
      <c r="L17" s="200"/>
      <c r="M17" s="85"/>
      <c r="N17" s="232">
        <f>'NOVEMBER 21'!R17</f>
        <v>0</v>
      </c>
      <c r="O17" s="231"/>
      <c r="P17" s="232"/>
      <c r="Q17" s="234"/>
      <c r="R17" s="450"/>
    </row>
    <row r="18" spans="1:18" x14ac:dyDescent="0.25">
      <c r="A18" s="196" t="s">
        <v>701</v>
      </c>
      <c r="B18" s="284" t="s">
        <v>26</v>
      </c>
      <c r="C18" s="274"/>
      <c r="D18" s="113">
        <f>'NOVEMBER 21'!I18:I31</f>
        <v>0</v>
      </c>
      <c r="E18" s="329">
        <v>3000</v>
      </c>
      <c r="F18" s="553">
        <v>100</v>
      </c>
      <c r="G18" s="276">
        <f>D18+E18+F18+C18</f>
        <v>3100</v>
      </c>
      <c r="H18" s="277"/>
      <c r="I18" s="273">
        <f t="shared" si="1"/>
        <v>3100</v>
      </c>
      <c r="J18" s="150"/>
      <c r="K18" s="83"/>
      <c r="L18" s="200"/>
      <c r="M18" s="85"/>
      <c r="N18" s="232">
        <f>'NOVEMBER 21'!R18</f>
        <v>0</v>
      </c>
      <c r="O18" s="231"/>
      <c r="P18" s="232"/>
      <c r="Q18" s="234"/>
      <c r="R18" s="450"/>
    </row>
    <row r="19" spans="1:18" x14ac:dyDescent="0.25">
      <c r="A19" s="282" t="s">
        <v>660</v>
      </c>
      <c r="B19" s="284" t="s">
        <v>28</v>
      </c>
      <c r="C19" s="274"/>
      <c r="D19" s="113">
        <f>'NOVEMBER 21'!I19:I32</f>
        <v>0</v>
      </c>
      <c r="E19" s="329">
        <v>3000</v>
      </c>
      <c r="F19" s="553">
        <v>100</v>
      </c>
      <c r="G19" s="276">
        <f>D19+E19+F19+C19</f>
        <v>3100</v>
      </c>
      <c r="H19" s="277">
        <v>3000</v>
      </c>
      <c r="I19" s="273">
        <f>G19-H19</f>
        <v>100</v>
      </c>
      <c r="J19" s="150"/>
      <c r="K19" s="83"/>
      <c r="L19" s="204" t="s">
        <v>193</v>
      </c>
      <c r="M19" s="205">
        <f>SUM(M7:M16)</f>
        <v>500</v>
      </c>
      <c r="N19" s="232">
        <f>SUM(N7:N18)</f>
        <v>13000</v>
      </c>
      <c r="O19" s="205">
        <f t="shared" ref="O19:P19" si="4">SUM(O7:O16)</f>
        <v>19500</v>
      </c>
      <c r="P19" s="205">
        <f t="shared" si="4"/>
        <v>33000</v>
      </c>
      <c r="Q19" s="240">
        <f>SUM(Q7:Q16)</f>
        <v>5000</v>
      </c>
      <c r="R19" s="323">
        <f>SUM(R7:R16)</f>
        <v>28000</v>
      </c>
    </row>
    <row r="20" spans="1:18" x14ac:dyDescent="0.25">
      <c r="A20" s="294" t="s">
        <v>193</v>
      </c>
      <c r="B20" s="293"/>
      <c r="C20" s="293">
        <f t="shared" ref="C20:I20" si="5">SUM(C6:C19)</f>
        <v>3000</v>
      </c>
      <c r="D20" s="113">
        <f>SUM(D6:D19)</f>
        <v>7050</v>
      </c>
      <c r="E20" s="240">
        <f t="shared" si="5"/>
        <v>39000</v>
      </c>
      <c r="F20" s="240">
        <f t="shared" si="5"/>
        <v>1400</v>
      </c>
      <c r="G20" s="276">
        <f t="shared" si="5"/>
        <v>50450</v>
      </c>
      <c r="H20" s="361">
        <f t="shared" si="5"/>
        <v>18800</v>
      </c>
      <c r="I20" s="273">
        <f t="shared" si="5"/>
        <v>31650</v>
      </c>
      <c r="J20" s="150" t="s">
        <v>557</v>
      </c>
      <c r="M20" s="384"/>
      <c r="N20" s="384" t="s">
        <v>481</v>
      </c>
      <c r="O20" s="384"/>
    </row>
    <row r="21" spans="1:18" ht="18.75" x14ac:dyDescent="0.25">
      <c r="A21" s="556"/>
      <c r="B21" s="556"/>
      <c r="C21" s="551"/>
      <c r="D21" s="78">
        <f>APRIL21!I21:I34</f>
        <v>0</v>
      </c>
      <c r="E21" s="552" t="s">
        <v>247</v>
      </c>
      <c r="F21" s="551"/>
      <c r="G21" s="556"/>
      <c r="H21" s="344"/>
      <c r="I21" s="273">
        <f>G21-H21</f>
        <v>0</v>
      </c>
      <c r="K21" s="83">
        <v>1</v>
      </c>
      <c r="L21" s="200" t="s">
        <v>612</v>
      </c>
      <c r="M21" s="85"/>
      <c r="N21" s="232">
        <f>'NOVEMBER 21'!R21</f>
        <v>0</v>
      </c>
      <c r="O21" s="320">
        <v>3500</v>
      </c>
      <c r="P21" s="232">
        <f t="shared" ref="P21:P38" si="6">M21+N21+O21</f>
        <v>3500</v>
      </c>
      <c r="Q21" s="232"/>
      <c r="R21" s="319">
        <f t="shared" ref="R21:R37" si="7">P21-Q21</f>
        <v>3500</v>
      </c>
    </row>
    <row r="22" spans="1:18" x14ac:dyDescent="0.25">
      <c r="A22" s="166"/>
      <c r="B22" s="166"/>
      <c r="C22" s="166"/>
      <c r="D22" s="166"/>
      <c r="E22" s="166" t="s">
        <v>9</v>
      </c>
      <c r="F22" s="166" t="s">
        <v>11</v>
      </c>
      <c r="G22" s="166" t="s">
        <v>12</v>
      </c>
      <c r="H22" s="166" t="s">
        <v>306</v>
      </c>
      <c r="I22" s="318"/>
      <c r="K22" s="83">
        <v>2</v>
      </c>
      <c r="L22" s="200" t="s">
        <v>670</v>
      </c>
      <c r="M22" s="85"/>
      <c r="N22" s="232">
        <f>'NOVEMBER 21'!R22</f>
        <v>4500</v>
      </c>
      <c r="O22" s="320">
        <v>3500</v>
      </c>
      <c r="P22" s="232">
        <f t="shared" si="6"/>
        <v>8000</v>
      </c>
      <c r="Q22" s="232">
        <v>2900</v>
      </c>
      <c r="R22" s="319">
        <f t="shared" si="7"/>
        <v>5100</v>
      </c>
    </row>
    <row r="23" spans="1:18" x14ac:dyDescent="0.25">
      <c r="A23" s="191" t="s">
        <v>313</v>
      </c>
      <c r="B23" s="85"/>
      <c r="C23" s="85"/>
      <c r="D23" s="86">
        <f>'NOVEMBER 21'!H23:H30</f>
        <v>0</v>
      </c>
      <c r="E23" s="232">
        <v>6000</v>
      </c>
      <c r="F23" s="232">
        <f>B23+E23+D23+C23</f>
        <v>6000</v>
      </c>
      <c r="G23" s="232"/>
      <c r="H23" s="273">
        <f>F23-G23</f>
        <v>6000</v>
      </c>
      <c r="I23" s="273"/>
      <c r="J23" s="78">
        <f>8400-7500</f>
        <v>900</v>
      </c>
      <c r="K23" s="83">
        <v>3</v>
      </c>
      <c r="L23" s="110" t="s">
        <v>671</v>
      </c>
      <c r="M23" s="110"/>
      <c r="N23" s="232">
        <f>'NOVEMBER 21'!R23</f>
        <v>0</v>
      </c>
      <c r="O23" s="110">
        <v>3500</v>
      </c>
      <c r="P23" s="232">
        <f t="shared" si="6"/>
        <v>3500</v>
      </c>
      <c r="Q23" s="110">
        <v>3500</v>
      </c>
      <c r="R23" s="319">
        <f t="shared" si="7"/>
        <v>0</v>
      </c>
    </row>
    <row r="24" spans="1:18" x14ac:dyDescent="0.25">
      <c r="A24" s="110" t="s">
        <v>313</v>
      </c>
      <c r="B24" s="113"/>
      <c r="C24" s="113"/>
      <c r="D24" s="86">
        <f>'NOVEMBER 21'!H24:H31</f>
        <v>0</v>
      </c>
      <c r="E24" s="110">
        <v>6000</v>
      </c>
      <c r="F24" s="232">
        <f>B24+E24+D24+C24</f>
        <v>6000</v>
      </c>
      <c r="G24" s="110"/>
      <c r="H24" s="273">
        <f t="shared" ref="H24:H30" si="8">F24-G24</f>
        <v>6000</v>
      </c>
      <c r="I24" s="273"/>
      <c r="K24" s="83">
        <v>4</v>
      </c>
      <c r="L24" s="200" t="s">
        <v>685</v>
      </c>
      <c r="M24" s="110"/>
      <c r="N24" s="232">
        <f>'NOVEMBER 21'!R24</f>
        <v>100</v>
      </c>
      <c r="O24" s="321">
        <v>3500</v>
      </c>
      <c r="P24" s="232">
        <f>M24+N24+O24</f>
        <v>3600</v>
      </c>
      <c r="Q24" s="319">
        <v>3600</v>
      </c>
      <c r="R24" s="319">
        <f t="shared" si="7"/>
        <v>0</v>
      </c>
    </row>
    <row r="25" spans="1:18" x14ac:dyDescent="0.25">
      <c r="A25" s="191" t="s">
        <v>665</v>
      </c>
      <c r="B25" s="85"/>
      <c r="C25" s="85"/>
      <c r="D25" s="86">
        <f>'NOVEMBER 21'!H25:H32</f>
        <v>0</v>
      </c>
      <c r="E25" s="231">
        <v>4000</v>
      </c>
      <c r="F25" s="232">
        <f>B25+E25+D25+C25</f>
        <v>4000</v>
      </c>
      <c r="G25" s="78">
        <v>4000</v>
      </c>
      <c r="H25" s="273">
        <f t="shared" si="8"/>
        <v>0</v>
      </c>
      <c r="I25" s="273"/>
      <c r="K25" s="83">
        <v>5</v>
      </c>
      <c r="L25" s="200" t="s">
        <v>679</v>
      </c>
      <c r="M25" s="85"/>
      <c r="N25" s="232">
        <f>'NOVEMBER 21'!R25</f>
        <v>9100</v>
      </c>
      <c r="O25" s="320">
        <v>3500</v>
      </c>
      <c r="P25" s="232">
        <f t="shared" si="6"/>
        <v>12600</v>
      </c>
      <c r="Q25" s="234">
        <v>3000</v>
      </c>
      <c r="R25" s="319">
        <f t="shared" si="7"/>
        <v>9600</v>
      </c>
    </row>
    <row r="26" spans="1:18" x14ac:dyDescent="0.25">
      <c r="A26" s="191"/>
      <c r="B26" s="85"/>
      <c r="C26" s="85"/>
      <c r="D26" s="86">
        <f>'NOVEMBER 21'!H26:H33</f>
        <v>0</v>
      </c>
      <c r="E26" s="231"/>
      <c r="F26" s="232">
        <f>B26+E26+D26</f>
        <v>0</v>
      </c>
      <c r="G26" s="110"/>
      <c r="H26" s="273"/>
      <c r="I26" s="273"/>
      <c r="K26" s="83">
        <v>6</v>
      </c>
      <c r="L26" s="249" t="s">
        <v>673</v>
      </c>
      <c r="M26" s="110"/>
      <c r="N26" s="232">
        <f>'NOVEMBER 21'!R26</f>
        <v>0</v>
      </c>
      <c r="O26" s="325">
        <v>3500</v>
      </c>
      <c r="P26" s="232">
        <f t="shared" si="6"/>
        <v>3500</v>
      </c>
      <c r="Q26" s="326"/>
      <c r="R26" s="319">
        <f t="shared" si="7"/>
        <v>3500</v>
      </c>
    </row>
    <row r="27" spans="1:18" x14ac:dyDescent="0.25">
      <c r="A27" s="191" t="s">
        <v>657</v>
      </c>
      <c r="B27" s="86"/>
      <c r="C27" s="86"/>
      <c r="D27" s="86">
        <f>'NOVEMBER 21'!H27:H34</f>
        <v>0</v>
      </c>
      <c r="E27" s="231">
        <v>4000</v>
      </c>
      <c r="F27" s="232">
        <f>B27+E27+D27+C27</f>
        <v>4000</v>
      </c>
      <c r="G27" s="110"/>
      <c r="H27" s="273">
        <f t="shared" si="8"/>
        <v>4000</v>
      </c>
      <c r="I27" s="273"/>
      <c r="K27" s="83">
        <v>7</v>
      </c>
      <c r="L27" s="548" t="s">
        <v>707</v>
      </c>
      <c r="M27" s="85"/>
      <c r="N27" s="232">
        <v>3500</v>
      </c>
      <c r="O27" s="320">
        <v>3500</v>
      </c>
      <c r="P27" s="232">
        <f t="shared" si="6"/>
        <v>7000</v>
      </c>
      <c r="Q27" s="234">
        <v>3000</v>
      </c>
      <c r="R27" s="319">
        <f t="shared" si="7"/>
        <v>4000</v>
      </c>
    </row>
    <row r="28" spans="1:18" ht="22.5" x14ac:dyDescent="0.25">
      <c r="A28" s="191" t="s">
        <v>658</v>
      </c>
      <c r="B28" s="85"/>
      <c r="C28" s="85"/>
      <c r="D28" s="86">
        <f>'NOVEMBER 21'!H28:H35</f>
        <v>2000</v>
      </c>
      <c r="E28" s="231">
        <v>4000</v>
      </c>
      <c r="F28" s="232">
        <f>C28+D28+E28</f>
        <v>6000</v>
      </c>
      <c r="G28" s="110"/>
      <c r="H28" s="273">
        <f t="shared" si="8"/>
        <v>6000</v>
      </c>
      <c r="I28" s="273"/>
      <c r="J28" s="220">
        <f>H31+I20</f>
        <v>57650</v>
      </c>
      <c r="K28" s="83">
        <v>8</v>
      </c>
      <c r="L28" s="249" t="s">
        <v>706</v>
      </c>
      <c r="M28" s="85"/>
      <c r="N28" s="232">
        <v>3500</v>
      </c>
      <c r="O28" s="320">
        <v>3500</v>
      </c>
      <c r="P28" s="232">
        <f t="shared" si="6"/>
        <v>7000</v>
      </c>
      <c r="Q28" s="234">
        <v>4500</v>
      </c>
      <c r="R28" s="319">
        <f t="shared" si="7"/>
        <v>2500</v>
      </c>
    </row>
    <row r="29" spans="1:18" x14ac:dyDescent="0.25">
      <c r="A29" s="218" t="s">
        <v>539</v>
      </c>
      <c r="B29" s="85"/>
      <c r="C29" s="85"/>
      <c r="D29" s="86">
        <f>'NOVEMBER 21'!H29:H36</f>
        <v>0</v>
      </c>
      <c r="E29" s="231">
        <v>4000</v>
      </c>
      <c r="F29" s="232">
        <f>B29+E29+D29</f>
        <v>4000</v>
      </c>
      <c r="G29" s="110"/>
      <c r="H29" s="273">
        <f t="shared" si="8"/>
        <v>4000</v>
      </c>
      <c r="I29" s="273"/>
      <c r="K29" s="83">
        <v>9</v>
      </c>
      <c r="L29" s="200" t="s">
        <v>496</v>
      </c>
      <c r="M29" s="85"/>
      <c r="N29" s="232">
        <f>'NOVEMBER 21'!R29</f>
        <v>0</v>
      </c>
      <c r="O29" s="320">
        <v>3500</v>
      </c>
      <c r="P29" s="232">
        <f>M29+N29+O29</f>
        <v>3500</v>
      </c>
      <c r="Q29" s="234"/>
      <c r="R29" s="319">
        <f t="shared" si="7"/>
        <v>3500</v>
      </c>
    </row>
    <row r="30" spans="1:18" x14ac:dyDescent="0.25">
      <c r="A30" s="210" t="s">
        <v>456</v>
      </c>
      <c r="B30" s="85">
        <v>0</v>
      </c>
      <c r="C30" s="85"/>
      <c r="D30" s="86">
        <f>'NOVEMBER 21'!H30:H37</f>
        <v>0</v>
      </c>
      <c r="E30" s="231">
        <v>4000</v>
      </c>
      <c r="F30" s="232">
        <f>B30+E30+D30</f>
        <v>4000</v>
      </c>
      <c r="G30" s="110">
        <v>4000</v>
      </c>
      <c r="H30" s="273">
        <f t="shared" si="8"/>
        <v>0</v>
      </c>
      <c r="I30" s="273"/>
      <c r="K30" s="83">
        <v>10</v>
      </c>
      <c r="L30" s="200" t="s">
        <v>675</v>
      </c>
      <c r="M30" s="85"/>
      <c r="N30" s="232">
        <f>'NOVEMBER 21'!R30</f>
        <v>0</v>
      </c>
      <c r="O30" s="320">
        <v>3500</v>
      </c>
      <c r="P30" s="232">
        <f t="shared" si="6"/>
        <v>3500</v>
      </c>
      <c r="Q30" s="234"/>
      <c r="R30" s="319">
        <f t="shared" si="7"/>
        <v>3500</v>
      </c>
    </row>
    <row r="31" spans="1:18" x14ac:dyDescent="0.25">
      <c r="A31" s="339" t="s">
        <v>193</v>
      </c>
      <c r="B31" s="42"/>
      <c r="C31" s="42">
        <f>SUM(C22:C30)</f>
        <v>0</v>
      </c>
      <c r="D31" s="86">
        <f>SUM(D23:D30)</f>
        <v>2000</v>
      </c>
      <c r="E31" s="240">
        <f>SUM(E23:E30)</f>
        <v>32000</v>
      </c>
      <c r="F31" s="232">
        <f>SUM(F23:F30)</f>
        <v>34000</v>
      </c>
      <c r="G31" s="535">
        <f>SUM(G23:G30)</f>
        <v>8000</v>
      </c>
      <c r="H31" s="273">
        <f>F31-G31</f>
        <v>26000</v>
      </c>
      <c r="I31" s="273"/>
      <c r="K31" s="83">
        <v>11</v>
      </c>
      <c r="L31" s="249" t="s">
        <v>474</v>
      </c>
      <c r="M31" s="85"/>
      <c r="N31" s="232">
        <f>'NOVEMBER 21'!R31</f>
        <v>0</v>
      </c>
      <c r="O31" s="320">
        <v>3500</v>
      </c>
      <c r="P31" s="232">
        <f>M31+N31+O31</f>
        <v>3500</v>
      </c>
      <c r="Q31" s="234">
        <v>3500</v>
      </c>
      <c r="R31" s="319">
        <f>P31-Q31</f>
        <v>0</v>
      </c>
    </row>
    <row r="32" spans="1:18" ht="22.5" x14ac:dyDescent="0.25">
      <c r="A32" s="79"/>
      <c r="B32" s="106"/>
      <c r="C32" s="106"/>
      <c r="D32" s="107"/>
      <c r="E32" s="106"/>
      <c r="F32" s="108"/>
      <c r="G32" s="106"/>
      <c r="H32" s="150"/>
      <c r="I32" s="269"/>
      <c r="J32" s="220">
        <f>H31+I20</f>
        <v>57650</v>
      </c>
      <c r="K32" s="83">
        <v>12</v>
      </c>
      <c r="L32" s="200" t="s">
        <v>705</v>
      </c>
      <c r="M32" s="85">
        <v>3500</v>
      </c>
      <c r="N32" s="232"/>
      <c r="O32" s="320">
        <v>3500</v>
      </c>
      <c r="P32" s="232">
        <f>M32+N32+O32</f>
        <v>7000</v>
      </c>
      <c r="Q32" s="234">
        <v>4000</v>
      </c>
      <c r="R32" s="319">
        <f t="shared" si="7"/>
        <v>3000</v>
      </c>
    </row>
    <row r="33" spans="1:19" x14ac:dyDescent="0.25">
      <c r="A33" s="359" t="s">
        <v>204</v>
      </c>
      <c r="B33" s="359" t="s">
        <v>205</v>
      </c>
      <c r="C33" s="359"/>
      <c r="D33" s="359" t="s">
        <v>207</v>
      </c>
      <c r="E33" s="359" t="s">
        <v>208</v>
      </c>
      <c r="F33" s="359" t="s">
        <v>204</v>
      </c>
      <c r="G33" s="359" t="s">
        <v>205</v>
      </c>
      <c r="H33" s="359" t="s">
        <v>207</v>
      </c>
      <c r="I33" s="360" t="s">
        <v>306</v>
      </c>
      <c r="K33" s="83">
        <v>13</v>
      </c>
      <c r="L33" s="200" t="s">
        <v>659</v>
      </c>
      <c r="M33" s="85"/>
      <c r="N33" s="232">
        <f>'NOVEMBER 21'!R33</f>
        <v>8500</v>
      </c>
      <c r="O33" s="320">
        <v>3500</v>
      </c>
      <c r="P33" s="232">
        <f>M33+N33+O33</f>
        <v>12000</v>
      </c>
      <c r="Q33" s="234"/>
      <c r="R33" s="319">
        <f>P33-Q33</f>
        <v>12000</v>
      </c>
    </row>
    <row r="34" spans="1:19" x14ac:dyDescent="0.25">
      <c r="A34" s="211" t="s">
        <v>289</v>
      </c>
      <c r="B34" s="273">
        <f>E31+E20</f>
        <v>71000</v>
      </c>
      <c r="C34" s="273"/>
      <c r="D34" s="164"/>
      <c r="E34" s="164"/>
      <c r="F34" s="211" t="s">
        <v>289</v>
      </c>
      <c r="G34" s="273">
        <f>G31+H20</f>
        <v>26800</v>
      </c>
      <c r="H34" s="164"/>
      <c r="I34" s="273"/>
      <c r="K34" s="83">
        <v>14</v>
      </c>
      <c r="L34" s="200" t="s">
        <v>480</v>
      </c>
      <c r="M34" s="85"/>
      <c r="N34" s="232">
        <f>'NOVEMBER 21'!R34</f>
        <v>0</v>
      </c>
      <c r="O34" s="320">
        <v>3500</v>
      </c>
      <c r="P34" s="232">
        <f t="shared" si="6"/>
        <v>3500</v>
      </c>
      <c r="Q34" s="234"/>
      <c r="R34" s="319">
        <f t="shared" si="7"/>
        <v>3500</v>
      </c>
    </row>
    <row r="35" spans="1:19" x14ac:dyDescent="0.25">
      <c r="A35" s="211" t="s">
        <v>209</v>
      </c>
      <c r="B35" s="307">
        <v>0.1</v>
      </c>
      <c r="C35" s="307"/>
      <c r="D35" s="308">
        <f>B34*B35</f>
        <v>7100</v>
      </c>
      <c r="E35" s="211"/>
      <c r="F35" s="211" t="s">
        <v>209</v>
      </c>
      <c r="G35" s="307">
        <v>0.1</v>
      </c>
      <c r="H35" s="308">
        <f>D35</f>
        <v>7100</v>
      </c>
      <c r="I35" s="273"/>
      <c r="K35" s="83">
        <v>15</v>
      </c>
      <c r="L35" s="200" t="s">
        <v>680</v>
      </c>
      <c r="M35" s="85"/>
      <c r="N35" s="232">
        <f>'NOVEMBER 21'!R35</f>
        <v>2000</v>
      </c>
      <c r="O35" s="320">
        <v>3500</v>
      </c>
      <c r="P35" s="232">
        <f>M35+N35+O35</f>
        <v>5500</v>
      </c>
      <c r="Q35" s="234"/>
      <c r="R35" s="319">
        <f>P35-Q35</f>
        <v>5500</v>
      </c>
    </row>
    <row r="36" spans="1:19" x14ac:dyDescent="0.25">
      <c r="A36" s="309" t="s">
        <v>232</v>
      </c>
      <c r="B36" s="308">
        <f>F20</f>
        <v>1400</v>
      </c>
      <c r="C36" s="308"/>
      <c r="D36" s="211"/>
      <c r="E36" s="309"/>
      <c r="G36" s="308"/>
      <c r="H36" s="211"/>
      <c r="I36" s="273"/>
      <c r="K36" s="83">
        <v>16</v>
      </c>
      <c r="L36" s="200" t="s">
        <v>488</v>
      </c>
      <c r="M36" s="85"/>
      <c r="N36" s="232">
        <f>'NOVEMBER 21'!R36</f>
        <v>0</v>
      </c>
      <c r="O36" s="320">
        <v>3500</v>
      </c>
      <c r="P36" s="232">
        <f>M36+N36+O36</f>
        <v>3500</v>
      </c>
      <c r="Q36" s="234">
        <v>3500</v>
      </c>
      <c r="R36" s="319">
        <f>P36-Q36</f>
        <v>0</v>
      </c>
    </row>
    <row r="37" spans="1:19" x14ac:dyDescent="0.25">
      <c r="A37" s="309" t="s">
        <v>468</v>
      </c>
      <c r="B37" s="308">
        <v>3000</v>
      </c>
      <c r="C37" s="308"/>
      <c r="D37" s="211"/>
      <c r="E37" s="211"/>
      <c r="F37" s="309" t="s">
        <v>468</v>
      </c>
      <c r="G37" s="308">
        <v>3000</v>
      </c>
      <c r="H37" s="211"/>
      <c r="I37" s="273"/>
      <c r="K37" s="83">
        <v>17</v>
      </c>
      <c r="L37" s="200" t="s">
        <v>689</v>
      </c>
      <c r="M37" s="85"/>
      <c r="N37" s="232">
        <f>'NOVEMBER 21'!R37</f>
        <v>0</v>
      </c>
      <c r="O37" s="320">
        <v>3500</v>
      </c>
      <c r="P37" s="232">
        <f t="shared" si="6"/>
        <v>3500</v>
      </c>
      <c r="Q37" s="234">
        <f>1750+1750</f>
        <v>3500</v>
      </c>
      <c r="R37" s="319">
        <f t="shared" si="7"/>
        <v>0</v>
      </c>
    </row>
    <row r="38" spans="1:19" x14ac:dyDescent="0.25">
      <c r="A38" s="309" t="s">
        <v>470</v>
      </c>
      <c r="B38" s="308">
        <f>C31</f>
        <v>0</v>
      </c>
      <c r="C38" s="308"/>
      <c r="D38" s="211"/>
      <c r="E38" s="211"/>
      <c r="F38" s="309" t="s">
        <v>323</v>
      </c>
      <c r="G38" s="308"/>
      <c r="H38" s="211"/>
      <c r="I38" s="273"/>
      <c r="K38" s="83">
        <v>18</v>
      </c>
      <c r="L38" s="200" t="s">
        <v>526</v>
      </c>
      <c r="M38" s="85"/>
      <c r="N38" s="232">
        <f>'NOVEMBER 21'!R38</f>
        <v>5200</v>
      </c>
      <c r="O38" s="320">
        <v>3500</v>
      </c>
      <c r="P38" s="232">
        <f t="shared" si="6"/>
        <v>8700</v>
      </c>
      <c r="Q38" s="234"/>
      <c r="R38" s="319">
        <f>P38-Q38</f>
        <v>8700</v>
      </c>
    </row>
    <row r="39" spans="1:19" x14ac:dyDescent="0.25">
      <c r="A39" s="309" t="s">
        <v>239</v>
      </c>
      <c r="B39" s="308">
        <f>'NOVEMBER 21'!E51</f>
        <v>83264.342305280035</v>
      </c>
      <c r="C39" s="308"/>
      <c r="D39" s="211"/>
      <c r="E39" s="211"/>
      <c r="F39" s="309" t="s">
        <v>239</v>
      </c>
      <c r="G39" s="308">
        <f>'NOVEMBER 21'!I51</f>
        <v>79250.275200000033</v>
      </c>
      <c r="H39" s="211"/>
      <c r="I39" s="273"/>
      <c r="K39" s="83">
        <v>19</v>
      </c>
      <c r="L39" s="200" t="s">
        <v>596</v>
      </c>
      <c r="M39" s="85"/>
      <c r="N39" s="232">
        <f>'NOVEMBER 21'!R39</f>
        <v>0</v>
      </c>
      <c r="O39" s="320">
        <v>3500</v>
      </c>
      <c r="P39" s="232">
        <f>M39+N39+O39</f>
        <v>3500</v>
      </c>
      <c r="Q39" s="234"/>
      <c r="R39" s="319">
        <f>P39-Q39</f>
        <v>3500</v>
      </c>
    </row>
    <row r="40" spans="1:19" x14ac:dyDescent="0.25">
      <c r="A40" s="309"/>
      <c r="B40" s="308"/>
      <c r="C40" s="308"/>
      <c r="D40" s="211"/>
      <c r="E40" s="211"/>
      <c r="F40" s="309"/>
      <c r="G40" s="308"/>
      <c r="H40" s="211"/>
      <c r="I40" s="273"/>
      <c r="K40" s="83">
        <v>20</v>
      </c>
      <c r="L40" s="200" t="s">
        <v>684</v>
      </c>
      <c r="M40" s="85"/>
      <c r="N40" s="232">
        <f>'NOVEMBER 21'!R40</f>
        <v>0</v>
      </c>
      <c r="O40" s="320">
        <v>3500</v>
      </c>
      <c r="P40" s="232">
        <f>M40+N40+O40</f>
        <v>3500</v>
      </c>
      <c r="Q40" s="234"/>
      <c r="R40" s="319">
        <v>9</v>
      </c>
    </row>
    <row r="41" spans="1:19" x14ac:dyDescent="0.25">
      <c r="A41" s="309" t="s">
        <v>193</v>
      </c>
      <c r="B41" s="308">
        <f>B34+B36+B39+B37</f>
        <v>158664.34230528004</v>
      </c>
      <c r="C41" s="308"/>
      <c r="D41" s="211"/>
      <c r="E41" s="211"/>
      <c r="F41" s="309" t="s">
        <v>193</v>
      </c>
      <c r="G41" s="308">
        <f>G34+G36+G39+G37</f>
        <v>109050.27520000003</v>
      </c>
      <c r="H41" s="211"/>
      <c r="I41" s="273"/>
      <c r="K41" s="83">
        <v>21</v>
      </c>
      <c r="L41" s="200" t="s">
        <v>680</v>
      </c>
      <c r="M41" s="85"/>
      <c r="N41" s="232">
        <f>'NOVEMBER 21'!R41</f>
        <v>0</v>
      </c>
      <c r="O41" s="320">
        <v>3500</v>
      </c>
      <c r="P41" s="232">
        <f>M41+N41+O41</f>
        <v>3500</v>
      </c>
      <c r="Q41" s="234"/>
      <c r="R41" s="319">
        <f>P41-Q41</f>
        <v>3500</v>
      </c>
    </row>
    <row r="42" spans="1:19" x14ac:dyDescent="0.25">
      <c r="A42" s="365"/>
      <c r="B42" s="366"/>
      <c r="C42" s="366"/>
      <c r="D42" s="367"/>
      <c r="E42" s="366"/>
      <c r="F42" s="309"/>
      <c r="G42" s="308"/>
      <c r="H42" s="367"/>
      <c r="I42" s="368"/>
      <c r="J42" s="78">
        <f>7000-4500</f>
        <v>2500</v>
      </c>
      <c r="K42" s="83"/>
      <c r="L42" s="204" t="s">
        <v>193</v>
      </c>
      <c r="M42" s="205">
        <f>SUM(M21:M41)</f>
        <v>3500</v>
      </c>
      <c r="N42" s="232">
        <f>SUM(N21:N41)</f>
        <v>36400</v>
      </c>
      <c r="O42" s="239">
        <f>SUM(O21:O41)</f>
        <v>73500</v>
      </c>
      <c r="P42" s="232">
        <f>SUM(P21:P41)</f>
        <v>113400</v>
      </c>
      <c r="Q42" s="240">
        <f>SUM(Q21:Q41)</f>
        <v>35000</v>
      </c>
      <c r="R42" s="319">
        <f>P42-Q42</f>
        <v>78400</v>
      </c>
    </row>
    <row r="43" spans="1:19" x14ac:dyDescent="0.25">
      <c r="A43" s="446" t="s">
        <v>194</v>
      </c>
      <c r="B43" s="366"/>
      <c r="C43" s="366"/>
      <c r="D43" s="367"/>
      <c r="E43" s="366"/>
      <c r="F43" s="446" t="s">
        <v>194</v>
      </c>
      <c r="G43" s="366"/>
      <c r="H43" s="367"/>
      <c r="I43" s="368"/>
      <c r="K43" s="382" t="s">
        <v>509</v>
      </c>
      <c r="L43" s="106"/>
      <c r="M43" s="107"/>
      <c r="N43" s="232" t="str">
        <f>'FEBRUARY 21'!R42:R64</f>
        <v>BAL</v>
      </c>
      <c r="O43" s="108"/>
      <c r="P43" s="106"/>
      <c r="Q43" s="150"/>
      <c r="R43" s="269"/>
    </row>
    <row r="44" spans="1:19" x14ac:dyDescent="0.25">
      <c r="A44" s="369" t="s">
        <v>468</v>
      </c>
      <c r="D44" s="371">
        <v>3000</v>
      </c>
      <c r="E44" s="370"/>
      <c r="F44" s="369" t="s">
        <v>468</v>
      </c>
      <c r="H44" s="371">
        <v>3000</v>
      </c>
      <c r="I44" s="368"/>
      <c r="K44" s="359" t="s">
        <v>204</v>
      </c>
      <c r="L44" s="359" t="s">
        <v>205</v>
      </c>
      <c r="M44" s="359" t="s">
        <v>207</v>
      </c>
      <c r="N44" s="232">
        <f>'FEBRUARY 21'!R43:R65</f>
        <v>0</v>
      </c>
      <c r="O44" s="359" t="s">
        <v>204</v>
      </c>
      <c r="P44" s="359" t="s">
        <v>205</v>
      </c>
      <c r="Q44" s="359" t="s">
        <v>207</v>
      </c>
      <c r="R44" s="360" t="s">
        <v>306</v>
      </c>
    </row>
    <row r="45" spans="1:19" x14ac:dyDescent="0.25">
      <c r="A45" s="369"/>
      <c r="B45" s="370"/>
      <c r="C45" s="370"/>
      <c r="D45" s="371"/>
      <c r="E45" s="370"/>
      <c r="F45" s="369"/>
      <c r="G45" s="370"/>
      <c r="H45" s="371"/>
      <c r="I45" s="368"/>
      <c r="K45" s="211" t="s">
        <v>289</v>
      </c>
      <c r="L45" s="273">
        <f>O42+O19</f>
        <v>93000</v>
      </c>
      <c r="M45" s="164"/>
      <c r="N45" s="232">
        <f>'FEBRUARY 21'!R44:R66</f>
        <v>0</v>
      </c>
      <c r="O45" s="211" t="s">
        <v>289</v>
      </c>
      <c r="P45" s="273">
        <f>Q42+Q19</f>
        <v>40000</v>
      </c>
      <c r="Q45" s="164"/>
      <c r="R45" s="273"/>
    </row>
    <row r="46" spans="1:19" x14ac:dyDescent="0.25">
      <c r="A46" s="370" t="s">
        <v>408</v>
      </c>
      <c r="B46" s="449">
        <v>0.3</v>
      </c>
      <c r="C46" s="449"/>
      <c r="D46" s="368"/>
      <c r="E46" s="370"/>
      <c r="F46" s="370" t="s">
        <v>408</v>
      </c>
      <c r="G46" s="449">
        <v>0.3</v>
      </c>
      <c r="H46" s="368"/>
      <c r="I46" s="368"/>
      <c r="K46" s="211" t="s">
        <v>209</v>
      </c>
      <c r="L46" s="307">
        <v>0.1</v>
      </c>
      <c r="M46" s="308">
        <f>L45*L46</f>
        <v>9300</v>
      </c>
      <c r="N46" s="211"/>
      <c r="O46" s="211" t="s">
        <v>209</v>
      </c>
      <c r="P46" s="307">
        <v>0.1</v>
      </c>
      <c r="Q46" s="308">
        <f>M46</f>
        <v>9300</v>
      </c>
      <c r="R46" s="273"/>
    </row>
    <row r="47" spans="1:19" x14ac:dyDescent="0.25">
      <c r="A47" s="370" t="s">
        <v>622</v>
      </c>
      <c r="B47" s="370"/>
      <c r="C47" s="370"/>
      <c r="D47" s="368">
        <v>79250</v>
      </c>
      <c r="E47" s="370"/>
      <c r="F47" s="370" t="s">
        <v>622</v>
      </c>
      <c r="G47" s="370"/>
      <c r="H47" s="370">
        <v>79250</v>
      </c>
      <c r="I47" s="368"/>
      <c r="K47" s="309"/>
      <c r="L47" s="308"/>
      <c r="M47" s="211"/>
      <c r="N47" s="211"/>
      <c r="O47" s="309"/>
      <c r="P47" s="308"/>
      <c r="Q47" s="211"/>
      <c r="R47" s="273"/>
    </row>
    <row r="48" spans="1:19" x14ac:dyDescent="0.25">
      <c r="A48" s="369"/>
      <c r="B48" s="370"/>
      <c r="C48" s="370"/>
      <c r="D48" s="371"/>
      <c r="E48" s="370"/>
      <c r="F48" s="369"/>
      <c r="G48" s="370"/>
      <c r="H48" s="370"/>
      <c r="I48" s="371"/>
      <c r="K48" s="211" t="s">
        <v>408</v>
      </c>
      <c r="L48" s="307">
        <v>0.3</v>
      </c>
      <c r="M48" s="102">
        <f>L48*M24+(L48*M40)+(L48*M37)+(L48*M35)</f>
        <v>0</v>
      </c>
      <c r="N48" s="211"/>
      <c r="O48" s="211" t="s">
        <v>408</v>
      </c>
      <c r="P48" s="307">
        <v>0.3</v>
      </c>
      <c r="Q48" s="308">
        <f>M48</f>
        <v>0</v>
      </c>
      <c r="R48" s="273"/>
      <c r="S48" s="220"/>
    </row>
    <row r="49" spans="1:19" x14ac:dyDescent="0.25">
      <c r="A49" s="369"/>
      <c r="B49" s="370"/>
      <c r="C49" s="370"/>
      <c r="D49" s="371"/>
      <c r="E49" s="370"/>
      <c r="F49" s="369"/>
      <c r="G49" s="370"/>
      <c r="H49" s="371"/>
      <c r="I49" s="368"/>
      <c r="K49" s="309" t="s">
        <v>470</v>
      </c>
      <c r="L49" s="308">
        <f>M42</f>
        <v>3500</v>
      </c>
      <c r="M49" s="308"/>
      <c r="N49" s="211"/>
      <c r="O49" s="309"/>
      <c r="P49" s="308"/>
      <c r="Q49" s="211"/>
      <c r="R49" s="273"/>
      <c r="S49" s="220"/>
    </row>
    <row r="50" spans="1:19" x14ac:dyDescent="0.25">
      <c r="A50" s="369"/>
      <c r="B50" s="370"/>
      <c r="C50" s="370"/>
      <c r="D50" s="371"/>
      <c r="E50" s="370"/>
      <c r="F50" s="369"/>
      <c r="G50" s="370"/>
      <c r="H50" s="371"/>
      <c r="I50" s="368"/>
      <c r="K50" s="309" t="s">
        <v>239</v>
      </c>
      <c r="L50" s="308">
        <f>'NOVEMBER 21'!N56</f>
        <v>102597</v>
      </c>
      <c r="M50" s="211"/>
      <c r="N50" s="211"/>
      <c r="O50" s="309" t="s">
        <v>239</v>
      </c>
      <c r="P50" s="308">
        <f>'NOVEMBER 21'!R56</f>
        <v>65603.599999999919</v>
      </c>
      <c r="Q50" s="211"/>
      <c r="R50" s="273"/>
    </row>
    <row r="51" spans="1:19" x14ac:dyDescent="0.25">
      <c r="A51" s="166" t="s">
        <v>193</v>
      </c>
      <c r="B51" s="317">
        <f>B34+B36+B37+B38+B39-D35</f>
        <v>151564.34230528004</v>
      </c>
      <c r="C51" s="317"/>
      <c r="D51" s="318">
        <f>SUM(D42:D50)</f>
        <v>82250</v>
      </c>
      <c r="E51" s="318">
        <f>B51-D51</f>
        <v>69314.342305280035</v>
      </c>
      <c r="F51" s="166" t="s">
        <v>193</v>
      </c>
      <c r="G51" s="317">
        <f>G34+G36+G37+G39-H35</f>
        <v>101950.27520000003</v>
      </c>
      <c r="H51" s="318">
        <f>SUM(H42:H50)</f>
        <v>82250</v>
      </c>
      <c r="I51" s="318">
        <f>G51-H51</f>
        <v>19700.275200000033</v>
      </c>
      <c r="K51" s="309" t="s">
        <v>193</v>
      </c>
      <c r="L51" s="308">
        <f>L45+L47+L50+L49</f>
        <v>199097</v>
      </c>
      <c r="M51" s="211"/>
      <c r="N51" s="211"/>
      <c r="O51" s="309" t="s">
        <v>193</v>
      </c>
      <c r="P51" s="308">
        <f>P45+P47+P50+P48</f>
        <v>105603.89999999992</v>
      </c>
      <c r="Q51" s="211"/>
      <c r="R51" s="273"/>
    </row>
    <row r="52" spans="1:19" x14ac:dyDescent="0.25">
      <c r="A52" s="150"/>
      <c r="B52" s="150"/>
      <c r="C52" s="150"/>
      <c r="D52" s="150"/>
      <c r="E52" s="150"/>
      <c r="F52" s="150"/>
      <c r="G52" s="79"/>
      <c r="H52" s="150"/>
      <c r="I52" s="269"/>
      <c r="K52" s="212" t="s">
        <v>194</v>
      </c>
      <c r="L52" s="307"/>
      <c r="N52" s="214"/>
      <c r="O52" s="212" t="s">
        <v>194</v>
      </c>
      <c r="P52" s="307"/>
      <c r="Q52" s="214"/>
      <c r="R52" s="273"/>
    </row>
    <row r="53" spans="1:19" x14ac:dyDescent="0.25">
      <c r="A53" s="150" t="s">
        <v>71</v>
      </c>
      <c r="B53" s="150" t="s">
        <v>71</v>
      </c>
      <c r="C53" s="79"/>
      <c r="E53" s="150" t="s">
        <v>72</v>
      </c>
      <c r="H53" s="150" t="s">
        <v>73</v>
      </c>
      <c r="I53" s="269"/>
      <c r="K53" s="370" t="s">
        <v>622</v>
      </c>
      <c r="L53" s="370"/>
      <c r="M53" s="78">
        <v>65604</v>
      </c>
      <c r="N53" s="367"/>
      <c r="O53" s="370" t="s">
        <v>622</v>
      </c>
      <c r="P53" s="370"/>
      <c r="Q53" s="78">
        <v>65604</v>
      </c>
      <c r="R53" s="368"/>
    </row>
    <row r="54" spans="1:19" x14ac:dyDescent="0.25">
      <c r="A54" s="150" t="s">
        <v>471</v>
      </c>
      <c r="B54" s="150" t="s">
        <v>471</v>
      </c>
      <c r="C54" s="150"/>
      <c r="E54" s="150" t="s">
        <v>135</v>
      </c>
      <c r="H54" s="150" t="s">
        <v>130</v>
      </c>
      <c r="K54" s="369"/>
      <c r="L54" s="370"/>
      <c r="M54" s="371"/>
      <c r="N54" s="366"/>
      <c r="O54" s="369"/>
      <c r="P54" s="370"/>
      <c r="Q54" s="371"/>
      <c r="R54" s="368"/>
    </row>
    <row r="55" spans="1:19" x14ac:dyDescent="0.25">
      <c r="K55" s="369"/>
      <c r="L55" s="370"/>
      <c r="M55" s="371"/>
      <c r="N55" s="370"/>
      <c r="O55" s="369"/>
      <c r="P55" s="370"/>
      <c r="Q55" s="371"/>
      <c r="R55" s="368"/>
    </row>
    <row r="56" spans="1:19" x14ac:dyDescent="0.25">
      <c r="K56" s="166" t="s">
        <v>193</v>
      </c>
      <c r="L56" s="317">
        <f>L45+L49+L50-M46</f>
        <v>189797</v>
      </c>
      <c r="M56" s="318">
        <f>SUM(M48:M55)</f>
        <v>65604</v>
      </c>
      <c r="N56" s="318">
        <f>L56-M56</f>
        <v>124193</v>
      </c>
      <c r="O56" s="166" t="s">
        <v>193</v>
      </c>
      <c r="P56" s="317">
        <f>P45+P47+P48+P50-Q46</f>
        <v>96303.899999999921</v>
      </c>
      <c r="Q56" s="318">
        <f>SUM(Q48:Q55)</f>
        <v>65604</v>
      </c>
      <c r="R56" s="318">
        <f>P56-Q56</f>
        <v>30699.899999999921</v>
      </c>
    </row>
    <row r="57" spans="1:19" x14ac:dyDescent="0.25">
      <c r="K57" s="150" t="s">
        <v>71</v>
      </c>
      <c r="L57" s="79"/>
      <c r="N57" s="150" t="s">
        <v>72</v>
      </c>
      <c r="Q57" s="150" t="s">
        <v>73</v>
      </c>
      <c r="R57" s="269"/>
      <c r="S57" s="220"/>
    </row>
    <row r="58" spans="1:19" x14ac:dyDescent="0.25">
      <c r="K58" s="150" t="s">
        <v>471</v>
      </c>
      <c r="L58" s="150"/>
      <c r="N58" s="150" t="s">
        <v>135</v>
      </c>
      <c r="Q58" s="150" t="s">
        <v>130</v>
      </c>
      <c r="S58" s="220"/>
    </row>
    <row r="61" spans="1:19" x14ac:dyDescent="0.25">
      <c r="M61" s="1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49" workbookViewId="0">
      <selection activeCell="D72" sqref="D72"/>
    </sheetView>
  </sheetViews>
  <sheetFormatPr defaultRowHeight="15" x14ac:dyDescent="0.25"/>
  <cols>
    <col min="2" max="2" width="13" customWidth="1"/>
    <col min="4" max="4" width="11.42578125" customWidth="1"/>
    <col min="8" max="8" width="11.5703125" bestFit="1" customWidth="1"/>
    <col min="11" max="11" width="11.85546875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</row>
    <row r="2" spans="1:9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</row>
    <row r="3" spans="1:9" ht="21" x14ac:dyDescent="0.25">
      <c r="A3" s="8"/>
      <c r="B3" s="64" t="s">
        <v>160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</row>
    <row r="5" spans="1:9" x14ac:dyDescent="0.25">
      <c r="A5" s="16">
        <v>1</v>
      </c>
      <c r="B5" s="116" t="s">
        <v>83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>
        <v>2500</v>
      </c>
      <c r="I5" s="19">
        <v>100</v>
      </c>
    </row>
    <row r="6" spans="1:9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>
        <v>2500</v>
      </c>
      <c r="I6" s="19">
        <v>100</v>
      </c>
    </row>
    <row r="7" spans="1:9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>
        <v>2500</v>
      </c>
      <c r="I7" s="19">
        <v>100</v>
      </c>
    </row>
    <row r="8" spans="1:9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>
        <v>2500</v>
      </c>
      <c r="I8" s="19">
        <v>100</v>
      </c>
    </row>
    <row r="9" spans="1:9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>
        <v>2500</v>
      </c>
      <c r="I9" s="19">
        <v>100</v>
      </c>
    </row>
    <row r="10" spans="1:9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>
        <v>4100</v>
      </c>
      <c r="I10" s="19">
        <v>0</v>
      </c>
    </row>
    <row r="11" spans="1:9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>
        <v>2500</v>
      </c>
      <c r="I11" s="19">
        <v>100</v>
      </c>
    </row>
    <row r="12" spans="1:9" x14ac:dyDescent="0.25">
      <c r="A12" s="16">
        <v>8</v>
      </c>
      <c r="B12" s="124" t="s">
        <v>138</v>
      </c>
      <c r="C12" s="17" t="s">
        <v>32</v>
      </c>
      <c r="D12" s="18"/>
      <c r="E12" s="18">
        <v>2500</v>
      </c>
      <c r="F12" s="18">
        <v>100</v>
      </c>
      <c r="G12" s="18">
        <f t="shared" si="0"/>
        <v>2600</v>
      </c>
      <c r="H12" s="19">
        <v>5200</v>
      </c>
      <c r="I12" s="19">
        <v>0</v>
      </c>
    </row>
    <row r="13" spans="1:9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>
        <v>2500</v>
      </c>
      <c r="I13" s="19">
        <v>100</v>
      </c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>
        <v>2500</v>
      </c>
      <c r="I14" s="19">
        <v>100</v>
      </c>
    </row>
    <row r="15" spans="1:9" x14ac:dyDescent="0.25">
      <c r="A15" s="16">
        <v>11</v>
      </c>
      <c r="B15" s="116" t="s">
        <v>149</v>
      </c>
      <c r="C15" s="17" t="s">
        <v>38</v>
      </c>
      <c r="D15" s="18">
        <v>2500</v>
      </c>
      <c r="E15" s="18">
        <v>2500</v>
      </c>
      <c r="F15" s="18"/>
      <c r="G15" s="18">
        <v>2500</v>
      </c>
      <c r="H15" s="19">
        <v>2500</v>
      </c>
      <c r="I15" s="19"/>
    </row>
    <row r="16" spans="1:9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>
        <v>2500</v>
      </c>
      <c r="I16" s="19">
        <v>100</v>
      </c>
    </row>
    <row r="17" spans="1:9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>
        <v>2500</v>
      </c>
      <c r="I17" s="19">
        <v>100</v>
      </c>
    </row>
    <row r="18" spans="1:9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>
        <v>2500</v>
      </c>
      <c r="I18" s="19">
        <v>100</v>
      </c>
    </row>
    <row r="19" spans="1:9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>
        <v>2500</v>
      </c>
      <c r="I19" s="19">
        <v>100</v>
      </c>
    </row>
    <row r="20" spans="1:9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>
        <v>2500</v>
      </c>
      <c r="I20" s="19">
        <v>100</v>
      </c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>
        <v>3000</v>
      </c>
      <c r="I21" s="19">
        <v>100</v>
      </c>
    </row>
    <row r="22" spans="1:9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>
        <v>3000</v>
      </c>
      <c r="I22" s="19">
        <v>100</v>
      </c>
    </row>
    <row r="23" spans="1:9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>
        <v>3000</v>
      </c>
      <c r="I23" s="19">
        <v>100</v>
      </c>
    </row>
    <row r="24" spans="1:9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>
        <v>3000</v>
      </c>
      <c r="I24" s="19">
        <v>100</v>
      </c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0</v>
      </c>
      <c r="G25" s="18">
        <f t="shared" si="0"/>
        <v>3000</v>
      </c>
      <c r="H25" s="19">
        <v>6000</v>
      </c>
      <c r="I25" s="19">
        <v>0</v>
      </c>
    </row>
    <row r="26" spans="1:9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>
        <v>3000</v>
      </c>
      <c r="I26" s="19">
        <v>100</v>
      </c>
    </row>
    <row r="27" spans="1:9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>
        <v>3100</v>
      </c>
      <c r="I27" s="19"/>
    </row>
    <row r="28" spans="1:9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>
        <v>3000</v>
      </c>
      <c r="I28" s="34">
        <v>100</v>
      </c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</row>
    <row r="30" spans="1:9" x14ac:dyDescent="0.25">
      <c r="A30" s="38"/>
      <c r="B30" s="39" t="s">
        <v>65</v>
      </c>
      <c r="C30" s="38"/>
      <c r="D30" s="102">
        <f ca="1">SUM(D5:D30)</f>
        <v>44345115000</v>
      </c>
      <c r="E30" s="40">
        <f>SUM(E5:E29)</f>
        <v>64000</v>
      </c>
      <c r="F30" s="42">
        <f>SUM(F5:F28)</f>
        <v>2200</v>
      </c>
      <c r="G30" s="18">
        <f>SUM(G5:G29)</f>
        <v>66200</v>
      </c>
      <c r="H30" s="40">
        <f>SUM(H5:H29)</f>
        <v>71400</v>
      </c>
      <c r="I30" s="40">
        <f>SUM(I5:I28)</f>
        <v>1900</v>
      </c>
    </row>
    <row r="31" spans="1:9" x14ac:dyDescent="0.25">
      <c r="A31" s="78"/>
      <c r="B31" s="78"/>
      <c r="C31" s="78"/>
      <c r="D31" s="78"/>
      <c r="E31" s="78"/>
      <c r="F31" s="78"/>
      <c r="G31" s="78"/>
      <c r="H31" s="78"/>
      <c r="I31" s="78"/>
    </row>
    <row r="32" spans="1:9" ht="21" x14ac:dyDescent="0.25">
      <c r="A32" s="80"/>
      <c r="B32" s="80"/>
      <c r="C32" s="104" t="s">
        <v>103</v>
      </c>
      <c r="D32" s="78"/>
      <c r="E32" s="103"/>
      <c r="F32" s="103"/>
      <c r="G32" s="103"/>
      <c r="H32" s="78" t="s">
        <v>159</v>
      </c>
      <c r="I32" s="78"/>
    </row>
    <row r="33" spans="1:9" ht="21" x14ac:dyDescent="0.25">
      <c r="A33" s="80"/>
      <c r="B33" s="80"/>
      <c r="C33" s="103"/>
      <c r="D33" s="104"/>
      <c r="E33" s="103"/>
      <c r="F33" s="103"/>
      <c r="G33" s="103"/>
      <c r="H33" s="78"/>
      <c r="I33" s="78"/>
    </row>
    <row r="34" spans="1:9" x14ac:dyDescent="0.25">
      <c r="A34" s="81" t="s">
        <v>3</v>
      </c>
      <c r="B34" s="81" t="s">
        <v>4</v>
      </c>
      <c r="C34" s="81" t="s">
        <v>104</v>
      </c>
      <c r="D34" s="81" t="s">
        <v>8</v>
      </c>
      <c r="E34" s="81" t="s">
        <v>9</v>
      </c>
      <c r="F34" s="82" t="s">
        <v>11</v>
      </c>
      <c r="G34" s="81" t="s">
        <v>12</v>
      </c>
      <c r="H34" s="82" t="s">
        <v>105</v>
      </c>
      <c r="I34" s="78"/>
    </row>
    <row r="35" spans="1:9" x14ac:dyDescent="0.25">
      <c r="A35" s="83" t="s">
        <v>106</v>
      </c>
      <c r="B35" s="84" t="s">
        <v>139</v>
      </c>
      <c r="C35" s="85"/>
      <c r="D35" s="86">
        <v>0</v>
      </c>
      <c r="E35" s="85">
        <v>3000</v>
      </c>
      <c r="F35" s="86"/>
      <c r="G35" s="86"/>
      <c r="H35" s="113"/>
      <c r="I35" s="78"/>
    </row>
    <row r="36" spans="1:9" x14ac:dyDescent="0.25">
      <c r="A36" s="83" t="s">
        <v>108</v>
      </c>
      <c r="B36" s="84" t="s">
        <v>109</v>
      </c>
      <c r="C36" s="85"/>
      <c r="D36" s="86">
        <v>0</v>
      </c>
      <c r="E36" s="85"/>
      <c r="F36" s="86"/>
      <c r="G36" s="86"/>
      <c r="H36" s="113"/>
      <c r="I36" s="78"/>
    </row>
    <row r="37" spans="1:9" x14ac:dyDescent="0.25">
      <c r="A37" s="83" t="s">
        <v>110</v>
      </c>
      <c r="B37" s="121" t="s">
        <v>149</v>
      </c>
      <c r="C37" s="85"/>
      <c r="D37" s="86"/>
      <c r="E37" s="85">
        <v>2500</v>
      </c>
      <c r="F37" s="86">
        <v>2500</v>
      </c>
      <c r="G37" s="98">
        <v>2500</v>
      </c>
      <c r="H37" s="113"/>
      <c r="I37" s="78"/>
    </row>
    <row r="38" spans="1:9" x14ac:dyDescent="0.25">
      <c r="A38" s="87" t="s">
        <v>112</v>
      </c>
      <c r="B38" s="123" t="s">
        <v>113</v>
      </c>
      <c r="C38" s="89"/>
      <c r="D38" s="90"/>
      <c r="E38" s="89">
        <v>2500</v>
      </c>
      <c r="F38" s="90">
        <v>2500</v>
      </c>
      <c r="G38" s="114">
        <v>2500</v>
      </c>
      <c r="H38" s="113"/>
      <c r="I38" s="78"/>
    </row>
    <row r="39" spans="1:9" x14ac:dyDescent="0.25">
      <c r="A39" s="99" t="s">
        <v>114</v>
      </c>
      <c r="B39" s="122" t="s">
        <v>115</v>
      </c>
      <c r="C39" s="86"/>
      <c r="D39" s="86">
        <v>0</v>
      </c>
      <c r="E39" s="86">
        <v>2500</v>
      </c>
      <c r="F39" s="86">
        <v>2500</v>
      </c>
      <c r="G39" s="98">
        <v>2500</v>
      </c>
      <c r="H39" s="113"/>
      <c r="I39" s="78"/>
    </row>
    <row r="40" spans="1:9" x14ac:dyDescent="0.25">
      <c r="A40" s="93" t="s">
        <v>116</v>
      </c>
      <c r="B40" s="84" t="s">
        <v>149</v>
      </c>
      <c r="C40" s="94"/>
      <c r="D40" s="92">
        <v>0</v>
      </c>
      <c r="E40" s="94">
        <v>2500</v>
      </c>
      <c r="F40" s="95">
        <v>2500</v>
      </c>
      <c r="G40" s="115">
        <v>2500</v>
      </c>
      <c r="H40" s="113"/>
      <c r="I40" s="78"/>
    </row>
    <row r="41" spans="1:9" x14ac:dyDescent="0.25">
      <c r="A41" s="83" t="s">
        <v>119</v>
      </c>
      <c r="B41" s="120" t="s">
        <v>120</v>
      </c>
      <c r="C41" s="85"/>
      <c r="D41" s="92">
        <v>0</v>
      </c>
      <c r="E41" s="85">
        <v>2500</v>
      </c>
      <c r="F41" s="86">
        <v>2500</v>
      </c>
      <c r="G41" s="98">
        <v>2500</v>
      </c>
      <c r="H41" s="113"/>
      <c r="I41" s="78"/>
    </row>
    <row r="42" spans="1:9" x14ac:dyDescent="0.25">
      <c r="A42" s="83" t="s">
        <v>121</v>
      </c>
      <c r="B42" s="121" t="s">
        <v>149</v>
      </c>
      <c r="C42" s="85"/>
      <c r="D42" s="92">
        <v>0</v>
      </c>
      <c r="E42" s="85">
        <v>2500</v>
      </c>
      <c r="F42" s="86">
        <v>2500</v>
      </c>
      <c r="G42" s="98">
        <v>2500</v>
      </c>
      <c r="H42" s="113"/>
      <c r="I42" s="78"/>
    </row>
    <row r="43" spans="1:9" x14ac:dyDescent="0.25">
      <c r="A43" s="83" t="s">
        <v>123</v>
      </c>
      <c r="B43" s="121"/>
      <c r="C43" s="85"/>
      <c r="D43" s="92"/>
      <c r="E43" s="85"/>
      <c r="F43" s="86"/>
      <c r="G43" s="98"/>
      <c r="H43" s="113"/>
      <c r="I43" s="78"/>
    </row>
    <row r="44" spans="1:9" x14ac:dyDescent="0.25">
      <c r="A44" s="83" t="s">
        <v>125</v>
      </c>
      <c r="B44" s="121" t="s">
        <v>107</v>
      </c>
      <c r="C44" s="85"/>
      <c r="D44" s="92">
        <v>0</v>
      </c>
      <c r="E44" s="85">
        <v>1500</v>
      </c>
      <c r="F44" s="86">
        <v>1500</v>
      </c>
      <c r="G44" s="98"/>
      <c r="H44" s="113"/>
      <c r="I44" s="78"/>
    </row>
    <row r="45" spans="1:9" x14ac:dyDescent="0.25">
      <c r="A45" s="83"/>
      <c r="B45" s="91"/>
      <c r="C45" s="85">
        <v>0</v>
      </c>
      <c r="D45" s="92">
        <v>0</v>
      </c>
      <c r="E45" s="85"/>
      <c r="F45" s="86"/>
      <c r="G45" s="86"/>
      <c r="H45" s="113"/>
      <c r="I45" s="78"/>
    </row>
    <row r="46" spans="1:9" x14ac:dyDescent="0.25">
      <c r="A46" s="96"/>
      <c r="B46" s="84"/>
      <c r="C46" s="86"/>
      <c r="D46" s="92"/>
      <c r="E46" s="86"/>
      <c r="F46" s="86"/>
      <c r="G46" s="86"/>
      <c r="H46" s="113"/>
      <c r="I46" s="78"/>
    </row>
    <row r="47" spans="1:9" x14ac:dyDescent="0.25">
      <c r="A47" s="97"/>
      <c r="B47" s="97"/>
      <c r="C47" s="98"/>
      <c r="D47" s="100"/>
      <c r="E47" s="98">
        <f>SUM(E35:E46)</f>
        <v>19500</v>
      </c>
      <c r="F47" s="98">
        <v>19000</v>
      </c>
      <c r="G47" s="98">
        <v>19000</v>
      </c>
      <c r="H47" s="113"/>
      <c r="I47" s="78"/>
    </row>
    <row r="48" spans="1:9" x14ac:dyDescent="0.25">
      <c r="A48" s="109"/>
      <c r="B48" s="109"/>
      <c r="C48" s="111"/>
      <c r="D48" s="112"/>
      <c r="E48" s="111"/>
      <c r="F48" s="111"/>
      <c r="G48" s="111"/>
      <c r="H48" s="78"/>
      <c r="I48" s="78"/>
    </row>
    <row r="49" spans="1:11" x14ac:dyDescent="0.25">
      <c r="A49" s="83">
        <v>1</v>
      </c>
      <c r="B49" s="116" t="s">
        <v>127</v>
      </c>
      <c r="C49" s="85" t="s">
        <v>155</v>
      </c>
      <c r="D49" s="86"/>
      <c r="E49" s="86">
        <v>4500</v>
      </c>
      <c r="F49" s="86"/>
      <c r="G49" s="86"/>
      <c r="H49" s="78"/>
      <c r="I49" s="78"/>
    </row>
    <row r="50" spans="1:11" x14ac:dyDescent="0.25">
      <c r="A50" s="83">
        <v>2</v>
      </c>
      <c r="B50" s="116" t="s">
        <v>128</v>
      </c>
      <c r="C50" s="85"/>
      <c r="D50" s="86"/>
      <c r="E50" s="85">
        <v>4500</v>
      </c>
      <c r="F50" s="86"/>
      <c r="G50" s="86"/>
      <c r="H50" s="78"/>
      <c r="I50" s="78"/>
    </row>
    <row r="51" spans="1:11" x14ac:dyDescent="0.25">
      <c r="A51" s="83">
        <v>3</v>
      </c>
      <c r="B51" s="116" t="s">
        <v>129</v>
      </c>
      <c r="C51" s="85"/>
      <c r="D51" s="86"/>
      <c r="E51" s="85">
        <v>4500</v>
      </c>
      <c r="F51" s="86"/>
      <c r="G51" s="86"/>
      <c r="H51" s="78"/>
      <c r="I51" s="78"/>
    </row>
    <row r="52" spans="1:11" x14ac:dyDescent="0.25">
      <c r="A52" s="87">
        <v>4</v>
      </c>
      <c r="B52" s="116" t="s">
        <v>107</v>
      </c>
      <c r="C52" s="86">
        <v>4500</v>
      </c>
      <c r="D52" s="78"/>
      <c r="E52" s="85">
        <v>4500</v>
      </c>
      <c r="F52" s="86"/>
      <c r="G52" s="86"/>
      <c r="H52" s="78"/>
      <c r="I52" s="78"/>
    </row>
    <row r="53" spans="1:11" x14ac:dyDescent="0.25">
      <c r="A53" s="99">
        <v>5</v>
      </c>
      <c r="B53" s="116" t="s">
        <v>99</v>
      </c>
      <c r="C53" s="85"/>
      <c r="D53" s="86"/>
      <c r="E53" s="85">
        <v>4500</v>
      </c>
      <c r="F53" s="86"/>
      <c r="G53" s="86"/>
      <c r="H53" s="78"/>
      <c r="I53" s="78"/>
    </row>
    <row r="54" spans="1:11" x14ac:dyDescent="0.25">
      <c r="A54" s="93">
        <v>6</v>
      </c>
      <c r="B54" s="116" t="s">
        <v>98</v>
      </c>
      <c r="C54" s="85"/>
      <c r="D54" s="86"/>
      <c r="E54" s="85">
        <v>4500</v>
      </c>
      <c r="F54" s="86"/>
      <c r="G54" s="86"/>
      <c r="H54" s="78"/>
      <c r="I54" s="78"/>
    </row>
    <row r="55" spans="1:11" x14ac:dyDescent="0.25">
      <c r="A55" s="83"/>
      <c r="B55" s="91"/>
      <c r="C55" s="85">
        <v>0</v>
      </c>
      <c r="D55" s="92">
        <v>0</v>
      </c>
      <c r="E55" s="85"/>
      <c r="F55" s="86"/>
      <c r="G55" s="86"/>
      <c r="H55" s="78"/>
      <c r="I55" s="78"/>
    </row>
    <row r="56" spans="1:11" x14ac:dyDescent="0.25">
      <c r="A56" s="96"/>
      <c r="B56" s="84"/>
      <c r="C56" s="86"/>
      <c r="D56" s="92"/>
      <c r="E56" s="86"/>
      <c r="F56" s="86"/>
      <c r="G56" s="86"/>
      <c r="H56" s="78"/>
      <c r="I56" s="78"/>
    </row>
    <row r="57" spans="1:11" x14ac:dyDescent="0.25">
      <c r="A57" s="97"/>
      <c r="B57" s="97"/>
      <c r="C57" s="98">
        <v>4500</v>
      </c>
      <c r="D57" s="98"/>
      <c r="E57" s="98">
        <v>27000</v>
      </c>
      <c r="F57" s="98">
        <v>27000</v>
      </c>
      <c r="G57" s="98">
        <v>27000</v>
      </c>
      <c r="H57" s="78"/>
      <c r="I57" s="78"/>
    </row>
    <row r="58" spans="1:11" x14ac:dyDescent="0.25">
      <c r="A58" s="79"/>
      <c r="B58" s="79"/>
      <c r="C58" s="106"/>
      <c r="D58" s="107"/>
      <c r="E58" s="106"/>
      <c r="F58" s="108"/>
      <c r="G58" s="106"/>
      <c r="H58" s="78"/>
      <c r="I58" s="78"/>
    </row>
    <row r="59" spans="1:11" ht="15.75" x14ac:dyDescent="0.3">
      <c r="A59" s="43"/>
      <c r="B59" s="44" t="s">
        <v>66</v>
      </c>
      <c r="C59" s="43"/>
      <c r="D59" s="45"/>
      <c r="E59" s="46"/>
      <c r="F59" s="79"/>
      <c r="G59" s="79"/>
      <c r="H59" s="78"/>
      <c r="I59" s="45"/>
    </row>
    <row r="60" spans="1:11" ht="15.75" x14ac:dyDescent="0.3">
      <c r="A60" s="50"/>
      <c r="B60" s="46" t="s">
        <v>67</v>
      </c>
      <c r="C60" s="50"/>
      <c r="D60" s="102">
        <f>E30+E47+E57</f>
        <v>110500</v>
      </c>
      <c r="E60" s="78"/>
      <c r="F60" s="78"/>
      <c r="G60" s="78"/>
      <c r="H60" s="78"/>
      <c r="I60" s="44"/>
      <c r="J60" s="43"/>
      <c r="K60" s="45"/>
    </row>
    <row r="61" spans="1:11" x14ac:dyDescent="0.25">
      <c r="A61" s="50"/>
      <c r="B61" s="46" t="s">
        <v>162</v>
      </c>
      <c r="C61" s="50"/>
      <c r="D61" s="78">
        <v>21175</v>
      </c>
      <c r="E61" s="78"/>
      <c r="F61" s="78"/>
      <c r="G61" s="78"/>
      <c r="H61" s="78"/>
      <c r="I61" s="46"/>
      <c r="J61" s="50"/>
      <c r="K61" s="102"/>
    </row>
    <row r="62" spans="1:11" s="78" customFormat="1" x14ac:dyDescent="0.25">
      <c r="A62" s="50"/>
      <c r="B62" s="78" t="s">
        <v>141</v>
      </c>
      <c r="C62" s="46"/>
      <c r="D62" s="147">
        <v>3000</v>
      </c>
      <c r="I62" s="46"/>
      <c r="J62" s="50"/>
    </row>
    <row r="63" spans="1:11" x14ac:dyDescent="0.25">
      <c r="A63" s="50"/>
      <c r="B63" s="46" t="s">
        <v>10</v>
      </c>
      <c r="C63" s="78"/>
      <c r="D63" s="79">
        <v>2300</v>
      </c>
      <c r="E63" s="79"/>
      <c r="F63" s="78"/>
      <c r="G63" s="78"/>
      <c r="H63" s="54"/>
      <c r="I63" s="78"/>
      <c r="J63" s="46"/>
      <c r="K63" s="147"/>
    </row>
    <row r="64" spans="1:11" x14ac:dyDescent="0.25">
      <c r="A64" s="78"/>
      <c r="B64" s="46" t="s">
        <v>69</v>
      </c>
      <c r="C64" s="78"/>
      <c r="D64" s="102">
        <f>D60+D61+D62+D63</f>
        <v>136975</v>
      </c>
      <c r="E64" s="78"/>
      <c r="F64" s="78"/>
      <c r="G64" s="78"/>
      <c r="H64" s="102"/>
      <c r="I64" s="46"/>
      <c r="J64" s="78"/>
      <c r="K64" s="79"/>
    </row>
    <row r="65" spans="1:11" x14ac:dyDescent="0.25">
      <c r="A65" s="50"/>
      <c r="B65" s="57" t="s">
        <v>70</v>
      </c>
      <c r="C65" s="46"/>
      <c r="D65" s="78"/>
      <c r="E65" s="78"/>
      <c r="F65" s="78"/>
      <c r="G65" s="78"/>
      <c r="H65" s="79"/>
      <c r="I65" s="46"/>
      <c r="J65" s="78"/>
      <c r="K65" s="102"/>
    </row>
    <row r="66" spans="1:11" s="78" customFormat="1" x14ac:dyDescent="0.25">
      <c r="A66" s="50"/>
      <c r="B66" s="57" t="s">
        <v>166</v>
      </c>
      <c r="C66" s="46"/>
      <c r="D66" s="78">
        <v>3000</v>
      </c>
      <c r="H66" s="79"/>
      <c r="I66" s="46"/>
      <c r="K66" s="102"/>
    </row>
    <row r="67" spans="1:11" x14ac:dyDescent="0.25">
      <c r="A67" s="50" t="s">
        <v>102</v>
      </c>
      <c r="B67" s="77">
        <v>0.08</v>
      </c>
      <c r="C67" s="46"/>
      <c r="D67" s="102">
        <f>D60*B67</f>
        <v>8840</v>
      </c>
      <c r="E67" s="79" t="s">
        <v>71</v>
      </c>
      <c r="F67" s="79"/>
      <c r="G67" s="102"/>
      <c r="H67" s="78"/>
      <c r="I67" s="57"/>
      <c r="J67" s="46"/>
      <c r="K67" s="78"/>
    </row>
    <row r="68" spans="1:11" x14ac:dyDescent="0.25">
      <c r="A68" s="50"/>
      <c r="B68" s="50" t="s">
        <v>163</v>
      </c>
      <c r="C68" s="46"/>
      <c r="D68" s="126">
        <v>100000</v>
      </c>
      <c r="E68" s="79" t="s">
        <v>134</v>
      </c>
      <c r="F68" s="79"/>
      <c r="G68" s="78"/>
      <c r="H68" s="108"/>
      <c r="I68" s="77"/>
      <c r="J68" s="46"/>
      <c r="K68" s="102"/>
    </row>
    <row r="69" spans="1:11" x14ac:dyDescent="0.25">
      <c r="A69" s="50"/>
      <c r="B69" s="50"/>
      <c r="C69" s="46"/>
      <c r="D69" s="126">
        <f>SUM(D66:D68)</f>
        <v>111840</v>
      </c>
      <c r="E69" s="79"/>
      <c r="F69" s="79"/>
      <c r="G69" s="78"/>
      <c r="H69" s="79"/>
      <c r="I69" s="50"/>
      <c r="J69" s="46"/>
      <c r="K69" s="126"/>
    </row>
    <row r="70" spans="1:11" x14ac:dyDescent="0.25">
      <c r="A70" s="50"/>
      <c r="B70" s="128"/>
      <c r="C70" s="46"/>
      <c r="D70" s="102"/>
      <c r="E70" s="59" t="s">
        <v>78</v>
      </c>
      <c r="F70" s="79"/>
      <c r="G70" s="78"/>
      <c r="H70" s="79"/>
      <c r="I70" s="50"/>
      <c r="J70" s="46"/>
      <c r="K70" s="126"/>
    </row>
    <row r="71" spans="1:11" x14ac:dyDescent="0.25">
      <c r="A71" s="50"/>
      <c r="B71" s="78" t="s">
        <v>137</v>
      </c>
      <c r="C71" s="46"/>
      <c r="D71" s="102">
        <f>D64-D69</f>
        <v>25135</v>
      </c>
      <c r="E71" s="78"/>
      <c r="F71" s="78"/>
      <c r="G71" s="78"/>
      <c r="H71" s="78"/>
      <c r="I71" s="128"/>
      <c r="J71" s="46"/>
      <c r="K71" s="102"/>
    </row>
    <row r="72" spans="1:11" x14ac:dyDescent="0.25">
      <c r="A72" s="79" t="s">
        <v>131</v>
      </c>
      <c r="D72" s="148" t="s">
        <v>164</v>
      </c>
      <c r="E72" s="79"/>
      <c r="F72" s="79" t="s">
        <v>135</v>
      </c>
      <c r="G72" s="79"/>
      <c r="H72" s="79" t="s">
        <v>130</v>
      </c>
      <c r="I72" s="78"/>
      <c r="J72" s="46"/>
      <c r="K72" s="102"/>
    </row>
    <row r="73" spans="1:11" x14ac:dyDescent="0.25">
      <c r="A73" s="78"/>
      <c r="D73" s="78" t="s">
        <v>165</v>
      </c>
      <c r="E73" s="78"/>
      <c r="F73" s="79" t="s">
        <v>132</v>
      </c>
      <c r="G73" s="79"/>
      <c r="H73" s="79" t="s">
        <v>133</v>
      </c>
      <c r="I73" s="78"/>
    </row>
    <row r="74" spans="1:11" x14ac:dyDescent="0.25">
      <c r="A74" s="78"/>
      <c r="B74" s="78"/>
      <c r="C74" s="78"/>
      <c r="D74" s="78"/>
      <c r="E74" s="78"/>
      <c r="F74" s="78"/>
      <c r="G74" s="78"/>
      <c r="H74" s="78"/>
      <c r="I74" s="78"/>
    </row>
    <row r="75" spans="1:11" x14ac:dyDescent="0.25">
      <c r="A75" s="50"/>
      <c r="E75" s="78"/>
      <c r="F75" s="78"/>
      <c r="G75" s="78"/>
      <c r="H75" s="78"/>
      <c r="I75" s="78"/>
    </row>
    <row r="76" spans="1:11" x14ac:dyDescent="0.25">
      <c r="A76" s="78"/>
      <c r="E76" s="79"/>
      <c r="F76" s="78"/>
      <c r="G76" s="78"/>
      <c r="H76" s="78"/>
      <c r="I76" s="78"/>
    </row>
    <row r="77" spans="1:11" x14ac:dyDescent="0.25">
      <c r="I77" s="78"/>
    </row>
    <row r="78" spans="1:11" x14ac:dyDescent="0.25">
      <c r="I78" s="78"/>
    </row>
    <row r="79" spans="1:11" x14ac:dyDescent="0.25">
      <c r="I79" s="78"/>
    </row>
    <row r="80" spans="1:11" x14ac:dyDescent="0.25">
      <c r="A80" s="78"/>
      <c r="B80" s="78"/>
      <c r="C80" s="78"/>
      <c r="D80" s="102"/>
      <c r="E80" s="78"/>
      <c r="F80" s="78"/>
      <c r="G80" s="78"/>
      <c r="H80" s="78"/>
      <c r="I80" s="78"/>
    </row>
    <row r="81" spans="1:9" x14ac:dyDescent="0.25">
      <c r="A81" s="78"/>
      <c r="B81" s="78"/>
      <c r="C81" s="78"/>
      <c r="D81" s="78"/>
      <c r="E81" s="78"/>
      <c r="F81" s="78"/>
      <c r="G81" s="78"/>
      <c r="H81" s="78"/>
      <c r="I81" s="78"/>
    </row>
    <row r="82" spans="1:9" x14ac:dyDescent="0.25">
      <c r="A82" s="78"/>
      <c r="B82" s="78"/>
      <c r="C82" s="78"/>
      <c r="D82" s="78"/>
      <c r="E82" s="78"/>
      <c r="F82" s="78"/>
      <c r="G82" s="78"/>
      <c r="H82" s="78"/>
      <c r="I82" s="78"/>
    </row>
    <row r="83" spans="1:9" x14ac:dyDescent="0.25">
      <c r="A83" s="78"/>
      <c r="B83" s="78"/>
      <c r="C83" s="78"/>
      <c r="D83" s="78"/>
      <c r="E83" s="78"/>
      <c r="F83" s="78"/>
      <c r="G83" s="78"/>
      <c r="H83" s="78"/>
      <c r="I83" s="78"/>
    </row>
    <row r="84" spans="1:9" x14ac:dyDescent="0.25">
      <c r="A84" s="78"/>
      <c r="B84" s="78"/>
      <c r="C84" s="78"/>
      <c r="D84" s="78"/>
      <c r="E84" s="78"/>
      <c r="F84" s="78"/>
      <c r="G84" s="78"/>
      <c r="H84" s="78"/>
      <c r="I84" s="78"/>
    </row>
    <row r="85" spans="1:9" x14ac:dyDescent="0.25">
      <c r="A85" s="78"/>
      <c r="B85" s="78"/>
      <c r="C85" s="78"/>
      <c r="D85" s="78"/>
      <c r="E85" s="78"/>
      <c r="F85" s="78"/>
      <c r="G85" s="78"/>
      <c r="H85" s="78"/>
      <c r="I85" s="78"/>
    </row>
    <row r="86" spans="1:9" x14ac:dyDescent="0.25">
      <c r="A86" s="78"/>
      <c r="B86" s="78"/>
      <c r="C86" s="78"/>
      <c r="D86" s="78"/>
      <c r="E86" s="78"/>
      <c r="F86" s="78"/>
      <c r="G86" s="78"/>
      <c r="H86" s="78"/>
      <c r="I86" s="78"/>
    </row>
    <row r="87" spans="1:9" x14ac:dyDescent="0.25">
      <c r="A87" s="78"/>
      <c r="B87" s="78"/>
      <c r="C87" s="78"/>
      <c r="D87" s="78"/>
      <c r="E87" s="78"/>
      <c r="F87" s="78"/>
      <c r="G87" s="78"/>
      <c r="H87" s="78"/>
      <c r="I87" s="78"/>
    </row>
    <row r="88" spans="1:9" x14ac:dyDescent="0.25">
      <c r="A88" s="78"/>
      <c r="B88" s="78"/>
      <c r="C88" s="78"/>
      <c r="D88" s="78"/>
      <c r="E88" s="78"/>
      <c r="F88" s="78"/>
      <c r="G88" s="78"/>
      <c r="H88" s="78"/>
      <c r="I88" s="78"/>
    </row>
    <row r="89" spans="1:9" x14ac:dyDescent="0.25">
      <c r="A89" s="78"/>
      <c r="B89" s="78"/>
      <c r="C89" s="78"/>
      <c r="D89" s="78"/>
      <c r="E89" s="78"/>
      <c r="F89" s="78"/>
      <c r="G89" s="78"/>
      <c r="H89" s="78"/>
      <c r="I89" s="78"/>
    </row>
    <row r="90" spans="1:9" x14ac:dyDescent="0.25">
      <c r="A90" s="78"/>
      <c r="B90" s="78"/>
      <c r="C90" s="78"/>
      <c r="D90" s="78"/>
      <c r="E90" s="78"/>
      <c r="F90" s="78"/>
      <c r="G90" s="78"/>
      <c r="H90" s="78"/>
      <c r="I90" s="78"/>
    </row>
    <row r="91" spans="1:9" x14ac:dyDescent="0.25">
      <c r="A91" s="78"/>
      <c r="B91" s="78"/>
      <c r="C91" s="78"/>
      <c r="D91" s="78"/>
      <c r="E91" s="78"/>
      <c r="F91" s="78"/>
      <c r="G91" s="78"/>
      <c r="H91" s="78"/>
      <c r="I91" s="78"/>
    </row>
    <row r="92" spans="1:9" x14ac:dyDescent="0.25">
      <c r="A92" s="78"/>
      <c r="B92" s="78"/>
      <c r="C92" s="78"/>
      <c r="D92" s="78"/>
      <c r="E92" s="78"/>
      <c r="F92" s="78"/>
      <c r="G92" s="78"/>
      <c r="H92" s="78"/>
      <c r="I92" s="78"/>
    </row>
    <row r="93" spans="1:9" x14ac:dyDescent="0.25">
      <c r="A93" s="78"/>
      <c r="B93" s="78"/>
      <c r="C93" s="78"/>
      <c r="D93" s="78"/>
      <c r="E93" s="78"/>
      <c r="F93" s="78"/>
      <c r="G93" s="78"/>
      <c r="H93" s="78"/>
      <c r="I93" s="7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44" workbookViewId="0">
      <selection activeCell="E77" sqref="E77"/>
    </sheetView>
  </sheetViews>
  <sheetFormatPr defaultRowHeight="15" x14ac:dyDescent="0.25"/>
  <cols>
    <col min="2" max="2" width="17.140625" customWidth="1"/>
    <col min="4" max="4" width="12" customWidth="1"/>
  </cols>
  <sheetData>
    <row r="1" spans="1:9" ht="45" x14ac:dyDescent="0.6">
      <c r="A1" s="61"/>
      <c r="B1" s="61"/>
      <c r="C1" s="2"/>
      <c r="D1" s="3" t="s">
        <v>0</v>
      </c>
      <c r="E1" s="4"/>
      <c r="F1" s="4"/>
      <c r="G1" s="4"/>
      <c r="H1" s="2"/>
      <c r="I1" s="61"/>
    </row>
    <row r="2" spans="1:9" ht="16.5" x14ac:dyDescent="0.3">
      <c r="A2" s="5"/>
      <c r="B2" s="5"/>
      <c r="C2" s="5"/>
      <c r="D2" s="5"/>
      <c r="E2" s="6" t="s">
        <v>1</v>
      </c>
      <c r="F2" s="7"/>
      <c r="G2" s="5"/>
      <c r="H2" s="5"/>
      <c r="I2" s="7"/>
    </row>
    <row r="3" spans="1:9" ht="21" x14ac:dyDescent="0.25">
      <c r="A3" s="8"/>
      <c r="B3" s="64" t="s">
        <v>172</v>
      </c>
      <c r="C3" s="11"/>
      <c r="D3" s="11"/>
      <c r="E3" s="11"/>
      <c r="F3" s="103"/>
      <c r="G3" s="103"/>
      <c r="H3" s="103"/>
      <c r="I3" s="78"/>
    </row>
    <row r="4" spans="1:9" x14ac:dyDescent="0.25">
      <c r="A4" s="13" t="s">
        <v>3</v>
      </c>
      <c r="B4" s="14" t="s">
        <v>4</v>
      </c>
      <c r="C4" s="14" t="s">
        <v>5</v>
      </c>
      <c r="D4" s="14" t="s">
        <v>97</v>
      </c>
      <c r="E4" s="14" t="s">
        <v>9</v>
      </c>
      <c r="F4" s="15" t="s">
        <v>10</v>
      </c>
      <c r="G4" s="15" t="s">
        <v>11</v>
      </c>
      <c r="H4" s="14" t="s">
        <v>12</v>
      </c>
      <c r="I4" s="14" t="s">
        <v>13</v>
      </c>
    </row>
    <row r="5" spans="1:9" x14ac:dyDescent="0.25">
      <c r="A5" s="16">
        <v>1</v>
      </c>
      <c r="B5" s="116" t="s">
        <v>168</v>
      </c>
      <c r="C5" s="17" t="s">
        <v>18</v>
      </c>
      <c r="D5" s="18"/>
      <c r="E5" s="18">
        <v>2500</v>
      </c>
      <c r="F5" s="18">
        <v>100</v>
      </c>
      <c r="G5" s="18">
        <f>D5+E5+F5</f>
        <v>2600</v>
      </c>
      <c r="H5" s="19"/>
      <c r="I5" s="19"/>
    </row>
    <row r="6" spans="1:9" x14ac:dyDescent="0.25">
      <c r="A6" s="16">
        <v>2</v>
      </c>
      <c r="B6" s="116" t="s">
        <v>84</v>
      </c>
      <c r="C6" s="17" t="s">
        <v>20</v>
      </c>
      <c r="D6" s="18"/>
      <c r="E6" s="18">
        <v>2500</v>
      </c>
      <c r="F6" s="18">
        <v>100</v>
      </c>
      <c r="G6" s="18">
        <f t="shared" ref="G6:G28" si="0">D6+E6+F6</f>
        <v>2600</v>
      </c>
      <c r="H6" s="19"/>
      <c r="I6" s="19"/>
    </row>
    <row r="7" spans="1:9" x14ac:dyDescent="0.25">
      <c r="A7" s="16">
        <v>3</v>
      </c>
      <c r="B7" s="116" t="s">
        <v>85</v>
      </c>
      <c r="C7" s="17" t="s">
        <v>22</v>
      </c>
      <c r="D7" s="18">
        <v>0</v>
      </c>
      <c r="E7" s="18">
        <v>2500</v>
      </c>
      <c r="F7" s="18">
        <v>100</v>
      </c>
      <c r="G7" s="18">
        <f t="shared" si="0"/>
        <v>2600</v>
      </c>
      <c r="H7" s="19"/>
      <c r="I7" s="19"/>
    </row>
    <row r="8" spans="1:9" x14ac:dyDescent="0.25">
      <c r="A8" s="16">
        <v>4</v>
      </c>
      <c r="B8" s="116" t="s">
        <v>23</v>
      </c>
      <c r="C8" s="17" t="s">
        <v>24</v>
      </c>
      <c r="D8" s="18">
        <v>0</v>
      </c>
      <c r="E8" s="18">
        <v>2500</v>
      </c>
      <c r="F8" s="18">
        <v>100</v>
      </c>
      <c r="G8" s="18">
        <f t="shared" si="0"/>
        <v>2600</v>
      </c>
      <c r="H8" s="19"/>
      <c r="I8" s="19"/>
    </row>
    <row r="9" spans="1:9" x14ac:dyDescent="0.25">
      <c r="A9" s="16">
        <v>5</v>
      </c>
      <c r="B9" s="116" t="s">
        <v>25</v>
      </c>
      <c r="C9" s="17" t="s">
        <v>26</v>
      </c>
      <c r="D9" s="18">
        <v>0</v>
      </c>
      <c r="E9" s="18">
        <v>2500</v>
      </c>
      <c r="F9" s="18">
        <v>100</v>
      </c>
      <c r="G9" s="18">
        <f t="shared" si="0"/>
        <v>2600</v>
      </c>
      <c r="H9" s="19"/>
      <c r="I9" s="19"/>
    </row>
    <row r="10" spans="1:9" x14ac:dyDescent="0.25">
      <c r="A10" s="16">
        <v>6</v>
      </c>
      <c r="B10" s="116" t="s">
        <v>27</v>
      </c>
      <c r="C10" s="17" t="s">
        <v>28</v>
      </c>
      <c r="D10" s="18"/>
      <c r="E10" s="18">
        <v>2500</v>
      </c>
      <c r="F10" s="18">
        <v>100</v>
      </c>
      <c r="G10" s="18">
        <f t="shared" si="0"/>
        <v>2600</v>
      </c>
      <c r="H10" s="19"/>
      <c r="I10" s="19"/>
    </row>
    <row r="11" spans="1:9" x14ac:dyDescent="0.25">
      <c r="A11" s="16">
        <v>7</v>
      </c>
      <c r="B11" s="116" t="s">
        <v>86</v>
      </c>
      <c r="C11" s="17" t="s">
        <v>30</v>
      </c>
      <c r="D11" s="18">
        <v>0</v>
      </c>
      <c r="E11" s="18">
        <v>2500</v>
      </c>
      <c r="F11" s="18">
        <v>100</v>
      </c>
      <c r="G11" s="18">
        <f t="shared" si="0"/>
        <v>2600</v>
      </c>
      <c r="H11" s="19"/>
      <c r="I11" s="19"/>
    </row>
    <row r="12" spans="1:9" x14ac:dyDescent="0.25">
      <c r="A12" s="16">
        <v>8</v>
      </c>
      <c r="B12" s="124" t="s">
        <v>107</v>
      </c>
      <c r="C12" s="17" t="s">
        <v>32</v>
      </c>
      <c r="D12" s="18"/>
      <c r="E12" s="18">
        <v>0</v>
      </c>
      <c r="F12" s="18">
        <v>0</v>
      </c>
      <c r="G12" s="18">
        <f t="shared" si="0"/>
        <v>0</v>
      </c>
      <c r="H12" s="19"/>
      <c r="I12" s="19"/>
    </row>
    <row r="13" spans="1:9" x14ac:dyDescent="0.25">
      <c r="A13" s="16">
        <v>9</v>
      </c>
      <c r="B13" s="116" t="s">
        <v>87</v>
      </c>
      <c r="C13" s="17" t="s">
        <v>34</v>
      </c>
      <c r="D13" s="18">
        <v>0</v>
      </c>
      <c r="E13" s="18">
        <v>2500</v>
      </c>
      <c r="F13" s="18">
        <v>100</v>
      </c>
      <c r="G13" s="18">
        <f t="shared" si="0"/>
        <v>2600</v>
      </c>
      <c r="H13" s="19"/>
      <c r="I13" s="19"/>
    </row>
    <row r="14" spans="1:9" x14ac:dyDescent="0.25">
      <c r="A14" s="16">
        <v>10</v>
      </c>
      <c r="B14" s="116" t="s">
        <v>95</v>
      </c>
      <c r="C14" s="17" t="s">
        <v>36</v>
      </c>
      <c r="D14" s="18"/>
      <c r="E14" s="18">
        <v>2500</v>
      </c>
      <c r="F14" s="18">
        <v>100</v>
      </c>
      <c r="G14" s="18">
        <f t="shared" si="0"/>
        <v>2600</v>
      </c>
      <c r="H14" s="19"/>
      <c r="I14" s="19"/>
    </row>
    <row r="15" spans="1:9" x14ac:dyDescent="0.25">
      <c r="A15" s="16">
        <v>11</v>
      </c>
      <c r="B15" s="116" t="s">
        <v>149</v>
      </c>
      <c r="C15" s="17" t="s">
        <v>38</v>
      </c>
      <c r="D15" s="18"/>
      <c r="E15" s="18">
        <v>2500</v>
      </c>
      <c r="F15" s="18">
        <v>100</v>
      </c>
      <c r="G15" s="18">
        <f t="shared" si="0"/>
        <v>2600</v>
      </c>
      <c r="H15" s="19"/>
      <c r="I15" s="19"/>
    </row>
    <row r="16" spans="1:9" x14ac:dyDescent="0.25">
      <c r="A16" s="16">
        <v>12</v>
      </c>
      <c r="B16" s="116" t="s">
        <v>89</v>
      </c>
      <c r="C16" s="17" t="s">
        <v>40</v>
      </c>
      <c r="D16" s="18">
        <v>0</v>
      </c>
      <c r="E16" s="18">
        <v>2500</v>
      </c>
      <c r="F16" s="18">
        <v>100</v>
      </c>
      <c r="G16" s="18">
        <f t="shared" si="0"/>
        <v>2600</v>
      </c>
      <c r="H16" s="19"/>
      <c r="I16" s="19"/>
    </row>
    <row r="17" spans="1:9" x14ac:dyDescent="0.25">
      <c r="A17" s="16">
        <v>13</v>
      </c>
      <c r="B17" s="116" t="s">
        <v>41</v>
      </c>
      <c r="C17" s="17" t="s">
        <v>42</v>
      </c>
      <c r="D17" s="18">
        <v>0</v>
      </c>
      <c r="E17" s="18">
        <v>2500</v>
      </c>
      <c r="F17" s="18">
        <v>100</v>
      </c>
      <c r="G17" s="18">
        <f t="shared" si="0"/>
        <v>2600</v>
      </c>
      <c r="H17" s="19"/>
      <c r="I17" s="19"/>
    </row>
    <row r="18" spans="1:9" x14ac:dyDescent="0.25">
      <c r="A18" s="16">
        <v>14</v>
      </c>
      <c r="B18" s="116" t="s">
        <v>43</v>
      </c>
      <c r="C18" s="17" t="s">
        <v>44</v>
      </c>
      <c r="D18" s="18">
        <v>0</v>
      </c>
      <c r="E18" s="18">
        <v>2500</v>
      </c>
      <c r="F18" s="18">
        <v>100</v>
      </c>
      <c r="G18" s="18">
        <f t="shared" si="0"/>
        <v>2600</v>
      </c>
      <c r="H18" s="19"/>
      <c r="I18" s="19"/>
    </row>
    <row r="19" spans="1:9" x14ac:dyDescent="0.25">
      <c r="A19" s="16">
        <v>15</v>
      </c>
      <c r="B19" s="116" t="s">
        <v>45</v>
      </c>
      <c r="C19" s="17" t="s">
        <v>46</v>
      </c>
      <c r="D19" s="18">
        <v>0</v>
      </c>
      <c r="E19" s="18">
        <v>2500</v>
      </c>
      <c r="F19" s="18">
        <v>100</v>
      </c>
      <c r="G19" s="18">
        <f t="shared" si="0"/>
        <v>2600</v>
      </c>
      <c r="H19" s="19"/>
      <c r="I19" s="19"/>
    </row>
    <row r="20" spans="1:9" x14ac:dyDescent="0.25">
      <c r="A20" s="16">
        <v>16</v>
      </c>
      <c r="B20" s="116" t="s">
        <v>47</v>
      </c>
      <c r="C20" s="17" t="s">
        <v>48</v>
      </c>
      <c r="D20" s="18">
        <v>0</v>
      </c>
      <c r="E20" s="18">
        <v>2500</v>
      </c>
      <c r="F20" s="18">
        <v>100</v>
      </c>
      <c r="G20" s="18">
        <f t="shared" si="0"/>
        <v>2600</v>
      </c>
      <c r="H20" s="19"/>
      <c r="I20" s="19"/>
    </row>
    <row r="21" spans="1:9" x14ac:dyDescent="0.25">
      <c r="A21" s="21">
        <v>17</v>
      </c>
      <c r="B21" s="117" t="s">
        <v>90</v>
      </c>
      <c r="C21" s="17" t="s">
        <v>50</v>
      </c>
      <c r="D21" s="18">
        <v>0</v>
      </c>
      <c r="E21" s="23">
        <v>3000</v>
      </c>
      <c r="F21" s="24">
        <v>100</v>
      </c>
      <c r="G21" s="18">
        <f t="shared" si="0"/>
        <v>3100</v>
      </c>
      <c r="H21" s="19"/>
      <c r="I21" s="19"/>
    </row>
    <row r="22" spans="1:9" x14ac:dyDescent="0.25">
      <c r="A22" s="21">
        <v>18</v>
      </c>
      <c r="B22" s="117" t="s">
        <v>91</v>
      </c>
      <c r="C22" s="17" t="s">
        <v>52</v>
      </c>
      <c r="D22" s="18">
        <v>0</v>
      </c>
      <c r="E22" s="23">
        <v>3000</v>
      </c>
      <c r="F22" s="24">
        <v>100</v>
      </c>
      <c r="G22" s="18">
        <f t="shared" si="0"/>
        <v>3100</v>
      </c>
      <c r="H22" s="19"/>
      <c r="I22" s="19"/>
    </row>
    <row r="23" spans="1:9" x14ac:dyDescent="0.25">
      <c r="A23" s="21">
        <v>19</v>
      </c>
      <c r="B23" s="118" t="s">
        <v>55</v>
      </c>
      <c r="C23" s="17" t="s">
        <v>54</v>
      </c>
      <c r="D23" s="18">
        <v>0</v>
      </c>
      <c r="E23" s="23">
        <v>3000</v>
      </c>
      <c r="F23" s="24">
        <v>100</v>
      </c>
      <c r="G23" s="18">
        <f t="shared" si="0"/>
        <v>3100</v>
      </c>
      <c r="H23" s="19"/>
      <c r="I23" s="19"/>
    </row>
    <row r="24" spans="1:9" x14ac:dyDescent="0.25">
      <c r="A24" s="21">
        <v>20</v>
      </c>
      <c r="B24" s="117" t="s">
        <v>92</v>
      </c>
      <c r="C24" s="17" t="s">
        <v>56</v>
      </c>
      <c r="D24" s="18">
        <v>0</v>
      </c>
      <c r="E24" s="23">
        <v>3000</v>
      </c>
      <c r="F24" s="24">
        <v>100</v>
      </c>
      <c r="G24" s="18">
        <f t="shared" si="0"/>
        <v>3100</v>
      </c>
      <c r="H24" s="19"/>
      <c r="I24" s="19"/>
    </row>
    <row r="25" spans="1:9" x14ac:dyDescent="0.25">
      <c r="A25" s="21">
        <v>21</v>
      </c>
      <c r="B25" s="118" t="s">
        <v>101</v>
      </c>
      <c r="C25" s="17" t="s">
        <v>58</v>
      </c>
      <c r="D25" s="18">
        <v>0</v>
      </c>
      <c r="E25" s="23">
        <v>3000</v>
      </c>
      <c r="F25" s="24">
        <v>100</v>
      </c>
      <c r="G25" s="18">
        <f t="shared" si="0"/>
        <v>3100</v>
      </c>
      <c r="H25" s="19"/>
      <c r="I25" s="19"/>
    </row>
    <row r="26" spans="1:9" x14ac:dyDescent="0.25">
      <c r="A26" s="21">
        <v>22</v>
      </c>
      <c r="B26" s="118" t="s">
        <v>93</v>
      </c>
      <c r="C26" s="17" t="s">
        <v>60</v>
      </c>
      <c r="D26" s="18">
        <v>0</v>
      </c>
      <c r="E26" s="23">
        <v>3000</v>
      </c>
      <c r="F26" s="24">
        <v>100</v>
      </c>
      <c r="G26" s="18">
        <f t="shared" si="0"/>
        <v>3100</v>
      </c>
      <c r="H26" s="19"/>
      <c r="I26" s="19"/>
    </row>
    <row r="27" spans="1:9" x14ac:dyDescent="0.25">
      <c r="A27" s="21">
        <v>23</v>
      </c>
      <c r="B27" s="118" t="s">
        <v>149</v>
      </c>
      <c r="C27" s="17" t="s">
        <v>62</v>
      </c>
      <c r="D27" s="18"/>
      <c r="E27" s="23">
        <v>3000</v>
      </c>
      <c r="F27" s="24">
        <v>100</v>
      </c>
      <c r="G27" s="18">
        <v>3100</v>
      </c>
      <c r="H27" s="19"/>
      <c r="I27" s="19"/>
    </row>
    <row r="28" spans="1:9" x14ac:dyDescent="0.25">
      <c r="A28" s="28">
        <v>24</v>
      </c>
      <c r="B28" s="119" t="s">
        <v>94</v>
      </c>
      <c r="C28" s="29" t="s">
        <v>64</v>
      </c>
      <c r="D28" s="18">
        <v>0</v>
      </c>
      <c r="E28" s="32">
        <v>3000</v>
      </c>
      <c r="F28" s="33">
        <v>100</v>
      </c>
      <c r="G28" s="18">
        <f t="shared" si="0"/>
        <v>3100</v>
      </c>
      <c r="H28" s="34"/>
      <c r="I28" s="34"/>
    </row>
    <row r="29" spans="1:9" x14ac:dyDescent="0.25">
      <c r="A29" s="37"/>
      <c r="B29" s="18"/>
      <c r="C29" s="18"/>
      <c r="D29" s="18">
        <v>0</v>
      </c>
      <c r="E29" s="18"/>
      <c r="F29" s="18"/>
      <c r="G29" s="18">
        <f>D29+E29+F29</f>
        <v>0</v>
      </c>
      <c r="H29" s="19"/>
      <c r="I29" s="18"/>
    </row>
    <row r="30" spans="1:9" x14ac:dyDescent="0.25">
      <c r="A30" s="38"/>
      <c r="B30" s="39" t="s">
        <v>65</v>
      </c>
      <c r="C30" s="38"/>
      <c r="D30" s="149"/>
      <c r="E30" s="40">
        <f>SUM(E5:E29)</f>
        <v>61500</v>
      </c>
      <c r="F30" s="42">
        <f>SUM(F5:F28)</f>
        <v>2300</v>
      </c>
      <c r="G30" s="18">
        <f>SUM(G5:G29)</f>
        <v>63800</v>
      </c>
      <c r="H30" s="40">
        <f>SUM(H5:H29)</f>
        <v>0</v>
      </c>
      <c r="I30" s="40">
        <f>SUM(I5:I28)</f>
        <v>0</v>
      </c>
    </row>
    <row r="31" spans="1:9" x14ac:dyDescent="0.25">
      <c r="A31" s="78"/>
      <c r="B31" s="78"/>
      <c r="C31" s="78"/>
      <c r="D31" s="78"/>
      <c r="E31" s="78"/>
      <c r="F31" s="78"/>
      <c r="G31" s="78"/>
      <c r="H31" s="78"/>
      <c r="I31" s="78"/>
    </row>
    <row r="32" spans="1:9" x14ac:dyDescent="0.25">
      <c r="A32" s="81" t="s">
        <v>3</v>
      </c>
      <c r="B32" s="81" t="s">
        <v>4</v>
      </c>
      <c r="C32" s="81" t="s">
        <v>104</v>
      </c>
      <c r="D32" s="81" t="s">
        <v>8</v>
      </c>
      <c r="E32" s="81" t="s">
        <v>9</v>
      </c>
      <c r="F32" s="82" t="s">
        <v>11</v>
      </c>
      <c r="G32" s="81" t="s">
        <v>12</v>
      </c>
      <c r="H32" s="82" t="s">
        <v>105</v>
      </c>
      <c r="I32" s="78"/>
    </row>
    <row r="33" spans="1:9" x14ac:dyDescent="0.25">
      <c r="A33" s="83" t="s">
        <v>106</v>
      </c>
      <c r="B33" s="84" t="s">
        <v>139</v>
      </c>
      <c r="C33" s="85"/>
      <c r="D33" s="86">
        <v>0</v>
      </c>
      <c r="E33" s="85">
        <v>3000</v>
      </c>
      <c r="F33" s="86">
        <v>3000</v>
      </c>
      <c r="G33" s="86"/>
      <c r="H33" s="113"/>
      <c r="I33" s="78"/>
    </row>
    <row r="34" spans="1:9" x14ac:dyDescent="0.25">
      <c r="A34" s="83" t="s">
        <v>108</v>
      </c>
      <c r="B34" s="84" t="s">
        <v>109</v>
      </c>
      <c r="C34" s="85"/>
      <c r="D34" s="86">
        <v>0</v>
      </c>
      <c r="E34" s="85"/>
      <c r="F34" s="86"/>
      <c r="G34" s="86"/>
      <c r="H34" s="113"/>
      <c r="I34" s="78"/>
    </row>
    <row r="35" spans="1:9" x14ac:dyDescent="0.25">
      <c r="A35" s="83" t="s">
        <v>110</v>
      </c>
      <c r="B35" s="121" t="s">
        <v>149</v>
      </c>
      <c r="C35" s="85"/>
      <c r="D35" s="86"/>
      <c r="E35" s="85">
        <v>2500</v>
      </c>
      <c r="F35" s="86">
        <v>2500</v>
      </c>
      <c r="G35" s="98"/>
      <c r="H35" s="113"/>
      <c r="I35" s="78"/>
    </row>
    <row r="36" spans="1:9" x14ac:dyDescent="0.25">
      <c r="A36" s="87" t="s">
        <v>112</v>
      </c>
      <c r="B36" s="123" t="s">
        <v>113</v>
      </c>
      <c r="C36" s="89"/>
      <c r="D36" s="90"/>
      <c r="E36" s="89">
        <v>2500</v>
      </c>
      <c r="F36" s="90">
        <v>2500</v>
      </c>
      <c r="G36" s="114"/>
      <c r="H36" s="113"/>
      <c r="I36" s="78"/>
    </row>
    <row r="37" spans="1:9" x14ac:dyDescent="0.25">
      <c r="A37" s="99" t="s">
        <v>114</v>
      </c>
      <c r="B37" s="122" t="s">
        <v>115</v>
      </c>
      <c r="C37" s="86"/>
      <c r="D37" s="86">
        <v>0</v>
      </c>
      <c r="E37" s="86">
        <v>2500</v>
      </c>
      <c r="F37" s="86">
        <v>2500</v>
      </c>
      <c r="G37" s="98"/>
      <c r="H37" s="113"/>
      <c r="I37" s="78"/>
    </row>
    <row r="38" spans="1:9" x14ac:dyDescent="0.25">
      <c r="A38" s="93" t="s">
        <v>116</v>
      </c>
      <c r="B38" s="84" t="s">
        <v>149</v>
      </c>
      <c r="C38" s="94"/>
      <c r="D38" s="92">
        <v>0</v>
      </c>
      <c r="E38" s="94"/>
      <c r="F38" s="95"/>
      <c r="G38" s="115"/>
      <c r="H38" s="113"/>
      <c r="I38" s="78"/>
    </row>
    <row r="39" spans="1:9" x14ac:dyDescent="0.25">
      <c r="A39" s="83" t="s">
        <v>119</v>
      </c>
      <c r="B39" s="120" t="s">
        <v>120</v>
      </c>
      <c r="C39" s="85"/>
      <c r="D39" s="92">
        <v>0</v>
      </c>
      <c r="E39" s="85">
        <v>2500</v>
      </c>
      <c r="F39" s="86">
        <v>2500</v>
      </c>
      <c r="G39" s="98"/>
      <c r="H39" s="113"/>
      <c r="I39" s="78"/>
    </row>
    <row r="40" spans="1:9" x14ac:dyDescent="0.25">
      <c r="A40" s="83" t="s">
        <v>121</v>
      </c>
      <c r="B40" s="121" t="s">
        <v>149</v>
      </c>
      <c r="C40" s="85"/>
      <c r="D40" s="92">
        <v>0</v>
      </c>
      <c r="E40" s="85">
        <v>2500</v>
      </c>
      <c r="F40" s="86">
        <v>2500</v>
      </c>
      <c r="G40" s="98"/>
      <c r="H40" s="113"/>
      <c r="I40" s="78"/>
    </row>
    <row r="41" spans="1:9" x14ac:dyDescent="0.25">
      <c r="A41" s="83" t="s">
        <v>123</v>
      </c>
      <c r="B41" s="121" t="s">
        <v>107</v>
      </c>
      <c r="C41" s="85"/>
      <c r="D41" s="92"/>
      <c r="E41" s="85"/>
      <c r="F41" s="86"/>
      <c r="G41" s="98"/>
      <c r="H41" s="113"/>
      <c r="I41" s="78"/>
    </row>
    <row r="42" spans="1:9" x14ac:dyDescent="0.25">
      <c r="A42" s="83" t="s">
        <v>125</v>
      </c>
      <c r="B42" s="121" t="s">
        <v>107</v>
      </c>
      <c r="C42" s="85"/>
      <c r="D42" s="92">
        <v>0</v>
      </c>
      <c r="E42" s="85">
        <v>1500</v>
      </c>
      <c r="F42" s="86">
        <v>1500</v>
      </c>
      <c r="G42" s="98"/>
      <c r="H42" s="113"/>
      <c r="I42" s="78"/>
    </row>
    <row r="43" spans="1:9" x14ac:dyDescent="0.25">
      <c r="A43" s="83"/>
      <c r="B43" s="91"/>
      <c r="C43" s="85">
        <v>0</v>
      </c>
      <c r="D43" s="92">
        <v>0</v>
      </c>
      <c r="E43" s="85"/>
      <c r="F43" s="86"/>
      <c r="G43" s="86"/>
      <c r="H43" s="113"/>
      <c r="I43" s="78"/>
    </row>
    <row r="44" spans="1:9" x14ac:dyDescent="0.25">
      <c r="A44" s="96"/>
      <c r="B44" s="84"/>
      <c r="C44" s="86"/>
      <c r="D44" s="92"/>
      <c r="E44" s="86"/>
      <c r="F44" s="86"/>
      <c r="G44" s="86"/>
      <c r="H44" s="113"/>
      <c r="I44" s="78"/>
    </row>
    <row r="45" spans="1:9" x14ac:dyDescent="0.25">
      <c r="A45" s="97"/>
      <c r="B45" s="97"/>
      <c r="C45" s="98"/>
      <c r="D45" s="100"/>
      <c r="E45" s="98">
        <f>SUM(E33:E44)</f>
        <v>17000</v>
      </c>
      <c r="F45" s="98">
        <f>SUM(F33:F44)</f>
        <v>17000</v>
      </c>
      <c r="G45" s="98"/>
      <c r="H45" s="113"/>
      <c r="I45" s="78"/>
    </row>
    <row r="46" spans="1:9" x14ac:dyDescent="0.25">
      <c r="A46" s="109"/>
      <c r="B46" s="109"/>
      <c r="C46" s="111"/>
      <c r="D46" s="112"/>
      <c r="E46" s="111"/>
      <c r="F46" s="111"/>
      <c r="G46" s="111"/>
      <c r="H46" s="78"/>
      <c r="I46" s="78"/>
    </row>
    <row r="47" spans="1:9" x14ac:dyDescent="0.25">
      <c r="A47" s="83">
        <v>1</v>
      </c>
      <c r="B47" s="116" t="s">
        <v>127</v>
      </c>
      <c r="C47" s="85" t="s">
        <v>155</v>
      </c>
      <c r="D47" s="86"/>
      <c r="E47" s="86">
        <v>4500</v>
      </c>
      <c r="F47" s="86"/>
      <c r="G47" s="86"/>
      <c r="H47" s="78"/>
      <c r="I47" s="78"/>
    </row>
    <row r="48" spans="1:9" x14ac:dyDescent="0.25">
      <c r="A48" s="83">
        <v>2</v>
      </c>
      <c r="B48" s="116" t="s">
        <v>128</v>
      </c>
      <c r="C48" s="85"/>
      <c r="D48" s="86"/>
      <c r="E48" s="85">
        <v>4500</v>
      </c>
      <c r="F48" s="86"/>
      <c r="G48" s="86"/>
      <c r="H48" s="78"/>
      <c r="I48" s="78"/>
    </row>
    <row r="49" spans="1:9" x14ac:dyDescent="0.25">
      <c r="A49" s="83">
        <v>3</v>
      </c>
      <c r="B49" s="116" t="s">
        <v>129</v>
      </c>
      <c r="C49" s="85"/>
      <c r="D49" s="86"/>
      <c r="E49" s="85">
        <v>4500</v>
      </c>
      <c r="F49" s="86"/>
      <c r="G49" s="86"/>
      <c r="H49" s="78"/>
      <c r="I49" s="78"/>
    </row>
    <row r="50" spans="1:9" x14ac:dyDescent="0.25">
      <c r="A50" s="87">
        <v>4</v>
      </c>
      <c r="B50" s="116" t="s">
        <v>167</v>
      </c>
      <c r="C50" s="86"/>
      <c r="D50" s="78"/>
      <c r="E50" s="85">
        <v>4500</v>
      </c>
      <c r="F50" s="86"/>
      <c r="G50" s="86"/>
      <c r="H50" s="78"/>
      <c r="I50" s="78"/>
    </row>
    <row r="51" spans="1:9" x14ac:dyDescent="0.25">
      <c r="A51" s="99">
        <v>5</v>
      </c>
      <c r="B51" s="116" t="s">
        <v>99</v>
      </c>
      <c r="C51" s="85"/>
      <c r="D51" s="86"/>
      <c r="E51" s="85">
        <v>4500</v>
      </c>
      <c r="F51" s="86"/>
      <c r="G51" s="86"/>
      <c r="H51" s="78"/>
      <c r="I51" s="78"/>
    </row>
    <row r="52" spans="1:9" x14ac:dyDescent="0.25">
      <c r="A52" s="93">
        <v>6</v>
      </c>
      <c r="B52" s="116" t="s">
        <v>98</v>
      </c>
      <c r="C52" s="85"/>
      <c r="D52" s="86"/>
      <c r="E52" s="85">
        <v>4500</v>
      </c>
      <c r="F52" s="86"/>
      <c r="G52" s="86"/>
      <c r="H52" s="78"/>
      <c r="I52" s="78"/>
    </row>
    <row r="53" spans="1:9" x14ac:dyDescent="0.25">
      <c r="A53" s="83"/>
      <c r="B53" s="91"/>
      <c r="C53" s="85">
        <v>0</v>
      </c>
      <c r="D53" s="92">
        <v>0</v>
      </c>
      <c r="E53" s="85"/>
      <c r="F53" s="86"/>
      <c r="G53" s="86"/>
      <c r="H53" s="78"/>
      <c r="I53" s="78"/>
    </row>
    <row r="54" spans="1:9" x14ac:dyDescent="0.25">
      <c r="A54" s="96"/>
      <c r="B54" s="84"/>
      <c r="C54" s="86"/>
      <c r="D54" s="92"/>
      <c r="E54" s="86"/>
      <c r="F54" s="86"/>
      <c r="G54" s="86"/>
      <c r="H54" s="78"/>
      <c r="I54" s="78"/>
    </row>
    <row r="55" spans="1:9" x14ac:dyDescent="0.25">
      <c r="A55" s="97"/>
      <c r="B55" s="97"/>
      <c r="C55" s="98"/>
      <c r="D55" s="98"/>
      <c r="E55" s="98">
        <v>27000</v>
      </c>
      <c r="F55" s="98"/>
      <c r="G55" s="98"/>
      <c r="H55" s="78"/>
      <c r="I55" s="78"/>
    </row>
    <row r="56" spans="1:9" x14ac:dyDescent="0.25">
      <c r="A56" s="79"/>
      <c r="B56" s="79"/>
      <c r="C56" s="106"/>
      <c r="D56" s="107"/>
      <c r="E56" s="106"/>
      <c r="F56" s="108"/>
      <c r="G56" s="106"/>
      <c r="H56" s="78"/>
      <c r="I56" s="78"/>
    </row>
    <row r="57" spans="1:9" ht="15.75" x14ac:dyDescent="0.3">
      <c r="A57" s="43"/>
      <c r="B57" s="44" t="s">
        <v>66</v>
      </c>
      <c r="C57" s="43"/>
      <c r="D57" s="45"/>
      <c r="E57" s="46"/>
      <c r="F57" s="79"/>
      <c r="G57" s="79"/>
      <c r="H57" s="78"/>
      <c r="I57" s="45"/>
    </row>
    <row r="58" spans="1:9" x14ac:dyDescent="0.25">
      <c r="A58" s="50"/>
      <c r="B58" s="46" t="s">
        <v>67</v>
      </c>
      <c r="C58" s="50"/>
      <c r="D58" s="102">
        <f>G30+F45+E55</f>
        <v>107800</v>
      </c>
      <c r="E58" s="78"/>
      <c r="F58" s="78"/>
      <c r="G58" s="78"/>
      <c r="H58" s="78"/>
      <c r="I58" s="44"/>
    </row>
    <row r="59" spans="1:9" x14ac:dyDescent="0.25">
      <c r="A59" s="50"/>
      <c r="B59" s="46" t="s">
        <v>162</v>
      </c>
      <c r="C59" s="50"/>
      <c r="D59" s="78">
        <v>0</v>
      </c>
      <c r="E59" s="78"/>
      <c r="F59" s="78"/>
      <c r="G59" s="78"/>
      <c r="H59" s="78"/>
      <c r="I59" s="46"/>
    </row>
    <row r="60" spans="1:9" x14ac:dyDescent="0.25">
      <c r="A60" s="50"/>
      <c r="B60" s="78" t="s">
        <v>141</v>
      </c>
      <c r="C60" s="46"/>
      <c r="D60" s="147">
        <v>3000</v>
      </c>
      <c r="E60" s="78"/>
      <c r="F60" s="78"/>
      <c r="G60" s="78"/>
      <c r="H60" s="78"/>
      <c r="I60" s="46"/>
    </row>
    <row r="61" spans="1:9" x14ac:dyDescent="0.25">
      <c r="A61" s="50"/>
      <c r="B61" s="46" t="s">
        <v>10</v>
      </c>
      <c r="C61" s="78"/>
      <c r="D61" s="79"/>
      <c r="E61" s="79"/>
      <c r="F61" s="78"/>
      <c r="G61" s="78"/>
      <c r="H61" s="54"/>
      <c r="I61" s="78"/>
    </row>
    <row r="62" spans="1:9" x14ac:dyDescent="0.25">
      <c r="A62" s="78"/>
      <c r="B62" s="46" t="s">
        <v>69</v>
      </c>
      <c r="C62" s="78"/>
      <c r="D62" s="102">
        <f>SUM(D58:D61)</f>
        <v>110800</v>
      </c>
      <c r="E62" s="78"/>
      <c r="F62" s="78"/>
      <c r="G62" s="78"/>
      <c r="H62" s="102"/>
      <c r="I62" s="46"/>
    </row>
    <row r="63" spans="1:9" x14ac:dyDescent="0.25">
      <c r="A63" s="50"/>
      <c r="B63" s="57" t="s">
        <v>70</v>
      </c>
      <c r="C63" s="46"/>
      <c r="D63" s="78"/>
      <c r="E63" s="78"/>
      <c r="F63" s="78"/>
      <c r="G63" s="78"/>
      <c r="H63" s="79"/>
      <c r="I63" s="46"/>
    </row>
    <row r="64" spans="1:9" x14ac:dyDescent="0.25">
      <c r="A64" s="50"/>
      <c r="B64" s="57" t="s">
        <v>166</v>
      </c>
      <c r="C64" s="46"/>
      <c r="D64" s="126">
        <v>6000</v>
      </c>
      <c r="E64" s="78"/>
      <c r="F64" s="78"/>
      <c r="G64" s="78"/>
      <c r="H64" s="79"/>
      <c r="I64" s="46"/>
    </row>
    <row r="65" spans="1:9" x14ac:dyDescent="0.25">
      <c r="A65" s="50" t="s">
        <v>102</v>
      </c>
      <c r="B65" s="77">
        <v>0.08</v>
      </c>
      <c r="C65" s="46"/>
      <c r="D65" s="220">
        <f>B65*D58</f>
        <v>8624</v>
      </c>
      <c r="E65" s="79"/>
      <c r="F65" s="79"/>
      <c r="G65" s="102"/>
      <c r="H65" s="78"/>
      <c r="I65" s="57"/>
    </row>
    <row r="66" spans="1:9" x14ac:dyDescent="0.25">
      <c r="A66" s="50"/>
      <c r="B66" s="78" t="s">
        <v>169</v>
      </c>
      <c r="D66">
        <f>SUM(D64:D65)</f>
        <v>14624</v>
      </c>
      <c r="E66" s="79"/>
      <c r="F66" s="79"/>
      <c r="G66" s="78"/>
      <c r="H66" s="108"/>
      <c r="I66" s="77"/>
    </row>
    <row r="67" spans="1:9" x14ac:dyDescent="0.25">
      <c r="B67" s="50" t="s">
        <v>176</v>
      </c>
      <c r="C67" s="46"/>
      <c r="D67" s="126">
        <f>D62-D66</f>
        <v>96176</v>
      </c>
      <c r="F67" s="79"/>
      <c r="G67" s="78"/>
      <c r="H67" s="79"/>
      <c r="I67" s="50"/>
    </row>
    <row r="68" spans="1:9" x14ac:dyDescent="0.25">
      <c r="A68" s="50"/>
      <c r="E68" s="59"/>
      <c r="F68" s="79"/>
      <c r="G68" s="78"/>
      <c r="H68" s="79"/>
      <c r="I68" s="50"/>
    </row>
    <row r="69" spans="1:9" x14ac:dyDescent="0.25">
      <c r="A69" s="50"/>
      <c r="B69" s="78" t="s">
        <v>137</v>
      </c>
      <c r="C69" s="46"/>
      <c r="D69" s="102"/>
      <c r="E69" s="78"/>
      <c r="F69" s="78"/>
      <c r="G69" s="78"/>
      <c r="H69" s="78"/>
      <c r="I69" s="128"/>
    </row>
    <row r="70" spans="1:9" x14ac:dyDescent="0.25">
      <c r="A70" s="79" t="s">
        <v>131</v>
      </c>
      <c r="B70" s="78"/>
      <c r="C70" s="78"/>
      <c r="D70" s="148" t="s">
        <v>164</v>
      </c>
      <c r="E70" s="79"/>
      <c r="F70" s="79" t="s">
        <v>135</v>
      </c>
      <c r="G70" s="79"/>
      <c r="H70" s="79" t="s">
        <v>130</v>
      </c>
      <c r="I70" s="78"/>
    </row>
    <row r="71" spans="1:9" x14ac:dyDescent="0.25">
      <c r="A71" s="78"/>
      <c r="B71" s="78"/>
      <c r="C71" s="78"/>
      <c r="D71" s="78" t="s">
        <v>165</v>
      </c>
      <c r="E71" s="78"/>
      <c r="F71" s="79" t="s">
        <v>132</v>
      </c>
      <c r="G71" s="79"/>
      <c r="H71" s="79" t="s">
        <v>133</v>
      </c>
      <c r="I71" s="7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FEB 2025</vt:lpstr>
      <vt:lpstr>MARCH 2015</vt:lpstr>
      <vt:lpstr>APRIL 2015</vt:lpstr>
      <vt:lpstr>MAY 2015</vt:lpstr>
      <vt:lpstr>JUNE  2015</vt:lpstr>
      <vt:lpstr>JULY</vt:lpstr>
      <vt:lpstr>AUGUST</vt:lpstr>
      <vt:lpstr>SEP</vt:lpstr>
      <vt:lpstr>OCTO</vt:lpstr>
      <vt:lpstr>NOV</vt:lpstr>
      <vt:lpstr>DEC</vt:lpstr>
      <vt:lpstr>JAN</vt:lpstr>
      <vt:lpstr>FEB 2016</vt:lpstr>
      <vt:lpstr>MARCH 2016</vt:lpstr>
      <vt:lpstr>APRIL 2016</vt:lpstr>
      <vt:lpstr>JAN 2017</vt:lpstr>
      <vt:lpstr>FEB 2017</vt:lpstr>
      <vt:lpstr>MARCH 2017</vt:lpstr>
      <vt:lpstr>APRIL 2017</vt:lpstr>
      <vt:lpstr>MAY 2017</vt:lpstr>
      <vt:lpstr>JUNE 2017</vt:lpstr>
      <vt:lpstr>JULY 2017</vt:lpstr>
      <vt:lpstr>AUGUST  2017</vt:lpstr>
      <vt:lpstr>SEP 2017</vt:lpstr>
      <vt:lpstr>OCTOMBER</vt:lpstr>
      <vt:lpstr>NOVEMBER</vt:lpstr>
      <vt:lpstr>DEC  2017</vt:lpstr>
      <vt:lpstr>JAN 18</vt:lpstr>
      <vt:lpstr>FEB 2018</vt:lpstr>
      <vt:lpstr>MARCH </vt:lpstr>
      <vt:lpstr>APRILL</vt:lpstr>
      <vt:lpstr>MAY</vt:lpstr>
      <vt:lpstr>JUNE </vt:lpstr>
      <vt:lpstr>JULY7</vt:lpstr>
      <vt:lpstr>AUG</vt:lpstr>
      <vt:lpstr>SEPT</vt:lpstr>
      <vt:lpstr>OCT</vt:lpstr>
      <vt:lpstr>NOVE</vt:lpstr>
      <vt:lpstr>DECEM</vt:lpstr>
      <vt:lpstr>JANUARY</vt:lpstr>
      <vt:lpstr>FEBRUARY</vt:lpstr>
      <vt:lpstr>MARCH 19</vt:lpstr>
      <vt:lpstr>APRIL </vt:lpstr>
      <vt:lpstr>MAY </vt:lpstr>
      <vt:lpstr>JUNEE</vt:lpstr>
      <vt:lpstr>JULY </vt:lpstr>
      <vt:lpstr>AUGUST 19</vt:lpstr>
      <vt:lpstr>SEPTEMBER 19</vt:lpstr>
      <vt:lpstr>OCTOBER 19</vt:lpstr>
      <vt:lpstr>Sheet1</vt:lpstr>
      <vt:lpstr>NOVEMBER 19</vt:lpstr>
      <vt:lpstr>Sheet2</vt:lpstr>
      <vt:lpstr>DECEMBER 19</vt:lpstr>
      <vt:lpstr>Sheet3</vt:lpstr>
      <vt:lpstr>JANUARY 20</vt:lpstr>
      <vt:lpstr>Sheet4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</vt:lpstr>
      <vt:lpstr>JANUARY 21</vt:lpstr>
      <vt:lpstr>FEBRUARY 21</vt:lpstr>
      <vt:lpstr>MARCH 21</vt:lpstr>
      <vt:lpstr>APRIL21</vt:lpstr>
      <vt:lpstr>MAY 21</vt:lpstr>
      <vt:lpstr>JUNE 21</vt:lpstr>
      <vt:lpstr>JULY 21</vt:lpstr>
      <vt:lpstr>AUGUST 21</vt:lpstr>
      <vt:lpstr>SEP 21</vt:lpstr>
      <vt:lpstr>OCT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2021-02-04T15:14:03Z</cp:lastPrinted>
  <dcterms:created xsi:type="dcterms:W3CDTF">2014-06-17T08:11:07Z</dcterms:created>
  <dcterms:modified xsi:type="dcterms:W3CDTF">2021-12-07T13:34:57Z</dcterms:modified>
</cp:coreProperties>
</file>