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270" windowWidth="14805" windowHeight="7845" firstSheet="19" activeTab="23"/>
  </bookViews>
  <sheets>
    <sheet name="JANUARY " sheetId="1" r:id="rId1"/>
    <sheet name="FEBRUARY 20" sheetId="2" r:id="rId2"/>
    <sheet name="MARCH 20" sheetId="3" r:id="rId3"/>
    <sheet name="APRIL 20" sheetId="4" r:id="rId4"/>
    <sheet name="MAY 20" sheetId="5" r:id="rId5"/>
    <sheet name="JUNE 20" sheetId="6" r:id="rId6"/>
    <sheet name="JULY 20" sheetId="7" r:id="rId7"/>
    <sheet name="AUGUST 20" sheetId="8" r:id="rId8"/>
    <sheet name="SEPTEMBER20" sheetId="9" r:id="rId9"/>
    <sheet name="OCTOBER 20" sheetId="10" r:id="rId10"/>
    <sheet name="NOVEMBER20" sheetId="11" r:id="rId11"/>
    <sheet name="DECEMBER 20" sheetId="12" r:id="rId12"/>
    <sheet name="JANUARY 21" sheetId="13" r:id="rId13"/>
    <sheet name="FEBRUARY21" sheetId="14" r:id="rId14"/>
    <sheet name="MARCH 21" sheetId="15" r:id="rId15"/>
    <sheet name="APRIL 21" sheetId="16" r:id="rId16"/>
    <sheet name="MAY 21" sheetId="17" r:id="rId17"/>
    <sheet name="JUNE 21" sheetId="18" r:id="rId18"/>
    <sheet name="JULY 21" sheetId="19" r:id="rId19"/>
    <sheet name="AUGUST 21" sheetId="20" r:id="rId20"/>
    <sheet name="SEPT 21" sheetId="21" r:id="rId21"/>
    <sheet name="OCTOBER 21" sheetId="22" r:id="rId22"/>
    <sheet name="NOVEMBER 21" sheetId="23" r:id="rId23"/>
    <sheet name="DECEMBER 21" sheetId="24" r:id="rId24"/>
  </sheets>
  <calcPr calcId="162913"/>
</workbook>
</file>

<file path=xl/calcChain.xml><?xml version="1.0" encoding="utf-8"?>
<calcChain xmlns="http://schemas.openxmlformats.org/spreadsheetml/2006/main">
  <c r="J8" i="24" l="1"/>
  <c r="K10" i="23" l="1"/>
  <c r="K14" i="23"/>
  <c r="B26" i="24" l="1"/>
  <c r="C36" i="24"/>
  <c r="C21" i="24"/>
  <c r="H20" i="24"/>
  <c r="B30" i="24" s="1"/>
  <c r="G20" i="24"/>
  <c r="H33" i="24" s="1"/>
  <c r="H36" i="24" s="1"/>
  <c r="H37" i="24" s="1"/>
  <c r="F20" i="24"/>
  <c r="B29" i="24" s="1"/>
  <c r="E20" i="24"/>
  <c r="B28" i="24" s="1"/>
  <c r="D20" i="24"/>
  <c r="B27" i="24" s="1"/>
  <c r="B20" i="24"/>
  <c r="B25" i="24" s="1"/>
  <c r="J20" i="24"/>
  <c r="G25" i="24" s="1"/>
  <c r="H31" i="24" l="1"/>
  <c r="C31" i="24"/>
  <c r="B36" i="24" s="1"/>
  <c r="D36" i="24" s="1"/>
  <c r="K16" i="23" l="1"/>
  <c r="K15" i="23"/>
  <c r="K11" i="23"/>
  <c r="K9" i="23"/>
  <c r="K7" i="23"/>
  <c r="N32" i="21" l="1"/>
  <c r="O4" i="21"/>
  <c r="P6" i="21"/>
  <c r="O6" i="20"/>
  <c r="P9" i="20"/>
  <c r="D36" i="23" l="1"/>
  <c r="I20" i="23"/>
  <c r="C30" i="23" s="1"/>
  <c r="H20" i="23"/>
  <c r="I33" i="23" s="1"/>
  <c r="I36" i="23" s="1"/>
  <c r="I37" i="23" s="1"/>
  <c r="G20" i="23"/>
  <c r="C29" i="23" s="1"/>
  <c r="F20" i="23"/>
  <c r="C28" i="23" s="1"/>
  <c r="E20" i="23"/>
  <c r="C27" i="23" s="1"/>
  <c r="C20" i="23"/>
  <c r="C25" i="23" s="1"/>
  <c r="K20" i="23"/>
  <c r="H25" i="23" s="1"/>
  <c r="I31" i="23" l="1"/>
  <c r="D31" i="23"/>
  <c r="K13" i="22"/>
  <c r="K15" i="22"/>
  <c r="K10" i="22" l="1"/>
  <c r="K16" i="21" l="1"/>
  <c r="K8" i="21"/>
  <c r="G8" i="21" l="1"/>
  <c r="H8" i="21"/>
  <c r="K14" i="21" l="1"/>
  <c r="K6" i="21" l="1"/>
  <c r="D39" i="22" l="1"/>
  <c r="I20" i="22"/>
  <c r="C30" i="22" s="1"/>
  <c r="H20" i="22"/>
  <c r="I33" i="22" s="1"/>
  <c r="I39" i="22" s="1"/>
  <c r="I40" i="22" s="1"/>
  <c r="G20" i="22"/>
  <c r="C29" i="22" s="1"/>
  <c r="F20" i="22"/>
  <c r="C28" i="22" s="1"/>
  <c r="E20" i="22"/>
  <c r="C27" i="22" s="1"/>
  <c r="C20" i="22"/>
  <c r="C25" i="22" s="1"/>
  <c r="K20" i="22"/>
  <c r="H25" i="22" s="1"/>
  <c r="I31" i="22" l="1"/>
  <c r="D31" i="22"/>
  <c r="N9" i="17"/>
  <c r="N10" i="17" s="1"/>
  <c r="P10" i="17" l="1"/>
  <c r="K6" i="18"/>
  <c r="K5" i="21" l="1"/>
  <c r="K10" i="21"/>
  <c r="K13" i="21"/>
  <c r="K15" i="21"/>
  <c r="K11" i="21" l="1"/>
  <c r="K7" i="21" l="1"/>
  <c r="K14" i="20" l="1"/>
  <c r="D39" i="21"/>
  <c r="M22" i="21"/>
  <c r="I20" i="21"/>
  <c r="C30" i="21" s="1"/>
  <c r="H20" i="21"/>
  <c r="I33" i="21" s="1"/>
  <c r="I39" i="21" s="1"/>
  <c r="I40" i="21" s="1"/>
  <c r="G20" i="21"/>
  <c r="C29" i="21" s="1"/>
  <c r="F20" i="21"/>
  <c r="C28" i="21" s="1"/>
  <c r="E20" i="21"/>
  <c r="C27" i="21" s="1"/>
  <c r="C20" i="21"/>
  <c r="C25" i="21" s="1"/>
  <c r="K20" i="21"/>
  <c r="H25" i="21" s="1"/>
  <c r="D31" i="21" l="1"/>
  <c r="I31" i="21"/>
  <c r="I36" i="20"/>
  <c r="K15" i="20" l="1"/>
  <c r="K9" i="20" l="1"/>
  <c r="K10" i="20"/>
  <c r="K16" i="20"/>
  <c r="K11" i="20" l="1"/>
  <c r="K8" i="20" l="1"/>
  <c r="K17" i="20" l="1"/>
  <c r="K5" i="20" l="1"/>
  <c r="D39" i="20" l="1"/>
  <c r="M22" i="20"/>
  <c r="I20" i="20"/>
  <c r="C30" i="20" s="1"/>
  <c r="H20" i="20"/>
  <c r="I33" i="20" s="1"/>
  <c r="G20" i="20"/>
  <c r="C29" i="20" s="1"/>
  <c r="F20" i="20"/>
  <c r="C28" i="20" s="1"/>
  <c r="E20" i="20"/>
  <c r="C27" i="20" s="1"/>
  <c r="C20" i="20"/>
  <c r="C25" i="20" s="1"/>
  <c r="L12" i="20"/>
  <c r="D12" i="21" s="1"/>
  <c r="J12" i="21" s="1"/>
  <c r="L12" i="21" s="1"/>
  <c r="D12" i="22" s="1"/>
  <c r="J12" i="22" s="1"/>
  <c r="L12" i="22" s="1"/>
  <c r="D12" i="23" s="1"/>
  <c r="J12" i="23" s="1"/>
  <c r="L12" i="23" s="1"/>
  <c r="C12" i="24" s="1"/>
  <c r="I12" i="24" s="1"/>
  <c r="K12" i="24" s="1"/>
  <c r="K20" i="20"/>
  <c r="H25" i="20" s="1"/>
  <c r="I39" i="20" l="1"/>
  <c r="I31" i="20"/>
  <c r="D31" i="20"/>
  <c r="I40" i="20" l="1"/>
  <c r="K10" i="19"/>
  <c r="K8" i="19"/>
  <c r="K14" i="19" l="1"/>
  <c r="K15" i="19" l="1"/>
  <c r="K6" i="19" l="1"/>
  <c r="D39" i="19" l="1"/>
  <c r="M22" i="19"/>
  <c r="D21" i="19"/>
  <c r="I20" i="19"/>
  <c r="C30" i="19" s="1"/>
  <c r="H20" i="19"/>
  <c r="I33" i="19" s="1"/>
  <c r="I39" i="19" s="1"/>
  <c r="I40" i="19" s="1"/>
  <c r="G20" i="19"/>
  <c r="C29" i="19" s="1"/>
  <c r="F20" i="19"/>
  <c r="C28" i="19" s="1"/>
  <c r="E20" i="19"/>
  <c r="C27" i="19" s="1"/>
  <c r="C20" i="19"/>
  <c r="C25" i="19" s="1"/>
  <c r="K20" i="19"/>
  <c r="H25" i="19" s="1"/>
  <c r="I31" i="19" l="1"/>
  <c r="D31" i="19"/>
  <c r="K10" i="18"/>
  <c r="K10" i="17"/>
  <c r="K12" i="18" l="1"/>
  <c r="K9" i="18" l="1"/>
  <c r="K17" i="18" l="1"/>
  <c r="K11" i="18" l="1"/>
  <c r="D38" i="18" l="1"/>
  <c r="M22" i="18"/>
  <c r="I20" i="18"/>
  <c r="C30" i="18" s="1"/>
  <c r="H20" i="18"/>
  <c r="I33" i="18" s="1"/>
  <c r="I38" i="18" s="1"/>
  <c r="I39" i="18" s="1"/>
  <c r="G20" i="18"/>
  <c r="C29" i="18" s="1"/>
  <c r="F20" i="18"/>
  <c r="C28" i="18" s="1"/>
  <c r="E20" i="18"/>
  <c r="C27" i="18" s="1"/>
  <c r="C20" i="18"/>
  <c r="C25" i="18" s="1"/>
  <c r="J14" i="18"/>
  <c r="L14" i="18" s="1"/>
  <c r="D14" i="19" s="1"/>
  <c r="J14" i="19" s="1"/>
  <c r="L14" i="19" s="1"/>
  <c r="D14" i="20" s="1"/>
  <c r="J14" i="20" s="1"/>
  <c r="L14" i="20" s="1"/>
  <c r="D14" i="21" s="1"/>
  <c r="J14" i="21" s="1"/>
  <c r="L14" i="21" s="1"/>
  <c r="D14" i="22" s="1"/>
  <c r="J14" i="22" s="1"/>
  <c r="L14" i="22" s="1"/>
  <c r="D14" i="23" s="1"/>
  <c r="J14" i="23" s="1"/>
  <c r="L14" i="23" s="1"/>
  <c r="C14" i="24" s="1"/>
  <c r="K20" i="18"/>
  <c r="H25" i="18" s="1"/>
  <c r="I14" i="24" l="1"/>
  <c r="I31" i="18"/>
  <c r="D31" i="18"/>
  <c r="K14" i="24" l="1"/>
  <c r="K11" i="17"/>
  <c r="K16" i="17"/>
  <c r="K6" i="17"/>
  <c r="M33" i="17" l="1"/>
  <c r="M34" i="17" s="1"/>
  <c r="K14" i="17" l="1"/>
  <c r="K12" i="17" l="1"/>
  <c r="K9" i="17" l="1"/>
  <c r="K17" i="17" l="1"/>
  <c r="K8" i="17" l="1"/>
  <c r="K13" i="17" l="1"/>
  <c r="D38" i="17" l="1"/>
  <c r="K10" i="16"/>
  <c r="C26" i="17" l="1"/>
  <c r="M22" i="17"/>
  <c r="I20" i="17"/>
  <c r="C30" i="17" s="1"/>
  <c r="H20" i="17"/>
  <c r="G20" i="17"/>
  <c r="C29" i="17" s="1"/>
  <c r="F20" i="17"/>
  <c r="C28" i="17" s="1"/>
  <c r="E20" i="17"/>
  <c r="C27" i="17" s="1"/>
  <c r="C20" i="17"/>
  <c r="C25" i="17" s="1"/>
  <c r="K20" i="17"/>
  <c r="H25" i="17" s="1"/>
  <c r="I33" i="17" l="1"/>
  <c r="I38" i="17" s="1"/>
  <c r="I39" i="17" s="1"/>
  <c r="I31" i="17"/>
  <c r="D31" i="17"/>
  <c r="C38" i="17" l="1"/>
  <c r="E38" i="17" s="1"/>
  <c r="C26" i="18" s="1"/>
  <c r="C38" i="18" s="1"/>
  <c r="E38" i="18" s="1"/>
  <c r="C26" i="19" s="1"/>
  <c r="C39" i="19" s="1"/>
  <c r="E39" i="19" s="1"/>
  <c r="C26" i="20" s="1"/>
  <c r="C39" i="20" s="1"/>
  <c r="E39" i="20" s="1"/>
  <c r="C26" i="21" s="1"/>
  <c r="C39" i="21" s="1"/>
  <c r="E39" i="21" s="1"/>
  <c r="C26" i="22" s="1"/>
  <c r="C39" i="22" s="1"/>
  <c r="E39" i="22" s="1"/>
  <c r="C26" i="23" s="1"/>
  <c r="M22" i="16"/>
  <c r="K5" i="14"/>
  <c r="K5" i="12"/>
  <c r="C36" i="23" l="1"/>
  <c r="E36" i="23" s="1"/>
  <c r="K15" i="16"/>
  <c r="K8" i="16"/>
  <c r="K17" i="16" l="1"/>
  <c r="K6" i="16" l="1"/>
  <c r="K11" i="16" l="1"/>
  <c r="K16" i="15" l="1"/>
  <c r="K7" i="15" l="1"/>
  <c r="K7" i="12"/>
  <c r="J7" i="11"/>
  <c r="D38" i="16" l="1"/>
  <c r="K20" i="16"/>
  <c r="H25" i="16" s="1"/>
  <c r="I20" i="16"/>
  <c r="C30" i="16" s="1"/>
  <c r="H20" i="16"/>
  <c r="I33" i="16" s="1"/>
  <c r="I38" i="16" s="1"/>
  <c r="I39" i="16" s="1"/>
  <c r="G20" i="16"/>
  <c r="C29" i="16" s="1"/>
  <c r="F20" i="16"/>
  <c r="C28" i="16" s="1"/>
  <c r="E20" i="16"/>
  <c r="C27" i="16" s="1"/>
  <c r="C20" i="16"/>
  <c r="C25" i="16" s="1"/>
  <c r="D31" i="16" l="1"/>
  <c r="I31" i="16"/>
  <c r="K8" i="15"/>
  <c r="K10" i="14" l="1"/>
  <c r="K14" i="15" l="1"/>
  <c r="K13" i="15"/>
  <c r="C20" i="15" l="1"/>
  <c r="D39" i="15" l="1"/>
  <c r="K6" i="15" l="1"/>
  <c r="K12" i="15" l="1"/>
  <c r="K15" i="15" l="1"/>
  <c r="K10" i="13" l="1"/>
  <c r="I20" i="15"/>
  <c r="C31" i="15" s="1"/>
  <c r="H20" i="15"/>
  <c r="I34" i="15" s="1"/>
  <c r="I39" i="15" s="1"/>
  <c r="I40" i="15" s="1"/>
  <c r="G20" i="15"/>
  <c r="C30" i="15" s="1"/>
  <c r="F20" i="15"/>
  <c r="C29" i="15" s="1"/>
  <c r="E20" i="15"/>
  <c r="C28" i="15" s="1"/>
  <c r="C25" i="15"/>
  <c r="K20" i="15"/>
  <c r="H25" i="15" s="1"/>
  <c r="J5" i="15"/>
  <c r="I32" i="15" l="1"/>
  <c r="D32" i="15"/>
  <c r="L5" i="15"/>
  <c r="D5" i="16" s="1"/>
  <c r="J5" i="16" s="1"/>
  <c r="L5" i="16" s="1"/>
  <c r="D5" i="17" s="1"/>
  <c r="J5" i="17" l="1"/>
  <c r="K8" i="14"/>
  <c r="L5" i="17" l="1"/>
  <c r="K16" i="14"/>
  <c r="D5" i="18" l="1"/>
  <c r="J5" i="18" s="1"/>
  <c r="K11" i="14"/>
  <c r="L5" i="18" l="1"/>
  <c r="H20" i="14"/>
  <c r="D5" i="19" l="1"/>
  <c r="K17" i="14"/>
  <c r="J5" i="19" l="1"/>
  <c r="K12" i="14"/>
  <c r="L5" i="19" l="1"/>
  <c r="D5" i="20" s="1"/>
  <c r="L21" i="10"/>
  <c r="J5" i="20" l="1"/>
  <c r="I38" i="14"/>
  <c r="D38" i="14"/>
  <c r="L5" i="20" l="1"/>
  <c r="I34" i="14"/>
  <c r="I42" i="14" s="1"/>
  <c r="I43" i="14" s="1"/>
  <c r="D5" i="21" l="1"/>
  <c r="K8" i="13"/>
  <c r="J5" i="21" l="1"/>
  <c r="D42" i="14"/>
  <c r="I20" i="14"/>
  <c r="C31" i="14" s="1"/>
  <c r="G20" i="14"/>
  <c r="C30" i="14" s="1"/>
  <c r="F20" i="14"/>
  <c r="C29" i="14" s="1"/>
  <c r="E20" i="14"/>
  <c r="C28" i="14" s="1"/>
  <c r="C20" i="14"/>
  <c r="C25" i="14" s="1"/>
  <c r="K20" i="14"/>
  <c r="H25" i="14" s="1"/>
  <c r="L5" i="21" l="1"/>
  <c r="D32" i="14"/>
  <c r="I32" i="14"/>
  <c r="K6" i="13"/>
  <c r="D5" i="22" l="1"/>
  <c r="J5" i="22" s="1"/>
  <c r="K16" i="13"/>
  <c r="L5" i="22" l="1"/>
  <c r="D5" i="23" s="1"/>
  <c r="K13" i="13"/>
  <c r="J5" i="23" l="1"/>
  <c r="K11" i="13"/>
  <c r="L5" i="23" l="1"/>
  <c r="C5" i="24" s="1"/>
  <c r="P23" i="10"/>
  <c r="I5" i="24" l="1"/>
  <c r="K15" i="12"/>
  <c r="K5" i="24" l="1"/>
  <c r="K12" i="13"/>
  <c r="K9" i="12" l="1"/>
  <c r="D41" i="13" l="1"/>
  <c r="I20" i="13"/>
  <c r="C31" i="13" s="1"/>
  <c r="H20" i="13"/>
  <c r="I34" i="13" s="1"/>
  <c r="I41" i="13" s="1"/>
  <c r="G20" i="13"/>
  <c r="C30" i="13" s="1"/>
  <c r="F20" i="13"/>
  <c r="C29" i="13" s="1"/>
  <c r="E20" i="13"/>
  <c r="C28" i="13" s="1"/>
  <c r="C20" i="13"/>
  <c r="C25" i="13" s="1"/>
  <c r="K20" i="13"/>
  <c r="H25" i="13" s="1"/>
  <c r="D32" i="13" l="1"/>
  <c r="I32" i="13"/>
  <c r="K11" i="12"/>
  <c r="J11" i="11"/>
  <c r="K8" i="12" l="1"/>
  <c r="K12" i="12" l="1"/>
  <c r="K6" i="12"/>
  <c r="K16" i="12" l="1"/>
  <c r="K13" i="12"/>
  <c r="K10" i="12"/>
  <c r="J5" i="8" l="1"/>
  <c r="J6" i="8"/>
  <c r="D41" i="12" l="1"/>
  <c r="I20" i="12"/>
  <c r="C31" i="12" s="1"/>
  <c r="H20" i="12"/>
  <c r="I34" i="12" s="1"/>
  <c r="G20" i="12"/>
  <c r="C30" i="12" s="1"/>
  <c r="F20" i="12"/>
  <c r="C29" i="12" s="1"/>
  <c r="E20" i="12"/>
  <c r="C28" i="12" s="1"/>
  <c r="C20" i="12"/>
  <c r="C25" i="12" s="1"/>
  <c r="K20" i="12"/>
  <c r="H25" i="12" s="1"/>
  <c r="J5" i="7"/>
  <c r="J16" i="11"/>
  <c r="I41" i="12" l="1"/>
  <c r="I42" i="12" s="1"/>
  <c r="D32" i="12"/>
  <c r="I32" i="12"/>
  <c r="J12" i="11"/>
  <c r="J8" i="11"/>
  <c r="J14" i="9" l="1"/>
  <c r="I14" i="9"/>
  <c r="J15" i="11" l="1"/>
  <c r="J17" i="11" l="1"/>
  <c r="J20" i="11" s="1"/>
  <c r="G25" i="11" s="1"/>
  <c r="C41" i="11" l="1"/>
  <c r="J16" i="10"/>
  <c r="C40" i="10"/>
  <c r="J9" i="10" l="1"/>
  <c r="J8" i="10"/>
  <c r="C14" i="11" l="1"/>
  <c r="I14" i="11" s="1"/>
  <c r="K14" i="11" s="1"/>
  <c r="D14" i="12" s="1"/>
  <c r="J14" i="12" s="1"/>
  <c r="L14" i="12" s="1"/>
  <c r="D14" i="13" s="1"/>
  <c r="J14" i="13" s="1"/>
  <c r="L14" i="13" s="1"/>
  <c r="D14" i="14" s="1"/>
  <c r="J14" i="14" s="1"/>
  <c r="L14" i="14" s="1"/>
  <c r="D14" i="15" s="1"/>
  <c r="J14" i="15" s="1"/>
  <c r="L14" i="15" s="1"/>
  <c r="D14" i="16" s="1"/>
  <c r="J14" i="16" s="1"/>
  <c r="L14" i="16" s="1"/>
  <c r="D14" i="17" s="1"/>
  <c r="J14" i="17" s="1"/>
  <c r="L14" i="17" s="1"/>
  <c r="H20" i="11"/>
  <c r="B31" i="11" s="1"/>
  <c r="G20" i="11"/>
  <c r="H34" i="11" s="1"/>
  <c r="H41" i="11" s="1"/>
  <c r="F20" i="11"/>
  <c r="B30" i="11" s="1"/>
  <c r="E20" i="11"/>
  <c r="B29" i="11" s="1"/>
  <c r="D20" i="11"/>
  <c r="B28" i="11" s="1"/>
  <c r="B20" i="11"/>
  <c r="B25" i="11" s="1"/>
  <c r="C32" i="11" l="1"/>
  <c r="H32" i="11"/>
  <c r="M7" i="7"/>
  <c r="M5" i="7"/>
  <c r="J14" i="10" l="1"/>
  <c r="J15" i="10"/>
  <c r="J5" i="10"/>
  <c r="J11" i="9"/>
  <c r="J6" i="10" l="1"/>
  <c r="J6" i="9" l="1"/>
  <c r="J7" i="9"/>
  <c r="J6" i="6"/>
  <c r="J7" i="10" l="1"/>
  <c r="J8" i="9" l="1"/>
  <c r="H20" i="10" l="1"/>
  <c r="B30" i="10" s="1"/>
  <c r="G20" i="10"/>
  <c r="H33" i="10" s="1"/>
  <c r="H40" i="10" s="1"/>
  <c r="F20" i="10"/>
  <c r="B29" i="10" s="1"/>
  <c r="E20" i="10"/>
  <c r="B28" i="10" s="1"/>
  <c r="D20" i="10"/>
  <c r="B27" i="10" s="1"/>
  <c r="B20" i="10"/>
  <c r="B25" i="10" s="1"/>
  <c r="I14" i="10"/>
  <c r="I10" i="10"/>
  <c r="K10" i="10" s="1"/>
  <c r="C10" i="11" s="1"/>
  <c r="I10" i="11" s="1"/>
  <c r="K10" i="11" s="1"/>
  <c r="D10" i="12" s="1"/>
  <c r="J10" i="12" s="1"/>
  <c r="L10" i="12" s="1"/>
  <c r="D10" i="13" s="1"/>
  <c r="J10" i="13" s="1"/>
  <c r="L10" i="13" s="1"/>
  <c r="D10" i="14" s="1"/>
  <c r="J10" i="14" s="1"/>
  <c r="L10" i="14" s="1"/>
  <c r="D10" i="15" s="1"/>
  <c r="J10" i="15" s="1"/>
  <c r="L10" i="15" s="1"/>
  <c r="J20" i="10"/>
  <c r="G25" i="10" s="1"/>
  <c r="D10" i="16" l="1"/>
  <c r="J10" i="16" s="1"/>
  <c r="L10" i="16" s="1"/>
  <c r="D10" i="17" s="1"/>
  <c r="J10" i="17" s="1"/>
  <c r="L10" i="17" s="1"/>
  <c r="D10" i="18" s="1"/>
  <c r="J10" i="18" s="1"/>
  <c r="L10" i="18" s="1"/>
  <c r="D10" i="19" s="1"/>
  <c r="J10" i="19" s="1"/>
  <c r="L10" i="19" s="1"/>
  <c r="D10" i="20" s="1"/>
  <c r="J10" i="20" s="1"/>
  <c r="L10" i="20" s="1"/>
  <c r="D10" i="21" s="1"/>
  <c r="J10" i="21" s="1"/>
  <c r="L10" i="21" s="1"/>
  <c r="D10" i="22" s="1"/>
  <c r="J10" i="22" s="1"/>
  <c r="L10" i="22" s="1"/>
  <c r="D10" i="23" s="1"/>
  <c r="J10" i="23" s="1"/>
  <c r="L10" i="23" s="1"/>
  <c r="C10" i="24" s="1"/>
  <c r="I10" i="24" s="1"/>
  <c r="K10" i="24" s="1"/>
  <c r="C31" i="10"/>
  <c r="H31" i="10"/>
  <c r="J15" i="9"/>
  <c r="J5" i="9"/>
  <c r="L31" i="6" l="1"/>
  <c r="H39" i="9" l="1"/>
  <c r="C39" i="9"/>
  <c r="J12" i="9" l="1"/>
  <c r="J17" i="9" l="1"/>
  <c r="B20" i="9" l="1"/>
  <c r="C42" i="9"/>
  <c r="H20" i="9"/>
  <c r="G20" i="9"/>
  <c r="H33" i="9" s="1"/>
  <c r="H42" i="9" s="1"/>
  <c r="F20" i="9"/>
  <c r="B29" i="9" s="1"/>
  <c r="E20" i="9"/>
  <c r="B28" i="9" s="1"/>
  <c r="D20" i="9"/>
  <c r="B27" i="9" s="1"/>
  <c r="J20" i="9"/>
  <c r="G25" i="9" s="1"/>
  <c r="B30" i="9" l="1"/>
  <c r="B25" i="9"/>
  <c r="J11" i="8"/>
  <c r="C31" i="9" l="1"/>
  <c r="H31" i="9"/>
  <c r="J8" i="8"/>
  <c r="J16" i="8" l="1"/>
  <c r="J12" i="8" l="1"/>
  <c r="J15" i="8" l="1"/>
  <c r="J13" i="8"/>
  <c r="J9" i="8" l="1"/>
  <c r="J7" i="8" l="1"/>
  <c r="B5" i="8" l="1"/>
  <c r="I5" i="8" s="1"/>
  <c r="C41" i="8" l="1"/>
  <c r="H20" i="8"/>
  <c r="B30" i="8" s="1"/>
  <c r="G20" i="8"/>
  <c r="H33" i="8" s="1"/>
  <c r="H41" i="8" s="1"/>
  <c r="F20" i="8"/>
  <c r="B29" i="8" s="1"/>
  <c r="E20" i="8"/>
  <c r="B28" i="8" s="1"/>
  <c r="D20" i="8"/>
  <c r="B27" i="8" s="1"/>
  <c r="B20" i="8"/>
  <c r="B25" i="8" s="1"/>
  <c r="J20" i="8"/>
  <c r="G25" i="8" s="1"/>
  <c r="K5" i="8"/>
  <c r="C5" i="9" s="1"/>
  <c r="I5" i="9" s="1"/>
  <c r="K5" i="9" s="1"/>
  <c r="C5" i="10" l="1"/>
  <c r="I5" i="10" s="1"/>
  <c r="K5" i="10" s="1"/>
  <c r="C5" i="11" s="1"/>
  <c r="I5" i="11" s="1"/>
  <c r="K5" i="11" s="1"/>
  <c r="C31" i="8"/>
  <c r="H31" i="8"/>
  <c r="J5" i="2"/>
  <c r="K5" i="2"/>
  <c r="J7" i="2"/>
  <c r="J8" i="2"/>
  <c r="K8" i="2"/>
  <c r="M22" i="3"/>
  <c r="H20" i="6"/>
  <c r="D5" i="12" l="1"/>
  <c r="J5" i="12" s="1"/>
  <c r="L5" i="12" s="1"/>
  <c r="H38" i="7"/>
  <c r="C38" i="7"/>
  <c r="D5" i="13" l="1"/>
  <c r="J5" i="13" s="1"/>
  <c r="J10" i="7"/>
  <c r="J15" i="7"/>
  <c r="L5" i="13" l="1"/>
  <c r="D5" i="14" s="1"/>
  <c r="J5" i="14" s="1"/>
  <c r="L5" i="14" s="1"/>
  <c r="J17" i="7"/>
  <c r="B20" i="7" l="1"/>
  <c r="B25" i="7" s="1"/>
  <c r="J6" i="7" l="1"/>
  <c r="J7" i="7" l="1"/>
  <c r="H20" i="7" l="1"/>
  <c r="J15" i="6" l="1"/>
  <c r="C41" i="7" l="1"/>
  <c r="B30" i="7"/>
  <c r="G20" i="7"/>
  <c r="H33" i="7" s="1"/>
  <c r="H41" i="7" s="1"/>
  <c r="F20" i="7"/>
  <c r="B29" i="7" s="1"/>
  <c r="E20" i="7"/>
  <c r="B28" i="7" s="1"/>
  <c r="D20" i="7"/>
  <c r="B27" i="7" s="1"/>
  <c r="J20" i="7"/>
  <c r="G25" i="7" s="1"/>
  <c r="C31" i="7" l="1"/>
  <c r="H31" i="7"/>
  <c r="J8" i="6"/>
  <c r="J9" i="6"/>
  <c r="B41" i="7" l="1"/>
  <c r="E41" i="7" s="1"/>
  <c r="B26" i="8" s="1"/>
  <c r="B41" i="8" s="1"/>
  <c r="E41" i="8" s="1"/>
  <c r="B42" i="9" s="1"/>
  <c r="E42" i="9" s="1"/>
  <c r="B26" i="10" l="1"/>
  <c r="B40" i="10" s="1"/>
  <c r="E40" i="10" s="1"/>
  <c r="B26" i="11"/>
  <c r="B41" i="11" s="1"/>
  <c r="D41" i="11" s="1"/>
  <c r="C26" i="12" s="1"/>
  <c r="C41" i="12" s="1"/>
  <c r="E41" i="12" s="1"/>
  <c r="C26" i="13" s="1"/>
  <c r="C41" i="13" s="1"/>
  <c r="E41" i="13" s="1"/>
  <c r="C26" i="14" s="1"/>
  <c r="C42" i="14" s="1"/>
  <c r="E42" i="14" s="1"/>
  <c r="C26" i="15" s="1"/>
  <c r="C39" i="15" s="1"/>
  <c r="E39" i="15" s="1"/>
  <c r="C26" i="16" s="1"/>
  <c r="C38" i="16" s="1"/>
  <c r="E38" i="16" s="1"/>
  <c r="J9" i="5"/>
  <c r="J9" i="4"/>
  <c r="B30" i="6" l="1"/>
  <c r="J7" i="6"/>
  <c r="M20" i="6" l="1"/>
  <c r="M21" i="6" s="1"/>
  <c r="C41" i="6" l="1"/>
  <c r="G20" i="6"/>
  <c r="F20" i="6"/>
  <c r="E20" i="6"/>
  <c r="B28" i="6" s="1"/>
  <c r="D20" i="6"/>
  <c r="B27" i="6" s="1"/>
  <c r="B20" i="6"/>
  <c r="B25" i="6" s="1"/>
  <c r="J20" i="6"/>
  <c r="G25" i="6" s="1"/>
  <c r="B29" i="6" l="1"/>
  <c r="H33" i="6"/>
  <c r="H41" i="6" s="1"/>
  <c r="C31" i="6"/>
  <c r="H31" i="6"/>
  <c r="J8" i="5"/>
  <c r="J16" i="5"/>
  <c r="G20" i="5" l="1"/>
  <c r="D20" i="5" l="1"/>
  <c r="J7" i="5" l="1"/>
  <c r="J8" i="4" l="1"/>
  <c r="C41" i="5" l="1"/>
  <c r="J20" i="5"/>
  <c r="G25" i="5" s="1"/>
  <c r="H20" i="5"/>
  <c r="B30" i="5" s="1"/>
  <c r="H33" i="5"/>
  <c r="H41" i="5" s="1"/>
  <c r="F20" i="5"/>
  <c r="B29" i="5" s="1"/>
  <c r="E20" i="5"/>
  <c r="B28" i="5" s="1"/>
  <c r="B27" i="5"/>
  <c r="B20" i="5"/>
  <c r="K15" i="5"/>
  <c r="C15" i="6" s="1"/>
  <c r="H41" i="4"/>
  <c r="B25" i="5" l="1"/>
  <c r="H31" i="5" s="1"/>
  <c r="I15" i="6"/>
  <c r="K15" i="6" s="1"/>
  <c r="C15" i="7" s="1"/>
  <c r="I15" i="7" s="1"/>
  <c r="K15" i="7" s="1"/>
  <c r="C31" i="5"/>
  <c r="C15" i="8" l="1"/>
  <c r="I15" i="8" s="1"/>
  <c r="K15" i="8" s="1"/>
  <c r="C15" i="9" s="1"/>
  <c r="C41" i="4"/>
  <c r="I15" i="9" l="1"/>
  <c r="K15" i="9" s="1"/>
  <c r="C15" i="10" s="1"/>
  <c r="I15" i="10" s="1"/>
  <c r="K15" i="10" s="1"/>
  <c r="C15" i="11" s="1"/>
  <c r="I15" i="11" s="1"/>
  <c r="K15" i="11" s="1"/>
  <c r="D15" i="12" s="1"/>
  <c r="J15" i="12" s="1"/>
  <c r="L15" i="12" s="1"/>
  <c r="J15" i="13" s="1"/>
  <c r="L15" i="13" s="1"/>
  <c r="D15" i="14" s="1"/>
  <c r="J15" i="14" s="1"/>
  <c r="L15" i="14" s="1"/>
  <c r="D15" i="15" s="1"/>
  <c r="J15" i="15" s="1"/>
  <c r="L15" i="15" s="1"/>
  <c r="D15" i="16" s="1"/>
  <c r="J15" i="16" s="1"/>
  <c r="L15" i="16" s="1"/>
  <c r="D15" i="17" s="1"/>
  <c r="J15" i="17" s="1"/>
  <c r="L15" i="17" s="1"/>
  <c r="D15" i="18" s="1"/>
  <c r="J15" i="18" s="1"/>
  <c r="L15" i="18" s="1"/>
  <c r="D15" i="19" s="1"/>
  <c r="J15" i="19" s="1"/>
  <c r="L15" i="19" s="1"/>
  <c r="J10" i="3"/>
  <c r="J7" i="4"/>
  <c r="D15" i="20" l="1"/>
  <c r="J15" i="20" s="1"/>
  <c r="L15" i="20" s="1"/>
  <c r="D15" i="21" s="1"/>
  <c r="J15" i="21" s="1"/>
  <c r="L15" i="21" s="1"/>
  <c r="D15" i="22" s="1"/>
  <c r="J15" i="22" s="1"/>
  <c r="L15" i="22" s="1"/>
  <c r="D15" i="23" s="1"/>
  <c r="J15" i="23" s="1"/>
  <c r="L15" i="23" s="1"/>
  <c r="C15" i="24" s="1"/>
  <c r="I15" i="24" s="1"/>
  <c r="K15" i="24" s="1"/>
  <c r="I17" i="4"/>
  <c r="K17" i="4" s="1"/>
  <c r="C17" i="5" s="1"/>
  <c r="I17" i="5" s="1"/>
  <c r="K17" i="5" s="1"/>
  <c r="C17" i="6" s="1"/>
  <c r="I17" i="6" s="1"/>
  <c r="K17" i="6" s="1"/>
  <c r="C17" i="7" s="1"/>
  <c r="I17" i="7" s="1"/>
  <c r="K17" i="7" s="1"/>
  <c r="C17" i="8" s="1"/>
  <c r="I17" i="8" s="1"/>
  <c r="K17" i="8" s="1"/>
  <c r="C17" i="9" s="1"/>
  <c r="I17" i="9" s="1"/>
  <c r="K17" i="9" s="1"/>
  <c r="C17" i="10" s="1"/>
  <c r="H20" i="4"/>
  <c r="G20" i="4"/>
  <c r="F20" i="4"/>
  <c r="E20" i="4"/>
  <c r="D20" i="4"/>
  <c r="B27" i="4" s="1"/>
  <c r="B20" i="4"/>
  <c r="B25" i="4" s="1"/>
  <c r="C31" i="4" s="1"/>
  <c r="J20" i="4"/>
  <c r="G25" i="4" s="1"/>
  <c r="I17" i="10" l="1"/>
  <c r="K17" i="10" s="1"/>
  <c r="C17" i="11" s="1"/>
  <c r="I17" i="11" s="1"/>
  <c r="K17" i="11" s="1"/>
  <c r="D17" i="12" s="1"/>
  <c r="J17" i="12" s="1"/>
  <c r="L17" i="12" s="1"/>
  <c r="D17" i="13" s="1"/>
  <c r="J17" i="13" s="1"/>
  <c r="L17" i="13" s="1"/>
  <c r="D17" i="14" s="1"/>
  <c r="J17" i="14" s="1"/>
  <c r="L17" i="14" s="1"/>
  <c r="D17" i="15" s="1"/>
  <c r="J17" i="15" s="1"/>
  <c r="L17" i="15" s="1"/>
  <c r="D17" i="16" s="1"/>
  <c r="J17" i="16" s="1"/>
  <c r="L17" i="16" s="1"/>
  <c r="D17" i="17" s="1"/>
  <c r="J17" i="17" s="1"/>
  <c r="L17" i="17" s="1"/>
  <c r="D17" i="18" s="1"/>
  <c r="J17" i="18" s="1"/>
  <c r="L17" i="18" s="1"/>
  <c r="D17" i="19" s="1"/>
  <c r="J17" i="19" s="1"/>
  <c r="L17" i="19" s="1"/>
  <c r="D17" i="20" s="1"/>
  <c r="J17" i="20" s="1"/>
  <c r="L17" i="20" s="1"/>
  <c r="D17" i="21" s="1"/>
  <c r="J17" i="21" s="1"/>
  <c r="L17" i="21" s="1"/>
  <c r="D17" i="22" s="1"/>
  <c r="J17" i="22" s="1"/>
  <c r="L17" i="22" s="1"/>
  <c r="D17" i="23" s="1"/>
  <c r="J17" i="23" s="1"/>
  <c r="L17" i="23" s="1"/>
  <c r="C17" i="24" s="1"/>
  <c r="I17" i="24" s="1"/>
  <c r="K17" i="24" s="1"/>
  <c r="H31" i="4"/>
  <c r="B28" i="4"/>
  <c r="B29" i="4"/>
  <c r="B30" i="4"/>
  <c r="J5" i="3"/>
  <c r="H20" i="3" l="1"/>
  <c r="B30" i="3" l="1"/>
  <c r="C39" i="3" l="1"/>
  <c r="G20" i="3"/>
  <c r="H34" i="3" s="1"/>
  <c r="H39" i="3" s="1"/>
  <c r="F20" i="3"/>
  <c r="E20" i="3"/>
  <c r="B28" i="3" s="1"/>
  <c r="D20" i="3"/>
  <c r="B20" i="3"/>
  <c r="B25" i="3" s="1"/>
  <c r="I10" i="3"/>
  <c r="K10" i="3" s="1"/>
  <c r="C10" i="4" s="1"/>
  <c r="I7" i="3"/>
  <c r="K7" i="3" s="1"/>
  <c r="C7" i="4" s="1"/>
  <c r="I7" i="4" s="1"/>
  <c r="K7" i="4" s="1"/>
  <c r="C7" i="5" s="1"/>
  <c r="I7" i="5" s="1"/>
  <c r="K7" i="5" s="1"/>
  <c r="C7" i="6" s="1"/>
  <c r="I7" i="6" s="1"/>
  <c r="K7" i="6" s="1"/>
  <c r="C7" i="7" s="1"/>
  <c r="I7" i="7" s="1"/>
  <c r="K7" i="7" s="1"/>
  <c r="C7" i="8" s="1"/>
  <c r="I7" i="8" s="1"/>
  <c r="K7" i="8" s="1"/>
  <c r="C7" i="9" s="1"/>
  <c r="I7" i="9" s="1"/>
  <c r="K7" i="9" s="1"/>
  <c r="J20" i="3"/>
  <c r="G25" i="3" s="1"/>
  <c r="C7" i="10" l="1"/>
  <c r="I7" i="10" s="1"/>
  <c r="K7" i="10" s="1"/>
  <c r="C7" i="11" s="1"/>
  <c r="I7" i="11" s="1"/>
  <c r="K7" i="11" s="1"/>
  <c r="I10" i="4"/>
  <c r="K10" i="4" s="1"/>
  <c r="B29" i="3"/>
  <c r="L35" i="3" s="1"/>
  <c r="H31" i="3"/>
  <c r="C31" i="3"/>
  <c r="G16" i="1"/>
  <c r="D7" i="12" l="1"/>
  <c r="J7" i="12" s="1"/>
  <c r="L7" i="12" s="1"/>
  <c r="C10" i="5"/>
  <c r="L31" i="3"/>
  <c r="G20" i="2"/>
  <c r="C20" i="2"/>
  <c r="I31" i="2" s="1"/>
  <c r="C30" i="2"/>
  <c r="H20" i="2"/>
  <c r="I34" i="2" s="1"/>
  <c r="I39" i="2" s="1"/>
  <c r="M40" i="2" s="1"/>
  <c r="C29" i="2"/>
  <c r="J6" i="2"/>
  <c r="K6" i="2"/>
  <c r="L7" i="2"/>
  <c r="J9" i="2"/>
  <c r="L9" i="2" s="1"/>
  <c r="C9" i="3" s="1"/>
  <c r="I9" i="3" s="1"/>
  <c r="K9" i="3" s="1"/>
  <c r="C9" i="4" s="1"/>
  <c r="I9" i="4" s="1"/>
  <c r="K9" i="4" s="1"/>
  <c r="C9" i="5" s="1"/>
  <c r="I9" i="5" s="1"/>
  <c r="K9" i="5" s="1"/>
  <c r="C9" i="6" s="1"/>
  <c r="I9" i="6" s="1"/>
  <c r="K9" i="6" s="1"/>
  <c r="C9" i="7" s="1"/>
  <c r="I9" i="7" s="1"/>
  <c r="K9" i="7" s="1"/>
  <c r="C9" i="8" s="1"/>
  <c r="I9" i="8" s="1"/>
  <c r="K9" i="8" s="1"/>
  <c r="C9" i="9" s="1"/>
  <c r="I9" i="9" s="1"/>
  <c r="K9" i="9" s="1"/>
  <c r="C9" i="10" s="1"/>
  <c r="I9" i="10" s="1"/>
  <c r="K9" i="10" s="1"/>
  <c r="C9" i="11" s="1"/>
  <c r="I9" i="11" s="1"/>
  <c r="K9" i="11" s="1"/>
  <c r="D9" i="12" s="1"/>
  <c r="J9" i="12" s="1"/>
  <c r="L9" i="12" s="1"/>
  <c r="D9" i="13" s="1"/>
  <c r="J10" i="2"/>
  <c r="K10" i="2"/>
  <c r="J11" i="2"/>
  <c r="K11" i="2"/>
  <c r="J12" i="2"/>
  <c r="K12" i="2"/>
  <c r="J13" i="2"/>
  <c r="K13" i="2"/>
  <c r="J14" i="2"/>
  <c r="L14" i="2" s="1"/>
  <c r="C14" i="3" s="1"/>
  <c r="I14" i="3" s="1"/>
  <c r="K14" i="3" s="1"/>
  <c r="C14" i="4" s="1"/>
  <c r="I14" i="4" s="1"/>
  <c r="K14" i="4" s="1"/>
  <c r="C14" i="5" s="1"/>
  <c r="I14" i="5" s="1"/>
  <c r="K14" i="5" s="1"/>
  <c r="C14" i="6" s="1"/>
  <c r="I14" i="6" s="1"/>
  <c r="K14" i="6" s="1"/>
  <c r="C14" i="7" s="1"/>
  <c r="I14" i="7" s="1"/>
  <c r="K14" i="7" s="1"/>
  <c r="C14" i="8" s="1"/>
  <c r="I14" i="8" s="1"/>
  <c r="K14" i="8" s="1"/>
  <c r="K14" i="9" s="1"/>
  <c r="J15" i="2"/>
  <c r="L15" i="2" s="1"/>
  <c r="C15" i="3" s="1"/>
  <c r="I15" i="3" s="1"/>
  <c r="K15" i="3" s="1"/>
  <c r="C15" i="4" s="1"/>
  <c r="I15" i="4" s="1"/>
  <c r="K15" i="4" s="1"/>
  <c r="C15" i="5" s="1"/>
  <c r="J16" i="2"/>
  <c r="L16" i="2" s="1"/>
  <c r="C16" i="3" s="1"/>
  <c r="I16" i="3" s="1"/>
  <c r="L17" i="2"/>
  <c r="C17" i="3" s="1"/>
  <c r="I17" i="3" s="1"/>
  <c r="K17" i="3" s="1"/>
  <c r="J18" i="2"/>
  <c r="L18" i="2" s="1"/>
  <c r="C18" i="3" s="1"/>
  <c r="I18" i="3" s="1"/>
  <c r="K18" i="3" s="1"/>
  <c r="C18" i="4" s="1"/>
  <c r="I18" i="4" s="1"/>
  <c r="K18" i="4" s="1"/>
  <c r="C18" i="5" s="1"/>
  <c r="I18" i="5" s="1"/>
  <c r="K18" i="5" s="1"/>
  <c r="J19" i="2"/>
  <c r="L19" i="2" s="1"/>
  <c r="C19" i="3" s="1"/>
  <c r="I19" i="3" s="1"/>
  <c r="K19" i="3" s="1"/>
  <c r="C25" i="2"/>
  <c r="D20" i="2"/>
  <c r="E20" i="2"/>
  <c r="C27" i="2" s="1"/>
  <c r="F20" i="2"/>
  <c r="C28" i="2" s="1"/>
  <c r="D38" i="1"/>
  <c r="K16" i="3" l="1"/>
  <c r="C16" i="4" s="1"/>
  <c r="I16" i="4" s="1"/>
  <c r="K16" i="4" s="1"/>
  <c r="C16" i="5" s="1"/>
  <c r="I16" i="5" s="1"/>
  <c r="K16" i="5" s="1"/>
  <c r="C16" i="6" s="1"/>
  <c r="I16" i="6" s="1"/>
  <c r="K16" i="6" s="1"/>
  <c r="C16" i="7" s="1"/>
  <c r="I16" i="7" s="1"/>
  <c r="K16" i="7" s="1"/>
  <c r="C16" i="8" s="1"/>
  <c r="I16" i="8" s="1"/>
  <c r="K16" i="8" s="1"/>
  <c r="C16" i="9" s="1"/>
  <c r="I16" i="9" s="1"/>
  <c r="K16" i="9" s="1"/>
  <c r="C16" i="10" s="1"/>
  <c r="I16" i="10" s="1"/>
  <c r="K16" i="10" s="1"/>
  <c r="C16" i="11" s="1"/>
  <c r="I16" i="11" s="1"/>
  <c r="K16" i="11" s="1"/>
  <c r="D16" i="12" s="1"/>
  <c r="J16" i="12" s="1"/>
  <c r="L16" i="12" s="1"/>
  <c r="D16" i="13" s="1"/>
  <c r="J16" i="13" s="1"/>
  <c r="L16" i="13" s="1"/>
  <c r="D16" i="14" s="1"/>
  <c r="J16" i="14" s="1"/>
  <c r="L16" i="14" s="1"/>
  <c r="D16" i="15" s="1"/>
  <c r="J16" i="15" s="1"/>
  <c r="L16" i="15" s="1"/>
  <c r="D16" i="16" s="1"/>
  <c r="J16" i="16" s="1"/>
  <c r="L16" i="16" s="1"/>
  <c r="D7" i="13"/>
  <c r="J9" i="13"/>
  <c r="C19" i="4"/>
  <c r="I19" i="4" s="1"/>
  <c r="K19" i="4" s="1"/>
  <c r="C19" i="5"/>
  <c r="I19" i="5" s="1"/>
  <c r="K19" i="5" s="1"/>
  <c r="C18" i="6"/>
  <c r="I18" i="6" s="1"/>
  <c r="K18" i="6" s="1"/>
  <c r="C18" i="7"/>
  <c r="I18" i="7" s="1"/>
  <c r="K18" i="7" s="1"/>
  <c r="C18" i="8" s="1"/>
  <c r="I18" i="8" s="1"/>
  <c r="K18" i="8" s="1"/>
  <c r="C18" i="9" s="1"/>
  <c r="I18" i="9" s="1"/>
  <c r="K18" i="9" s="1"/>
  <c r="C18" i="10" s="1"/>
  <c r="I18" i="10" s="1"/>
  <c r="K18" i="10" s="1"/>
  <c r="I18" i="11" s="1"/>
  <c r="K18" i="11" s="1"/>
  <c r="D18" i="12" s="1"/>
  <c r="L18" i="12" s="1"/>
  <c r="D18" i="13" s="1"/>
  <c r="J18" i="13" s="1"/>
  <c r="L18" i="13" s="1"/>
  <c r="D18" i="14" s="1"/>
  <c r="J18" i="14" s="1"/>
  <c r="L18" i="14" s="1"/>
  <c r="D18" i="15" s="1"/>
  <c r="J18" i="15" s="1"/>
  <c r="L18" i="15" s="1"/>
  <c r="D18" i="16" s="1"/>
  <c r="J18" i="16" s="1"/>
  <c r="L18" i="16" s="1"/>
  <c r="D18" i="17" s="1"/>
  <c r="J18" i="17" s="1"/>
  <c r="L18" i="17" s="1"/>
  <c r="D18" i="18" s="1"/>
  <c r="J18" i="18" s="1"/>
  <c r="L18" i="18" s="1"/>
  <c r="D18" i="19" s="1"/>
  <c r="J18" i="19" s="1"/>
  <c r="L18" i="19" s="1"/>
  <c r="D18" i="20" s="1"/>
  <c r="J18" i="20" s="1"/>
  <c r="L18" i="20" s="1"/>
  <c r="D18" i="21" s="1"/>
  <c r="J18" i="21" s="1"/>
  <c r="L18" i="21" s="1"/>
  <c r="D18" i="22" s="1"/>
  <c r="J18" i="22" s="1"/>
  <c r="L18" i="22" s="1"/>
  <c r="D18" i="23" s="1"/>
  <c r="J18" i="23" s="1"/>
  <c r="L18" i="23" s="1"/>
  <c r="C18" i="24" s="1"/>
  <c r="I18" i="24" s="1"/>
  <c r="K18" i="24" s="1"/>
  <c r="L12" i="2"/>
  <c r="C12" i="3" s="1"/>
  <c r="I12" i="3" s="1"/>
  <c r="K12" i="3" s="1"/>
  <c r="C12" i="4" s="1"/>
  <c r="I12" i="4" s="1"/>
  <c r="K12" i="4" s="1"/>
  <c r="C12" i="5" s="1"/>
  <c r="I12" i="5" s="1"/>
  <c r="K12" i="5" s="1"/>
  <c r="C12" i="6" s="1"/>
  <c r="I12" i="6" s="1"/>
  <c r="K12" i="6" s="1"/>
  <c r="C12" i="7" s="1"/>
  <c r="I12" i="7" s="1"/>
  <c r="K12" i="7" s="1"/>
  <c r="C12" i="8" s="1"/>
  <c r="I12" i="8" s="1"/>
  <c r="K12" i="8" s="1"/>
  <c r="C12" i="9" s="1"/>
  <c r="I12" i="9" s="1"/>
  <c r="K12" i="9" s="1"/>
  <c r="C12" i="10" s="1"/>
  <c r="I12" i="10" s="1"/>
  <c r="K12" i="10" s="1"/>
  <c r="C12" i="11" s="1"/>
  <c r="I12" i="11" s="1"/>
  <c r="K12" i="11" s="1"/>
  <c r="D12" i="12" s="1"/>
  <c r="J12" i="12" s="1"/>
  <c r="L12" i="12" s="1"/>
  <c r="D12" i="13" s="1"/>
  <c r="J12" i="13" s="1"/>
  <c r="L12" i="13" s="1"/>
  <c r="D12" i="14" s="1"/>
  <c r="J12" i="14" s="1"/>
  <c r="L12" i="14" s="1"/>
  <c r="D12" i="15" s="1"/>
  <c r="J12" i="15" s="1"/>
  <c r="L12" i="15" s="1"/>
  <c r="D12" i="16" s="1"/>
  <c r="J12" i="16" s="1"/>
  <c r="L12" i="16" s="1"/>
  <c r="D12" i="17" s="1"/>
  <c r="J12" i="17" s="1"/>
  <c r="L12" i="17" s="1"/>
  <c r="D12" i="18" s="1"/>
  <c r="J12" i="18" s="1"/>
  <c r="L12" i="18" s="1"/>
  <c r="D12" i="19" s="1"/>
  <c r="J12" i="19" s="1"/>
  <c r="L12" i="19" s="1"/>
  <c r="D12" i="20" s="1"/>
  <c r="L10" i="2"/>
  <c r="L6" i="2"/>
  <c r="C6" i="3" s="1"/>
  <c r="I6" i="3" s="1"/>
  <c r="K6" i="3" s="1"/>
  <c r="I10" i="5"/>
  <c r="K10" i="5" s="1"/>
  <c r="J20" i="2"/>
  <c r="L8" i="2"/>
  <c r="C8" i="3" s="1"/>
  <c r="I8" i="3" s="1"/>
  <c r="K8" i="3" s="1"/>
  <c r="C8" i="4" s="1"/>
  <c r="I8" i="4" s="1"/>
  <c r="K8" i="4" s="1"/>
  <c r="C8" i="5" s="1"/>
  <c r="I8" i="5" s="1"/>
  <c r="K8" i="5" s="1"/>
  <c r="C8" i="6" s="1"/>
  <c r="I8" i="6" s="1"/>
  <c r="K8" i="6" s="1"/>
  <c r="C8" i="7" s="1"/>
  <c r="I8" i="7" s="1"/>
  <c r="K8" i="7" s="1"/>
  <c r="C8" i="8" s="1"/>
  <c r="I8" i="8" s="1"/>
  <c r="K8" i="8" s="1"/>
  <c r="C8" i="9" s="1"/>
  <c r="I8" i="9" s="1"/>
  <c r="K8" i="9" s="1"/>
  <c r="L13" i="2"/>
  <c r="C13" i="3" s="1"/>
  <c r="I13" i="3" s="1"/>
  <c r="K13" i="3" s="1"/>
  <c r="C13" i="4" s="1"/>
  <c r="I13" i="4" s="1"/>
  <c r="K13" i="4" s="1"/>
  <c r="C13" i="5" s="1"/>
  <c r="I13" i="5" s="1"/>
  <c r="K13" i="5" s="1"/>
  <c r="C13" i="6" s="1"/>
  <c r="I13" i="6" s="1"/>
  <c r="K13" i="6" s="1"/>
  <c r="C13" i="7" s="1"/>
  <c r="I13" i="7" s="1"/>
  <c r="K13" i="7" s="1"/>
  <c r="C13" i="8" s="1"/>
  <c r="I13" i="8" s="1"/>
  <c r="K13" i="8" s="1"/>
  <c r="C13" i="9" s="1"/>
  <c r="I13" i="9" s="1"/>
  <c r="K13" i="9" s="1"/>
  <c r="C13" i="10" s="1"/>
  <c r="I13" i="10" s="1"/>
  <c r="K13" i="10" s="1"/>
  <c r="C13" i="11" s="1"/>
  <c r="I13" i="11" s="1"/>
  <c r="K13" i="11" s="1"/>
  <c r="D13" i="12" s="1"/>
  <c r="J13" i="12" s="1"/>
  <c r="L13" i="12" s="1"/>
  <c r="D13" i="13" s="1"/>
  <c r="J13" i="13" s="1"/>
  <c r="L13" i="13" s="1"/>
  <c r="D13" i="14" s="1"/>
  <c r="J13" i="14" s="1"/>
  <c r="L13" i="14" s="1"/>
  <c r="D13" i="15" s="1"/>
  <c r="J13" i="15" s="1"/>
  <c r="L13" i="15" s="1"/>
  <c r="D13" i="16" s="1"/>
  <c r="J13" i="16" s="1"/>
  <c r="L13" i="16" s="1"/>
  <c r="D13" i="17" s="1"/>
  <c r="J13" i="17" s="1"/>
  <c r="L13" i="17" s="1"/>
  <c r="D13" i="18" s="1"/>
  <c r="J13" i="18" s="1"/>
  <c r="L13" i="18" s="1"/>
  <c r="D13" i="19" s="1"/>
  <c r="J13" i="19" s="1"/>
  <c r="L13" i="19" s="1"/>
  <c r="D13" i="20" s="1"/>
  <c r="J13" i="20" s="1"/>
  <c r="L13" i="20" s="1"/>
  <c r="D13" i="21" s="1"/>
  <c r="J13" i="21" s="1"/>
  <c r="L13" i="21" s="1"/>
  <c r="D13" i="22" s="1"/>
  <c r="J13" i="22" s="1"/>
  <c r="L13" i="22" s="1"/>
  <c r="D13" i="23" s="1"/>
  <c r="J13" i="23" s="1"/>
  <c r="L13" i="23" s="1"/>
  <c r="C13" i="24" s="1"/>
  <c r="I13" i="24" s="1"/>
  <c r="K13" i="24" s="1"/>
  <c r="L11" i="2"/>
  <c r="C11" i="3" s="1"/>
  <c r="I11" i="3" s="1"/>
  <c r="K11" i="3" s="1"/>
  <c r="C11" i="4" s="1"/>
  <c r="I11" i="4" s="1"/>
  <c r="K11" i="4" s="1"/>
  <c r="C11" i="5" s="1"/>
  <c r="I11" i="5" s="1"/>
  <c r="K11" i="5" s="1"/>
  <c r="C11" i="6" s="1"/>
  <c r="I11" i="6" s="1"/>
  <c r="K11" i="6" s="1"/>
  <c r="C11" i="7" s="1"/>
  <c r="I11" i="7" s="1"/>
  <c r="K11" i="7" s="1"/>
  <c r="L5" i="2"/>
  <c r="C5" i="3" s="1"/>
  <c r="K20" i="2"/>
  <c r="H25" i="2" s="1"/>
  <c r="D16" i="17" l="1"/>
  <c r="J16" i="17" s="1"/>
  <c r="L16" i="17" s="1"/>
  <c r="D16" i="18" s="1"/>
  <c r="J16" i="18" s="1"/>
  <c r="L16" i="18" s="1"/>
  <c r="D16" i="19" s="1"/>
  <c r="J16" i="19" s="1"/>
  <c r="L16" i="19" s="1"/>
  <c r="D16" i="20" s="1"/>
  <c r="J16" i="20" s="1"/>
  <c r="L16" i="20" s="1"/>
  <c r="D16" i="21" s="1"/>
  <c r="J16" i="21" s="1"/>
  <c r="L16" i="21" s="1"/>
  <c r="D16" i="22" s="1"/>
  <c r="J16" i="22" s="1"/>
  <c r="L16" i="22" s="1"/>
  <c r="D16" i="23" s="1"/>
  <c r="J16" i="23" s="1"/>
  <c r="L16" i="23" s="1"/>
  <c r="C16" i="24" s="1"/>
  <c r="I16" i="24" s="1"/>
  <c r="K16" i="24" s="1"/>
  <c r="J7" i="13"/>
  <c r="L7" i="13" s="1"/>
  <c r="D7" i="14" s="1"/>
  <c r="J7" i="14" s="1"/>
  <c r="L7" i="14" s="1"/>
  <c r="C11" i="8"/>
  <c r="I11" i="8" s="1"/>
  <c r="K11" i="8" s="1"/>
  <c r="C11" i="9" s="1"/>
  <c r="I11" i="9" s="1"/>
  <c r="K11" i="9" s="1"/>
  <c r="C11" i="10" s="1"/>
  <c r="I11" i="10" s="1"/>
  <c r="K11" i="10" s="1"/>
  <c r="C11" i="11" s="1"/>
  <c r="I11" i="11" s="1"/>
  <c r="K11" i="11" s="1"/>
  <c r="C8" i="10"/>
  <c r="I8" i="10" s="1"/>
  <c r="K8" i="10" s="1"/>
  <c r="C8" i="11" s="1"/>
  <c r="I8" i="11" s="1"/>
  <c r="K8" i="11" s="1"/>
  <c r="D8" i="12" s="1"/>
  <c r="J8" i="12" s="1"/>
  <c r="K22" i="9"/>
  <c r="L9" i="13"/>
  <c r="D9" i="14" s="1"/>
  <c r="J9" i="14" s="1"/>
  <c r="L9" i="14" s="1"/>
  <c r="D9" i="15" s="1"/>
  <c r="J9" i="15" s="1"/>
  <c r="L9" i="15" s="1"/>
  <c r="D9" i="16" s="1"/>
  <c r="J9" i="16" s="1"/>
  <c r="L9" i="16" s="1"/>
  <c r="D9" i="17" s="1"/>
  <c r="J9" i="17" s="1"/>
  <c r="L9" i="17" s="1"/>
  <c r="D9" i="18" s="1"/>
  <c r="J9" i="18" s="1"/>
  <c r="L9" i="18" s="1"/>
  <c r="D9" i="19" s="1"/>
  <c r="J9" i="19" s="1"/>
  <c r="L9" i="19" s="1"/>
  <c r="D9" i="20" s="1"/>
  <c r="J9" i="20" s="1"/>
  <c r="L9" i="20" s="1"/>
  <c r="D9" i="21" s="1"/>
  <c r="J9" i="21" s="1"/>
  <c r="L9" i="21" s="1"/>
  <c r="D9" i="22" s="1"/>
  <c r="J9" i="22" s="1"/>
  <c r="L9" i="22" s="1"/>
  <c r="D9" i="23" s="1"/>
  <c r="J9" i="23" s="1"/>
  <c r="L9" i="23" s="1"/>
  <c r="C9" i="24" s="1"/>
  <c r="I9" i="24" s="1"/>
  <c r="K9" i="24" s="1"/>
  <c r="L8" i="12"/>
  <c r="C6" i="4"/>
  <c r="I6" i="4" s="1"/>
  <c r="K6" i="4" s="1"/>
  <c r="C6" i="5" s="1"/>
  <c r="I6" i="5" s="1"/>
  <c r="K6" i="5" s="1"/>
  <c r="K21" i="3"/>
  <c r="C19" i="6"/>
  <c r="I19" i="6" s="1"/>
  <c r="K19" i="6" s="1"/>
  <c r="C19" i="8"/>
  <c r="I19" i="8" s="1"/>
  <c r="K19" i="8" s="1"/>
  <c r="C19" i="9" s="1"/>
  <c r="I19" i="9" s="1"/>
  <c r="K19" i="9" s="1"/>
  <c r="C19" i="10" s="1"/>
  <c r="I19" i="10" s="1"/>
  <c r="K19" i="10" s="1"/>
  <c r="C19" i="11" s="1"/>
  <c r="I19" i="11" s="1"/>
  <c r="K19" i="11" s="1"/>
  <c r="D19" i="12" s="1"/>
  <c r="J19" i="12" s="1"/>
  <c r="L19" i="12" s="1"/>
  <c r="D19" i="13" s="1"/>
  <c r="J19" i="13" s="1"/>
  <c r="L19" i="13" s="1"/>
  <c r="D19" i="14" s="1"/>
  <c r="J19" i="14" s="1"/>
  <c r="L19" i="14" s="1"/>
  <c r="D19" i="15" s="1"/>
  <c r="J19" i="15" s="1"/>
  <c r="L19" i="15" s="1"/>
  <c r="D19" i="16" s="1"/>
  <c r="J19" i="16" s="1"/>
  <c r="L19" i="16" s="1"/>
  <c r="D19" i="17" s="1"/>
  <c r="J19" i="17" s="1"/>
  <c r="L19" i="17" s="1"/>
  <c r="D19" i="18" s="1"/>
  <c r="J19" i="18" s="1"/>
  <c r="L19" i="18" s="1"/>
  <c r="D19" i="19" s="1"/>
  <c r="J19" i="19" s="1"/>
  <c r="L19" i="19" s="1"/>
  <c r="D19" i="20" s="1"/>
  <c r="J19" i="20" s="1"/>
  <c r="L19" i="20" s="1"/>
  <c r="D19" i="21" s="1"/>
  <c r="J19" i="21" s="1"/>
  <c r="L19" i="21" s="1"/>
  <c r="D19" i="22" s="1"/>
  <c r="J19" i="22" s="1"/>
  <c r="L19" i="22" s="1"/>
  <c r="D19" i="23" s="1"/>
  <c r="J19" i="23" s="1"/>
  <c r="L19" i="23" s="1"/>
  <c r="C19" i="24" s="1"/>
  <c r="I19" i="24" s="1"/>
  <c r="K19" i="24" s="1"/>
  <c r="C19" i="7"/>
  <c r="I19" i="7" s="1"/>
  <c r="K19" i="7" s="1"/>
  <c r="L21" i="2"/>
  <c r="I5" i="3"/>
  <c r="K5" i="3" s="1"/>
  <c r="C20" i="3"/>
  <c r="I20" i="3" s="1"/>
  <c r="C10" i="6"/>
  <c r="L20" i="2"/>
  <c r="D7" i="15" l="1"/>
  <c r="J7" i="15" s="1"/>
  <c r="L7" i="15" s="1"/>
  <c r="D7" i="16" s="1"/>
  <c r="J7" i="16" s="1"/>
  <c r="L7" i="16" s="1"/>
  <c r="D7" i="17" s="1"/>
  <c r="J7" i="17" s="1"/>
  <c r="L7" i="17" s="1"/>
  <c r="D7" i="18" s="1"/>
  <c r="J7" i="18" s="1"/>
  <c r="L7" i="18" s="1"/>
  <c r="D7" i="19" s="1"/>
  <c r="J7" i="19" s="1"/>
  <c r="L7" i="19" s="1"/>
  <c r="D7" i="20" s="1"/>
  <c r="J7" i="20" s="1"/>
  <c r="L7" i="20" s="1"/>
  <c r="D7" i="21" s="1"/>
  <c r="J7" i="21" s="1"/>
  <c r="L7" i="21" s="1"/>
  <c r="D7" i="22" s="1"/>
  <c r="J7" i="22" s="1"/>
  <c r="L7" i="22" s="1"/>
  <c r="D7" i="23" s="1"/>
  <c r="J7" i="23" s="1"/>
  <c r="L7" i="23" s="1"/>
  <c r="C7" i="24" s="1"/>
  <c r="I7" i="24" s="1"/>
  <c r="K7" i="24" s="1"/>
  <c r="D8" i="13"/>
  <c r="J8" i="13" s="1"/>
  <c r="L8" i="13" s="1"/>
  <c r="D8" i="14" s="1"/>
  <c r="J8" i="14" s="1"/>
  <c r="C6" i="6"/>
  <c r="I6" i="6" s="1"/>
  <c r="K6" i="6" s="1"/>
  <c r="C6" i="7" s="1"/>
  <c r="I6" i="7" s="1"/>
  <c r="K6" i="7" s="1"/>
  <c r="D11" i="12"/>
  <c r="J11" i="12" s="1"/>
  <c r="L11" i="12" s="1"/>
  <c r="D11" i="13" s="1"/>
  <c r="J11" i="13" s="1"/>
  <c r="L11" i="13" s="1"/>
  <c r="D11" i="14" s="1"/>
  <c r="J11" i="14" s="1"/>
  <c r="L11" i="14" s="1"/>
  <c r="D11" i="15" s="1"/>
  <c r="J11" i="15" s="1"/>
  <c r="L11" i="15" s="1"/>
  <c r="D11" i="16" s="1"/>
  <c r="J11" i="16" s="1"/>
  <c r="L11" i="16" s="1"/>
  <c r="D11" i="17" s="1"/>
  <c r="J11" i="17" s="1"/>
  <c r="L11" i="17" s="1"/>
  <c r="D11" i="18" s="1"/>
  <c r="J11" i="18" s="1"/>
  <c r="L11" i="18" s="1"/>
  <c r="D11" i="19" s="1"/>
  <c r="J11" i="19" s="1"/>
  <c r="L11" i="19" s="1"/>
  <c r="D11" i="20" s="1"/>
  <c r="J11" i="20" s="1"/>
  <c r="L11" i="20" s="1"/>
  <c r="D11" i="21" s="1"/>
  <c r="J11" i="21" s="1"/>
  <c r="L11" i="21" s="1"/>
  <c r="D11" i="22" s="1"/>
  <c r="J11" i="22" s="1"/>
  <c r="L11" i="22" s="1"/>
  <c r="D11" i="23" s="1"/>
  <c r="J11" i="23" s="1"/>
  <c r="L11" i="23" s="1"/>
  <c r="C11" i="24" s="1"/>
  <c r="I11" i="24" s="1"/>
  <c r="K11" i="24" s="1"/>
  <c r="K22" i="11"/>
  <c r="L8" i="14"/>
  <c r="C5" i="4"/>
  <c r="K20" i="3"/>
  <c r="K22" i="3" s="1"/>
  <c r="I10" i="6"/>
  <c r="K10" i="6" s="1"/>
  <c r="I10" i="7" s="1"/>
  <c r="K10" i="7" s="1"/>
  <c r="D8" i="15" l="1"/>
  <c r="J8" i="15" s="1"/>
  <c r="L8" i="15" s="1"/>
  <c r="D8" i="16" s="1"/>
  <c r="J8" i="16" s="1"/>
  <c r="L8" i="16" s="1"/>
  <c r="D8" i="17" s="1"/>
  <c r="J8" i="17" s="1"/>
  <c r="L8" i="17" s="1"/>
  <c r="D8" i="18" s="1"/>
  <c r="J8" i="18" s="1"/>
  <c r="L8" i="18" s="1"/>
  <c r="D8" i="19" s="1"/>
  <c r="J8" i="19" s="1"/>
  <c r="L8" i="19" s="1"/>
  <c r="D8" i="20" s="1"/>
  <c r="J8" i="20" s="1"/>
  <c r="L8" i="20" s="1"/>
  <c r="D8" i="21" s="1"/>
  <c r="J8" i="21" s="1"/>
  <c r="L8" i="21" s="1"/>
  <c r="D8" i="22" s="1"/>
  <c r="J8" i="22" s="1"/>
  <c r="L8" i="22" s="1"/>
  <c r="D8" i="23" s="1"/>
  <c r="J8" i="23" s="1"/>
  <c r="L8" i="23" s="1"/>
  <c r="C8" i="24" s="1"/>
  <c r="I8" i="24" s="1"/>
  <c r="K8" i="24" s="1"/>
  <c r="C6" i="8"/>
  <c r="I6" i="8" s="1"/>
  <c r="K6" i="8" s="1"/>
  <c r="C6" i="9" s="1"/>
  <c r="I6" i="9" s="1"/>
  <c r="K6" i="9" s="1"/>
  <c r="C6" i="10" s="1"/>
  <c r="I6" i="10" s="1"/>
  <c r="K6" i="10" s="1"/>
  <c r="K21" i="7"/>
  <c r="L22" i="12"/>
  <c r="L21" i="14"/>
  <c r="C10" i="8"/>
  <c r="I5" i="4"/>
  <c r="K5" i="4" s="1"/>
  <c r="K21" i="4" s="1"/>
  <c r="C20" i="4"/>
  <c r="I20" i="4" s="1"/>
  <c r="D39" i="2"/>
  <c r="C6" i="11" l="1"/>
  <c r="I6" i="11" s="1"/>
  <c r="K6" i="11" s="1"/>
  <c r="K20" i="10"/>
  <c r="I10" i="8"/>
  <c r="K10" i="8" s="1"/>
  <c r="C20" i="8"/>
  <c r="I20" i="8" s="1"/>
  <c r="C5" i="5"/>
  <c r="M23" i="5" s="1"/>
  <c r="K20" i="4"/>
  <c r="D31" i="2"/>
  <c r="I38" i="1"/>
  <c r="H12" i="1"/>
  <c r="G6" i="1"/>
  <c r="G7" i="1"/>
  <c r="G8" i="1"/>
  <c r="G9" i="1"/>
  <c r="G10" i="1"/>
  <c r="G11" i="1"/>
  <c r="G12" i="1"/>
  <c r="G13" i="1"/>
  <c r="G14" i="1"/>
  <c r="G15" i="1"/>
  <c r="G17" i="1"/>
  <c r="G18" i="1"/>
  <c r="G19" i="1"/>
  <c r="G5" i="1"/>
  <c r="G20" i="1" s="1"/>
  <c r="J20" i="1"/>
  <c r="H28" i="1" s="1"/>
  <c r="I16" i="1"/>
  <c r="C20" i="1"/>
  <c r="H27" i="1" s="1"/>
  <c r="C20" i="11" l="1"/>
  <c r="I20" i="11" s="1"/>
  <c r="K21" i="10"/>
  <c r="K20" i="11"/>
  <c r="K21" i="11" s="1"/>
  <c r="D6" i="12"/>
  <c r="C10" i="9"/>
  <c r="K20" i="8"/>
  <c r="K21" i="8" s="1"/>
  <c r="I5" i="5"/>
  <c r="K5" i="5" s="1"/>
  <c r="K22" i="5" s="1"/>
  <c r="C20" i="5"/>
  <c r="I20" i="5" s="1"/>
  <c r="C28" i="1"/>
  <c r="C27" i="1"/>
  <c r="I10" i="1"/>
  <c r="I15" i="1"/>
  <c r="I18" i="1"/>
  <c r="I5" i="1"/>
  <c r="I6" i="1"/>
  <c r="I8" i="1"/>
  <c r="I9" i="1"/>
  <c r="I11" i="1"/>
  <c r="I12" i="1"/>
  <c r="I13" i="1"/>
  <c r="I14" i="1"/>
  <c r="I17" i="1"/>
  <c r="I19" i="1"/>
  <c r="I7" i="1"/>
  <c r="J6" i="12" l="1"/>
  <c r="D20" i="12"/>
  <c r="D21" i="13"/>
  <c r="K22" i="10"/>
  <c r="C21" i="11"/>
  <c r="D21" i="12"/>
  <c r="I20" i="1"/>
  <c r="I10" i="9"/>
  <c r="K10" i="9" s="1"/>
  <c r="C20" i="9"/>
  <c r="I20" i="9" s="1"/>
  <c r="C5" i="6"/>
  <c r="I5" i="6" s="1"/>
  <c r="K20" i="5"/>
  <c r="K21" i="5" s="1"/>
  <c r="H20" i="1"/>
  <c r="F20" i="1"/>
  <c r="C25" i="1" s="1"/>
  <c r="E20" i="1"/>
  <c r="C26" i="1" s="1"/>
  <c r="K20" i="9" l="1"/>
  <c r="C20" i="10" s="1"/>
  <c r="I20" i="10" s="1"/>
  <c r="L22" i="9"/>
  <c r="K23" i="9" s="1"/>
  <c r="L6" i="12"/>
  <c r="J20" i="12"/>
  <c r="E44" i="1"/>
  <c r="D30" i="1"/>
  <c r="C38" i="1" s="1"/>
  <c r="F38" i="1" s="1"/>
  <c r="C26" i="2" s="1"/>
  <c r="C39" i="2" s="1"/>
  <c r="F39" i="2" s="1"/>
  <c r="B26" i="3" s="1"/>
  <c r="B39" i="3" s="1"/>
  <c r="E39" i="3" s="1"/>
  <c r="B26" i="4" s="1"/>
  <c r="B41" i="4" s="1"/>
  <c r="E41" i="4" s="1"/>
  <c r="B26" i="5" s="1"/>
  <c r="B41" i="5" s="1"/>
  <c r="E41" i="5" s="1"/>
  <c r="L31" i="1"/>
  <c r="K5" i="6"/>
  <c r="K21" i="6" s="1"/>
  <c r="C20" i="6"/>
  <c r="I20" i="6" s="1"/>
  <c r="H25" i="1"/>
  <c r="I30" i="1"/>
  <c r="K21" i="9" l="1"/>
  <c r="L20" i="12"/>
  <c r="L21" i="12" s="1"/>
  <c r="D6" i="13"/>
  <c r="B26" i="6"/>
  <c r="B41" i="6" s="1"/>
  <c r="E41" i="6" s="1"/>
  <c r="C21" i="10"/>
  <c r="C5" i="7"/>
  <c r="I5" i="7" s="1"/>
  <c r="K20" i="6"/>
  <c r="H38" i="1"/>
  <c r="J38" i="1" s="1"/>
  <c r="H26" i="2" s="1"/>
  <c r="H39" i="2" s="1"/>
  <c r="J39" i="2" s="1"/>
  <c r="G26" i="3" s="1"/>
  <c r="G39" i="3" s="1"/>
  <c r="I39" i="3" s="1"/>
  <c r="G26" i="4" s="1"/>
  <c r="G41" i="4" s="1"/>
  <c r="I41" i="4" s="1"/>
  <c r="G26" i="5" s="1"/>
  <c r="G41" i="5" s="1"/>
  <c r="I41" i="5" s="1"/>
  <c r="G26" i="6" s="1"/>
  <c r="G41" i="6" s="1"/>
  <c r="I41" i="6" s="1"/>
  <c r="G26" i="7" s="1"/>
  <c r="G41" i="7" s="1"/>
  <c r="I41" i="7" s="1"/>
  <c r="J6" i="13" l="1"/>
  <c r="D20" i="13"/>
  <c r="G26" i="8"/>
  <c r="G41" i="8" s="1"/>
  <c r="I41" i="8" s="1"/>
  <c r="G26" i="9" s="1"/>
  <c r="G42" i="9" s="1"/>
  <c r="I42" i="9" s="1"/>
  <c r="G26" i="10" s="1"/>
  <c r="G40" i="10" s="1"/>
  <c r="I40" i="10" s="1"/>
  <c r="K5" i="7"/>
  <c r="K20" i="7" s="1"/>
  <c r="C20" i="7"/>
  <c r="I20" i="7" s="1"/>
  <c r="L6" i="13" l="1"/>
  <c r="J20" i="13"/>
  <c r="G26" i="11"/>
  <c r="G41" i="11" l="1"/>
  <c r="I41" i="11" s="1"/>
  <c r="H26" i="12" s="1"/>
  <c r="H41" i="12" s="1"/>
  <c r="J41" i="12" s="1"/>
  <c r="H26" i="13" s="1"/>
  <c r="H41" i="13" s="1"/>
  <c r="J41" i="13" s="1"/>
  <c r="L20" i="13"/>
  <c r="D6" i="14"/>
  <c r="J6" i="14" s="1"/>
  <c r="L6" i="14" l="1"/>
  <c r="J20" i="14"/>
  <c r="L21" i="13"/>
  <c r="D20" i="14"/>
  <c r="H26" i="14"/>
  <c r="H42" i="14" s="1"/>
  <c r="J42" i="14" s="1"/>
  <c r="H26" i="15" s="1"/>
  <c r="H39" i="15" s="1"/>
  <c r="J39" i="15" s="1"/>
  <c r="H26" i="16" s="1"/>
  <c r="D21" i="16" l="1"/>
  <c r="D21" i="15"/>
  <c r="D21" i="14"/>
  <c r="D6" i="15"/>
  <c r="L20" i="14"/>
  <c r="H38" i="16"/>
  <c r="J38" i="16" s="1"/>
  <c r="H26" i="17" s="1"/>
  <c r="H38" i="17" s="1"/>
  <c r="J38" i="17" s="1"/>
  <c r="H26" i="18" s="1"/>
  <c r="H38" i="18" s="1"/>
  <c r="J38" i="18" s="1"/>
  <c r="H26" i="19" s="1"/>
  <c r="H39" i="19" s="1"/>
  <c r="J39" i="19" s="1"/>
  <c r="H26" i="20" s="1"/>
  <c r="H39" i="20" l="1"/>
  <c r="J39" i="20" s="1"/>
  <c r="H26" i="21" s="1"/>
  <c r="H39" i="21" s="1"/>
  <c r="J39" i="21" s="1"/>
  <c r="H26" i="22" s="1"/>
  <c r="H39" i="22" s="1"/>
  <c r="J39" i="22" s="1"/>
  <c r="H26" i="23" s="1"/>
  <c r="H36" i="23" s="1"/>
  <c r="J36" i="23" s="1"/>
  <c r="G26" i="24" s="1"/>
  <c r="G36" i="24" s="1"/>
  <c r="I36" i="24" s="1"/>
  <c r="N36" i="20"/>
  <c r="N37" i="20" s="1"/>
  <c r="J6" i="15"/>
  <c r="D20" i="15"/>
  <c r="L6" i="15" l="1"/>
  <c r="J20" i="15"/>
  <c r="D6" i="16" l="1"/>
  <c r="L20" i="15"/>
  <c r="L21" i="15" s="1"/>
  <c r="J6" i="16" l="1"/>
  <c r="D20" i="16"/>
  <c r="L6" i="16" l="1"/>
  <c r="J20" i="16"/>
  <c r="D6" i="17" l="1"/>
  <c r="L20" i="16"/>
  <c r="L21" i="16" s="1"/>
  <c r="D21" i="17" s="1"/>
  <c r="J6" i="17" l="1"/>
  <c r="D20" i="17"/>
  <c r="L6" i="17" l="1"/>
  <c r="J20" i="17"/>
  <c r="D6" i="18" l="1"/>
  <c r="J6" i="18" s="1"/>
  <c r="L20" i="17"/>
  <c r="D20" i="18" l="1"/>
  <c r="L21" i="17"/>
  <c r="D21" i="18" s="1"/>
  <c r="L6" i="18"/>
  <c r="J20" i="18"/>
  <c r="D6" i="19" l="1"/>
  <c r="L20" i="18"/>
  <c r="L21" i="18" s="1"/>
  <c r="J6" i="19" l="1"/>
  <c r="D20" i="19"/>
  <c r="L6" i="19" l="1"/>
  <c r="J20" i="19"/>
  <c r="D6" i="20" l="1"/>
  <c r="L20" i="19"/>
  <c r="L21" i="19" s="1"/>
  <c r="D21" i="20" l="1"/>
  <c r="D21" i="21"/>
  <c r="J6" i="20"/>
  <c r="D20" i="20"/>
  <c r="L6" i="20" l="1"/>
  <c r="J20" i="20"/>
  <c r="D6" i="21" l="1"/>
  <c r="L20" i="20"/>
  <c r="L21" i="20" s="1"/>
  <c r="J6" i="21" l="1"/>
  <c r="D20" i="21"/>
  <c r="L6" i="21" l="1"/>
  <c r="J20" i="21"/>
  <c r="D6" i="22" l="1"/>
  <c r="J6" i="22" s="1"/>
  <c r="L20" i="21"/>
  <c r="L21" i="21" l="1"/>
  <c r="D21" i="22" s="1"/>
  <c r="D20" i="22"/>
  <c r="L6" i="22"/>
  <c r="J20" i="22"/>
  <c r="L20" i="22" l="1"/>
  <c r="L21" i="22" s="1"/>
  <c r="D21" i="23" s="1"/>
  <c r="D6" i="23"/>
  <c r="J6" i="23" l="1"/>
  <c r="D20" i="23"/>
  <c r="L6" i="23" l="1"/>
  <c r="J20" i="23"/>
  <c r="L20" i="23" l="1"/>
  <c r="L21" i="23" s="1"/>
  <c r="C6" i="24"/>
  <c r="I6" i="24" l="1"/>
  <c r="C20" i="24"/>
  <c r="K6" i="24" l="1"/>
  <c r="K20" i="24" s="1"/>
  <c r="K21" i="24" s="1"/>
  <c r="I20" i="24"/>
</calcChain>
</file>

<file path=xl/sharedStrings.xml><?xml version="1.0" encoding="utf-8"?>
<sst xmlns="http://schemas.openxmlformats.org/spreadsheetml/2006/main" count="1598" uniqueCount="149">
  <si>
    <t xml:space="preserve">RENT STATEMENT </t>
  </si>
  <si>
    <t xml:space="preserve">NO. </t>
  </si>
  <si>
    <t>NAME</t>
  </si>
  <si>
    <t>BF</t>
  </si>
  <si>
    <t>RENT</t>
  </si>
  <si>
    <t>TOTAL DUE</t>
  </si>
  <si>
    <t xml:space="preserve">PAID </t>
  </si>
  <si>
    <t>BAL</t>
  </si>
  <si>
    <t>TOTAL</t>
  </si>
  <si>
    <t xml:space="preserve"> </t>
  </si>
  <si>
    <t>SUMMARY</t>
  </si>
  <si>
    <t>EXPECTED</t>
  </si>
  <si>
    <t>PAID</t>
  </si>
  <si>
    <t xml:space="preserve">DETAILS </t>
  </si>
  <si>
    <t xml:space="preserve">CR </t>
  </si>
  <si>
    <t>DR</t>
  </si>
  <si>
    <t>BL</t>
  </si>
  <si>
    <t>JAN</t>
  </si>
  <si>
    <t>COMM</t>
  </si>
  <si>
    <t>PAYMENTS</t>
  </si>
  <si>
    <t xml:space="preserve">PREPARED BY </t>
  </si>
  <si>
    <t>APPROVED BY</t>
  </si>
  <si>
    <t xml:space="preserve">RECEIVED BY </t>
  </si>
  <si>
    <t>GRACE</t>
  </si>
  <si>
    <t>SHOP 1</t>
  </si>
  <si>
    <t>DENNIS MUEMA</t>
  </si>
  <si>
    <t>JANE  NYANGUTHII</t>
  </si>
  <si>
    <t>DEPOSIT</t>
  </si>
  <si>
    <t>KELVIN</t>
  </si>
  <si>
    <t>FOR THE MONTH OF JANUARY 2020</t>
  </si>
  <si>
    <t>FREDRICK MUSEE</t>
  </si>
  <si>
    <t>WATER DEPOSIT</t>
  </si>
  <si>
    <t>JUMA BLENTAINE</t>
  </si>
  <si>
    <t>KELVIN OSCAR</t>
  </si>
  <si>
    <t>FLORENCE</t>
  </si>
  <si>
    <t>MAROL TUOK</t>
  </si>
  <si>
    <t xml:space="preserve">SH0P 2 MEGGY </t>
  </si>
  <si>
    <t>SECURITY</t>
  </si>
  <si>
    <t xml:space="preserve">WATER </t>
  </si>
  <si>
    <t>MONICAH WAMBUI</t>
  </si>
  <si>
    <t>MARY MWIKALI</t>
  </si>
  <si>
    <t>ELIUD MATHU</t>
  </si>
  <si>
    <t>GARBAGE</t>
  </si>
  <si>
    <t>WATER</t>
  </si>
  <si>
    <t>FOR THE MONTH OF FEBRUARY 2020</t>
  </si>
  <si>
    <t>FEB</t>
  </si>
  <si>
    <t>FEBRUARY</t>
  </si>
  <si>
    <t>PAID ON 05/01</t>
  </si>
  <si>
    <t>CATHERINE WAHU</t>
  </si>
  <si>
    <t>PAID ON 12/2</t>
  </si>
  <si>
    <t xml:space="preserve">SECURITY </t>
  </si>
  <si>
    <t xml:space="preserve">RENT </t>
  </si>
  <si>
    <t>ELIUD DEPOSIT REFUND</t>
  </si>
  <si>
    <t>FOR THE MONTH OF MARCH 2020</t>
  </si>
  <si>
    <t>MARCH</t>
  </si>
  <si>
    <t>BUTCHERY</t>
  </si>
  <si>
    <t>PAID ON 11/3</t>
  </si>
  <si>
    <t>APRIL</t>
  </si>
  <si>
    <t>FOR THE MONTH OF APRIL 2020</t>
  </si>
  <si>
    <t>JEMIMMAH MAKAU</t>
  </si>
  <si>
    <t>CARETAKER</t>
  </si>
  <si>
    <t>SOAP</t>
  </si>
  <si>
    <t>MOP</t>
  </si>
  <si>
    <t>BUCKET</t>
  </si>
  <si>
    <t>TAP</t>
  </si>
  <si>
    <t>PAID ON 14/4</t>
  </si>
  <si>
    <t xml:space="preserve">MAY </t>
  </si>
  <si>
    <t>MAY</t>
  </si>
  <si>
    <t>FOR THE MONTH OF MAY  2020</t>
  </si>
  <si>
    <t>AT HOME</t>
  </si>
  <si>
    <t>PAID ON 11/5</t>
  </si>
  <si>
    <t>JOSEPH NJOROGE</t>
  </si>
  <si>
    <t>FOR THE MONTH OF JUNE 2020</t>
  </si>
  <si>
    <t>JUNE</t>
  </si>
  <si>
    <t>ESTHER-BUTCHERY</t>
  </si>
  <si>
    <t>PAID ON 11/6</t>
  </si>
  <si>
    <t>JULY</t>
  </si>
  <si>
    <t>FOR THE MONTH OF JULY 2020</t>
  </si>
  <si>
    <t>PETER MWIKA</t>
  </si>
  <si>
    <t>PAID ON 10/7</t>
  </si>
  <si>
    <t>SERVICE COST CARRYING ITEMS</t>
  </si>
  <si>
    <t>SERVICE COSTCARRYING ITEMS</t>
  </si>
  <si>
    <t>MARGARET</t>
  </si>
  <si>
    <t>AUGUST</t>
  </si>
  <si>
    <t>FOR THE MONTH OF AUGUST 2020</t>
  </si>
  <si>
    <t>PAID ON 10/8</t>
  </si>
  <si>
    <t>FILLING $ ADVOCATE FEE</t>
  </si>
  <si>
    <t>FOR THE MONTH OF SEPTEMBER  2020</t>
  </si>
  <si>
    <t>TRANSPORT</t>
  </si>
  <si>
    <t>PETER MWIKA VACCATED</t>
  </si>
  <si>
    <t>SEPTEMBER</t>
  </si>
  <si>
    <t>VACCATED</t>
  </si>
  <si>
    <t>PAID ON 10/9</t>
  </si>
  <si>
    <t>vaccated</t>
  </si>
  <si>
    <t>KEVIN OSCAR</t>
  </si>
  <si>
    <t>KEVIN</t>
  </si>
  <si>
    <t>GEOFREY KASENENE</t>
  </si>
  <si>
    <t>OCTOBER</t>
  </si>
  <si>
    <t>FOR THE MONTH OF OCTOBER  2020</t>
  </si>
  <si>
    <t>GRACE WANGARI</t>
  </si>
  <si>
    <t>VACCANT</t>
  </si>
  <si>
    <t>PAID ON 13/10</t>
  </si>
  <si>
    <t>PETER MWIKA 2ND INSTALLMENT</t>
  </si>
  <si>
    <t>FOR THE MONTH OF NOVEMBER  2020</t>
  </si>
  <si>
    <t>NOVEMBER</t>
  </si>
  <si>
    <t>JANE NYANGUTHII</t>
  </si>
  <si>
    <t>PAID ON 11/11</t>
  </si>
  <si>
    <t>PETER MWIKA 3RD INSTALLMENT</t>
  </si>
  <si>
    <t>PAUL MWANGI</t>
  </si>
  <si>
    <t>FOR THE MONTH OF DECEMBER  2020</t>
  </si>
  <si>
    <t>DECEMBER</t>
  </si>
  <si>
    <t>ISAAC NDUNGU</t>
  </si>
  <si>
    <t>PAID ON 1O/12</t>
  </si>
  <si>
    <t>JANUARY</t>
  </si>
  <si>
    <t>FOR THE MONTH OF JANUARY  2021</t>
  </si>
  <si>
    <t>PAID ON 13/1</t>
  </si>
  <si>
    <t>FOR THE MONTH OF FEBRUARY  2021</t>
  </si>
  <si>
    <t>FELISTER</t>
  </si>
  <si>
    <t>CHIEF COST+CARRYING ITEMS</t>
  </si>
  <si>
    <t>DEP REFUNDN JOSEPH</t>
  </si>
  <si>
    <t>PAID ON 11/2</t>
  </si>
  <si>
    <t>FOR THE MONTH OF MARCH  2021</t>
  </si>
  <si>
    <t>MRCH</t>
  </si>
  <si>
    <t>FAITH BITUVU</t>
  </si>
  <si>
    <t>PAID ON 10/3</t>
  </si>
  <si>
    <t>FELISTER SHOP 1</t>
  </si>
  <si>
    <t>FOR THE MONTH OF APRIL  2021</t>
  </si>
  <si>
    <t>FELISTER SHOP 2</t>
  </si>
  <si>
    <t xml:space="preserve">SH0P 1 MEGGY </t>
  </si>
  <si>
    <t>PAID 12/4</t>
  </si>
  <si>
    <t>FOR THE MONTH OF MAY  2021</t>
  </si>
  <si>
    <t>FOR THE MONTH OF JUNE  2021</t>
  </si>
  <si>
    <t>PAID ON 12/6</t>
  </si>
  <si>
    <t>FOR THE MONTH OF JULY  2021</t>
  </si>
  <si>
    <t>JULIUS MACHARIA</t>
  </si>
  <si>
    <t>PAID ON 12/7</t>
  </si>
  <si>
    <t>FREDRICK</t>
  </si>
  <si>
    <t>FOR THE MONTH OF AUGUST  2021</t>
  </si>
  <si>
    <t>PAID ON 11/8</t>
  </si>
  <si>
    <t>FOR THE MONTH OF SEPTEMBER  2021</t>
  </si>
  <si>
    <t>JEMIMAH MUGURE</t>
  </si>
  <si>
    <t>PAID 10/9</t>
  </si>
  <si>
    <t>FOR THE MONTH OF OCTOBER  2021</t>
  </si>
  <si>
    <t>paid on 12/10</t>
  </si>
  <si>
    <t>FOR THE MONTH OF NOVEMBER  2021</t>
  </si>
  <si>
    <t>NOV</t>
  </si>
  <si>
    <t xml:space="preserve"> N</t>
  </si>
  <si>
    <t>DEC</t>
  </si>
  <si>
    <t>FOR THE MONTH OF DECEMBER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</si>
</sst>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;\-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FF0000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2" fillId="0" borderId="0" xfId="0" applyFont="1" applyBorder="1"/>
    <xf numFmtId="49" fontId="3" fillId="0" borderId="0" xfId="1" applyNumberFormat="1" applyFont="1" applyBorder="1" applyAlignment="1">
      <alignment horizontal="right"/>
    </xf>
    <xf numFmtId="49" fontId="4" fillId="0" borderId="0" xfId="0" applyNumberFormat="1" applyFont="1" applyBorder="1" applyAlignment="1">
      <alignment horizontal="right"/>
    </xf>
    <xf numFmtId="4" fontId="2" fillId="0" borderId="0" xfId="0" applyNumberFormat="1" applyFont="1" applyBorder="1"/>
    <xf numFmtId="164" fontId="4" fillId="0" borderId="0" xfId="0" applyNumberFormat="1" applyFont="1" applyBorder="1"/>
    <xf numFmtId="0" fontId="2" fillId="0" borderId="2" xfId="0" applyFont="1" applyBorder="1"/>
    <xf numFmtId="0" fontId="0" fillId="0" borderId="0" xfId="0" applyFont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9" fontId="0" fillId="0" borderId="1" xfId="0" applyNumberFormat="1" applyFont="1" applyBorder="1"/>
    <xf numFmtId="16" fontId="0" fillId="0" borderId="1" xfId="0" applyNumberFormat="1" applyBorder="1"/>
    <xf numFmtId="14" fontId="0" fillId="0" borderId="1" xfId="0" applyNumberFormat="1" applyBorder="1"/>
    <xf numFmtId="14" fontId="0" fillId="0" borderId="1" xfId="0" applyNumberFormat="1" applyFont="1" applyBorder="1"/>
    <xf numFmtId="14" fontId="0" fillId="0" borderId="1" xfId="0" applyNumberFormat="1" applyFont="1" applyFill="1" applyBorder="1"/>
    <xf numFmtId="0" fontId="0" fillId="0" borderId="1" xfId="0" applyFont="1" applyFill="1" applyBorder="1"/>
    <xf numFmtId="49" fontId="0" fillId="0" borderId="1" xfId="0" applyNumberFormat="1" applyBorder="1"/>
    <xf numFmtId="16" fontId="0" fillId="0" borderId="1" xfId="0" applyNumberFormat="1" applyFont="1" applyBorder="1"/>
    <xf numFmtId="0" fontId="5" fillId="0" borderId="1" xfId="0" applyFont="1" applyBorder="1"/>
    <xf numFmtId="3" fontId="5" fillId="0" borderId="1" xfId="0" applyNumberFormat="1" applyFont="1" applyBorder="1"/>
    <xf numFmtId="0" fontId="5" fillId="0" borderId="0" xfId="0" applyFont="1"/>
    <xf numFmtId="0" fontId="6" fillId="0" borderId="1" xfId="0" applyFont="1" applyBorder="1"/>
    <xf numFmtId="0" fontId="6" fillId="0" borderId="0" xfId="0" applyFont="1"/>
    <xf numFmtId="0" fontId="0" fillId="0" borderId="3" xfId="0" applyFill="1" applyBorder="1"/>
    <xf numFmtId="3" fontId="0" fillId="0" borderId="1" xfId="0" applyNumberFormat="1" applyBorder="1"/>
    <xf numFmtId="3" fontId="0" fillId="0" borderId="1" xfId="0" applyNumberFormat="1" applyFont="1" applyFill="1" applyBorder="1"/>
    <xf numFmtId="4" fontId="0" fillId="0" borderId="0" xfId="0" applyNumberFormat="1"/>
    <xf numFmtId="0" fontId="7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7" workbookViewId="0">
      <selection activeCell="M21" sqref="M21"/>
    </sheetView>
  </sheetViews>
  <sheetFormatPr defaultRowHeight="15" x14ac:dyDescent="0.25"/>
  <cols>
    <col min="1" max="1" width="4" customWidth="1"/>
    <col min="2" max="2" width="18.7109375" customWidth="1"/>
    <col min="3" max="3" width="15" customWidth="1"/>
    <col min="4" max="4" width="9" customWidth="1"/>
    <col min="7" max="7" width="10.28515625" customWidth="1"/>
    <col min="8" max="8" width="8" customWidth="1"/>
  </cols>
  <sheetData>
    <row r="1" spans="1:10" x14ac:dyDescent="0.25">
      <c r="A1" s="1"/>
      <c r="B1" s="1"/>
      <c r="C1" s="1" t="s">
        <v>33</v>
      </c>
      <c r="D1" s="1"/>
      <c r="E1" s="1"/>
      <c r="F1" s="1"/>
      <c r="G1" s="1"/>
      <c r="H1" s="1"/>
      <c r="I1" s="1"/>
      <c r="J1" s="1"/>
    </row>
    <row r="2" spans="1:10" x14ac:dyDescent="0.25">
      <c r="A2" s="1"/>
      <c r="B2" s="1"/>
      <c r="C2" s="1" t="s">
        <v>0</v>
      </c>
      <c r="D2" s="1"/>
      <c r="E2" s="1"/>
      <c r="F2" s="1"/>
      <c r="G2" s="1"/>
      <c r="H2" s="1"/>
      <c r="I2" s="1"/>
      <c r="J2" s="1"/>
    </row>
    <row r="3" spans="1:10" x14ac:dyDescent="0.25">
      <c r="A3" s="1"/>
      <c r="B3" s="1"/>
      <c r="C3" s="1" t="s">
        <v>29</v>
      </c>
      <c r="D3" s="1"/>
      <c r="E3" s="1"/>
      <c r="F3" s="1"/>
      <c r="G3" s="1"/>
      <c r="H3" s="1"/>
      <c r="I3" s="1"/>
      <c r="J3" s="1"/>
    </row>
    <row r="4" spans="1:10" x14ac:dyDescent="0.25">
      <c r="A4" s="2" t="s">
        <v>1</v>
      </c>
      <c r="B4" s="2" t="s">
        <v>2</v>
      </c>
      <c r="C4" s="2" t="s">
        <v>31</v>
      </c>
      <c r="D4" s="2" t="s">
        <v>3</v>
      </c>
      <c r="E4" s="2" t="s">
        <v>27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37</v>
      </c>
    </row>
    <row r="5" spans="1:10" x14ac:dyDescent="0.25">
      <c r="A5" s="3">
        <v>1</v>
      </c>
      <c r="B5" s="3" t="s">
        <v>26</v>
      </c>
      <c r="C5" s="3"/>
      <c r="D5" s="3"/>
      <c r="E5" s="3">
        <v>14000</v>
      </c>
      <c r="F5" s="3">
        <v>14000</v>
      </c>
      <c r="G5" s="3">
        <f>D5+E5+F5</f>
        <v>28000</v>
      </c>
      <c r="H5" s="3">
        <v>28000</v>
      </c>
      <c r="I5" s="3">
        <f>G5-H5</f>
        <v>0</v>
      </c>
      <c r="J5" s="3">
        <v>800</v>
      </c>
    </row>
    <row r="6" spans="1:10" x14ac:dyDescent="0.25">
      <c r="A6" s="3">
        <v>2</v>
      </c>
      <c r="B6" s="3" t="s">
        <v>39</v>
      </c>
      <c r="C6" s="3">
        <v>1000</v>
      </c>
      <c r="D6" s="3"/>
      <c r="E6" s="3">
        <v>14000</v>
      </c>
      <c r="F6" s="3"/>
      <c r="G6" s="3">
        <f t="shared" ref="G6:G19" si="0">D6+E6+F6</f>
        <v>14000</v>
      </c>
      <c r="H6" s="3">
        <v>14000</v>
      </c>
      <c r="I6" s="3">
        <f t="shared" ref="I6:I19" si="1">G6-H6</f>
        <v>0</v>
      </c>
      <c r="J6" s="3"/>
    </row>
    <row r="7" spans="1:10" x14ac:dyDescent="0.25">
      <c r="A7" s="3">
        <v>3</v>
      </c>
      <c r="B7" s="3" t="s">
        <v>40</v>
      </c>
      <c r="C7" s="3">
        <v>1000</v>
      </c>
      <c r="D7" s="3"/>
      <c r="E7" s="3">
        <v>14000</v>
      </c>
      <c r="F7" s="3">
        <v>2800</v>
      </c>
      <c r="G7" s="3">
        <f t="shared" si="0"/>
        <v>16800</v>
      </c>
      <c r="H7" s="3">
        <v>16800</v>
      </c>
      <c r="I7" s="3">
        <f t="shared" si="1"/>
        <v>0</v>
      </c>
      <c r="J7" s="3"/>
    </row>
    <row r="8" spans="1:10" x14ac:dyDescent="0.25">
      <c r="A8" s="3">
        <v>4</v>
      </c>
      <c r="B8" s="3" t="s">
        <v>41</v>
      </c>
      <c r="C8" s="3"/>
      <c r="D8" s="3"/>
      <c r="E8" s="3">
        <v>5000</v>
      </c>
      <c r="F8" s="3"/>
      <c r="G8" s="3">
        <f t="shared" si="0"/>
        <v>5000</v>
      </c>
      <c r="H8" s="3">
        <v>5000</v>
      </c>
      <c r="I8" s="3">
        <f t="shared" si="1"/>
        <v>0</v>
      </c>
      <c r="J8" s="3"/>
    </row>
    <row r="9" spans="1:10" x14ac:dyDescent="0.25">
      <c r="A9" s="3">
        <v>5</v>
      </c>
      <c r="B9" s="3"/>
      <c r="C9" s="3"/>
      <c r="D9" s="3"/>
      <c r="E9" s="3"/>
      <c r="F9" s="3"/>
      <c r="G9" s="3">
        <f t="shared" si="0"/>
        <v>0</v>
      </c>
      <c r="H9" s="3"/>
      <c r="I9" s="3">
        <f t="shared" si="1"/>
        <v>0</v>
      </c>
      <c r="J9" s="3"/>
    </row>
    <row r="10" spans="1:10" x14ac:dyDescent="0.25">
      <c r="A10" s="3">
        <v>6</v>
      </c>
      <c r="B10" s="4" t="s">
        <v>35</v>
      </c>
      <c r="C10" s="3">
        <v>1000</v>
      </c>
      <c r="D10" s="3"/>
      <c r="E10" s="3">
        <v>14000</v>
      </c>
      <c r="F10" s="3"/>
      <c r="G10" s="3">
        <f t="shared" si="0"/>
        <v>14000</v>
      </c>
      <c r="H10" s="3">
        <v>14000</v>
      </c>
      <c r="I10" s="3">
        <f t="shared" si="1"/>
        <v>0</v>
      </c>
      <c r="J10" s="3"/>
    </row>
    <row r="11" spans="1:10" x14ac:dyDescent="0.25">
      <c r="A11" s="3">
        <v>7</v>
      </c>
      <c r="B11" s="3" t="s">
        <v>32</v>
      </c>
      <c r="C11" s="3">
        <v>1000</v>
      </c>
      <c r="D11" s="3"/>
      <c r="E11" s="3">
        <v>14000</v>
      </c>
      <c r="F11" s="3"/>
      <c r="G11" s="3">
        <f t="shared" si="0"/>
        <v>14000</v>
      </c>
      <c r="H11" s="3">
        <v>14000</v>
      </c>
      <c r="I11" s="3">
        <f t="shared" si="1"/>
        <v>0</v>
      </c>
      <c r="J11" s="3"/>
    </row>
    <row r="12" spans="1:10" x14ac:dyDescent="0.25">
      <c r="A12" s="3">
        <v>8</v>
      </c>
      <c r="B12" s="3" t="s">
        <v>30</v>
      </c>
      <c r="C12" s="3">
        <v>1000</v>
      </c>
      <c r="D12" s="3"/>
      <c r="E12" s="3">
        <v>14000</v>
      </c>
      <c r="F12" s="3"/>
      <c r="G12" s="3">
        <f t="shared" si="0"/>
        <v>14000</v>
      </c>
      <c r="H12" s="3">
        <f>10000+4000</f>
        <v>14000</v>
      </c>
      <c r="I12" s="3">
        <f t="shared" si="1"/>
        <v>0</v>
      </c>
      <c r="J12" s="3"/>
    </row>
    <row r="13" spans="1:10" x14ac:dyDescent="0.25">
      <c r="A13" s="3">
        <v>9</v>
      </c>
      <c r="B13" s="3" t="s">
        <v>25</v>
      </c>
      <c r="C13" s="3"/>
      <c r="D13" s="3"/>
      <c r="E13" s="3">
        <v>14000</v>
      </c>
      <c r="F13" s="3"/>
      <c r="G13" s="3">
        <f t="shared" si="0"/>
        <v>14000</v>
      </c>
      <c r="H13" s="3">
        <v>14000</v>
      </c>
      <c r="I13" s="3">
        <f t="shared" si="1"/>
        <v>0</v>
      </c>
      <c r="J13" s="3"/>
    </row>
    <row r="14" spans="1:10" x14ac:dyDescent="0.25">
      <c r="A14" s="3">
        <v>10</v>
      </c>
      <c r="B14" s="3"/>
      <c r="C14" s="3"/>
      <c r="D14" s="3"/>
      <c r="E14" s="3"/>
      <c r="F14" s="3"/>
      <c r="G14" s="3">
        <f t="shared" si="0"/>
        <v>0</v>
      </c>
      <c r="H14" s="3"/>
      <c r="I14" s="3">
        <f t="shared" si="1"/>
        <v>0</v>
      </c>
      <c r="J14" s="3"/>
    </row>
    <row r="15" spans="1:10" x14ac:dyDescent="0.25">
      <c r="A15" s="3">
        <v>11</v>
      </c>
      <c r="B15" s="3" t="s">
        <v>24</v>
      </c>
      <c r="C15" s="3"/>
      <c r="D15" s="3"/>
      <c r="E15" s="3"/>
      <c r="F15" s="3"/>
      <c r="G15" s="3">
        <f t="shared" si="0"/>
        <v>0</v>
      </c>
      <c r="H15" s="3"/>
      <c r="I15" s="3">
        <f t="shared" si="1"/>
        <v>0</v>
      </c>
      <c r="J15" s="3"/>
    </row>
    <row r="16" spans="1:10" x14ac:dyDescent="0.25">
      <c r="A16" s="3">
        <v>12</v>
      </c>
      <c r="B16" s="3" t="s">
        <v>36</v>
      </c>
      <c r="C16" s="3">
        <v>1000</v>
      </c>
      <c r="D16" s="3">
        <v>22000</v>
      </c>
      <c r="E16" s="3">
        <v>22000</v>
      </c>
      <c r="F16" s="3"/>
      <c r="G16" s="3">
        <f>D16+E16+F16</f>
        <v>44000</v>
      </c>
      <c r="H16" s="3">
        <v>22000</v>
      </c>
      <c r="I16" s="3">
        <f>G16-H16</f>
        <v>22000</v>
      </c>
      <c r="J16" s="3"/>
    </row>
    <row r="17" spans="1:13" x14ac:dyDescent="0.25">
      <c r="A17" s="3">
        <v>13</v>
      </c>
      <c r="B17" s="3"/>
      <c r="C17" s="3"/>
      <c r="D17" s="3"/>
      <c r="E17" s="3"/>
      <c r="F17" s="3"/>
      <c r="G17" s="3">
        <f t="shared" si="0"/>
        <v>0</v>
      </c>
      <c r="H17" s="3"/>
      <c r="I17" s="3">
        <f t="shared" si="1"/>
        <v>0</v>
      </c>
      <c r="J17" s="3"/>
    </row>
    <row r="18" spans="1:13" x14ac:dyDescent="0.25">
      <c r="A18" s="3">
        <v>14</v>
      </c>
      <c r="B18" s="3"/>
      <c r="C18" s="3"/>
      <c r="D18" s="3"/>
      <c r="E18" s="3"/>
      <c r="F18" s="3"/>
      <c r="G18" s="3">
        <f t="shared" si="0"/>
        <v>0</v>
      </c>
      <c r="H18" s="3"/>
      <c r="I18" s="3">
        <f t="shared" si="1"/>
        <v>0</v>
      </c>
      <c r="J18" s="3"/>
    </row>
    <row r="19" spans="1:13" x14ac:dyDescent="0.25">
      <c r="A19" s="3">
        <v>15</v>
      </c>
      <c r="B19" s="3"/>
      <c r="C19" s="3"/>
      <c r="D19" s="3"/>
      <c r="E19" s="3"/>
      <c r="F19" s="3"/>
      <c r="G19" s="3">
        <f t="shared" si="0"/>
        <v>0</v>
      </c>
      <c r="H19" s="3"/>
      <c r="I19" s="3">
        <f t="shared" si="1"/>
        <v>0</v>
      </c>
      <c r="J19" s="3"/>
    </row>
    <row r="20" spans="1:13" x14ac:dyDescent="0.25">
      <c r="A20" s="3"/>
      <c r="B20" s="2"/>
      <c r="C20" s="2">
        <f>SUM(C5:C19)</f>
        <v>6000</v>
      </c>
      <c r="D20" s="2"/>
      <c r="E20" s="2">
        <f t="shared" ref="E20:J20" si="2">SUM(E5:E19)</f>
        <v>125000</v>
      </c>
      <c r="F20" s="2">
        <f t="shared" si="2"/>
        <v>16800</v>
      </c>
      <c r="G20" s="3">
        <f>SUM(G5:G19)</f>
        <v>163800</v>
      </c>
      <c r="H20" s="2">
        <f t="shared" si="2"/>
        <v>141800</v>
      </c>
      <c r="I20" s="3">
        <f>SUM(I5:I19)</f>
        <v>22000</v>
      </c>
      <c r="J20" s="2">
        <f t="shared" si="2"/>
        <v>800</v>
      </c>
    </row>
    <row r="21" spans="1:13" x14ac:dyDescent="0.25">
      <c r="A21" s="5"/>
      <c r="B21" s="6"/>
      <c r="C21" s="6"/>
      <c r="D21" s="6"/>
      <c r="E21" s="6"/>
      <c r="F21" s="6" t="s">
        <v>9</v>
      </c>
      <c r="G21" s="3"/>
      <c r="H21" s="6"/>
      <c r="I21" s="5"/>
      <c r="J21" s="5"/>
    </row>
    <row r="22" spans="1:13" x14ac:dyDescent="0.25">
      <c r="B22" s="12" t="s">
        <v>10</v>
      </c>
      <c r="C22" s="7"/>
      <c r="D22" s="8"/>
      <c r="E22" s="8"/>
      <c r="F22" s="6"/>
      <c r="G22" s="22"/>
      <c r="H22" s="10"/>
      <c r="I22" s="9"/>
      <c r="J22" s="9"/>
    </row>
    <row r="23" spans="1:13" x14ac:dyDescent="0.25">
      <c r="B23" s="1" t="s">
        <v>11</v>
      </c>
      <c r="C23" s="1"/>
      <c r="D23" s="1"/>
      <c r="E23" s="1"/>
      <c r="F23" s="11"/>
      <c r="G23" s="1" t="s">
        <v>12</v>
      </c>
      <c r="H23" s="12"/>
      <c r="I23" s="12"/>
      <c r="J23" s="12"/>
    </row>
    <row r="24" spans="1:13" x14ac:dyDescent="0.25">
      <c r="B24" s="2" t="s">
        <v>13</v>
      </c>
      <c r="C24" s="2" t="s">
        <v>14</v>
      </c>
      <c r="D24" s="2" t="s">
        <v>15</v>
      </c>
      <c r="E24" s="2"/>
      <c r="F24" s="2" t="s">
        <v>16</v>
      </c>
      <c r="G24" s="2" t="s">
        <v>13</v>
      </c>
      <c r="H24" s="2" t="s">
        <v>14</v>
      </c>
      <c r="I24" s="2" t="s">
        <v>15</v>
      </c>
      <c r="J24" s="2" t="s">
        <v>16</v>
      </c>
    </row>
    <row r="25" spans="1:13" x14ac:dyDescent="0.25">
      <c r="B25" s="13" t="s">
        <v>17</v>
      </c>
      <c r="C25" s="14">
        <f>F20</f>
        <v>16800</v>
      </c>
      <c r="D25" s="13"/>
      <c r="E25" s="13"/>
      <c r="F25" s="13"/>
      <c r="G25" s="13" t="s">
        <v>17</v>
      </c>
      <c r="H25" s="14">
        <f>H20</f>
        <v>141800</v>
      </c>
      <c r="I25" s="13"/>
      <c r="J25" s="13"/>
      <c r="M25" s="15"/>
    </row>
    <row r="26" spans="1:13" x14ac:dyDescent="0.25">
      <c r="B26" s="13" t="s">
        <v>27</v>
      </c>
      <c r="C26" s="14">
        <f>E20</f>
        <v>125000</v>
      </c>
      <c r="D26" s="13"/>
      <c r="E26" s="13"/>
      <c r="F26" s="13"/>
      <c r="G26" s="13" t="s">
        <v>3</v>
      </c>
      <c r="H26" s="14"/>
      <c r="I26" s="13"/>
      <c r="J26" s="13"/>
    </row>
    <row r="27" spans="1:13" x14ac:dyDescent="0.25">
      <c r="B27" s="3" t="s">
        <v>31</v>
      </c>
      <c r="C27" s="3">
        <f>C20</f>
        <v>6000</v>
      </c>
      <c r="D27" s="3"/>
      <c r="E27" s="3"/>
      <c r="F27" s="3"/>
      <c r="G27" s="3" t="s">
        <v>31</v>
      </c>
      <c r="H27" s="3">
        <f>C20</f>
        <v>6000</v>
      </c>
      <c r="I27" s="3"/>
      <c r="J27" s="3"/>
    </row>
    <row r="28" spans="1:13" x14ac:dyDescent="0.25">
      <c r="B28" s="3" t="s">
        <v>37</v>
      </c>
      <c r="C28" s="3">
        <f>J20</f>
        <v>800</v>
      </c>
      <c r="D28" s="3"/>
      <c r="E28" s="3"/>
      <c r="F28" s="3"/>
      <c r="G28" s="3" t="s">
        <v>37</v>
      </c>
      <c r="H28" s="3">
        <f>J20</f>
        <v>800</v>
      </c>
      <c r="I28" s="3"/>
      <c r="J28" s="3"/>
    </row>
    <row r="29" spans="1:13" x14ac:dyDescent="0.25">
      <c r="B29" s="3" t="s">
        <v>38</v>
      </c>
      <c r="C29" s="3"/>
      <c r="D29" s="3"/>
      <c r="E29" s="3"/>
      <c r="F29" s="3"/>
      <c r="G29" s="3"/>
      <c r="H29" s="3"/>
      <c r="I29" s="3"/>
      <c r="J29" s="3"/>
    </row>
    <row r="30" spans="1:13" x14ac:dyDescent="0.25">
      <c r="B30" s="13" t="s">
        <v>18</v>
      </c>
      <c r="C30" s="16">
        <v>0.05</v>
      </c>
      <c r="D30" s="14">
        <f>C30*C25</f>
        <v>840</v>
      </c>
      <c r="E30" s="14"/>
      <c r="F30" s="13"/>
      <c r="G30" s="13" t="s">
        <v>18</v>
      </c>
      <c r="H30" s="16">
        <v>0.1</v>
      </c>
      <c r="I30" s="14">
        <f>D30</f>
        <v>840</v>
      </c>
      <c r="J30" s="14"/>
    </row>
    <row r="31" spans="1:13" x14ac:dyDescent="0.25">
      <c r="B31" s="2" t="s">
        <v>19</v>
      </c>
      <c r="C31" s="13" t="s">
        <v>9</v>
      </c>
      <c r="D31" s="13"/>
      <c r="E31" s="13"/>
      <c r="F31" s="13"/>
      <c r="G31" s="2" t="s">
        <v>19</v>
      </c>
      <c r="H31" s="14"/>
      <c r="I31" s="13"/>
      <c r="J31" s="13"/>
      <c r="L31" s="15">
        <f>C25+C26</f>
        <v>141800</v>
      </c>
    </row>
    <row r="32" spans="1:13" x14ac:dyDescent="0.25">
      <c r="B32" s="23" t="s">
        <v>47</v>
      </c>
      <c r="C32" s="13"/>
      <c r="D32" s="13">
        <v>147000</v>
      </c>
      <c r="E32" s="13"/>
      <c r="F32" s="13"/>
      <c r="G32" s="23" t="s">
        <v>47</v>
      </c>
      <c r="H32" s="13"/>
      <c r="I32" s="13">
        <v>147000</v>
      </c>
      <c r="J32" s="13"/>
    </row>
    <row r="33" spans="2:10" x14ac:dyDescent="0.25">
      <c r="B33" s="19" t="s">
        <v>52</v>
      </c>
      <c r="C33" s="13"/>
      <c r="D33" s="13">
        <v>5000</v>
      </c>
      <c r="E33" s="13"/>
      <c r="F33" s="13"/>
      <c r="G33" s="19" t="s">
        <v>52</v>
      </c>
      <c r="H33" s="13"/>
      <c r="I33" s="13">
        <v>5000</v>
      </c>
      <c r="J33" s="13"/>
    </row>
    <row r="34" spans="2:10" x14ac:dyDescent="0.25">
      <c r="B34" s="19"/>
      <c r="C34" s="13"/>
      <c r="D34" s="13"/>
      <c r="E34" s="13"/>
      <c r="F34" s="13"/>
      <c r="G34" s="19"/>
      <c r="H34" s="13"/>
      <c r="I34" s="13"/>
      <c r="J34" s="13"/>
    </row>
    <row r="35" spans="2:10" x14ac:dyDescent="0.25">
      <c r="B35" s="19"/>
      <c r="C35" s="13"/>
      <c r="D35" s="13"/>
      <c r="E35" s="13"/>
      <c r="F35" s="13"/>
      <c r="G35" s="19"/>
      <c r="H35" s="13"/>
      <c r="I35" s="13"/>
      <c r="J35" s="13"/>
    </row>
    <row r="36" spans="2:10" x14ac:dyDescent="0.25">
      <c r="B36" s="20"/>
      <c r="C36" s="13"/>
      <c r="D36" s="13"/>
      <c r="E36" s="13"/>
      <c r="F36" s="13"/>
      <c r="G36" s="19"/>
      <c r="H36" s="13"/>
      <c r="I36" s="21"/>
      <c r="J36" s="21"/>
    </row>
    <row r="37" spans="2:10" x14ac:dyDescent="0.25">
      <c r="B37" s="19"/>
      <c r="C37" s="13"/>
      <c r="D37" s="21"/>
      <c r="E37" s="21"/>
      <c r="F37" s="13"/>
      <c r="G37" s="13"/>
      <c r="H37" s="13"/>
      <c r="I37" s="13"/>
      <c r="J37" s="13"/>
    </row>
    <row r="38" spans="2:10" x14ac:dyDescent="0.25">
      <c r="B38" s="13" t="s">
        <v>8</v>
      </c>
      <c r="C38" s="14">
        <f>C25+C26+C27+C28-D30</f>
        <v>147760</v>
      </c>
      <c r="D38" s="14">
        <f>SUM(D32:D37)</f>
        <v>152000</v>
      </c>
      <c r="E38" s="14"/>
      <c r="F38" s="14">
        <f>C38-D38</f>
        <v>-4240</v>
      </c>
      <c r="G38" s="13" t="s">
        <v>8</v>
      </c>
      <c r="H38" s="14">
        <f>H25+H26+H27+H28-I30</f>
        <v>147760</v>
      </c>
      <c r="I38" s="14">
        <f>SUM(I32:I37)</f>
        <v>152000</v>
      </c>
      <c r="J38" s="14">
        <f>H38-I38</f>
        <v>-4240</v>
      </c>
    </row>
    <row r="40" spans="2:10" x14ac:dyDescent="0.25">
      <c r="B40" t="s">
        <v>20</v>
      </c>
      <c r="D40" t="s">
        <v>21</v>
      </c>
      <c r="H40" t="s">
        <v>22</v>
      </c>
    </row>
    <row r="42" spans="2:10" x14ac:dyDescent="0.25">
      <c r="B42" t="s">
        <v>34</v>
      </c>
      <c r="D42" t="s">
        <v>23</v>
      </c>
      <c r="H42" t="s">
        <v>28</v>
      </c>
    </row>
    <row r="44" spans="2:10" x14ac:dyDescent="0.25">
      <c r="E44" s="15">
        <f>C25+C26+C27+C28</f>
        <v>148600</v>
      </c>
      <c r="F44" s="15"/>
    </row>
  </sheetData>
  <pageMargins left="0" right="0" top="0.75" bottom="0.75" header="0.3" footer="0.3"/>
  <pageSetup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opLeftCell="A7" workbookViewId="0">
      <selection activeCell="M29" sqref="M29"/>
    </sheetView>
  </sheetViews>
  <sheetFormatPr defaultRowHeight="15" x14ac:dyDescent="0.25"/>
  <cols>
    <col min="1" max="1" width="16.5703125" customWidth="1"/>
    <col min="2" max="2" width="8" customWidth="1"/>
    <col min="3" max="3" width="7.28515625" customWidth="1"/>
    <col min="4" max="4" width="7.7109375" customWidth="1"/>
    <col min="5" max="5" width="10.42578125" customWidth="1"/>
    <col min="8" max="8" width="8.140625" customWidth="1"/>
    <col min="10" max="10" width="7.28515625" customWidth="1"/>
  </cols>
  <sheetData>
    <row r="1" spans="1:11" x14ac:dyDescent="0.25">
      <c r="D1" s="1" t="s">
        <v>94</v>
      </c>
      <c r="E1" s="1"/>
      <c r="F1" s="1"/>
      <c r="G1" s="1"/>
      <c r="H1" s="1"/>
      <c r="I1" s="1"/>
      <c r="J1" s="1"/>
      <c r="K1" s="1"/>
    </row>
    <row r="2" spans="1:11" x14ac:dyDescent="0.25">
      <c r="A2" s="1"/>
      <c r="D2" s="1" t="s">
        <v>0</v>
      </c>
      <c r="E2" s="1"/>
      <c r="F2" s="1"/>
      <c r="G2" s="1"/>
      <c r="H2" s="1"/>
      <c r="I2" s="1"/>
      <c r="J2" s="1"/>
      <c r="K2" s="1"/>
    </row>
    <row r="3" spans="1:11" x14ac:dyDescent="0.25">
      <c r="A3" s="1"/>
      <c r="D3" s="1" t="s">
        <v>98</v>
      </c>
      <c r="E3" s="1"/>
      <c r="F3" s="1"/>
      <c r="G3" s="1"/>
      <c r="H3" s="1"/>
      <c r="I3" s="1"/>
      <c r="J3" s="1"/>
      <c r="K3" s="1"/>
    </row>
    <row r="4" spans="1:11" x14ac:dyDescent="0.25">
      <c r="A4" s="2" t="s">
        <v>2</v>
      </c>
      <c r="B4" s="2" t="s">
        <v>51</v>
      </c>
      <c r="C4" s="2" t="s">
        <v>3</v>
      </c>
      <c r="D4" s="2" t="s">
        <v>27</v>
      </c>
      <c r="E4" s="2" t="s">
        <v>31</v>
      </c>
      <c r="F4" s="2" t="s">
        <v>50</v>
      </c>
      <c r="G4" s="2" t="s">
        <v>42</v>
      </c>
      <c r="H4" s="2" t="s">
        <v>43</v>
      </c>
      <c r="I4" s="2" t="s">
        <v>5</v>
      </c>
      <c r="J4" s="2" t="s">
        <v>6</v>
      </c>
      <c r="K4" s="2" t="s">
        <v>7</v>
      </c>
    </row>
    <row r="5" spans="1:11" x14ac:dyDescent="0.25">
      <c r="A5" s="3" t="s">
        <v>82</v>
      </c>
      <c r="B5" s="3">
        <v>14000</v>
      </c>
      <c r="C5" s="3">
        <f>SEPTEMBER20!K5:K21</f>
        <v>5100</v>
      </c>
      <c r="D5" s="3"/>
      <c r="E5" s="3"/>
      <c r="F5" s="3">
        <v>1000</v>
      </c>
      <c r="G5" s="3">
        <v>250</v>
      </c>
      <c r="H5" s="3">
        <v>1050</v>
      </c>
      <c r="I5" s="3">
        <f>B5+B17+C5+D5+E5+F5+G5+H5</f>
        <v>21400</v>
      </c>
      <c r="J5" s="3">
        <f>15000</f>
        <v>15000</v>
      </c>
      <c r="K5" s="3">
        <f>I5-J5</f>
        <v>6400</v>
      </c>
    </row>
    <row r="6" spans="1:11" x14ac:dyDescent="0.25">
      <c r="A6" s="3" t="s">
        <v>39</v>
      </c>
      <c r="B6" s="3">
        <v>14000</v>
      </c>
      <c r="C6" s="3">
        <f>SEPTEMBER20!K6:K22</f>
        <v>0</v>
      </c>
      <c r="D6" s="3"/>
      <c r="E6" s="3"/>
      <c r="F6" s="3">
        <v>1000</v>
      </c>
      <c r="G6" s="3">
        <v>250</v>
      </c>
      <c r="H6" s="3">
        <v>1200</v>
      </c>
      <c r="I6" s="3">
        <f t="shared" ref="I6:I14" si="0">B6+C6+D6+E6+F6+G6+H6</f>
        <v>16450</v>
      </c>
      <c r="J6" s="3">
        <f>16450</f>
        <v>16450</v>
      </c>
      <c r="K6" s="3">
        <f>I6-J6</f>
        <v>0</v>
      </c>
    </row>
    <row r="7" spans="1:11" x14ac:dyDescent="0.25">
      <c r="A7" s="3" t="s">
        <v>35</v>
      </c>
      <c r="B7" s="3">
        <v>14000</v>
      </c>
      <c r="C7" s="3">
        <f>SEPTEMBER20!K7:K23</f>
        <v>250</v>
      </c>
      <c r="D7" s="3"/>
      <c r="E7" s="3"/>
      <c r="F7" s="3">
        <v>1000</v>
      </c>
      <c r="G7" s="3">
        <v>250</v>
      </c>
      <c r="H7" s="3">
        <v>900</v>
      </c>
      <c r="I7" s="3">
        <f>B7+C7+D7+E7+F7+G7+H7</f>
        <v>16400</v>
      </c>
      <c r="J7" s="3">
        <f>14447+500+553+900</f>
        <v>16400</v>
      </c>
      <c r="K7" s="3">
        <f>I7-J7</f>
        <v>0</v>
      </c>
    </row>
    <row r="8" spans="1:11" x14ac:dyDescent="0.25">
      <c r="A8" s="3" t="s">
        <v>48</v>
      </c>
      <c r="B8" s="3">
        <v>14000</v>
      </c>
      <c r="C8" s="3">
        <f>SEPTEMBER20!K8:K24</f>
        <v>1950</v>
      </c>
      <c r="D8" s="3"/>
      <c r="E8" s="3"/>
      <c r="F8" s="3">
        <v>1000</v>
      </c>
      <c r="G8" s="3">
        <v>250</v>
      </c>
      <c r="H8" s="3">
        <v>450</v>
      </c>
      <c r="I8" s="3">
        <f t="shared" si="0"/>
        <v>17650</v>
      </c>
      <c r="J8" s="3">
        <f>1950+15700</f>
        <v>17650</v>
      </c>
      <c r="K8" s="3">
        <f t="shared" ref="K8:K19" si="1">I8-J8</f>
        <v>0</v>
      </c>
    </row>
    <row r="9" spans="1:11" x14ac:dyDescent="0.25">
      <c r="A9" s="3" t="s">
        <v>59</v>
      </c>
      <c r="B9" s="3">
        <v>9000</v>
      </c>
      <c r="C9" s="3">
        <f>SEPTEMBER20!K9:K25</f>
        <v>1000</v>
      </c>
      <c r="D9" s="3"/>
      <c r="E9" s="3"/>
      <c r="F9" s="3">
        <v>1000</v>
      </c>
      <c r="G9" s="3">
        <v>250</v>
      </c>
      <c r="H9" s="3">
        <v>1050</v>
      </c>
      <c r="I9" s="3">
        <f>B9+C9+D9+E9+F9+G9+H9</f>
        <v>12300</v>
      </c>
      <c r="J9" s="3">
        <f>7000+5300</f>
        <v>12300</v>
      </c>
      <c r="K9" s="3">
        <f t="shared" si="1"/>
        <v>0</v>
      </c>
    </row>
    <row r="10" spans="1:11" x14ac:dyDescent="0.25">
      <c r="A10" s="4" t="s">
        <v>100</v>
      </c>
      <c r="B10" s="3"/>
      <c r="C10" s="3"/>
      <c r="D10" s="3"/>
      <c r="E10" s="3"/>
      <c r="F10" s="3"/>
      <c r="G10" s="3"/>
      <c r="H10" s="3"/>
      <c r="I10" s="3">
        <f t="shared" si="0"/>
        <v>0</v>
      </c>
      <c r="J10" s="3"/>
      <c r="K10" s="3">
        <f>I10-J10</f>
        <v>0</v>
      </c>
    </row>
    <row r="11" spans="1:11" x14ac:dyDescent="0.25">
      <c r="A11" s="3" t="s">
        <v>32</v>
      </c>
      <c r="B11" s="3">
        <v>14000</v>
      </c>
      <c r="C11" s="3">
        <f>SEPTEMBER20!K11:K27</f>
        <v>1300</v>
      </c>
      <c r="D11" s="3"/>
      <c r="E11" s="3"/>
      <c r="F11" s="3">
        <v>1000</v>
      </c>
      <c r="G11" s="3">
        <v>250</v>
      </c>
      <c r="H11" s="3">
        <v>900</v>
      </c>
      <c r="I11" s="3">
        <f t="shared" si="0"/>
        <v>17450</v>
      </c>
      <c r="J11" s="3">
        <v>16500</v>
      </c>
      <c r="K11" s="3">
        <f t="shared" si="1"/>
        <v>950</v>
      </c>
    </row>
    <row r="12" spans="1:11" x14ac:dyDescent="0.25">
      <c r="A12" s="3" t="s">
        <v>30</v>
      </c>
      <c r="B12" s="3">
        <v>14000</v>
      </c>
      <c r="C12" s="3">
        <f>SEPTEMBER20!K12:K28</f>
        <v>0</v>
      </c>
      <c r="D12" s="3"/>
      <c r="E12" s="3"/>
      <c r="F12" s="3">
        <v>1000</v>
      </c>
      <c r="G12" s="3">
        <v>250</v>
      </c>
      <c r="H12" s="3">
        <v>1500</v>
      </c>
      <c r="I12" s="3">
        <f t="shared" si="0"/>
        <v>16750</v>
      </c>
      <c r="J12" s="3">
        <v>16750</v>
      </c>
      <c r="K12" s="3">
        <f t="shared" si="1"/>
        <v>0</v>
      </c>
    </row>
    <row r="13" spans="1:11" x14ac:dyDescent="0.25">
      <c r="A13" s="3" t="s">
        <v>40</v>
      </c>
      <c r="B13" s="3">
        <v>14000</v>
      </c>
      <c r="C13" s="3">
        <f>SEPTEMBER20!K13:K29</f>
        <v>1000</v>
      </c>
      <c r="D13" s="3"/>
      <c r="E13" s="3"/>
      <c r="F13" s="3">
        <v>1000</v>
      </c>
      <c r="G13" s="3">
        <v>250</v>
      </c>
      <c r="H13" s="3">
        <v>450</v>
      </c>
      <c r="I13" s="3">
        <f t="shared" si="0"/>
        <v>16700</v>
      </c>
      <c r="J13" s="3">
        <v>15700</v>
      </c>
      <c r="K13" s="3">
        <f t="shared" si="1"/>
        <v>1000</v>
      </c>
    </row>
    <row r="14" spans="1:11" x14ac:dyDescent="0.25">
      <c r="A14" s="3" t="s">
        <v>99</v>
      </c>
      <c r="B14" s="3">
        <v>9000</v>
      </c>
      <c r="C14" s="3"/>
      <c r="D14" s="3">
        <v>9000</v>
      </c>
      <c r="E14" s="3">
        <v>1000</v>
      </c>
      <c r="F14" s="3">
        <v>1000</v>
      </c>
      <c r="G14" s="3">
        <v>250</v>
      </c>
      <c r="H14" s="3">
        <v>300</v>
      </c>
      <c r="I14" s="3">
        <f t="shared" si="0"/>
        <v>20550</v>
      </c>
      <c r="J14" s="3">
        <f>9000+10150</f>
        <v>19150</v>
      </c>
      <c r="K14" s="3"/>
    </row>
    <row r="15" spans="1:11" x14ac:dyDescent="0.25">
      <c r="A15" s="3" t="s">
        <v>71</v>
      </c>
      <c r="B15" s="3">
        <v>15000</v>
      </c>
      <c r="C15" s="3">
        <f>SEPTEMBER20!K15:K31</f>
        <v>1050</v>
      </c>
      <c r="D15" s="3"/>
      <c r="E15" s="3"/>
      <c r="F15" s="3">
        <v>1000</v>
      </c>
      <c r="G15" s="3"/>
      <c r="H15" s="3"/>
      <c r="I15" s="3">
        <f t="shared" ref="I15:I20" si="2">B15+C15+D15+E15+F15+G15+H15</f>
        <v>17050</v>
      </c>
      <c r="J15" s="3">
        <f>16450</f>
        <v>16450</v>
      </c>
      <c r="K15" s="3">
        <f t="shared" si="1"/>
        <v>600</v>
      </c>
    </row>
    <row r="16" spans="1:11" x14ac:dyDescent="0.25">
      <c r="A16" s="3" t="s">
        <v>36</v>
      </c>
      <c r="B16" s="3">
        <v>22000</v>
      </c>
      <c r="C16" s="3">
        <f>SEPTEMBER20!K16:K32</f>
        <v>17500</v>
      </c>
      <c r="D16" s="3"/>
      <c r="E16" s="3"/>
      <c r="F16" s="3">
        <v>1000</v>
      </c>
      <c r="G16" s="3"/>
      <c r="H16" s="3"/>
      <c r="I16" s="3">
        <f t="shared" si="2"/>
        <v>40500</v>
      </c>
      <c r="J16" s="3">
        <f>13000+10000</f>
        <v>23000</v>
      </c>
      <c r="K16" s="3">
        <f>I16-J16</f>
        <v>17500</v>
      </c>
    </row>
    <row r="17" spans="1:16" x14ac:dyDescent="0.25">
      <c r="A17" s="3" t="s">
        <v>74</v>
      </c>
      <c r="B17" s="3"/>
      <c r="C17" s="3">
        <f>SEPTEMBER20!K17:K33</f>
        <v>0</v>
      </c>
      <c r="D17" s="3"/>
      <c r="E17" s="3"/>
      <c r="F17" s="3"/>
      <c r="G17" s="3"/>
      <c r="H17" s="3">
        <v>1200</v>
      </c>
      <c r="I17" s="3">
        <f t="shared" si="2"/>
        <v>1200</v>
      </c>
      <c r="J17" s="3">
        <v>1200</v>
      </c>
      <c r="K17" s="3">
        <f>I17-J17</f>
        <v>0</v>
      </c>
    </row>
    <row r="18" spans="1:16" x14ac:dyDescent="0.25">
      <c r="A18" s="3"/>
      <c r="B18" s="3"/>
      <c r="C18" s="3">
        <f>SEPTEMBER20!K18:K34</f>
        <v>0</v>
      </c>
      <c r="D18" s="3"/>
      <c r="E18" s="3"/>
      <c r="F18" s="3"/>
      <c r="G18" s="3"/>
      <c r="H18" s="3"/>
      <c r="I18" s="3">
        <f t="shared" si="2"/>
        <v>0</v>
      </c>
      <c r="J18" s="3"/>
      <c r="K18" s="3">
        <f t="shared" si="1"/>
        <v>0</v>
      </c>
      <c r="P18">
        <v>800</v>
      </c>
    </row>
    <row r="19" spans="1:16" x14ac:dyDescent="0.25">
      <c r="A19" s="3"/>
      <c r="B19" s="3"/>
      <c r="C19" s="3">
        <f>SEPTEMBER20!K19:K35</f>
        <v>0</v>
      </c>
      <c r="D19" s="3"/>
      <c r="E19" s="3"/>
      <c r="F19" s="3"/>
      <c r="G19" s="3"/>
      <c r="H19" s="3"/>
      <c r="I19" s="3">
        <f t="shared" si="2"/>
        <v>0</v>
      </c>
      <c r="J19" s="3"/>
      <c r="K19" s="3">
        <f t="shared" si="1"/>
        <v>0</v>
      </c>
      <c r="P19">
        <v>1100</v>
      </c>
    </row>
    <row r="20" spans="1:16" x14ac:dyDescent="0.25">
      <c r="A20" s="2"/>
      <c r="B20" s="2">
        <f>SUM(B5:B19)</f>
        <v>153000</v>
      </c>
      <c r="C20" s="3">
        <f>SEPTEMBER20!K20:K36</f>
        <v>51400</v>
      </c>
      <c r="D20" s="2">
        <f t="shared" ref="D20:G20" si="3">SUM(D5:D19)</f>
        <v>9000</v>
      </c>
      <c r="E20" s="2">
        <f t="shared" si="3"/>
        <v>1000</v>
      </c>
      <c r="F20" s="2">
        <f t="shared" si="3"/>
        <v>11000</v>
      </c>
      <c r="G20" s="2">
        <f t="shared" si="3"/>
        <v>2250</v>
      </c>
      <c r="H20" s="2">
        <f>SUM(H5:H19)</f>
        <v>9000</v>
      </c>
      <c r="I20" s="3">
        <f t="shared" si="2"/>
        <v>236650</v>
      </c>
      <c r="J20" s="2">
        <f>SUM(J5:J19)</f>
        <v>186550</v>
      </c>
      <c r="K20" s="3">
        <f>SUM(K5:K19)</f>
        <v>26450</v>
      </c>
      <c r="L20">
        <v>15250</v>
      </c>
      <c r="P20">
        <v>2250</v>
      </c>
    </row>
    <row r="21" spans="1:16" x14ac:dyDescent="0.25">
      <c r="A21" s="6"/>
      <c r="B21" s="6"/>
      <c r="C21" s="3">
        <f>SEPTEMBER20!K21:K37</f>
        <v>11650</v>
      </c>
      <c r="D21" s="6"/>
      <c r="E21" s="6" t="s">
        <v>9</v>
      </c>
      <c r="F21" s="6"/>
      <c r="G21" s="6"/>
      <c r="H21" s="6"/>
      <c r="I21" s="3"/>
      <c r="J21" s="6"/>
      <c r="K21" s="29">
        <f>K20-C16-C10</f>
        <v>8950</v>
      </c>
      <c r="L21">
        <f>L20-7000</f>
        <v>8250</v>
      </c>
      <c r="P21">
        <v>4500</v>
      </c>
    </row>
    <row r="22" spans="1:16" x14ac:dyDescent="0.25">
      <c r="B22" s="7"/>
      <c r="C22" s="8"/>
      <c r="D22" s="8"/>
      <c r="E22" s="28" t="s">
        <v>10</v>
      </c>
      <c r="F22" s="6"/>
      <c r="G22" s="6"/>
      <c r="H22" s="6"/>
      <c r="I22" s="22"/>
      <c r="J22" s="10"/>
      <c r="K22" s="9">
        <f>K21+L21</f>
        <v>17200</v>
      </c>
      <c r="P22">
        <v>8700</v>
      </c>
    </row>
    <row r="23" spans="1:16" x14ac:dyDescent="0.25">
      <c r="A23" s="1" t="s">
        <v>11</v>
      </c>
      <c r="B23" s="1"/>
      <c r="C23" s="1"/>
      <c r="D23" s="1"/>
      <c r="E23" s="11"/>
      <c r="F23" s="1" t="s">
        <v>12</v>
      </c>
      <c r="G23" s="12"/>
      <c r="H23" s="12"/>
      <c r="I23" s="12"/>
      <c r="J23" s="12"/>
      <c r="P23">
        <f>SUM(P18:P22)</f>
        <v>17350</v>
      </c>
    </row>
    <row r="24" spans="1:16" x14ac:dyDescent="0.25">
      <c r="A24" s="2" t="s">
        <v>13</v>
      </c>
      <c r="B24" s="2" t="s">
        <v>14</v>
      </c>
      <c r="C24" s="2" t="s">
        <v>15</v>
      </c>
      <c r="D24" s="2"/>
      <c r="E24" s="2" t="s">
        <v>16</v>
      </c>
      <c r="F24" s="2" t="s">
        <v>13</v>
      </c>
      <c r="G24" s="2" t="s">
        <v>14</v>
      </c>
      <c r="H24" s="2" t="s">
        <v>15</v>
      </c>
      <c r="I24" s="2" t="s">
        <v>16</v>
      </c>
      <c r="J24" s="2"/>
    </row>
    <row r="25" spans="1:16" x14ac:dyDescent="0.25">
      <c r="A25" s="13" t="s">
        <v>97</v>
      </c>
      <c r="B25" s="14">
        <f>B20</f>
        <v>153000</v>
      </c>
      <c r="C25" s="13"/>
      <c r="D25" s="13"/>
      <c r="E25" s="13"/>
      <c r="F25" s="13" t="s">
        <v>97</v>
      </c>
      <c r="G25" s="14">
        <f>J20</f>
        <v>186550</v>
      </c>
      <c r="H25" s="13"/>
      <c r="I25" s="13"/>
      <c r="J25" s="13"/>
    </row>
    <row r="26" spans="1:16" x14ac:dyDescent="0.25">
      <c r="A26" s="13" t="s">
        <v>3</v>
      </c>
      <c r="B26" s="14">
        <f>SEPTEMBER20!E42</f>
        <v>0</v>
      </c>
      <c r="C26" s="13"/>
      <c r="D26" s="13"/>
      <c r="E26" s="13"/>
      <c r="F26" s="13" t="s">
        <v>3</v>
      </c>
      <c r="G26" s="14">
        <f>SEPTEMBER20!I42</f>
        <v>-20450</v>
      </c>
      <c r="H26" s="13"/>
      <c r="I26" s="13"/>
      <c r="J26" s="13"/>
    </row>
    <row r="27" spans="1:16" x14ac:dyDescent="0.25">
      <c r="A27" s="13" t="s">
        <v>27</v>
      </c>
      <c r="B27" s="14">
        <f>D20</f>
        <v>9000</v>
      </c>
      <c r="C27" s="13"/>
      <c r="D27" s="13"/>
      <c r="E27" s="13"/>
      <c r="F27" s="13"/>
      <c r="G27" s="14"/>
      <c r="H27" s="13"/>
      <c r="I27" s="13"/>
      <c r="J27" s="13"/>
    </row>
    <row r="28" spans="1:16" x14ac:dyDescent="0.25">
      <c r="A28" s="3" t="s">
        <v>31</v>
      </c>
      <c r="B28" s="3">
        <f>E20</f>
        <v>1000</v>
      </c>
      <c r="C28" s="3"/>
      <c r="D28" s="3"/>
      <c r="E28" s="3"/>
      <c r="F28" s="3"/>
      <c r="G28" s="3"/>
      <c r="H28" s="3"/>
      <c r="I28" s="3"/>
      <c r="J28" s="3"/>
    </row>
    <row r="29" spans="1:16" x14ac:dyDescent="0.25">
      <c r="A29" s="3" t="s">
        <v>37</v>
      </c>
      <c r="B29" s="3">
        <f>F20</f>
        <v>11000</v>
      </c>
      <c r="C29" s="3"/>
      <c r="D29" s="3"/>
      <c r="E29" s="3"/>
      <c r="F29" s="3"/>
      <c r="G29" s="3"/>
      <c r="H29" s="3"/>
      <c r="I29" s="3"/>
      <c r="J29" s="3"/>
    </row>
    <row r="30" spans="1:16" x14ac:dyDescent="0.25">
      <c r="A30" s="3" t="s">
        <v>43</v>
      </c>
      <c r="B30" s="3">
        <f>H20</f>
        <v>9000</v>
      </c>
      <c r="C30" s="3"/>
      <c r="D30" s="3"/>
      <c r="E30" s="3"/>
      <c r="F30" s="3"/>
      <c r="G30" s="3"/>
      <c r="H30" s="3"/>
      <c r="I30" s="3"/>
      <c r="J30" s="3"/>
    </row>
    <row r="31" spans="1:16" x14ac:dyDescent="0.25">
      <c r="A31" s="13" t="s">
        <v>18</v>
      </c>
      <c r="B31" s="16">
        <v>0.05</v>
      </c>
      <c r="C31" s="14">
        <f>B31*B25</f>
        <v>7650</v>
      </c>
      <c r="D31" s="14"/>
      <c r="E31" s="13"/>
      <c r="F31" s="13" t="s">
        <v>18</v>
      </c>
      <c r="G31" s="16">
        <v>0.05</v>
      </c>
      <c r="H31" s="14">
        <f>G31*B25</f>
        <v>7650</v>
      </c>
      <c r="I31" s="14"/>
      <c r="J31" s="14"/>
    </row>
    <row r="32" spans="1:16" x14ac:dyDescent="0.25">
      <c r="A32" s="27" t="s">
        <v>19</v>
      </c>
      <c r="B32" s="13" t="s">
        <v>9</v>
      </c>
      <c r="C32" s="13"/>
      <c r="D32" s="13"/>
      <c r="E32" s="13"/>
      <c r="F32" s="27" t="s">
        <v>19</v>
      </c>
      <c r="G32" s="14"/>
      <c r="H32" s="13"/>
      <c r="I32" s="13"/>
      <c r="J32" s="13"/>
    </row>
    <row r="33" spans="1:11" x14ac:dyDescent="0.25">
      <c r="A33" s="27"/>
      <c r="B33" s="13"/>
      <c r="C33" s="13"/>
      <c r="D33" s="13"/>
      <c r="E33" s="13"/>
      <c r="F33" s="24" t="s">
        <v>42</v>
      </c>
      <c r="G33" s="14"/>
      <c r="H33" s="13">
        <f>G20</f>
        <v>2250</v>
      </c>
      <c r="I33" s="13"/>
      <c r="J33" s="13"/>
    </row>
    <row r="34" spans="1:11" x14ac:dyDescent="0.25">
      <c r="A34" s="17" t="s">
        <v>37</v>
      </c>
      <c r="B34" s="3"/>
      <c r="C34" s="3">
        <v>9000</v>
      </c>
      <c r="D34" s="3"/>
      <c r="E34" s="3"/>
      <c r="F34" s="17" t="s">
        <v>37</v>
      </c>
      <c r="G34" s="3"/>
      <c r="H34" s="3">
        <v>9000</v>
      </c>
      <c r="I34" s="3"/>
      <c r="J34" s="3"/>
    </row>
    <row r="35" spans="1:11" x14ac:dyDescent="0.25">
      <c r="A35" s="18" t="s">
        <v>60</v>
      </c>
      <c r="B35" s="3"/>
      <c r="C35" s="3">
        <v>7000</v>
      </c>
      <c r="D35" s="3"/>
      <c r="E35" s="3"/>
      <c r="F35" s="18" t="s">
        <v>60</v>
      </c>
      <c r="G35" s="3"/>
      <c r="H35" s="3">
        <v>7000</v>
      </c>
      <c r="I35" s="3"/>
      <c r="J35" s="3"/>
    </row>
    <row r="36" spans="1:11" x14ac:dyDescent="0.25">
      <c r="A36" t="s">
        <v>102</v>
      </c>
      <c r="B36" s="13"/>
      <c r="C36" s="13">
        <v>7000</v>
      </c>
      <c r="D36" s="13"/>
      <c r="E36" s="13"/>
      <c r="G36" s="13"/>
      <c r="H36" s="13"/>
      <c r="I36" s="13"/>
      <c r="J36" s="13"/>
    </row>
    <row r="37" spans="1:11" x14ac:dyDescent="0.25">
      <c r="A37" s="19" t="s">
        <v>101</v>
      </c>
      <c r="B37" s="13"/>
      <c r="C37" s="13">
        <v>152350</v>
      </c>
      <c r="D37" s="13"/>
      <c r="E37" s="13"/>
      <c r="F37" s="19" t="s">
        <v>101</v>
      </c>
      <c r="G37" s="13"/>
      <c r="H37" s="13">
        <v>152350</v>
      </c>
      <c r="I37" s="13"/>
      <c r="J37" s="13"/>
    </row>
    <row r="38" spans="1:11" x14ac:dyDescent="0.25">
      <c r="A38" s="19"/>
      <c r="B38" s="13"/>
      <c r="C38" s="13"/>
      <c r="D38" s="13"/>
      <c r="E38" s="13"/>
      <c r="F38" s="19"/>
      <c r="G38" s="13"/>
      <c r="H38" s="13"/>
      <c r="I38" s="21"/>
      <c r="J38" s="21"/>
    </row>
    <row r="39" spans="1:11" x14ac:dyDescent="0.25">
      <c r="A39" s="20"/>
      <c r="B39" s="13"/>
      <c r="C39" s="13"/>
      <c r="D39" s="13"/>
      <c r="E39" s="13"/>
      <c r="F39" s="20"/>
      <c r="G39" s="13"/>
      <c r="H39" s="13"/>
      <c r="I39" s="21"/>
      <c r="J39" s="21"/>
    </row>
    <row r="40" spans="1:11" x14ac:dyDescent="0.25">
      <c r="A40" s="18"/>
      <c r="B40" s="30">
        <f>B25+B26+B27+B28+B29+B30-C31</f>
        <v>175350</v>
      </c>
      <c r="C40" s="21">
        <f>SUM(C33:C39)</f>
        <v>175350</v>
      </c>
      <c r="D40" s="21"/>
      <c r="E40" s="14">
        <f>B40-C40</f>
        <v>0</v>
      </c>
      <c r="F40" s="18"/>
      <c r="G40" s="30">
        <f>G25+G26-H31</f>
        <v>158450</v>
      </c>
      <c r="H40" s="21">
        <f>SUM(H33:H39)</f>
        <v>170600</v>
      </c>
      <c r="I40" s="30">
        <f>G40-H40</f>
        <v>-12150</v>
      </c>
      <c r="J40" s="3"/>
      <c r="K40" s="15"/>
    </row>
    <row r="41" spans="1:11" x14ac:dyDescent="0.25">
      <c r="D41" s="1" t="s">
        <v>94</v>
      </c>
      <c r="E41" s="1"/>
      <c r="F41" s="1"/>
      <c r="G41" s="1"/>
      <c r="H41" s="1"/>
      <c r="I41" s="1"/>
      <c r="J41" s="1"/>
      <c r="K41" s="1"/>
    </row>
    <row r="42" spans="1:11" x14ac:dyDescent="0.25">
      <c r="A42" s="1"/>
      <c r="D42" s="1" t="s">
        <v>0</v>
      </c>
      <c r="E42" s="1"/>
      <c r="F42" s="1"/>
      <c r="G42" s="1"/>
      <c r="H42" s="1"/>
      <c r="I42" s="1"/>
      <c r="J42" s="1"/>
      <c r="K42" s="1"/>
    </row>
    <row r="43" spans="1:11" x14ac:dyDescent="0.25">
      <c r="A43" t="s">
        <v>20</v>
      </c>
      <c r="C43" t="s">
        <v>21</v>
      </c>
      <c r="I43" t="s">
        <v>22</v>
      </c>
    </row>
    <row r="44" spans="1:11" x14ac:dyDescent="0.25">
      <c r="K44" s="15"/>
    </row>
    <row r="45" spans="1:11" x14ac:dyDescent="0.25">
      <c r="A45" t="s">
        <v>34</v>
      </c>
      <c r="C45" t="s">
        <v>23</v>
      </c>
      <c r="I45" t="s">
        <v>95</v>
      </c>
    </row>
    <row r="47" spans="1:11" x14ac:dyDescent="0.25">
      <c r="F47" s="15"/>
    </row>
  </sheetData>
  <pageMargins left="0" right="0" top="0" bottom="0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10" workbookViewId="0">
      <selection activeCell="J8" sqref="J8"/>
    </sheetView>
  </sheetViews>
  <sheetFormatPr defaultRowHeight="15" x14ac:dyDescent="0.25"/>
  <cols>
    <col min="1" max="1" width="16.7109375" customWidth="1"/>
    <col min="2" max="2" width="8" customWidth="1"/>
    <col min="4" max="4" width="7.28515625" customWidth="1"/>
    <col min="8" max="8" width="8.28515625" customWidth="1"/>
    <col min="9" max="9" width="8.85546875" customWidth="1"/>
    <col min="10" max="10" width="6.7109375" customWidth="1"/>
    <col min="11" max="11" width="11.85546875" customWidth="1"/>
  </cols>
  <sheetData>
    <row r="1" spans="1:11" x14ac:dyDescent="0.25">
      <c r="D1" s="1" t="s">
        <v>94</v>
      </c>
      <c r="E1" s="1"/>
      <c r="F1" s="1"/>
      <c r="G1" s="1"/>
      <c r="H1" s="1"/>
      <c r="I1" s="1"/>
      <c r="J1" s="1"/>
      <c r="K1" s="1"/>
    </row>
    <row r="2" spans="1:11" x14ac:dyDescent="0.25">
      <c r="A2" s="1"/>
      <c r="D2" s="1" t="s">
        <v>0</v>
      </c>
      <c r="E2" s="1"/>
      <c r="F2" s="1"/>
      <c r="G2" s="1"/>
      <c r="H2" s="1"/>
      <c r="I2" s="1"/>
      <c r="J2" s="1"/>
      <c r="K2" s="1"/>
    </row>
    <row r="3" spans="1:11" x14ac:dyDescent="0.25">
      <c r="A3" s="1"/>
      <c r="D3" s="1" t="s">
        <v>103</v>
      </c>
      <c r="E3" s="1"/>
      <c r="F3" s="1"/>
      <c r="G3" s="1"/>
      <c r="H3" s="1"/>
      <c r="I3" s="1"/>
      <c r="J3" s="1"/>
      <c r="K3" s="1"/>
    </row>
    <row r="4" spans="1:11" x14ac:dyDescent="0.25">
      <c r="A4" s="2" t="s">
        <v>2</v>
      </c>
      <c r="B4" s="2" t="s">
        <v>51</v>
      </c>
      <c r="C4" s="2" t="s">
        <v>3</v>
      </c>
      <c r="D4" s="2" t="s">
        <v>27</v>
      </c>
      <c r="E4" s="2" t="s">
        <v>31</v>
      </c>
      <c r="F4" s="2" t="s">
        <v>50</v>
      </c>
      <c r="G4" s="2" t="s">
        <v>42</v>
      </c>
      <c r="H4" s="2" t="s">
        <v>43</v>
      </c>
      <c r="I4" s="2" t="s">
        <v>5</v>
      </c>
      <c r="J4" s="2" t="s">
        <v>6</v>
      </c>
      <c r="K4" s="2" t="s">
        <v>7</v>
      </c>
    </row>
    <row r="5" spans="1:11" x14ac:dyDescent="0.25">
      <c r="A5" s="3" t="s">
        <v>82</v>
      </c>
      <c r="B5" s="3">
        <v>14000</v>
      </c>
      <c r="C5" s="3">
        <f>'OCTOBER 20'!K5:K21</f>
        <v>6400</v>
      </c>
      <c r="D5" s="3"/>
      <c r="E5" s="3"/>
      <c r="F5" s="3">
        <v>1000</v>
      </c>
      <c r="G5" s="3">
        <v>250</v>
      </c>
      <c r="H5" s="3">
        <v>900</v>
      </c>
      <c r="I5" s="3">
        <f>B5+B17+C5+D5+E5+F5+G5+H5</f>
        <v>22550</v>
      </c>
      <c r="J5" s="3"/>
      <c r="K5" s="3">
        <f>I5-J5</f>
        <v>22550</v>
      </c>
    </row>
    <row r="6" spans="1:11" x14ac:dyDescent="0.25">
      <c r="A6" s="3" t="s">
        <v>39</v>
      </c>
      <c r="B6" s="3">
        <v>14000</v>
      </c>
      <c r="C6" s="3">
        <f>'OCTOBER 20'!K6:K22</f>
        <v>0</v>
      </c>
      <c r="D6" s="3"/>
      <c r="E6" s="3"/>
      <c r="F6" s="3">
        <v>1000</v>
      </c>
      <c r="G6" s="3">
        <v>250</v>
      </c>
      <c r="H6" s="3">
        <v>1350</v>
      </c>
      <c r="I6" s="3">
        <f t="shared" ref="I6:I17" si="0">B6+C6+D6+E6+F6+G6+H6</f>
        <v>16600</v>
      </c>
      <c r="J6" s="3">
        <v>16600</v>
      </c>
      <c r="K6" s="3">
        <f>I6-J6</f>
        <v>0</v>
      </c>
    </row>
    <row r="7" spans="1:11" x14ac:dyDescent="0.25">
      <c r="A7" s="3" t="s">
        <v>35</v>
      </c>
      <c r="B7" s="3">
        <v>14000</v>
      </c>
      <c r="C7" s="3">
        <f>'OCTOBER 20'!K7:K23</f>
        <v>0</v>
      </c>
      <c r="D7" s="3"/>
      <c r="E7" s="3"/>
      <c r="F7" s="3">
        <v>1000</v>
      </c>
      <c r="G7" s="3">
        <v>250</v>
      </c>
      <c r="H7" s="3">
        <v>1800</v>
      </c>
      <c r="I7" s="3">
        <f>B7+C7+D7+E7+F7+G7+H7</f>
        <v>17050</v>
      </c>
      <c r="J7" s="3">
        <f>15000+1800</f>
        <v>16800</v>
      </c>
      <c r="K7" s="3">
        <f>I7-J7</f>
        <v>250</v>
      </c>
    </row>
    <row r="8" spans="1:11" x14ac:dyDescent="0.25">
      <c r="A8" s="3" t="s">
        <v>48</v>
      </c>
      <c r="B8" s="3">
        <v>14000</v>
      </c>
      <c r="C8" s="3">
        <f>'OCTOBER 20'!K8:K24</f>
        <v>0</v>
      </c>
      <c r="D8" s="3"/>
      <c r="E8" s="3"/>
      <c r="F8" s="3">
        <v>1000</v>
      </c>
      <c r="G8" s="3">
        <v>250</v>
      </c>
      <c r="H8" s="3">
        <v>1200</v>
      </c>
      <c r="I8" s="3">
        <f t="shared" si="0"/>
        <v>16450</v>
      </c>
      <c r="J8" s="3">
        <f>9000+3000+3000+1200+250</f>
        <v>16450</v>
      </c>
      <c r="K8" s="3">
        <f t="shared" ref="K8:K19" si="1">I8-J8</f>
        <v>0</v>
      </c>
    </row>
    <row r="9" spans="1:11" x14ac:dyDescent="0.25">
      <c r="A9" s="3" t="s">
        <v>59</v>
      </c>
      <c r="B9" s="3">
        <v>9000</v>
      </c>
      <c r="C9" s="3">
        <f>'OCTOBER 20'!K9:K25</f>
        <v>0</v>
      </c>
      <c r="D9" s="3"/>
      <c r="E9" s="3"/>
      <c r="F9" s="3">
        <v>1000</v>
      </c>
      <c r="G9" s="3">
        <v>250</v>
      </c>
      <c r="H9" s="3">
        <v>1350</v>
      </c>
      <c r="I9" s="3">
        <f>B9+C9+D9+E9+F9+G9+H9</f>
        <v>11600</v>
      </c>
      <c r="J9" s="3">
        <v>11000</v>
      </c>
      <c r="K9" s="3">
        <f t="shared" si="1"/>
        <v>600</v>
      </c>
    </row>
    <row r="10" spans="1:11" x14ac:dyDescent="0.25">
      <c r="A10" s="4" t="s">
        <v>100</v>
      </c>
      <c r="B10" s="3"/>
      <c r="C10" s="3">
        <f>'OCTOBER 20'!K10:K26</f>
        <v>0</v>
      </c>
      <c r="D10" s="3"/>
      <c r="E10" s="3"/>
      <c r="F10" s="3"/>
      <c r="G10" s="3"/>
      <c r="H10" s="3"/>
      <c r="I10" s="3">
        <f t="shared" si="0"/>
        <v>0</v>
      </c>
      <c r="J10" s="3"/>
      <c r="K10" s="3">
        <f>I10-J10</f>
        <v>0</v>
      </c>
    </row>
    <row r="11" spans="1:11" x14ac:dyDescent="0.25">
      <c r="A11" s="3" t="s">
        <v>32</v>
      </c>
      <c r="B11" s="3">
        <v>14000</v>
      </c>
      <c r="C11" s="3">
        <f>'OCTOBER 20'!K11:K27</f>
        <v>950</v>
      </c>
      <c r="D11" s="3"/>
      <c r="E11" s="3"/>
      <c r="F11" s="3">
        <v>1000</v>
      </c>
      <c r="G11" s="3">
        <v>250</v>
      </c>
      <c r="H11" s="3">
        <v>1200</v>
      </c>
      <c r="I11" s="3">
        <f t="shared" si="0"/>
        <v>17400</v>
      </c>
      <c r="J11" s="3">
        <f>15000+1500</f>
        <v>16500</v>
      </c>
      <c r="K11" s="3">
        <f t="shared" si="1"/>
        <v>900</v>
      </c>
    </row>
    <row r="12" spans="1:11" x14ac:dyDescent="0.25">
      <c r="A12" s="3" t="s">
        <v>30</v>
      </c>
      <c r="B12" s="3">
        <v>14000</v>
      </c>
      <c r="C12" s="3">
        <f>'OCTOBER 20'!K12:K28</f>
        <v>0</v>
      </c>
      <c r="D12" s="3"/>
      <c r="E12" s="3"/>
      <c r="F12" s="3">
        <v>1000</v>
      </c>
      <c r="G12" s="3">
        <v>250</v>
      </c>
      <c r="H12" s="3">
        <v>1350</v>
      </c>
      <c r="I12" s="3">
        <f t="shared" si="0"/>
        <v>16600</v>
      </c>
      <c r="J12" s="3">
        <f>15250+1350</f>
        <v>16600</v>
      </c>
      <c r="K12" s="3">
        <f t="shared" si="1"/>
        <v>0</v>
      </c>
    </row>
    <row r="13" spans="1:11" x14ac:dyDescent="0.25">
      <c r="A13" s="3" t="s">
        <v>40</v>
      </c>
      <c r="B13" s="3">
        <v>14000</v>
      </c>
      <c r="C13" s="3">
        <f>'OCTOBER 20'!K13:K29</f>
        <v>1000</v>
      </c>
      <c r="D13" s="3"/>
      <c r="E13" s="3"/>
      <c r="F13" s="3">
        <v>1000</v>
      </c>
      <c r="G13" s="3">
        <v>250</v>
      </c>
      <c r="H13" s="3">
        <v>450</v>
      </c>
      <c r="I13" s="3">
        <f t="shared" si="0"/>
        <v>16700</v>
      </c>
      <c r="J13" s="3">
        <v>15700</v>
      </c>
      <c r="K13" s="3">
        <f t="shared" si="1"/>
        <v>1000</v>
      </c>
    </row>
    <row r="14" spans="1:11" x14ac:dyDescent="0.25">
      <c r="A14" s="3" t="s">
        <v>99</v>
      </c>
      <c r="B14" s="3">
        <v>9000</v>
      </c>
      <c r="C14" s="3">
        <f>'OCTOBER 20'!K14:K30</f>
        <v>0</v>
      </c>
      <c r="D14" s="3"/>
      <c r="E14" s="3"/>
      <c r="F14" s="3">
        <v>1000</v>
      </c>
      <c r="G14" s="3">
        <v>250</v>
      </c>
      <c r="H14" s="3">
        <v>600</v>
      </c>
      <c r="I14" s="3">
        <f t="shared" si="0"/>
        <v>10850</v>
      </c>
      <c r="J14" s="3">
        <v>10600</v>
      </c>
      <c r="K14" s="3">
        <f t="shared" si="1"/>
        <v>250</v>
      </c>
    </row>
    <row r="15" spans="1:11" x14ac:dyDescent="0.25">
      <c r="A15" s="3" t="s">
        <v>71</v>
      </c>
      <c r="B15" s="3">
        <v>15000</v>
      </c>
      <c r="C15" s="3">
        <f>'OCTOBER 20'!K15:K31</f>
        <v>600</v>
      </c>
      <c r="D15" s="3"/>
      <c r="E15" s="3"/>
      <c r="F15" s="3">
        <v>1000</v>
      </c>
      <c r="G15" s="3">
        <v>250</v>
      </c>
      <c r="H15" s="3"/>
      <c r="I15" s="3">
        <f>B15+C15+D15+E15+F15+G15+H15</f>
        <v>16850</v>
      </c>
      <c r="J15" s="3">
        <f>16450</f>
        <v>16450</v>
      </c>
      <c r="K15" s="3">
        <f t="shared" si="1"/>
        <v>400</v>
      </c>
    </row>
    <row r="16" spans="1:11" x14ac:dyDescent="0.25">
      <c r="A16" s="3" t="s">
        <v>36</v>
      </c>
      <c r="B16" s="3">
        <v>22000</v>
      </c>
      <c r="C16" s="3">
        <f>'OCTOBER 20'!K16:K32</f>
        <v>17500</v>
      </c>
      <c r="D16" s="3"/>
      <c r="E16" s="3"/>
      <c r="F16" s="3">
        <v>1000</v>
      </c>
      <c r="G16" s="3"/>
      <c r="H16" s="3"/>
      <c r="I16" s="3">
        <f>B16+C16+D16+E16+F16+G16+H16</f>
        <v>40500</v>
      </c>
      <c r="J16" s="3">
        <f>23000</f>
        <v>23000</v>
      </c>
      <c r="K16" s="3">
        <f>I16-J16</f>
        <v>17500</v>
      </c>
    </row>
    <row r="17" spans="1:11" x14ac:dyDescent="0.25">
      <c r="A17" s="3" t="s">
        <v>74</v>
      </c>
      <c r="B17" s="3"/>
      <c r="C17" s="3">
        <f>'OCTOBER 20'!K17:K33</f>
        <v>0</v>
      </c>
      <c r="D17" s="3"/>
      <c r="E17" s="3"/>
      <c r="F17" s="3"/>
      <c r="G17" s="3"/>
      <c r="H17" s="3">
        <v>1500</v>
      </c>
      <c r="I17" s="3">
        <f t="shared" si="0"/>
        <v>1500</v>
      </c>
      <c r="J17" s="3">
        <f>1500</f>
        <v>1500</v>
      </c>
      <c r="K17" s="3">
        <f>I17-J17</f>
        <v>0</v>
      </c>
    </row>
    <row r="18" spans="1:11" x14ac:dyDescent="0.25">
      <c r="A18" s="3"/>
      <c r="B18" s="3"/>
      <c r="C18" s="3"/>
      <c r="D18" s="3"/>
      <c r="E18" s="3"/>
      <c r="F18" s="3"/>
      <c r="G18" s="3"/>
      <c r="H18" s="3"/>
      <c r="I18" s="3">
        <f>B18+C18+D18+E18+F18+G18+H18</f>
        <v>0</v>
      </c>
      <c r="J18" s="3"/>
      <c r="K18" s="3">
        <f t="shared" si="1"/>
        <v>0</v>
      </c>
    </row>
    <row r="19" spans="1:11" x14ac:dyDescent="0.25">
      <c r="A19" s="3"/>
      <c r="B19" s="3"/>
      <c r="C19" s="3">
        <f>'OCTOBER 20'!K19:K35</f>
        <v>0</v>
      </c>
      <c r="D19" s="3"/>
      <c r="E19" s="3"/>
      <c r="F19" s="3"/>
      <c r="G19" s="3"/>
      <c r="H19" s="3"/>
      <c r="I19" s="3">
        <f>B19+C19+D19+E19+F19+G19+H19</f>
        <v>0</v>
      </c>
      <c r="J19" s="3"/>
      <c r="K19" s="3">
        <f t="shared" si="1"/>
        <v>0</v>
      </c>
    </row>
    <row r="20" spans="1:11" x14ac:dyDescent="0.25">
      <c r="A20" s="2"/>
      <c r="B20" s="2">
        <f>SUM(B5:B19)</f>
        <v>153000</v>
      </c>
      <c r="C20" s="3">
        <f>'OCTOBER 20'!K20:K36</f>
        <v>26450</v>
      </c>
      <c r="D20" s="2">
        <f t="shared" ref="D20:G20" si="2">SUM(D5:D19)</f>
        <v>0</v>
      </c>
      <c r="E20" s="2">
        <f t="shared" si="2"/>
        <v>0</v>
      </c>
      <c r="F20" s="2">
        <f t="shared" si="2"/>
        <v>11000</v>
      </c>
      <c r="G20" s="2">
        <f t="shared" si="2"/>
        <v>2500</v>
      </c>
      <c r="H20" s="2">
        <f>SUM(H5:H19)</f>
        <v>11700</v>
      </c>
      <c r="I20" s="3">
        <f>B20+C20+D20+E20+F20+G20+H20</f>
        <v>204650</v>
      </c>
      <c r="J20" s="2">
        <f>SUM(J5:J19)</f>
        <v>161200</v>
      </c>
      <c r="K20" s="3">
        <f>SUM(K5:K19)</f>
        <v>43450</v>
      </c>
    </row>
    <row r="21" spans="1:11" x14ac:dyDescent="0.25">
      <c r="A21" s="6"/>
      <c r="B21" s="6"/>
      <c r="C21" s="3">
        <f>'OCTOBER 20'!K21:K37</f>
        <v>8950</v>
      </c>
      <c r="D21" s="6"/>
      <c r="E21" s="6" t="s">
        <v>9</v>
      </c>
      <c r="F21" s="6"/>
      <c r="G21" s="6"/>
      <c r="H21" s="6"/>
      <c r="I21" s="3"/>
      <c r="J21" s="6"/>
      <c r="K21" s="29">
        <f>K20-C16-C10</f>
        <v>25950</v>
      </c>
    </row>
    <row r="22" spans="1:11" x14ac:dyDescent="0.25">
      <c r="B22" s="7"/>
      <c r="C22" s="8"/>
      <c r="D22" s="8"/>
      <c r="E22" s="28" t="s">
        <v>10</v>
      </c>
      <c r="F22" s="6"/>
      <c r="G22" s="6"/>
      <c r="H22" s="6"/>
      <c r="I22" s="22"/>
      <c r="J22" s="10"/>
      <c r="K22" s="9">
        <f>K5+K7+K9+K11+K13+K14+K15</f>
        <v>25950</v>
      </c>
    </row>
    <row r="23" spans="1:11" x14ac:dyDescent="0.25">
      <c r="A23" s="1" t="s">
        <v>11</v>
      </c>
      <c r="B23" s="1"/>
      <c r="C23" s="1"/>
      <c r="D23" s="1"/>
      <c r="E23" s="11"/>
      <c r="F23" s="1" t="s">
        <v>12</v>
      </c>
      <c r="G23" s="12"/>
      <c r="H23" s="12"/>
      <c r="I23" s="12"/>
      <c r="J23" s="12"/>
    </row>
    <row r="24" spans="1:11" x14ac:dyDescent="0.25">
      <c r="A24" s="2" t="s">
        <v>13</v>
      </c>
      <c r="B24" s="2" t="s">
        <v>14</v>
      </c>
      <c r="C24" s="2" t="s">
        <v>15</v>
      </c>
      <c r="D24" s="2"/>
      <c r="E24" s="2" t="s">
        <v>16</v>
      </c>
      <c r="F24" s="2" t="s">
        <v>13</v>
      </c>
      <c r="G24" s="2" t="s">
        <v>14</v>
      </c>
      <c r="H24" s="2" t="s">
        <v>15</v>
      </c>
      <c r="I24" s="2" t="s">
        <v>16</v>
      </c>
      <c r="J24" s="2"/>
    </row>
    <row r="25" spans="1:11" x14ac:dyDescent="0.25">
      <c r="A25" s="13" t="s">
        <v>104</v>
      </c>
      <c r="B25" s="14">
        <f>B20</f>
        <v>153000</v>
      </c>
      <c r="C25" s="13"/>
      <c r="D25" s="13"/>
      <c r="E25" s="13"/>
      <c r="F25" s="13" t="s">
        <v>104</v>
      </c>
      <c r="G25" s="14">
        <f>J20</f>
        <v>161200</v>
      </c>
      <c r="H25" s="13"/>
      <c r="I25" s="13"/>
      <c r="J25" s="13"/>
    </row>
    <row r="26" spans="1:11" x14ac:dyDescent="0.25">
      <c r="A26" s="13" t="s">
        <v>3</v>
      </c>
      <c r="B26" s="14">
        <f>SEPTEMBER20!E42</f>
        <v>0</v>
      </c>
      <c r="C26" s="13"/>
      <c r="D26" s="13"/>
      <c r="E26" s="13"/>
      <c r="F26" s="13" t="s">
        <v>3</v>
      </c>
      <c r="G26" s="14">
        <f>'OCTOBER 20'!I40</f>
        <v>-12150</v>
      </c>
      <c r="H26" s="13"/>
      <c r="I26" s="13"/>
      <c r="J26" s="13"/>
    </row>
    <row r="27" spans="1:11" x14ac:dyDescent="0.25">
      <c r="A27" s="13" t="s">
        <v>105</v>
      </c>
      <c r="B27" s="14">
        <v>20000</v>
      </c>
      <c r="C27" s="13"/>
      <c r="D27" s="13"/>
      <c r="E27" s="13"/>
      <c r="F27" s="13" t="s">
        <v>105</v>
      </c>
      <c r="G27" s="14">
        <v>20000</v>
      </c>
      <c r="H27" s="13"/>
      <c r="I27" s="13"/>
      <c r="J27" s="13"/>
    </row>
    <row r="28" spans="1:11" x14ac:dyDescent="0.25">
      <c r="A28" s="13" t="s">
        <v>27</v>
      </c>
      <c r="B28" s="14">
        <f>D20</f>
        <v>0</v>
      </c>
      <c r="C28" s="13"/>
      <c r="D28" s="13"/>
      <c r="E28" s="13"/>
      <c r="F28" s="13"/>
      <c r="G28" s="14"/>
      <c r="H28" s="13"/>
      <c r="I28" s="13"/>
      <c r="J28" s="13"/>
    </row>
    <row r="29" spans="1:11" x14ac:dyDescent="0.25">
      <c r="A29" s="3" t="s">
        <v>31</v>
      </c>
      <c r="B29" s="3">
        <f>E20</f>
        <v>0</v>
      </c>
      <c r="C29" s="3"/>
      <c r="D29" s="3"/>
      <c r="E29" s="3"/>
      <c r="F29" s="3"/>
      <c r="G29" s="3"/>
      <c r="H29" s="3"/>
      <c r="I29" s="3"/>
      <c r="J29" s="3"/>
    </row>
    <row r="30" spans="1:11" x14ac:dyDescent="0.25">
      <c r="A30" s="3" t="s">
        <v>37</v>
      </c>
      <c r="B30" s="3">
        <f>F20</f>
        <v>11000</v>
      </c>
      <c r="C30" s="3"/>
      <c r="D30" s="3"/>
      <c r="E30" s="3"/>
      <c r="F30" s="3"/>
      <c r="G30" s="3"/>
      <c r="H30" s="3"/>
      <c r="I30" s="3"/>
      <c r="J30" s="3"/>
    </row>
    <row r="31" spans="1:11" x14ac:dyDescent="0.25">
      <c r="A31" s="3" t="s">
        <v>43</v>
      </c>
      <c r="B31" s="3">
        <f>H20</f>
        <v>11700</v>
      </c>
      <c r="C31" s="3"/>
      <c r="D31" s="3"/>
      <c r="E31" s="3"/>
      <c r="F31" s="3"/>
      <c r="G31" s="3"/>
      <c r="H31" s="3"/>
      <c r="I31" s="3"/>
      <c r="J31" s="3"/>
    </row>
    <row r="32" spans="1:11" x14ac:dyDescent="0.25">
      <c r="A32" s="13" t="s">
        <v>18</v>
      </c>
      <c r="B32" s="16">
        <v>0.05</v>
      </c>
      <c r="C32" s="14">
        <f>B32*B25</f>
        <v>7650</v>
      </c>
      <c r="D32" s="14"/>
      <c r="E32" s="13"/>
      <c r="F32" s="13" t="s">
        <v>18</v>
      </c>
      <c r="G32" s="16">
        <v>0.05</v>
      </c>
      <c r="H32" s="14">
        <f>G32*B25</f>
        <v>7650</v>
      </c>
      <c r="I32" s="14"/>
      <c r="J32" s="14"/>
    </row>
    <row r="33" spans="1:11" x14ac:dyDescent="0.25">
      <c r="A33" s="27" t="s">
        <v>19</v>
      </c>
      <c r="B33" s="13" t="s">
        <v>9</v>
      </c>
      <c r="C33" s="13"/>
      <c r="D33" s="13"/>
      <c r="E33" s="13"/>
      <c r="F33" s="27" t="s">
        <v>19</v>
      </c>
      <c r="G33" s="14"/>
      <c r="H33" s="13"/>
      <c r="I33" s="13"/>
      <c r="J33" s="13"/>
    </row>
    <row r="34" spans="1:11" x14ac:dyDescent="0.25">
      <c r="A34" s="27"/>
      <c r="B34" s="13"/>
      <c r="C34" s="14"/>
      <c r="D34" s="13"/>
      <c r="E34" s="13"/>
      <c r="F34" s="24" t="s">
        <v>42</v>
      </c>
      <c r="G34" s="14"/>
      <c r="H34" s="13">
        <f>G20</f>
        <v>2500</v>
      </c>
      <c r="I34" s="13"/>
      <c r="J34" s="13"/>
    </row>
    <row r="35" spans="1:11" x14ac:dyDescent="0.25">
      <c r="A35" s="17" t="s">
        <v>37</v>
      </c>
      <c r="B35" s="3"/>
      <c r="C35" s="30">
        <v>9000</v>
      </c>
      <c r="D35" s="3"/>
      <c r="E35" s="3"/>
      <c r="F35" s="17" t="s">
        <v>37</v>
      </c>
      <c r="G35" s="3"/>
      <c r="H35" s="3">
        <v>9000</v>
      </c>
      <c r="I35" s="3"/>
      <c r="J35" s="3"/>
    </row>
    <row r="36" spans="1:11" x14ac:dyDescent="0.25">
      <c r="A36" s="18" t="s">
        <v>60</v>
      </c>
      <c r="B36" s="3"/>
      <c r="C36" s="30">
        <v>7000</v>
      </c>
      <c r="D36" s="3"/>
      <c r="E36" s="3"/>
      <c r="F36" s="18" t="s">
        <v>60</v>
      </c>
      <c r="G36" s="3"/>
      <c r="H36" s="3">
        <v>7000</v>
      </c>
      <c r="I36" s="3"/>
      <c r="J36" s="3"/>
    </row>
    <row r="37" spans="1:11" x14ac:dyDescent="0.25">
      <c r="A37" t="s">
        <v>107</v>
      </c>
      <c r="B37" s="13"/>
      <c r="C37" s="14">
        <v>8250</v>
      </c>
      <c r="D37" s="13"/>
      <c r="E37" s="13"/>
      <c r="G37" s="13"/>
      <c r="H37" s="13"/>
      <c r="I37" s="13"/>
      <c r="J37" s="13"/>
    </row>
    <row r="38" spans="1:11" x14ac:dyDescent="0.25">
      <c r="A38" s="19" t="s">
        <v>61</v>
      </c>
      <c r="B38" s="13"/>
      <c r="C38" s="14">
        <v>180</v>
      </c>
      <c r="D38" s="13"/>
      <c r="E38" s="13"/>
      <c r="F38" s="19" t="s">
        <v>61</v>
      </c>
      <c r="G38" s="13"/>
      <c r="H38" s="14">
        <v>180</v>
      </c>
      <c r="I38" s="13"/>
      <c r="J38" s="13"/>
    </row>
    <row r="39" spans="1:11" x14ac:dyDescent="0.25">
      <c r="A39" s="19" t="s">
        <v>106</v>
      </c>
      <c r="B39" s="13"/>
      <c r="C39" s="14">
        <v>163620</v>
      </c>
      <c r="D39" s="13"/>
      <c r="E39" s="13"/>
      <c r="F39" s="19" t="s">
        <v>106</v>
      </c>
      <c r="G39" s="13"/>
      <c r="H39" s="14">
        <v>163620</v>
      </c>
      <c r="I39" s="21"/>
      <c r="J39" s="21"/>
    </row>
    <row r="40" spans="1:11" x14ac:dyDescent="0.25">
      <c r="A40" s="20"/>
      <c r="B40" s="13"/>
      <c r="C40" s="14"/>
      <c r="D40" s="13"/>
      <c r="E40" s="13"/>
      <c r="F40" s="20"/>
      <c r="G40" s="13"/>
      <c r="H40" s="13"/>
      <c r="I40" s="21"/>
      <c r="J40" s="21"/>
    </row>
    <row r="41" spans="1:11" x14ac:dyDescent="0.25">
      <c r="A41" s="18"/>
      <c r="B41" s="30">
        <f>B25+B26+B27+B28+B29+B30+B31-C32</f>
        <v>188050</v>
      </c>
      <c r="C41" s="31">
        <f>SUM(C34:C40)</f>
        <v>188050</v>
      </c>
      <c r="D41" s="31">
        <f>B41-C41</f>
        <v>0</v>
      </c>
      <c r="E41" s="13"/>
      <c r="F41" s="18"/>
      <c r="G41" s="30">
        <f>G25+G26+G27-H32</f>
        <v>161400</v>
      </c>
      <c r="H41" s="21">
        <f>SUM(H34:H40)</f>
        <v>182300</v>
      </c>
      <c r="I41" s="30">
        <f>G41-H41</f>
        <v>-20900</v>
      </c>
      <c r="J41" s="3"/>
      <c r="K41" s="15"/>
    </row>
    <row r="42" spans="1:11" x14ac:dyDescent="0.25">
      <c r="A42" t="s">
        <v>20</v>
      </c>
      <c r="C42" t="s">
        <v>21</v>
      </c>
      <c r="I42" t="s">
        <v>22</v>
      </c>
      <c r="K42" s="1"/>
    </row>
    <row r="43" spans="1:11" x14ac:dyDescent="0.25">
      <c r="K43" s="1"/>
    </row>
    <row r="44" spans="1:11" x14ac:dyDescent="0.25">
      <c r="A44" t="s">
        <v>34</v>
      </c>
      <c r="C44" t="s">
        <v>23</v>
      </c>
      <c r="I44" t="s">
        <v>95</v>
      </c>
    </row>
    <row r="45" spans="1:11" x14ac:dyDescent="0.25">
      <c r="K45" s="15"/>
    </row>
    <row r="48" spans="1:11" x14ac:dyDescent="0.25">
      <c r="F48" s="15"/>
    </row>
  </sheetData>
  <pageMargins left="0" right="0" top="0" bottom="0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A7" workbookViewId="0">
      <selection activeCell="K6" sqref="K6"/>
    </sheetView>
  </sheetViews>
  <sheetFormatPr defaultRowHeight="15" x14ac:dyDescent="0.25"/>
  <cols>
    <col min="1" max="1" width="3.5703125" customWidth="1"/>
    <col min="2" max="2" width="16.28515625" customWidth="1"/>
    <col min="3" max="3" width="7.5703125" customWidth="1"/>
    <col min="4" max="4" width="8.28515625" customWidth="1"/>
    <col min="7" max="7" width="9.42578125" customWidth="1"/>
    <col min="9" max="9" width="8.140625" customWidth="1"/>
    <col min="11" max="11" width="6.85546875" customWidth="1"/>
  </cols>
  <sheetData>
    <row r="1" spans="1:12" x14ac:dyDescent="0.25">
      <c r="E1" s="1" t="s">
        <v>94</v>
      </c>
      <c r="F1" s="1"/>
      <c r="G1" s="1"/>
      <c r="H1" s="1"/>
      <c r="I1" s="1"/>
      <c r="J1" s="1"/>
      <c r="K1" s="1"/>
      <c r="L1" s="1"/>
    </row>
    <row r="2" spans="1:12" x14ac:dyDescent="0.25">
      <c r="B2" s="1"/>
      <c r="E2" s="1" t="s">
        <v>0</v>
      </c>
      <c r="F2" s="1"/>
      <c r="G2" s="1"/>
      <c r="H2" s="1"/>
      <c r="I2" s="1"/>
      <c r="J2" s="1"/>
      <c r="K2" s="1"/>
      <c r="L2" s="1"/>
    </row>
    <row r="3" spans="1:12" x14ac:dyDescent="0.25">
      <c r="B3" s="1"/>
      <c r="E3" s="1" t="s">
        <v>109</v>
      </c>
      <c r="F3" s="1"/>
      <c r="G3" s="1"/>
      <c r="H3" s="1"/>
      <c r="I3" s="1"/>
      <c r="J3" s="1"/>
      <c r="K3" s="1"/>
      <c r="L3" s="1"/>
    </row>
    <row r="4" spans="1:12" x14ac:dyDescent="0.25">
      <c r="A4" s="3"/>
      <c r="B4" s="2" t="s">
        <v>2</v>
      </c>
      <c r="C4" s="2" t="s">
        <v>51</v>
      </c>
      <c r="D4" s="2" t="s">
        <v>3</v>
      </c>
      <c r="E4" s="2" t="s">
        <v>27</v>
      </c>
      <c r="F4" s="2" t="s">
        <v>31</v>
      </c>
      <c r="G4" s="2" t="s">
        <v>50</v>
      </c>
      <c r="H4" s="2" t="s">
        <v>42</v>
      </c>
      <c r="I4" s="2" t="s">
        <v>43</v>
      </c>
      <c r="J4" s="2" t="s">
        <v>5</v>
      </c>
      <c r="K4" s="2" t="s">
        <v>6</v>
      </c>
      <c r="L4" s="2" t="s">
        <v>7</v>
      </c>
    </row>
    <row r="5" spans="1:12" x14ac:dyDescent="0.25">
      <c r="A5" s="3">
        <v>1</v>
      </c>
      <c r="B5" s="3" t="s">
        <v>82</v>
      </c>
      <c r="C5" s="3"/>
      <c r="D5" s="3">
        <f>NOVEMBER20!K5:K19</f>
        <v>22550</v>
      </c>
      <c r="E5" s="3"/>
      <c r="F5" s="3"/>
      <c r="G5" s="3"/>
      <c r="H5" s="3"/>
      <c r="I5" s="3"/>
      <c r="J5" s="3">
        <f>C5+C17+D5+E5+F5+G5+H5+I5</f>
        <v>22550</v>
      </c>
      <c r="K5" s="3">
        <f>15000</f>
        <v>15000</v>
      </c>
      <c r="L5" s="3">
        <f>J5-K5</f>
        <v>7550</v>
      </c>
    </row>
    <row r="6" spans="1:12" x14ac:dyDescent="0.25">
      <c r="A6" s="3">
        <v>2</v>
      </c>
      <c r="B6" s="3" t="s">
        <v>39</v>
      </c>
      <c r="C6" s="3">
        <v>14000</v>
      </c>
      <c r="D6" s="3">
        <f>NOVEMBER20!K6:K20</f>
        <v>0</v>
      </c>
      <c r="E6" s="3"/>
      <c r="F6" s="3"/>
      <c r="G6" s="3">
        <v>1000</v>
      </c>
      <c r="H6" s="3">
        <v>250</v>
      </c>
      <c r="I6" s="3">
        <v>1050</v>
      </c>
      <c r="J6" s="3">
        <f t="shared" ref="J6:J17" si="0">C6+D6+E6+F6+G6+H6+I6</f>
        <v>16300</v>
      </c>
      <c r="K6" s="3">
        <f>16300</f>
        <v>16300</v>
      </c>
      <c r="L6" s="3">
        <f>J6-K6</f>
        <v>0</v>
      </c>
    </row>
    <row r="7" spans="1:12" x14ac:dyDescent="0.25">
      <c r="A7" s="3">
        <v>3</v>
      </c>
      <c r="B7" s="3" t="s">
        <v>35</v>
      </c>
      <c r="C7" s="3">
        <v>14000</v>
      </c>
      <c r="D7" s="3">
        <f>NOVEMBER20!K7:K21</f>
        <v>250</v>
      </c>
      <c r="E7" s="3"/>
      <c r="F7" s="3"/>
      <c r="G7" s="3">
        <v>1000</v>
      </c>
      <c r="H7" s="3">
        <v>250</v>
      </c>
      <c r="I7" s="3">
        <v>1500</v>
      </c>
      <c r="J7" s="3">
        <f>C7+D7+E7+F7+G7+H7+I7</f>
        <v>17000</v>
      </c>
      <c r="K7" s="3">
        <f>15000+1500</f>
        <v>16500</v>
      </c>
      <c r="L7" s="3">
        <f>J7-K7</f>
        <v>500</v>
      </c>
    </row>
    <row r="8" spans="1:12" x14ac:dyDescent="0.25">
      <c r="A8" s="3">
        <v>4</v>
      </c>
      <c r="B8" s="3" t="s">
        <v>48</v>
      </c>
      <c r="C8" s="3">
        <v>14000</v>
      </c>
      <c r="D8" s="3">
        <f>NOVEMBER20!K8:K22</f>
        <v>0</v>
      </c>
      <c r="E8" s="3"/>
      <c r="F8" s="3"/>
      <c r="G8" s="3">
        <v>1000</v>
      </c>
      <c r="H8" s="3">
        <v>250</v>
      </c>
      <c r="I8" s="3">
        <v>750</v>
      </c>
      <c r="J8" s="3">
        <f t="shared" si="0"/>
        <v>16000</v>
      </c>
      <c r="K8" s="3">
        <f>11000</f>
        <v>11000</v>
      </c>
      <c r="L8" s="3">
        <f t="shared" ref="L8:L19" si="1">J8-K8</f>
        <v>5000</v>
      </c>
    </row>
    <row r="9" spans="1:12" x14ac:dyDescent="0.25">
      <c r="A9" s="3">
        <v>5</v>
      </c>
      <c r="B9" s="3" t="s">
        <v>59</v>
      </c>
      <c r="C9" s="3">
        <v>9000</v>
      </c>
      <c r="D9" s="3">
        <f>NOVEMBER20!K9:K23</f>
        <v>600</v>
      </c>
      <c r="E9" s="3"/>
      <c r="F9" s="3"/>
      <c r="G9" s="3">
        <v>1000</v>
      </c>
      <c r="H9" s="3">
        <v>250</v>
      </c>
      <c r="I9" s="3">
        <v>900</v>
      </c>
      <c r="J9" s="3">
        <f>C9+D9+E9+F9+G9+H9+I9</f>
        <v>11750</v>
      </c>
      <c r="K9" s="3">
        <f>8000+2000</f>
        <v>10000</v>
      </c>
      <c r="L9" s="3">
        <f t="shared" si="1"/>
        <v>1750</v>
      </c>
    </row>
    <row r="10" spans="1:12" x14ac:dyDescent="0.25">
      <c r="A10" s="3">
        <v>6</v>
      </c>
      <c r="B10" s="4" t="s">
        <v>111</v>
      </c>
      <c r="C10" s="3">
        <v>14000</v>
      </c>
      <c r="D10" s="3">
        <f>NOVEMBER20!K10:K24</f>
        <v>0</v>
      </c>
      <c r="E10" s="3">
        <v>14000</v>
      </c>
      <c r="F10" s="3">
        <v>1000</v>
      </c>
      <c r="G10" s="3">
        <v>1000</v>
      </c>
      <c r="H10" s="3">
        <v>250</v>
      </c>
      <c r="I10" s="3"/>
      <c r="J10" s="3">
        <f t="shared" si="0"/>
        <v>30250</v>
      </c>
      <c r="K10" s="3">
        <f>20000+10250</f>
        <v>30250</v>
      </c>
      <c r="L10" s="3">
        <f>J10-K10</f>
        <v>0</v>
      </c>
    </row>
    <row r="11" spans="1:12" x14ac:dyDescent="0.25">
      <c r="A11" s="3">
        <v>7</v>
      </c>
      <c r="B11" s="3" t="s">
        <v>32</v>
      </c>
      <c r="C11" s="3">
        <v>14000</v>
      </c>
      <c r="D11" s="3">
        <f>NOVEMBER20!K11:K25</f>
        <v>900</v>
      </c>
      <c r="E11" s="3"/>
      <c r="F11" s="3"/>
      <c r="G11" s="3">
        <v>1000</v>
      </c>
      <c r="H11" s="3">
        <v>250</v>
      </c>
      <c r="I11" s="3">
        <v>900</v>
      </c>
      <c r="J11" s="3">
        <f t="shared" si="0"/>
        <v>17050</v>
      </c>
      <c r="K11" s="3">
        <f>16150</f>
        <v>16150</v>
      </c>
      <c r="L11" s="3">
        <f t="shared" si="1"/>
        <v>900</v>
      </c>
    </row>
    <row r="12" spans="1:12" x14ac:dyDescent="0.25">
      <c r="A12" s="3">
        <v>8</v>
      </c>
      <c r="B12" s="3" t="s">
        <v>30</v>
      </c>
      <c r="C12" s="3">
        <v>14000</v>
      </c>
      <c r="D12" s="3">
        <f>NOVEMBER20!K12:K26</f>
        <v>0</v>
      </c>
      <c r="E12" s="3"/>
      <c r="F12" s="3"/>
      <c r="G12" s="3">
        <v>1000</v>
      </c>
      <c r="H12" s="3">
        <v>250</v>
      </c>
      <c r="I12" s="3">
        <v>1050</v>
      </c>
      <c r="J12" s="3">
        <f t="shared" si="0"/>
        <v>16300</v>
      </c>
      <c r="K12" s="3">
        <f>13000+3300</f>
        <v>16300</v>
      </c>
      <c r="L12" s="3">
        <f t="shared" si="1"/>
        <v>0</v>
      </c>
    </row>
    <row r="13" spans="1:12" x14ac:dyDescent="0.25">
      <c r="A13" s="3">
        <v>9</v>
      </c>
      <c r="B13" s="3" t="s">
        <v>40</v>
      </c>
      <c r="C13" s="3">
        <v>14000</v>
      </c>
      <c r="D13" s="3">
        <f>NOVEMBER20!K13:K27</f>
        <v>1000</v>
      </c>
      <c r="E13" s="3"/>
      <c r="F13" s="3"/>
      <c r="G13" s="3">
        <v>1000</v>
      </c>
      <c r="H13" s="3">
        <v>250</v>
      </c>
      <c r="I13" s="3">
        <v>450</v>
      </c>
      <c r="J13" s="3">
        <f t="shared" si="0"/>
        <v>16700</v>
      </c>
      <c r="K13" s="3">
        <f>15700</f>
        <v>15700</v>
      </c>
      <c r="L13" s="3">
        <f t="shared" si="1"/>
        <v>1000</v>
      </c>
    </row>
    <row r="14" spans="1:12" x14ac:dyDescent="0.25">
      <c r="A14" s="3">
        <v>10</v>
      </c>
      <c r="B14" s="3" t="s">
        <v>99</v>
      </c>
      <c r="C14" s="3">
        <v>9000</v>
      </c>
      <c r="D14" s="3">
        <f>NOVEMBER20!K14:K28</f>
        <v>250</v>
      </c>
      <c r="E14" s="3"/>
      <c r="F14" s="3"/>
      <c r="G14" s="3">
        <v>1000</v>
      </c>
      <c r="H14" s="3">
        <v>250</v>
      </c>
      <c r="I14" s="3">
        <v>450</v>
      </c>
      <c r="J14" s="3">
        <f t="shared" si="0"/>
        <v>10950</v>
      </c>
      <c r="K14" s="3">
        <v>10950</v>
      </c>
      <c r="L14" s="3">
        <f t="shared" si="1"/>
        <v>0</v>
      </c>
    </row>
    <row r="15" spans="1:12" x14ac:dyDescent="0.25">
      <c r="A15" s="3">
        <v>11</v>
      </c>
      <c r="B15" s="3" t="s">
        <v>71</v>
      </c>
      <c r="C15" s="3">
        <v>15000</v>
      </c>
      <c r="D15" s="3">
        <f>NOVEMBER20!K15:K29</f>
        <v>400</v>
      </c>
      <c r="E15" s="3"/>
      <c r="F15" s="3"/>
      <c r="G15" s="3">
        <v>1000</v>
      </c>
      <c r="H15" s="3">
        <v>250</v>
      </c>
      <c r="I15" s="3"/>
      <c r="J15" s="3">
        <f>C15+D15+E15+F15+G15+H15+I15</f>
        <v>16650</v>
      </c>
      <c r="K15" s="3">
        <f>16450+200</f>
        <v>16650</v>
      </c>
      <c r="L15" s="3">
        <f t="shared" si="1"/>
        <v>0</v>
      </c>
    </row>
    <row r="16" spans="1:12" x14ac:dyDescent="0.25">
      <c r="A16" s="3">
        <v>12</v>
      </c>
      <c r="B16" s="3" t="s">
        <v>36</v>
      </c>
      <c r="C16" s="3">
        <v>22000</v>
      </c>
      <c r="D16" s="3">
        <f>NOVEMBER20!K16:K30</f>
        <v>17500</v>
      </c>
      <c r="E16" s="3"/>
      <c r="F16" s="3"/>
      <c r="G16" s="3">
        <v>1000</v>
      </c>
      <c r="H16" s="3"/>
      <c r="I16" s="3"/>
      <c r="J16" s="3">
        <f>C16+D16+E16+F16+G16+H16+I16</f>
        <v>40500</v>
      </c>
      <c r="K16" s="3">
        <f>23000</f>
        <v>23000</v>
      </c>
      <c r="L16" s="3">
        <f>J16-K16</f>
        <v>17500</v>
      </c>
    </row>
    <row r="17" spans="1:12" x14ac:dyDescent="0.25">
      <c r="A17" s="3">
        <v>13</v>
      </c>
      <c r="B17" s="3" t="s">
        <v>74</v>
      </c>
      <c r="C17" s="3"/>
      <c r="D17" s="3">
        <f>NOVEMBER20!K17:K31</f>
        <v>0</v>
      </c>
      <c r="E17" s="3"/>
      <c r="F17" s="3"/>
      <c r="G17" s="3"/>
      <c r="H17" s="3"/>
      <c r="I17" s="3">
        <v>900</v>
      </c>
      <c r="J17" s="3">
        <f t="shared" si="0"/>
        <v>900</v>
      </c>
      <c r="K17" s="3">
        <v>900</v>
      </c>
      <c r="L17" s="3">
        <f>J17-K17</f>
        <v>0</v>
      </c>
    </row>
    <row r="18" spans="1:12" x14ac:dyDescent="0.25">
      <c r="A18" s="3"/>
      <c r="B18" s="3"/>
      <c r="C18" s="3"/>
      <c r="D18" s="3">
        <f>NOVEMBER20!K18:K32</f>
        <v>0</v>
      </c>
      <c r="E18" s="3"/>
      <c r="F18" s="3"/>
      <c r="G18" s="3"/>
      <c r="H18" s="3"/>
      <c r="I18" s="3"/>
      <c r="J18" s="3"/>
      <c r="K18" s="3"/>
      <c r="L18" s="3">
        <f t="shared" si="1"/>
        <v>0</v>
      </c>
    </row>
    <row r="19" spans="1:12" x14ac:dyDescent="0.25">
      <c r="A19" s="3"/>
      <c r="B19" s="3"/>
      <c r="C19" s="3"/>
      <c r="D19" s="3">
        <f>NOVEMBER20!K19:K33</f>
        <v>0</v>
      </c>
      <c r="E19" s="3"/>
      <c r="F19" s="3"/>
      <c r="G19" s="3"/>
      <c r="H19" s="3"/>
      <c r="I19" s="3"/>
      <c r="J19" s="3">
        <f>C19+D19+E19+F19+G19+H19+I19</f>
        <v>0</v>
      </c>
      <c r="K19" s="3"/>
      <c r="L19" s="3">
        <f t="shared" si="1"/>
        <v>0</v>
      </c>
    </row>
    <row r="20" spans="1:12" x14ac:dyDescent="0.25">
      <c r="A20" s="3"/>
      <c r="B20" s="2"/>
      <c r="C20" s="2">
        <f>SUM(C5:C19)</f>
        <v>153000</v>
      </c>
      <c r="D20" s="3">
        <f>SUM(D5:D19)</f>
        <v>43450</v>
      </c>
      <c r="E20" s="2">
        <f t="shared" ref="E20:H20" si="2">SUM(E5:E19)</f>
        <v>14000</v>
      </c>
      <c r="F20" s="2">
        <f t="shared" si="2"/>
        <v>1000</v>
      </c>
      <c r="G20" s="2">
        <f t="shared" si="2"/>
        <v>11000</v>
      </c>
      <c r="H20" s="2">
        <f t="shared" si="2"/>
        <v>2500</v>
      </c>
      <c r="I20" s="2">
        <f>SUM(I5:I19)</f>
        <v>7950</v>
      </c>
      <c r="J20" s="3">
        <f>SUM(J5:J19)</f>
        <v>232900</v>
      </c>
      <c r="K20" s="2">
        <f>SUM(K5:K19)</f>
        <v>198700</v>
      </c>
      <c r="L20" s="3">
        <f>SUM(L5:L19)</f>
        <v>34200</v>
      </c>
    </row>
    <row r="21" spans="1:12" x14ac:dyDescent="0.25">
      <c r="B21" s="6"/>
      <c r="C21" s="6"/>
      <c r="D21" s="3">
        <f>'OCTOBER 20'!K21:K37</f>
        <v>8950</v>
      </c>
      <c r="E21" s="6"/>
      <c r="F21" s="6" t="s">
        <v>9</v>
      </c>
      <c r="G21" s="6"/>
      <c r="H21" s="6"/>
      <c r="I21" s="6"/>
      <c r="J21" s="3"/>
      <c r="K21" s="6"/>
      <c r="L21" s="29">
        <f>L20-D16-D10</f>
        <v>16700</v>
      </c>
    </row>
    <row r="22" spans="1:12" x14ac:dyDescent="0.25">
      <c r="C22" s="7"/>
      <c r="D22" s="8"/>
      <c r="E22" s="8"/>
      <c r="F22" s="28" t="s">
        <v>10</v>
      </c>
      <c r="G22" s="6"/>
      <c r="H22" s="6"/>
      <c r="I22" s="6"/>
      <c r="J22" s="22"/>
      <c r="K22" s="10"/>
      <c r="L22" s="9">
        <f>L5+L7+L8+L9+L11+L13</f>
        <v>16700</v>
      </c>
    </row>
    <row r="23" spans="1:12" x14ac:dyDescent="0.25">
      <c r="B23" s="1" t="s">
        <v>11</v>
      </c>
      <c r="C23" s="1"/>
      <c r="D23" s="1"/>
      <c r="E23" s="1"/>
      <c r="F23" s="11"/>
      <c r="G23" s="1" t="s">
        <v>12</v>
      </c>
      <c r="H23" s="12"/>
      <c r="I23" s="12"/>
      <c r="J23" s="12"/>
      <c r="K23" s="12"/>
    </row>
    <row r="24" spans="1:12" x14ac:dyDescent="0.25">
      <c r="B24" s="2" t="s">
        <v>13</v>
      </c>
      <c r="C24" s="2" t="s">
        <v>14</v>
      </c>
      <c r="D24" s="2" t="s">
        <v>15</v>
      </c>
      <c r="E24" s="2"/>
      <c r="F24" s="2" t="s">
        <v>16</v>
      </c>
      <c r="G24" s="2" t="s">
        <v>13</v>
      </c>
      <c r="H24" s="2" t="s">
        <v>14</v>
      </c>
      <c r="I24" s="2" t="s">
        <v>15</v>
      </c>
      <c r="J24" s="2" t="s">
        <v>16</v>
      </c>
      <c r="K24" s="2"/>
    </row>
    <row r="25" spans="1:12" x14ac:dyDescent="0.25">
      <c r="B25" s="13" t="s">
        <v>110</v>
      </c>
      <c r="C25" s="14">
        <f>C20</f>
        <v>153000</v>
      </c>
      <c r="D25" s="13"/>
      <c r="E25" s="13"/>
      <c r="F25" s="13"/>
      <c r="G25" s="13" t="s">
        <v>110</v>
      </c>
      <c r="H25" s="14">
        <f>K20</f>
        <v>198700</v>
      </c>
      <c r="I25" s="13"/>
      <c r="J25" s="13"/>
      <c r="K25" s="13"/>
    </row>
    <row r="26" spans="1:12" x14ac:dyDescent="0.25">
      <c r="B26" s="13" t="s">
        <v>3</v>
      </c>
      <c r="C26" s="14">
        <f>NOVEMBER20!D41</f>
        <v>0</v>
      </c>
      <c r="D26" s="13"/>
      <c r="E26" s="13"/>
      <c r="F26" s="13"/>
      <c r="G26" s="13" t="s">
        <v>3</v>
      </c>
      <c r="H26" s="14">
        <f>NOVEMBER20!I41</f>
        <v>-20900</v>
      </c>
      <c r="I26" s="13"/>
      <c r="J26" s="13"/>
      <c r="K26" s="13"/>
    </row>
    <row r="27" spans="1:12" x14ac:dyDescent="0.25">
      <c r="B27" s="13" t="s">
        <v>105</v>
      </c>
      <c r="C27" s="14"/>
      <c r="D27" s="13"/>
      <c r="E27" s="13"/>
      <c r="F27" s="13"/>
      <c r="G27" s="13"/>
      <c r="H27" s="14"/>
      <c r="I27" s="13"/>
      <c r="J27" s="13"/>
      <c r="K27" s="13"/>
    </row>
    <row r="28" spans="1:12" x14ac:dyDescent="0.25">
      <c r="B28" s="13" t="s">
        <v>27</v>
      </c>
      <c r="C28" s="14">
        <f>E20</f>
        <v>14000</v>
      </c>
      <c r="D28" s="13"/>
      <c r="E28" s="13"/>
      <c r="F28" s="13"/>
      <c r="G28" s="13"/>
      <c r="H28" s="14"/>
      <c r="I28" s="13"/>
      <c r="J28" s="13"/>
      <c r="K28" s="13"/>
    </row>
    <row r="29" spans="1:12" x14ac:dyDescent="0.25">
      <c r="B29" s="3" t="s">
        <v>31</v>
      </c>
      <c r="C29" s="3">
        <f>F20</f>
        <v>1000</v>
      </c>
      <c r="D29" s="3"/>
      <c r="E29" s="3"/>
      <c r="F29" s="3"/>
      <c r="G29" s="3"/>
      <c r="H29" s="3"/>
      <c r="I29" s="3"/>
      <c r="J29" s="3"/>
      <c r="K29" s="3"/>
    </row>
    <row r="30" spans="1:12" x14ac:dyDescent="0.25">
      <c r="B30" s="3" t="s">
        <v>37</v>
      </c>
      <c r="C30" s="3">
        <f>G20</f>
        <v>11000</v>
      </c>
      <c r="D30" s="3"/>
      <c r="E30" s="3"/>
      <c r="F30" s="3"/>
      <c r="G30" s="3"/>
      <c r="H30" s="3"/>
      <c r="I30" s="3"/>
      <c r="J30" s="3"/>
      <c r="K30" s="3"/>
    </row>
    <row r="31" spans="1:12" x14ac:dyDescent="0.25">
      <c r="B31" s="3" t="s">
        <v>43</v>
      </c>
      <c r="C31" s="3">
        <f>I20</f>
        <v>7950</v>
      </c>
      <c r="D31" s="3"/>
      <c r="E31" s="3"/>
      <c r="F31" s="3"/>
      <c r="G31" s="3"/>
      <c r="H31" s="3"/>
      <c r="I31" s="3"/>
      <c r="J31" s="3"/>
      <c r="K31" s="3"/>
    </row>
    <row r="32" spans="1:12" x14ac:dyDescent="0.25">
      <c r="B32" s="13" t="s">
        <v>18</v>
      </c>
      <c r="C32" s="16">
        <v>0.05</v>
      </c>
      <c r="D32" s="14">
        <f>C32*C25</f>
        <v>7650</v>
      </c>
      <c r="E32" s="14"/>
      <c r="F32" s="13"/>
      <c r="G32" s="13" t="s">
        <v>18</v>
      </c>
      <c r="H32" s="16">
        <v>0.05</v>
      </c>
      <c r="I32" s="14">
        <f>H32*C25</f>
        <v>7650</v>
      </c>
      <c r="J32" s="14"/>
      <c r="K32" s="14"/>
    </row>
    <row r="33" spans="2:12" x14ac:dyDescent="0.25">
      <c r="B33" s="27" t="s">
        <v>19</v>
      </c>
      <c r="C33" s="13" t="s">
        <v>9</v>
      </c>
      <c r="D33" s="13"/>
      <c r="E33" s="13"/>
      <c r="F33" s="13"/>
      <c r="G33" s="27" t="s">
        <v>19</v>
      </c>
      <c r="H33" s="14"/>
      <c r="I33" s="13"/>
      <c r="J33" s="13"/>
      <c r="K33" s="13"/>
    </row>
    <row r="34" spans="2:12" x14ac:dyDescent="0.25">
      <c r="B34" s="27"/>
      <c r="C34" s="13"/>
      <c r="D34" s="14"/>
      <c r="E34" s="13"/>
      <c r="F34" s="13"/>
      <c r="G34" s="24" t="s">
        <v>42</v>
      </c>
      <c r="H34" s="14"/>
      <c r="I34" s="13">
        <f>H20</f>
        <v>2500</v>
      </c>
      <c r="J34" s="13"/>
      <c r="K34" s="13"/>
    </row>
    <row r="35" spans="2:12" x14ac:dyDescent="0.25">
      <c r="B35" s="17" t="s">
        <v>37</v>
      </c>
      <c r="C35" s="3"/>
      <c r="D35" s="30">
        <v>9000</v>
      </c>
      <c r="E35" s="3"/>
      <c r="F35" s="3"/>
      <c r="G35" s="17" t="s">
        <v>37</v>
      </c>
      <c r="H35" s="3"/>
      <c r="I35" s="3">
        <v>9000</v>
      </c>
      <c r="J35" s="3"/>
      <c r="K35" s="3"/>
    </row>
    <row r="36" spans="2:12" x14ac:dyDescent="0.25">
      <c r="B36" s="18" t="s">
        <v>60</v>
      </c>
      <c r="C36" s="3"/>
      <c r="D36" s="30">
        <v>7000</v>
      </c>
      <c r="E36" s="3"/>
      <c r="F36" s="3"/>
      <c r="G36" s="18" t="s">
        <v>60</v>
      </c>
      <c r="H36" s="3"/>
      <c r="I36" s="3">
        <v>7000</v>
      </c>
      <c r="J36" s="3"/>
      <c r="K36" s="3"/>
    </row>
    <row r="37" spans="2:12" x14ac:dyDescent="0.25">
      <c r="B37" s="19" t="s">
        <v>61</v>
      </c>
      <c r="C37" s="13"/>
      <c r="D37" s="14">
        <v>450</v>
      </c>
      <c r="E37" s="13"/>
      <c r="F37" s="13"/>
      <c r="G37" s="19" t="s">
        <v>61</v>
      </c>
      <c r="H37" s="13"/>
      <c r="I37" s="14">
        <v>450</v>
      </c>
      <c r="J37" s="13"/>
      <c r="K37" s="13"/>
    </row>
    <row r="38" spans="2:12" x14ac:dyDescent="0.25">
      <c r="B38" s="19" t="s">
        <v>108</v>
      </c>
      <c r="C38" s="13"/>
      <c r="D38" s="14">
        <v>2541</v>
      </c>
      <c r="E38" s="13"/>
      <c r="F38" s="13"/>
      <c r="G38" s="19" t="s">
        <v>108</v>
      </c>
      <c r="H38" s="13"/>
      <c r="I38" s="14">
        <v>2541</v>
      </c>
      <c r="J38" s="13"/>
      <c r="K38" s="13"/>
    </row>
    <row r="39" spans="2:12" x14ac:dyDescent="0.25">
      <c r="B39" s="19" t="s">
        <v>112</v>
      </c>
      <c r="C39" s="13"/>
      <c r="D39" s="14">
        <v>160300</v>
      </c>
      <c r="E39" s="13"/>
      <c r="F39" s="13"/>
      <c r="G39" s="19" t="s">
        <v>112</v>
      </c>
      <c r="H39" s="13"/>
      <c r="I39" s="14">
        <v>160300</v>
      </c>
      <c r="J39" s="21"/>
      <c r="K39" s="21"/>
    </row>
    <row r="40" spans="2:12" x14ac:dyDescent="0.25">
      <c r="B40" s="20"/>
      <c r="C40" s="13"/>
      <c r="D40" s="14"/>
      <c r="E40" s="13"/>
      <c r="F40" s="13"/>
      <c r="G40" s="20"/>
      <c r="H40" s="13"/>
      <c r="I40" s="13"/>
      <c r="J40" s="21"/>
      <c r="K40" s="21"/>
    </row>
    <row r="41" spans="2:12" x14ac:dyDescent="0.25">
      <c r="B41" s="18"/>
      <c r="C41" s="30">
        <f>C25+C26+C27+C28+C29+C30+C31-D32</f>
        <v>179300</v>
      </c>
      <c r="D41" s="31">
        <f>SUM(D34:D40)</f>
        <v>179291</v>
      </c>
      <c r="E41" s="31">
        <f>C41-D41</f>
        <v>9</v>
      </c>
      <c r="F41" s="13"/>
      <c r="G41" s="18"/>
      <c r="H41" s="30">
        <f>H25+H26-I32</f>
        <v>170150</v>
      </c>
      <c r="I41" s="21">
        <f>SUM(I34:I40)</f>
        <v>181791</v>
      </c>
      <c r="J41" s="30">
        <f>H41-I41</f>
        <v>-11641</v>
      </c>
      <c r="K41" s="3"/>
      <c r="L41" s="15"/>
    </row>
    <row r="42" spans="2:12" x14ac:dyDescent="0.25">
      <c r="B42" t="s">
        <v>20</v>
      </c>
      <c r="D42" t="s">
        <v>21</v>
      </c>
      <c r="I42">
        <f>I41-I34</f>
        <v>179291</v>
      </c>
      <c r="J42" t="s">
        <v>22</v>
      </c>
      <c r="L42" s="1"/>
    </row>
    <row r="43" spans="2:12" x14ac:dyDescent="0.25">
      <c r="L43" s="1"/>
    </row>
    <row r="44" spans="2:12" x14ac:dyDescent="0.25">
      <c r="B44" t="s">
        <v>34</v>
      </c>
      <c r="D44" t="s">
        <v>23</v>
      </c>
      <c r="J44" t="s">
        <v>95</v>
      </c>
    </row>
    <row r="45" spans="2:12" x14ac:dyDescent="0.25">
      <c r="L45" s="15"/>
    </row>
  </sheetData>
  <pageMargins left="0" right="0" top="0" bottom="0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A7" workbookViewId="0">
      <selection activeCell="K5" sqref="K5"/>
    </sheetView>
  </sheetViews>
  <sheetFormatPr defaultRowHeight="15" x14ac:dyDescent="0.25"/>
  <cols>
    <col min="1" max="1" width="3.85546875" customWidth="1"/>
    <col min="2" max="2" width="19.5703125" customWidth="1"/>
    <col min="6" max="6" width="14.140625" customWidth="1"/>
  </cols>
  <sheetData>
    <row r="1" spans="1:12" x14ac:dyDescent="0.25">
      <c r="E1" s="1" t="s">
        <v>94</v>
      </c>
      <c r="F1" s="1"/>
      <c r="G1" s="1"/>
      <c r="H1" s="1"/>
      <c r="I1" s="1"/>
      <c r="J1" s="1"/>
      <c r="K1" s="1"/>
      <c r="L1" s="1"/>
    </row>
    <row r="2" spans="1:12" x14ac:dyDescent="0.25">
      <c r="B2" s="1"/>
      <c r="E2" s="1" t="s">
        <v>0</v>
      </c>
      <c r="F2" s="1"/>
      <c r="G2" s="1"/>
      <c r="H2" s="1"/>
      <c r="I2" s="1"/>
      <c r="J2" s="1"/>
      <c r="K2" s="1"/>
      <c r="L2" s="1"/>
    </row>
    <row r="3" spans="1:12" x14ac:dyDescent="0.25">
      <c r="B3" s="1"/>
      <c r="E3" s="1" t="s">
        <v>114</v>
      </c>
      <c r="F3" s="1"/>
      <c r="G3" s="1"/>
      <c r="H3" s="1"/>
      <c r="I3" s="1"/>
      <c r="J3" s="1"/>
      <c r="K3" s="1"/>
      <c r="L3" s="1"/>
    </row>
    <row r="4" spans="1:12" x14ac:dyDescent="0.25">
      <c r="A4" s="3"/>
      <c r="B4" s="2" t="s">
        <v>2</v>
      </c>
      <c r="C4" s="2" t="s">
        <v>51</v>
      </c>
      <c r="D4" s="2" t="s">
        <v>3</v>
      </c>
      <c r="E4" s="2" t="s">
        <v>27</v>
      </c>
      <c r="F4" s="2" t="s">
        <v>31</v>
      </c>
      <c r="G4" s="2" t="s">
        <v>50</v>
      </c>
      <c r="H4" s="2" t="s">
        <v>42</v>
      </c>
      <c r="I4" s="2" t="s">
        <v>43</v>
      </c>
      <c r="J4" s="2" t="s">
        <v>5</v>
      </c>
      <c r="K4" s="2" t="s">
        <v>6</v>
      </c>
      <c r="L4" s="2" t="s">
        <v>7</v>
      </c>
    </row>
    <row r="5" spans="1:12" x14ac:dyDescent="0.25">
      <c r="A5" s="3">
        <v>1</v>
      </c>
      <c r="B5" s="3" t="s">
        <v>82</v>
      </c>
      <c r="C5" s="3"/>
      <c r="D5" s="3">
        <f>'DECEMBER 20'!L5:L19</f>
        <v>7550</v>
      </c>
      <c r="E5" s="3"/>
      <c r="F5" s="3"/>
      <c r="G5" s="3"/>
      <c r="H5" s="3"/>
      <c r="I5" s="3"/>
      <c r="J5" s="3">
        <f>C5+C17+D5+E5+F5+G5+H5+I5+300+1000+14000</f>
        <v>22850</v>
      </c>
      <c r="K5" s="3"/>
      <c r="L5" s="3">
        <f>J5-K5</f>
        <v>22850</v>
      </c>
    </row>
    <row r="6" spans="1:12" x14ac:dyDescent="0.25">
      <c r="A6" s="3">
        <v>2</v>
      </c>
      <c r="B6" s="3" t="s">
        <v>39</v>
      </c>
      <c r="C6" s="3">
        <v>14000</v>
      </c>
      <c r="D6" s="3">
        <f>'DECEMBER 20'!L6:L20</f>
        <v>0</v>
      </c>
      <c r="E6" s="3"/>
      <c r="F6" s="3"/>
      <c r="G6" s="3">
        <v>1000</v>
      </c>
      <c r="H6" s="3">
        <v>250</v>
      </c>
      <c r="I6" s="3">
        <v>1500</v>
      </c>
      <c r="J6" s="3">
        <f t="shared" ref="J6:J17" si="0">C6+D6+E6+F6+G6+H6+I6</f>
        <v>16750</v>
      </c>
      <c r="K6" s="3">
        <f>15000+1750</f>
        <v>16750</v>
      </c>
      <c r="L6" s="3">
        <f>J6-K6</f>
        <v>0</v>
      </c>
    </row>
    <row r="7" spans="1:12" x14ac:dyDescent="0.25">
      <c r="A7" s="3">
        <v>3</v>
      </c>
      <c r="B7" s="3" t="s">
        <v>35</v>
      </c>
      <c r="C7" s="3">
        <v>14000</v>
      </c>
      <c r="D7" s="3">
        <f>'DECEMBER 20'!L7:L21</f>
        <v>500</v>
      </c>
      <c r="E7" s="3"/>
      <c r="F7" s="3"/>
      <c r="G7" s="3">
        <v>1000</v>
      </c>
      <c r="H7" s="3">
        <v>250</v>
      </c>
      <c r="I7" s="3">
        <v>1500</v>
      </c>
      <c r="J7" s="3">
        <f>C7+D7+E7+F7+G7+H7+I7</f>
        <v>17250</v>
      </c>
      <c r="K7" s="3">
        <v>17250</v>
      </c>
      <c r="L7" s="3">
        <f>J7-K7</f>
        <v>0</v>
      </c>
    </row>
    <row r="8" spans="1:12" x14ac:dyDescent="0.25">
      <c r="A8" s="3">
        <v>4</v>
      </c>
      <c r="B8" s="3" t="s">
        <v>48</v>
      </c>
      <c r="C8" s="3">
        <v>14000</v>
      </c>
      <c r="D8" s="3">
        <f>'DECEMBER 20'!L8:L22</f>
        <v>5000</v>
      </c>
      <c r="E8" s="3"/>
      <c r="F8" s="3"/>
      <c r="G8" s="3">
        <v>1000</v>
      </c>
      <c r="H8" s="3">
        <v>250</v>
      </c>
      <c r="I8" s="3">
        <v>750</v>
      </c>
      <c r="J8" s="3">
        <f t="shared" si="0"/>
        <v>21000</v>
      </c>
      <c r="K8" s="3">
        <f>5150+11000</f>
        <v>16150</v>
      </c>
      <c r="L8" s="3">
        <f t="shared" ref="L8:L19" si="1">J8-K8</f>
        <v>4850</v>
      </c>
    </row>
    <row r="9" spans="1:12" x14ac:dyDescent="0.25">
      <c r="A9" s="3">
        <v>5</v>
      </c>
      <c r="B9" s="3" t="s">
        <v>59</v>
      </c>
      <c r="C9" s="3">
        <v>9000</v>
      </c>
      <c r="D9" s="3">
        <f>'DECEMBER 20'!L9:L23</f>
        <v>1750</v>
      </c>
      <c r="E9" s="3"/>
      <c r="F9" s="3"/>
      <c r="G9" s="3">
        <v>1000</v>
      </c>
      <c r="H9" s="3">
        <v>250</v>
      </c>
      <c r="I9" s="3">
        <v>1050</v>
      </c>
      <c r="J9" s="3">
        <f>C9+D9+E9+F9+G9+H9+I9</f>
        <v>13050</v>
      </c>
      <c r="K9" s="3">
        <v>13000</v>
      </c>
      <c r="L9" s="3">
        <f t="shared" si="1"/>
        <v>50</v>
      </c>
    </row>
    <row r="10" spans="1:12" x14ac:dyDescent="0.25">
      <c r="A10" s="3">
        <v>6</v>
      </c>
      <c r="B10" s="4" t="s">
        <v>111</v>
      </c>
      <c r="C10" s="3">
        <v>14000</v>
      </c>
      <c r="D10" s="3">
        <f>'DECEMBER 20'!L10:L24</f>
        <v>0</v>
      </c>
      <c r="E10" s="3"/>
      <c r="F10" s="3"/>
      <c r="G10" s="3">
        <v>1000</v>
      </c>
      <c r="H10" s="3">
        <v>250</v>
      </c>
      <c r="I10" s="3">
        <v>1650</v>
      </c>
      <c r="J10" s="3">
        <f t="shared" si="0"/>
        <v>16900</v>
      </c>
      <c r="K10" s="3">
        <f>11000</f>
        <v>11000</v>
      </c>
      <c r="L10" s="3">
        <f>J10-K10</f>
        <v>5900</v>
      </c>
    </row>
    <row r="11" spans="1:12" x14ac:dyDescent="0.25">
      <c r="A11" s="3">
        <v>7</v>
      </c>
      <c r="B11" s="3" t="s">
        <v>32</v>
      </c>
      <c r="C11" s="3">
        <v>14000</v>
      </c>
      <c r="D11" s="3">
        <f>'DECEMBER 20'!L11:L25</f>
        <v>900</v>
      </c>
      <c r="E11" s="3"/>
      <c r="F11" s="3"/>
      <c r="G11" s="3">
        <v>1000</v>
      </c>
      <c r="H11" s="3">
        <v>250</v>
      </c>
      <c r="I11" s="3">
        <v>900</v>
      </c>
      <c r="J11" s="3">
        <f t="shared" si="0"/>
        <v>17050</v>
      </c>
      <c r="K11" s="3">
        <f>16150</f>
        <v>16150</v>
      </c>
      <c r="L11" s="3">
        <f t="shared" si="1"/>
        <v>900</v>
      </c>
    </row>
    <row r="12" spans="1:12" x14ac:dyDescent="0.25">
      <c r="A12" s="3">
        <v>8</v>
      </c>
      <c r="B12" s="3" t="s">
        <v>30</v>
      </c>
      <c r="C12" s="3">
        <v>14000</v>
      </c>
      <c r="D12" s="3">
        <f>'DECEMBER 20'!L12:L26</f>
        <v>0</v>
      </c>
      <c r="E12" s="3"/>
      <c r="F12" s="3"/>
      <c r="G12" s="3">
        <v>1000</v>
      </c>
      <c r="H12" s="3">
        <v>250</v>
      </c>
      <c r="I12" s="3">
        <v>900</v>
      </c>
      <c r="J12" s="3">
        <f t="shared" si="0"/>
        <v>16150</v>
      </c>
      <c r="K12" s="3">
        <f>16150</f>
        <v>16150</v>
      </c>
      <c r="L12" s="3">
        <f t="shared" si="1"/>
        <v>0</v>
      </c>
    </row>
    <row r="13" spans="1:12" x14ac:dyDescent="0.25">
      <c r="A13" s="3">
        <v>9</v>
      </c>
      <c r="B13" s="3" t="s">
        <v>40</v>
      </c>
      <c r="C13" s="3">
        <v>14000</v>
      </c>
      <c r="D13" s="3">
        <f>'DECEMBER 20'!L13:L27</f>
        <v>1000</v>
      </c>
      <c r="E13" s="3"/>
      <c r="F13" s="3"/>
      <c r="G13" s="3">
        <v>1000</v>
      </c>
      <c r="H13" s="3">
        <v>250</v>
      </c>
      <c r="I13" s="3">
        <v>450</v>
      </c>
      <c r="J13" s="3">
        <f t="shared" si="0"/>
        <v>16700</v>
      </c>
      <c r="K13" s="3">
        <f>16700</f>
        <v>16700</v>
      </c>
      <c r="L13" s="3">
        <f t="shared" si="1"/>
        <v>0</v>
      </c>
    </row>
    <row r="14" spans="1:12" x14ac:dyDescent="0.25">
      <c r="A14" s="3">
        <v>10</v>
      </c>
      <c r="B14" s="3" t="s">
        <v>99</v>
      </c>
      <c r="C14" s="3">
        <v>9000</v>
      </c>
      <c r="D14" s="3">
        <f>'DECEMBER 20'!L14:L28</f>
        <v>0</v>
      </c>
      <c r="E14" s="3"/>
      <c r="F14" s="3"/>
      <c r="G14" s="3">
        <v>1000</v>
      </c>
      <c r="H14" s="3">
        <v>250</v>
      </c>
      <c r="I14" s="3">
        <v>450</v>
      </c>
      <c r="J14" s="3">
        <f t="shared" si="0"/>
        <v>10700</v>
      </c>
      <c r="K14" s="3">
        <v>10700</v>
      </c>
      <c r="L14" s="3">
        <f t="shared" si="1"/>
        <v>0</v>
      </c>
    </row>
    <row r="15" spans="1:12" x14ac:dyDescent="0.25">
      <c r="A15" s="3">
        <v>11</v>
      </c>
      <c r="B15" s="3"/>
      <c r="C15" s="3"/>
      <c r="D15" s="3"/>
      <c r="E15" s="3"/>
      <c r="F15" s="3"/>
      <c r="G15" s="3"/>
      <c r="H15" s="3"/>
      <c r="I15" s="3"/>
      <c r="J15" s="3">
        <f>C15+D15+E15+F15+G15+H15+I15</f>
        <v>0</v>
      </c>
      <c r="K15" s="3"/>
      <c r="L15" s="3">
        <f t="shared" si="1"/>
        <v>0</v>
      </c>
    </row>
    <row r="16" spans="1:12" x14ac:dyDescent="0.25">
      <c r="A16" s="3">
        <v>12</v>
      </c>
      <c r="B16" s="3" t="s">
        <v>36</v>
      </c>
      <c r="C16" s="3">
        <v>22000</v>
      </c>
      <c r="D16" s="3">
        <f>'DECEMBER 20'!L16:L30</f>
        <v>17500</v>
      </c>
      <c r="E16" s="3"/>
      <c r="F16" s="3"/>
      <c r="G16" s="3">
        <v>1000</v>
      </c>
      <c r="H16" s="3"/>
      <c r="I16" s="3"/>
      <c r="J16" s="3">
        <f>C16+D16+E16+F16+G16+H16+I16</f>
        <v>40500</v>
      </c>
      <c r="K16" s="3">
        <f>23000</f>
        <v>23000</v>
      </c>
      <c r="L16" s="3">
        <f>J16-K16</f>
        <v>17500</v>
      </c>
    </row>
    <row r="17" spans="1:12" x14ac:dyDescent="0.25">
      <c r="A17" s="3">
        <v>13</v>
      </c>
      <c r="B17" s="3" t="s">
        <v>74</v>
      </c>
      <c r="C17" s="3"/>
      <c r="D17" s="3">
        <f>'DECEMBER 20'!L17:L31</f>
        <v>0</v>
      </c>
      <c r="E17" s="3"/>
      <c r="F17" s="3"/>
      <c r="G17" s="3"/>
      <c r="H17" s="3"/>
      <c r="I17" s="3">
        <v>1050</v>
      </c>
      <c r="J17" s="3">
        <f t="shared" si="0"/>
        <v>1050</v>
      </c>
      <c r="K17" s="3">
        <v>1050</v>
      </c>
      <c r="L17" s="3">
        <f>J17-K17</f>
        <v>0</v>
      </c>
    </row>
    <row r="18" spans="1:12" x14ac:dyDescent="0.25">
      <c r="A18" s="3"/>
      <c r="B18" s="3"/>
      <c r="C18" s="3"/>
      <c r="D18" s="3">
        <f>'DECEMBER 20'!L18:L32</f>
        <v>0</v>
      </c>
      <c r="E18" s="3"/>
      <c r="F18" s="3"/>
      <c r="G18" s="3"/>
      <c r="H18" s="3"/>
      <c r="I18" s="3"/>
      <c r="J18" s="3">
        <f>C18+D18+E18+F18+G18+H18+I18</f>
        <v>0</v>
      </c>
      <c r="K18" s="3"/>
      <c r="L18" s="3">
        <f t="shared" si="1"/>
        <v>0</v>
      </c>
    </row>
    <row r="19" spans="1:12" x14ac:dyDescent="0.25">
      <c r="A19" s="3"/>
      <c r="B19" s="3"/>
      <c r="C19" s="3"/>
      <c r="D19" s="3">
        <f>'DECEMBER 20'!L19:L33</f>
        <v>0</v>
      </c>
      <c r="E19" s="3"/>
      <c r="F19" s="3"/>
      <c r="G19" s="3"/>
      <c r="H19" s="3"/>
      <c r="I19" s="3"/>
      <c r="J19" s="3">
        <f>C19+D19+E19+F19+G19+H19+I19</f>
        <v>0</v>
      </c>
      <c r="K19" s="3"/>
      <c r="L19" s="3">
        <f t="shared" si="1"/>
        <v>0</v>
      </c>
    </row>
    <row r="20" spans="1:12" x14ac:dyDescent="0.25">
      <c r="A20" s="3"/>
      <c r="B20" s="2"/>
      <c r="C20" s="2">
        <f>SUM(C5:C19)</f>
        <v>138000</v>
      </c>
      <c r="D20" s="3">
        <f>SUM(D5:D19)</f>
        <v>34200</v>
      </c>
      <c r="E20" s="2">
        <f t="shared" ref="E20:H20" si="2">SUM(E5:E19)</f>
        <v>0</v>
      </c>
      <c r="F20" s="2">
        <f t="shared" si="2"/>
        <v>0</v>
      </c>
      <c r="G20" s="2">
        <f t="shared" si="2"/>
        <v>10000</v>
      </c>
      <c r="H20" s="2">
        <f t="shared" si="2"/>
        <v>2250</v>
      </c>
      <c r="I20" s="2">
        <f>SUM(I5:I19)</f>
        <v>10200</v>
      </c>
      <c r="J20" s="3">
        <f>SUM(J5:J19)</f>
        <v>209950</v>
      </c>
      <c r="K20" s="2">
        <f>SUM(K5:K19)</f>
        <v>157900</v>
      </c>
      <c r="L20" s="3">
        <f>SUM(L5:L19)</f>
        <v>52050</v>
      </c>
    </row>
    <row r="21" spans="1:12" x14ac:dyDescent="0.25">
      <c r="B21" s="6"/>
      <c r="C21" s="6"/>
      <c r="D21" s="3">
        <f>'OCTOBER 20'!K21:K37</f>
        <v>8950</v>
      </c>
      <c r="E21" s="6"/>
      <c r="F21" s="6" t="s">
        <v>9</v>
      </c>
      <c r="G21" s="6"/>
      <c r="H21" s="6"/>
      <c r="I21" s="6"/>
      <c r="J21" s="3"/>
      <c r="K21" s="6"/>
      <c r="L21" s="29">
        <f>L20-L16-L5+500+7550</f>
        <v>19750</v>
      </c>
    </row>
    <row r="22" spans="1:12" x14ac:dyDescent="0.25">
      <c r="C22" s="7"/>
      <c r="D22" s="8"/>
      <c r="E22" s="8"/>
      <c r="F22" s="28" t="s">
        <v>10</v>
      </c>
      <c r="G22" s="6"/>
      <c r="H22" s="6"/>
      <c r="I22" s="6"/>
      <c r="J22" s="22"/>
      <c r="K22" s="10"/>
      <c r="L22" s="9"/>
    </row>
    <row r="23" spans="1:12" x14ac:dyDescent="0.25">
      <c r="B23" s="1" t="s">
        <v>11</v>
      </c>
      <c r="C23" s="1"/>
      <c r="D23" s="1"/>
      <c r="E23" s="1"/>
      <c r="F23" s="11"/>
      <c r="G23" s="1" t="s">
        <v>12</v>
      </c>
      <c r="H23" s="12"/>
      <c r="I23" s="12"/>
      <c r="J23" s="12"/>
      <c r="K23" s="12"/>
    </row>
    <row r="24" spans="1:12" x14ac:dyDescent="0.25">
      <c r="B24" s="2" t="s">
        <v>13</v>
      </c>
      <c r="C24" s="2" t="s">
        <v>14</v>
      </c>
      <c r="D24" s="2" t="s">
        <v>15</v>
      </c>
      <c r="E24" s="2"/>
      <c r="F24" s="2" t="s">
        <v>16</v>
      </c>
      <c r="G24" s="2" t="s">
        <v>13</v>
      </c>
      <c r="H24" s="2" t="s">
        <v>14</v>
      </c>
      <c r="I24" s="2" t="s">
        <v>15</v>
      </c>
      <c r="J24" s="2" t="s">
        <v>16</v>
      </c>
      <c r="K24" s="2"/>
    </row>
    <row r="25" spans="1:12" x14ac:dyDescent="0.25">
      <c r="B25" s="13" t="s">
        <v>113</v>
      </c>
      <c r="C25" s="14">
        <f>C20</f>
        <v>138000</v>
      </c>
      <c r="D25" s="13"/>
      <c r="E25" s="13"/>
      <c r="F25" s="13"/>
      <c r="G25" s="13" t="s">
        <v>113</v>
      </c>
      <c r="H25" s="14">
        <f>K20</f>
        <v>157900</v>
      </c>
      <c r="I25" s="13"/>
      <c r="J25" s="13"/>
      <c r="K25" s="13"/>
    </row>
    <row r="26" spans="1:12" x14ac:dyDescent="0.25">
      <c r="B26" s="13" t="s">
        <v>3</v>
      </c>
      <c r="C26" s="14">
        <f>'DECEMBER 20'!E41</f>
        <v>9</v>
      </c>
      <c r="D26" s="13"/>
      <c r="E26" s="13"/>
      <c r="F26" s="13"/>
      <c r="G26" s="13" t="s">
        <v>3</v>
      </c>
      <c r="H26" s="14">
        <f>'DECEMBER 20'!J41</f>
        <v>-11641</v>
      </c>
      <c r="I26" s="13"/>
      <c r="J26" s="13"/>
      <c r="K26" s="13"/>
    </row>
    <row r="27" spans="1:12" x14ac:dyDescent="0.25">
      <c r="B27" s="13" t="s">
        <v>105</v>
      </c>
      <c r="C27" s="14"/>
      <c r="D27" s="13"/>
      <c r="E27" s="13"/>
      <c r="F27" s="13"/>
      <c r="G27" s="13"/>
      <c r="H27" s="14"/>
      <c r="I27" s="13"/>
      <c r="J27" s="13"/>
      <c r="K27" s="13"/>
    </row>
    <row r="28" spans="1:12" x14ac:dyDescent="0.25">
      <c r="B28" s="13" t="s">
        <v>27</v>
      </c>
      <c r="C28" s="14">
        <f>E20</f>
        <v>0</v>
      </c>
      <c r="D28" s="13"/>
      <c r="E28" s="13"/>
      <c r="F28" s="13"/>
      <c r="G28" s="13"/>
      <c r="H28" s="14"/>
      <c r="I28" s="13"/>
      <c r="J28" s="13"/>
      <c r="K28" s="13"/>
    </row>
    <row r="29" spans="1:12" x14ac:dyDescent="0.25">
      <c r="B29" s="3" t="s">
        <v>31</v>
      </c>
      <c r="C29" s="3">
        <f>F20</f>
        <v>0</v>
      </c>
      <c r="D29" s="3"/>
      <c r="E29" s="3"/>
      <c r="F29" s="3"/>
      <c r="G29" s="3"/>
      <c r="H29" s="3"/>
      <c r="I29" s="3"/>
      <c r="J29" s="3"/>
      <c r="K29" s="3"/>
    </row>
    <row r="30" spans="1:12" x14ac:dyDescent="0.25">
      <c r="B30" s="3" t="s">
        <v>37</v>
      </c>
      <c r="C30" s="3">
        <f>G20</f>
        <v>10000</v>
      </c>
      <c r="D30" s="3"/>
      <c r="E30" s="3"/>
      <c r="F30" s="3"/>
      <c r="G30" s="3"/>
      <c r="H30" s="3"/>
      <c r="I30" s="3"/>
      <c r="J30" s="3"/>
      <c r="K30" s="3"/>
    </row>
    <row r="31" spans="1:12" x14ac:dyDescent="0.25">
      <c r="B31" s="3" t="s">
        <v>43</v>
      </c>
      <c r="C31" s="3">
        <f>I20</f>
        <v>10200</v>
      </c>
      <c r="D31" s="3"/>
      <c r="E31" s="3"/>
      <c r="F31" s="3"/>
      <c r="G31" s="3"/>
      <c r="H31" s="3"/>
      <c r="I31" s="3"/>
      <c r="J31" s="3"/>
      <c r="K31" s="3"/>
    </row>
    <row r="32" spans="1:12" x14ac:dyDescent="0.25">
      <c r="B32" s="13" t="s">
        <v>18</v>
      </c>
      <c r="C32" s="16">
        <v>0.05</v>
      </c>
      <c r="D32" s="14">
        <f>C32*C25</f>
        <v>6900</v>
      </c>
      <c r="E32" s="14"/>
      <c r="F32" s="13"/>
      <c r="G32" s="13" t="s">
        <v>18</v>
      </c>
      <c r="H32" s="16">
        <v>0.05</v>
      </c>
      <c r="I32" s="14">
        <f>H32*C25</f>
        <v>6900</v>
      </c>
      <c r="J32" s="14"/>
      <c r="K32" s="14"/>
    </row>
    <row r="33" spans="2:12" x14ac:dyDescent="0.25">
      <c r="B33" s="27" t="s">
        <v>19</v>
      </c>
      <c r="C33" s="13" t="s">
        <v>9</v>
      </c>
      <c r="D33" s="13"/>
      <c r="E33" s="13"/>
      <c r="F33" s="13"/>
      <c r="G33" s="27" t="s">
        <v>19</v>
      </c>
      <c r="H33" s="14"/>
      <c r="I33" s="13"/>
      <c r="J33" s="13"/>
      <c r="K33" s="13"/>
    </row>
    <row r="34" spans="2:12" x14ac:dyDescent="0.25">
      <c r="B34" s="27"/>
      <c r="C34" s="13"/>
      <c r="D34" s="14"/>
      <c r="E34" s="13"/>
      <c r="F34" s="13"/>
      <c r="G34" s="24" t="s">
        <v>42</v>
      </c>
      <c r="H34" s="14"/>
      <c r="I34" s="13">
        <f>H20</f>
        <v>2250</v>
      </c>
      <c r="J34" s="13"/>
      <c r="K34" s="13"/>
    </row>
    <row r="35" spans="2:12" x14ac:dyDescent="0.25">
      <c r="B35" s="17" t="s">
        <v>37</v>
      </c>
      <c r="C35" s="3"/>
      <c r="D35" s="30">
        <v>9000</v>
      </c>
      <c r="E35" s="3"/>
      <c r="F35" s="3"/>
      <c r="G35" s="17" t="s">
        <v>37</v>
      </c>
      <c r="H35" s="3"/>
      <c r="I35" s="3">
        <v>9000</v>
      </c>
      <c r="J35" s="3"/>
      <c r="K35" s="3"/>
    </row>
    <row r="36" spans="2:12" x14ac:dyDescent="0.25">
      <c r="B36" s="18" t="s">
        <v>60</v>
      </c>
      <c r="C36" s="3"/>
      <c r="D36" s="30">
        <v>7000</v>
      </c>
      <c r="E36" s="3"/>
      <c r="F36" s="3"/>
      <c r="G36" s="18" t="s">
        <v>60</v>
      </c>
      <c r="H36" s="3"/>
      <c r="I36" s="3">
        <v>7000</v>
      </c>
      <c r="J36" s="3"/>
      <c r="K36" s="3"/>
    </row>
    <row r="37" spans="2:12" x14ac:dyDescent="0.25">
      <c r="B37" s="19" t="s">
        <v>61</v>
      </c>
      <c r="C37" s="13"/>
      <c r="D37" s="14">
        <v>450</v>
      </c>
      <c r="E37" s="13"/>
      <c r="F37" s="13"/>
      <c r="G37" s="19" t="s">
        <v>61</v>
      </c>
      <c r="H37" s="13"/>
      <c r="I37" s="14">
        <v>450</v>
      </c>
      <c r="J37" s="13"/>
      <c r="K37" s="13"/>
    </row>
    <row r="38" spans="2:12" x14ac:dyDescent="0.25">
      <c r="B38" s="19" t="s">
        <v>115</v>
      </c>
      <c r="C38" s="13"/>
      <c r="D38" s="14">
        <v>134850</v>
      </c>
      <c r="E38" s="13"/>
      <c r="F38" s="13"/>
      <c r="G38" s="19" t="s">
        <v>115</v>
      </c>
      <c r="H38" s="13"/>
      <c r="I38" s="14">
        <v>134850</v>
      </c>
      <c r="J38" s="13"/>
      <c r="K38" s="13"/>
    </row>
    <row r="39" spans="2:12" x14ac:dyDescent="0.25">
      <c r="B39" s="19"/>
      <c r="C39" s="13"/>
      <c r="D39" s="14"/>
      <c r="E39" s="13"/>
      <c r="F39" s="13"/>
      <c r="G39" s="19"/>
      <c r="H39" s="13"/>
      <c r="I39" s="14"/>
      <c r="J39" s="21"/>
      <c r="K39" s="21"/>
    </row>
    <row r="40" spans="2:12" x14ac:dyDescent="0.25">
      <c r="B40" s="20"/>
      <c r="C40" s="13"/>
      <c r="D40" s="14"/>
      <c r="E40" s="13"/>
      <c r="F40" s="13"/>
      <c r="G40" s="20"/>
      <c r="H40" s="13"/>
      <c r="I40" s="13"/>
      <c r="J40" s="21"/>
      <c r="K40" s="21"/>
    </row>
    <row r="41" spans="2:12" x14ac:dyDescent="0.25">
      <c r="B41" s="18"/>
      <c r="C41" s="30">
        <f>C25+C26+C27+C28+C29+C30+C31-D32</f>
        <v>151309</v>
      </c>
      <c r="D41" s="31">
        <f>SUM(D34:D40)</f>
        <v>151300</v>
      </c>
      <c r="E41" s="31">
        <f>C41-D41</f>
        <v>9</v>
      </c>
      <c r="F41" s="13"/>
      <c r="G41" s="18"/>
      <c r="H41" s="30">
        <f>H25+H26-I32</f>
        <v>139359</v>
      </c>
      <c r="I41" s="21">
        <f>SUM(I34:I40)</f>
        <v>153550</v>
      </c>
      <c r="J41" s="30">
        <f>H41-I41</f>
        <v>-14191</v>
      </c>
      <c r="K41" s="3"/>
      <c r="L41" s="15"/>
    </row>
    <row r="42" spans="2:12" x14ac:dyDescent="0.25">
      <c r="B42" t="s">
        <v>20</v>
      </c>
      <c r="D42" t="s">
        <v>21</v>
      </c>
      <c r="J42" t="s">
        <v>22</v>
      </c>
      <c r="L42" s="1"/>
    </row>
    <row r="43" spans="2:12" x14ac:dyDescent="0.25">
      <c r="L43" s="1"/>
    </row>
    <row r="44" spans="2:12" x14ac:dyDescent="0.25">
      <c r="B44" t="s">
        <v>34</v>
      </c>
      <c r="D44" t="s">
        <v>23</v>
      </c>
      <c r="J44" t="s">
        <v>95</v>
      </c>
    </row>
    <row r="45" spans="2:12" x14ac:dyDescent="0.25">
      <c r="L45" s="1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K6" sqref="K6"/>
    </sheetView>
  </sheetViews>
  <sheetFormatPr defaultRowHeight="15" x14ac:dyDescent="0.25"/>
  <cols>
    <col min="1" max="1" width="3" bestFit="1" customWidth="1"/>
    <col min="2" max="2" width="17.42578125" customWidth="1"/>
    <col min="3" max="3" width="7.5703125" customWidth="1"/>
    <col min="4" max="4" width="7.42578125" customWidth="1"/>
    <col min="5" max="5" width="7.85546875" customWidth="1"/>
    <col min="6" max="6" width="8" customWidth="1"/>
    <col min="11" max="11" width="7.85546875" customWidth="1"/>
    <col min="12" max="12" width="8.7109375" customWidth="1"/>
  </cols>
  <sheetData>
    <row r="1" spans="1:12" x14ac:dyDescent="0.25">
      <c r="E1" s="1" t="s">
        <v>94</v>
      </c>
      <c r="F1" s="1"/>
      <c r="G1" s="1"/>
      <c r="H1" s="1"/>
      <c r="I1" s="1"/>
      <c r="J1" s="1"/>
      <c r="K1" s="1"/>
      <c r="L1" s="1"/>
    </row>
    <row r="2" spans="1:12" x14ac:dyDescent="0.25">
      <c r="E2" s="1" t="s">
        <v>0</v>
      </c>
      <c r="F2" s="1"/>
      <c r="G2" s="1"/>
      <c r="H2" s="1"/>
      <c r="I2" s="1"/>
      <c r="J2" s="1"/>
      <c r="K2" s="1"/>
      <c r="L2" s="1"/>
    </row>
    <row r="3" spans="1:12" x14ac:dyDescent="0.25">
      <c r="B3" s="1"/>
      <c r="E3" s="1" t="s">
        <v>116</v>
      </c>
      <c r="F3" s="1"/>
      <c r="G3" s="1"/>
      <c r="H3" s="1"/>
      <c r="I3" s="1"/>
      <c r="J3" s="1"/>
      <c r="K3" s="1"/>
      <c r="L3" s="1"/>
    </row>
    <row r="4" spans="1:12" x14ac:dyDescent="0.25">
      <c r="A4" s="3"/>
      <c r="B4" s="2" t="s">
        <v>2</v>
      </c>
      <c r="C4" s="2" t="s">
        <v>51</v>
      </c>
      <c r="D4" s="2" t="s">
        <v>3</v>
      </c>
      <c r="E4" s="2" t="s">
        <v>27</v>
      </c>
      <c r="F4" s="2" t="s">
        <v>31</v>
      </c>
      <c r="G4" s="2" t="s">
        <v>50</v>
      </c>
      <c r="H4" s="2" t="s">
        <v>42</v>
      </c>
      <c r="I4" s="2" t="s">
        <v>43</v>
      </c>
      <c r="J4" s="2" t="s">
        <v>5</v>
      </c>
      <c r="K4" s="2" t="s">
        <v>6</v>
      </c>
      <c r="L4" s="2" t="s">
        <v>7</v>
      </c>
    </row>
    <row r="5" spans="1:12" x14ac:dyDescent="0.25">
      <c r="A5" s="3">
        <v>1</v>
      </c>
      <c r="B5" s="3" t="s">
        <v>82</v>
      </c>
      <c r="C5" s="3"/>
      <c r="D5" s="3">
        <f>'JANUARY 21'!L5:L20</f>
        <v>22850</v>
      </c>
      <c r="E5" s="3"/>
      <c r="F5" s="3"/>
      <c r="G5" s="3"/>
      <c r="H5" s="3"/>
      <c r="I5" s="3">
        <v>0</v>
      </c>
      <c r="J5" s="3">
        <f>C5+C17+D5+E5+F5+G5+H5+I5</f>
        <v>22850</v>
      </c>
      <c r="K5" s="3">
        <f>6000</f>
        <v>6000</v>
      </c>
      <c r="L5" s="3">
        <f>J5-K5</f>
        <v>16850</v>
      </c>
    </row>
    <row r="6" spans="1:12" x14ac:dyDescent="0.25">
      <c r="A6" s="3">
        <v>2</v>
      </c>
      <c r="B6" s="3" t="s">
        <v>39</v>
      </c>
      <c r="C6" s="3">
        <v>14000</v>
      </c>
      <c r="D6" s="3">
        <f>'JANUARY 21'!L6:L21</f>
        <v>0</v>
      </c>
      <c r="E6" s="3"/>
      <c r="F6" s="3"/>
      <c r="G6" s="3">
        <v>1000</v>
      </c>
      <c r="H6" s="3">
        <v>250</v>
      </c>
      <c r="I6" s="3">
        <v>1650</v>
      </c>
      <c r="J6" s="3">
        <f t="shared" ref="J6:J17" si="0">C6+D6+E6+F6+G6+H6+I6</f>
        <v>16900</v>
      </c>
      <c r="K6" s="3">
        <v>16900</v>
      </c>
      <c r="L6" s="3">
        <f>J6-K6</f>
        <v>0</v>
      </c>
    </row>
    <row r="7" spans="1:12" x14ac:dyDescent="0.25">
      <c r="A7" s="3">
        <v>3</v>
      </c>
      <c r="B7" s="3" t="s">
        <v>35</v>
      </c>
      <c r="C7" s="3">
        <v>14000</v>
      </c>
      <c r="D7" s="3">
        <f>'JANUARY 21'!L7:L22</f>
        <v>0</v>
      </c>
      <c r="E7" s="3"/>
      <c r="F7" s="3"/>
      <c r="G7" s="3">
        <v>1000</v>
      </c>
      <c r="H7" s="3">
        <v>250</v>
      </c>
      <c r="I7" s="3">
        <v>1650</v>
      </c>
      <c r="J7" s="3">
        <f>C7+D7+E7+F7+G7+H7+I7</f>
        <v>16900</v>
      </c>
      <c r="K7" s="3">
        <v>15050</v>
      </c>
      <c r="L7" s="3">
        <f>J7-K7</f>
        <v>1850</v>
      </c>
    </row>
    <row r="8" spans="1:12" x14ac:dyDescent="0.25">
      <c r="A8" s="3">
        <v>4</v>
      </c>
      <c r="B8" s="3" t="s">
        <v>48</v>
      </c>
      <c r="C8" s="3">
        <v>14000</v>
      </c>
      <c r="D8" s="3">
        <f>'JANUARY 21'!L8:L23</f>
        <v>4850</v>
      </c>
      <c r="E8" s="3"/>
      <c r="F8" s="3"/>
      <c r="G8" s="3">
        <v>1000</v>
      </c>
      <c r="H8" s="3">
        <v>250</v>
      </c>
      <c r="I8" s="3">
        <v>150</v>
      </c>
      <c r="J8" s="3">
        <f t="shared" si="0"/>
        <v>20250</v>
      </c>
      <c r="K8" s="3">
        <f>16550</f>
        <v>16550</v>
      </c>
      <c r="L8" s="3">
        <f t="shared" ref="L8:L19" si="1">J8-K8</f>
        <v>3700</v>
      </c>
    </row>
    <row r="9" spans="1:12" x14ac:dyDescent="0.25">
      <c r="A9" s="3">
        <v>5</v>
      </c>
      <c r="B9" s="3" t="s">
        <v>59</v>
      </c>
      <c r="C9" s="3">
        <v>9000</v>
      </c>
      <c r="D9" s="3">
        <f>'JANUARY 21'!L9:L24</f>
        <v>50</v>
      </c>
      <c r="E9" s="3"/>
      <c r="F9" s="3"/>
      <c r="G9" s="3">
        <v>1000</v>
      </c>
      <c r="H9" s="3">
        <v>250</v>
      </c>
      <c r="I9" s="3">
        <v>750</v>
      </c>
      <c r="J9" s="3">
        <f>C9+D9+E9+F9+G9+H9+I9</f>
        <v>11050</v>
      </c>
      <c r="K9" s="3">
        <v>11350</v>
      </c>
      <c r="L9" s="3">
        <f t="shared" si="1"/>
        <v>-300</v>
      </c>
    </row>
    <row r="10" spans="1:12" x14ac:dyDescent="0.25">
      <c r="A10" s="3">
        <v>6</v>
      </c>
      <c r="B10" s="4" t="s">
        <v>111</v>
      </c>
      <c r="C10" s="3">
        <v>14000</v>
      </c>
      <c r="D10" s="3">
        <f>'JANUARY 21'!L10:L25</f>
        <v>5900</v>
      </c>
      <c r="E10" s="3"/>
      <c r="F10" s="3"/>
      <c r="G10" s="3">
        <v>1000</v>
      </c>
      <c r="H10" s="3">
        <v>250</v>
      </c>
      <c r="I10" s="3">
        <v>1500</v>
      </c>
      <c r="J10" s="3">
        <f t="shared" si="0"/>
        <v>22650</v>
      </c>
      <c r="K10" s="3">
        <f>15000+6000</f>
        <v>21000</v>
      </c>
      <c r="L10" s="3">
        <f>J10-K10</f>
        <v>1650</v>
      </c>
    </row>
    <row r="11" spans="1:12" x14ac:dyDescent="0.25">
      <c r="A11" s="3">
        <v>7</v>
      </c>
      <c r="B11" s="3" t="s">
        <v>32</v>
      </c>
      <c r="C11" s="3">
        <v>14000</v>
      </c>
      <c r="D11" s="3">
        <f>'JANUARY 21'!L11:L26</f>
        <v>900</v>
      </c>
      <c r="E11" s="3"/>
      <c r="F11" s="3"/>
      <c r="G11" s="3">
        <v>1000</v>
      </c>
      <c r="H11" s="3">
        <v>250</v>
      </c>
      <c r="I11" s="3">
        <v>1350</v>
      </c>
      <c r="J11" s="3">
        <f t="shared" si="0"/>
        <v>17500</v>
      </c>
      <c r="K11" s="3">
        <f>16600</f>
        <v>16600</v>
      </c>
      <c r="L11" s="3">
        <f t="shared" si="1"/>
        <v>900</v>
      </c>
    </row>
    <row r="12" spans="1:12" x14ac:dyDescent="0.25">
      <c r="A12" s="3">
        <v>8</v>
      </c>
      <c r="B12" s="3" t="s">
        <v>30</v>
      </c>
      <c r="C12" s="3">
        <v>14000</v>
      </c>
      <c r="D12" s="3">
        <f>'JANUARY 21'!L12:L27</f>
        <v>0</v>
      </c>
      <c r="E12" s="3"/>
      <c r="F12" s="3"/>
      <c r="G12" s="3">
        <v>1000</v>
      </c>
      <c r="H12" s="3">
        <v>250</v>
      </c>
      <c r="I12" s="3">
        <v>1200</v>
      </c>
      <c r="J12" s="3">
        <f t="shared" si="0"/>
        <v>16450</v>
      </c>
      <c r="K12" s="3">
        <f>16450</f>
        <v>16450</v>
      </c>
      <c r="L12" s="3">
        <f t="shared" si="1"/>
        <v>0</v>
      </c>
    </row>
    <row r="13" spans="1:12" x14ac:dyDescent="0.25">
      <c r="A13" s="3">
        <v>9</v>
      </c>
      <c r="B13" s="3" t="s">
        <v>40</v>
      </c>
      <c r="C13" s="3">
        <v>14000</v>
      </c>
      <c r="D13" s="3">
        <f>'JANUARY 21'!L13:L28</f>
        <v>0</v>
      </c>
      <c r="E13" s="3"/>
      <c r="F13" s="3"/>
      <c r="G13" s="3">
        <v>1000</v>
      </c>
      <c r="H13" s="3">
        <v>250</v>
      </c>
      <c r="I13" s="3">
        <v>600</v>
      </c>
      <c r="J13" s="3">
        <f t="shared" si="0"/>
        <v>15850</v>
      </c>
      <c r="K13" s="3">
        <v>16000</v>
      </c>
      <c r="L13" s="3">
        <f t="shared" si="1"/>
        <v>-150</v>
      </c>
    </row>
    <row r="14" spans="1:12" x14ac:dyDescent="0.25">
      <c r="A14" s="3">
        <v>10</v>
      </c>
      <c r="B14" s="3" t="s">
        <v>99</v>
      </c>
      <c r="C14" s="3">
        <v>9000</v>
      </c>
      <c r="D14" s="3">
        <f>'JANUARY 21'!L14:L29</f>
        <v>0</v>
      </c>
      <c r="E14" s="3"/>
      <c r="F14" s="3"/>
      <c r="G14" s="3">
        <v>1000</v>
      </c>
      <c r="H14" s="3">
        <v>250</v>
      </c>
      <c r="I14" s="3">
        <v>450</v>
      </c>
      <c r="J14" s="3">
        <f t="shared" si="0"/>
        <v>10700</v>
      </c>
      <c r="K14" s="3">
        <v>10700</v>
      </c>
      <c r="L14" s="3">
        <f t="shared" si="1"/>
        <v>0</v>
      </c>
    </row>
    <row r="15" spans="1:12" x14ac:dyDescent="0.25">
      <c r="A15" s="3">
        <v>11</v>
      </c>
      <c r="B15" s="3" t="s">
        <v>117</v>
      </c>
      <c r="C15" s="3">
        <v>15000</v>
      </c>
      <c r="D15" s="3">
        <f>'JANUARY 21'!L15:L30</f>
        <v>0</v>
      </c>
      <c r="E15" s="3">
        <v>15000</v>
      </c>
      <c r="F15" s="3">
        <v>1000</v>
      </c>
      <c r="G15" s="3">
        <v>1000</v>
      </c>
      <c r="H15" s="3"/>
      <c r="I15" s="3"/>
      <c r="J15" s="3">
        <f>C15+D15+E15+F15+G15+H15+I15</f>
        <v>32000</v>
      </c>
      <c r="K15" s="3">
        <v>32000</v>
      </c>
      <c r="L15" s="3">
        <f t="shared" si="1"/>
        <v>0</v>
      </c>
    </row>
    <row r="16" spans="1:12" x14ac:dyDescent="0.25">
      <c r="A16" s="3">
        <v>12</v>
      </c>
      <c r="B16" s="3" t="s">
        <v>36</v>
      </c>
      <c r="C16" s="3">
        <v>22000</v>
      </c>
      <c r="D16" s="3">
        <f>'JANUARY 21'!L16:L31</f>
        <v>17500</v>
      </c>
      <c r="E16" s="3"/>
      <c r="F16" s="3"/>
      <c r="G16" s="3">
        <v>1000</v>
      </c>
      <c r="H16" s="3"/>
      <c r="I16" s="3"/>
      <c r="J16" s="3">
        <f>C16+D16+E16+F16+G16+H16+I16</f>
        <v>40500</v>
      </c>
      <c r="K16" s="3">
        <f>23000</f>
        <v>23000</v>
      </c>
      <c r="L16" s="3">
        <f>J16-K16</f>
        <v>17500</v>
      </c>
    </row>
    <row r="17" spans="1:12" x14ac:dyDescent="0.25">
      <c r="A17" s="3">
        <v>13</v>
      </c>
      <c r="B17" s="3" t="s">
        <v>74</v>
      </c>
      <c r="C17" s="3"/>
      <c r="D17" s="3">
        <f>'JANUARY 21'!L17:L32</f>
        <v>0</v>
      </c>
      <c r="E17" s="3"/>
      <c r="F17" s="3"/>
      <c r="G17" s="3"/>
      <c r="H17" s="3"/>
      <c r="I17" s="3">
        <v>1500</v>
      </c>
      <c r="J17" s="3">
        <f t="shared" si="0"/>
        <v>1500</v>
      </c>
      <c r="K17" s="3">
        <f>1500</f>
        <v>1500</v>
      </c>
      <c r="L17" s="3">
        <f>J17-K17</f>
        <v>0</v>
      </c>
    </row>
    <row r="18" spans="1:12" x14ac:dyDescent="0.25">
      <c r="A18" s="3"/>
      <c r="B18" s="3"/>
      <c r="C18" s="3"/>
      <c r="D18" s="3">
        <f>'JANUARY 21'!L18:L33</f>
        <v>0</v>
      </c>
      <c r="E18" s="3"/>
      <c r="F18" s="3"/>
      <c r="G18" s="3"/>
      <c r="H18" s="3"/>
      <c r="I18" s="3"/>
      <c r="J18" s="3">
        <f>C18+D18+E18+F18+G18+H18+I18</f>
        <v>0</v>
      </c>
      <c r="K18" s="3"/>
      <c r="L18" s="3">
        <f t="shared" si="1"/>
        <v>0</v>
      </c>
    </row>
    <row r="19" spans="1:12" x14ac:dyDescent="0.25">
      <c r="A19" s="3"/>
      <c r="B19" s="3"/>
      <c r="C19" s="3"/>
      <c r="D19" s="3">
        <f>'JANUARY 21'!L19:L34</f>
        <v>0</v>
      </c>
      <c r="E19" s="3"/>
      <c r="F19" s="3"/>
      <c r="G19" s="3"/>
      <c r="H19" s="3"/>
      <c r="I19" s="3"/>
      <c r="J19" s="3">
        <f>C19+D19+E19+F19+G19+H19+I19</f>
        <v>0</v>
      </c>
      <c r="K19" s="3"/>
      <c r="L19" s="3">
        <f t="shared" si="1"/>
        <v>0</v>
      </c>
    </row>
    <row r="20" spans="1:12" x14ac:dyDescent="0.25">
      <c r="A20" s="3"/>
      <c r="B20" s="2"/>
      <c r="C20" s="2">
        <f>SUM(C5:C19)</f>
        <v>153000</v>
      </c>
      <c r="D20" s="3">
        <f>'JANUARY 21'!L20:L35</f>
        <v>52050</v>
      </c>
      <c r="E20" s="2">
        <f t="shared" ref="E20:G20" si="2">SUM(E5:E19)</f>
        <v>15000</v>
      </c>
      <c r="F20" s="2">
        <f t="shared" si="2"/>
        <v>1000</v>
      </c>
      <c r="G20" s="2">
        <f t="shared" si="2"/>
        <v>11000</v>
      </c>
      <c r="H20" s="2">
        <f>SUM(H5:H19)</f>
        <v>2250</v>
      </c>
      <c r="I20" s="2">
        <f>SUM(I5:I19)</f>
        <v>10800</v>
      </c>
      <c r="J20" s="3">
        <f>SUM(J5:J19)</f>
        <v>245100</v>
      </c>
      <c r="K20" s="2">
        <f>SUM(K5:K19)</f>
        <v>203100</v>
      </c>
      <c r="L20" s="3">
        <f>SUM(L5:L19)</f>
        <v>42000</v>
      </c>
    </row>
    <row r="21" spans="1:12" x14ac:dyDescent="0.25">
      <c r="B21" s="6"/>
      <c r="C21" s="6"/>
      <c r="D21" s="3">
        <f>'JANUARY 21'!L21:L36</f>
        <v>19750</v>
      </c>
      <c r="E21" s="6"/>
      <c r="F21" s="6" t="s">
        <v>9</v>
      </c>
      <c r="G21" s="6"/>
      <c r="H21" s="6"/>
      <c r="I21" s="6"/>
      <c r="J21" s="3"/>
      <c r="K21" s="6"/>
      <c r="L21" s="29">
        <f>L7+L8+L10+L11+500+7550</f>
        <v>16150</v>
      </c>
    </row>
    <row r="22" spans="1:12" x14ac:dyDescent="0.25">
      <c r="C22" s="7"/>
      <c r="D22" s="8"/>
      <c r="E22" s="8"/>
      <c r="F22" s="28" t="s">
        <v>10</v>
      </c>
      <c r="G22" s="6"/>
      <c r="H22" s="6"/>
      <c r="I22" s="6"/>
      <c r="J22" s="22"/>
      <c r="K22" s="10"/>
      <c r="L22" s="9"/>
    </row>
    <row r="23" spans="1:12" x14ac:dyDescent="0.25">
      <c r="B23" s="1" t="s">
        <v>11</v>
      </c>
      <c r="C23" s="1"/>
      <c r="D23" s="1"/>
      <c r="E23" s="1"/>
      <c r="F23" s="11"/>
      <c r="G23" s="1" t="s">
        <v>12</v>
      </c>
      <c r="H23" s="12"/>
      <c r="I23" s="12"/>
      <c r="J23" s="12"/>
      <c r="K23" s="12"/>
    </row>
    <row r="24" spans="1:12" x14ac:dyDescent="0.25">
      <c r="B24" s="2" t="s">
        <v>13</v>
      </c>
      <c r="C24" s="2" t="s">
        <v>14</v>
      </c>
      <c r="D24" s="2" t="s">
        <v>15</v>
      </c>
      <c r="E24" s="2"/>
      <c r="F24" s="2" t="s">
        <v>16</v>
      </c>
      <c r="G24" s="2" t="s">
        <v>13</v>
      </c>
      <c r="H24" s="2" t="s">
        <v>14</v>
      </c>
      <c r="I24" s="2" t="s">
        <v>15</v>
      </c>
      <c r="J24" s="2" t="s">
        <v>16</v>
      </c>
      <c r="K24" s="2"/>
    </row>
    <row r="25" spans="1:12" x14ac:dyDescent="0.25">
      <c r="B25" s="13" t="s">
        <v>46</v>
      </c>
      <c r="C25" s="14">
        <f>C20</f>
        <v>153000</v>
      </c>
      <c r="D25" s="13"/>
      <c r="E25" s="13"/>
      <c r="F25" s="13"/>
      <c r="G25" s="13" t="s">
        <v>46</v>
      </c>
      <c r="H25" s="14">
        <f>K20</f>
        <v>203100</v>
      </c>
      <c r="I25" s="13"/>
      <c r="J25" s="13"/>
      <c r="K25" s="13"/>
    </row>
    <row r="26" spans="1:12" x14ac:dyDescent="0.25">
      <c r="B26" s="13" t="s">
        <v>3</v>
      </c>
      <c r="C26" s="14">
        <f>'JANUARY 21'!E41</f>
        <v>9</v>
      </c>
      <c r="D26" s="13"/>
      <c r="E26" s="13"/>
      <c r="F26" s="13"/>
      <c r="G26" s="13" t="s">
        <v>3</v>
      </c>
      <c r="H26" s="14">
        <f>'JANUARY 21'!J41</f>
        <v>-14191</v>
      </c>
      <c r="I26" s="13"/>
      <c r="J26" s="13"/>
      <c r="K26" s="13"/>
    </row>
    <row r="27" spans="1:12" x14ac:dyDescent="0.25">
      <c r="B27" s="13"/>
      <c r="C27" s="14"/>
      <c r="D27" s="13"/>
      <c r="E27" s="13"/>
      <c r="F27" s="13"/>
      <c r="G27" s="13"/>
      <c r="H27" s="14"/>
      <c r="I27" s="13"/>
      <c r="J27" s="13"/>
      <c r="K27" s="13"/>
    </row>
    <row r="28" spans="1:12" x14ac:dyDescent="0.25">
      <c r="B28" s="13" t="s">
        <v>27</v>
      </c>
      <c r="C28" s="14">
        <f>E20</f>
        <v>15000</v>
      </c>
      <c r="D28" s="13"/>
      <c r="E28" s="13"/>
      <c r="F28" s="13"/>
      <c r="G28" s="13"/>
      <c r="H28" s="14"/>
      <c r="I28" s="13"/>
      <c r="J28" s="13"/>
      <c r="K28" s="13"/>
    </row>
    <row r="29" spans="1:12" x14ac:dyDescent="0.25">
      <c r="B29" s="3" t="s">
        <v>31</v>
      </c>
      <c r="C29" s="3">
        <f>F20</f>
        <v>1000</v>
      </c>
      <c r="D29" s="3"/>
      <c r="E29" s="3"/>
      <c r="F29" s="3"/>
      <c r="G29" s="3"/>
      <c r="H29" s="3"/>
      <c r="I29" s="3"/>
      <c r="J29" s="3"/>
      <c r="K29" s="3"/>
    </row>
    <row r="30" spans="1:12" x14ac:dyDescent="0.25">
      <c r="B30" s="3" t="s">
        <v>37</v>
      </c>
      <c r="C30" s="3">
        <f>G20</f>
        <v>11000</v>
      </c>
      <c r="D30" s="3"/>
      <c r="E30" s="3"/>
      <c r="F30" s="3"/>
      <c r="G30" s="3"/>
      <c r="H30" s="3"/>
      <c r="I30" s="3"/>
      <c r="J30" s="3"/>
      <c r="K30" s="3"/>
    </row>
    <row r="31" spans="1:12" x14ac:dyDescent="0.25">
      <c r="B31" s="3" t="s">
        <v>43</v>
      </c>
      <c r="C31" s="3">
        <f>I20</f>
        <v>10800</v>
      </c>
      <c r="D31" s="3"/>
      <c r="E31" s="3"/>
      <c r="F31" s="3"/>
      <c r="G31" s="3"/>
      <c r="H31" s="3"/>
      <c r="I31" s="3"/>
      <c r="J31" s="3"/>
      <c r="K31" s="3"/>
    </row>
    <row r="32" spans="1:12" x14ac:dyDescent="0.25">
      <c r="B32" s="13" t="s">
        <v>18</v>
      </c>
      <c r="C32" s="16">
        <v>0.05</v>
      </c>
      <c r="D32" s="14">
        <f>C32*C25</f>
        <v>7650</v>
      </c>
      <c r="E32" s="14"/>
      <c r="F32" s="13"/>
      <c r="G32" s="13" t="s">
        <v>18</v>
      </c>
      <c r="H32" s="16">
        <v>0.05</v>
      </c>
      <c r="I32" s="14">
        <f>H32*C25</f>
        <v>7650</v>
      </c>
      <c r="J32" s="14"/>
      <c r="K32" s="14"/>
    </row>
    <row r="33" spans="2:12" x14ac:dyDescent="0.25">
      <c r="B33" s="27" t="s">
        <v>19</v>
      </c>
      <c r="C33" s="13" t="s">
        <v>9</v>
      </c>
      <c r="D33" s="13"/>
      <c r="E33" s="13"/>
      <c r="F33" s="13"/>
      <c r="G33" s="27" t="s">
        <v>19</v>
      </c>
      <c r="H33" s="14"/>
      <c r="I33" s="13"/>
      <c r="J33" s="13"/>
      <c r="K33" s="13"/>
    </row>
    <row r="34" spans="2:12" x14ac:dyDescent="0.25">
      <c r="B34" s="27"/>
      <c r="C34" s="13"/>
      <c r="D34" s="14"/>
      <c r="E34" s="13"/>
      <c r="F34" s="13"/>
      <c r="G34" s="24" t="s">
        <v>42</v>
      </c>
      <c r="H34" s="14"/>
      <c r="I34" s="13">
        <f>H20</f>
        <v>2250</v>
      </c>
      <c r="J34" s="13"/>
      <c r="K34" s="13"/>
    </row>
    <row r="35" spans="2:12" x14ac:dyDescent="0.25">
      <c r="B35" s="17" t="s">
        <v>37</v>
      </c>
      <c r="C35" s="3"/>
      <c r="D35" s="30">
        <v>9000</v>
      </c>
      <c r="E35" s="3"/>
      <c r="F35" s="3"/>
      <c r="G35" s="17" t="s">
        <v>37</v>
      </c>
      <c r="H35" s="3"/>
      <c r="I35" s="3">
        <v>9000</v>
      </c>
      <c r="J35" s="3"/>
      <c r="K35" s="3"/>
    </row>
    <row r="36" spans="2:12" x14ac:dyDescent="0.25">
      <c r="B36" s="18" t="s">
        <v>60</v>
      </c>
      <c r="C36" s="3"/>
      <c r="D36" s="30">
        <v>7000</v>
      </c>
      <c r="E36" s="3"/>
      <c r="F36" s="3"/>
      <c r="G36" s="18" t="s">
        <v>60</v>
      </c>
      <c r="H36" s="3"/>
      <c r="I36" s="3">
        <v>7000</v>
      </c>
      <c r="J36" s="3"/>
      <c r="K36" s="3"/>
    </row>
    <row r="37" spans="2:12" x14ac:dyDescent="0.25">
      <c r="B37" s="19" t="s">
        <v>61</v>
      </c>
      <c r="C37" s="13"/>
      <c r="D37" s="14">
        <v>450</v>
      </c>
      <c r="E37" s="13"/>
      <c r="F37" s="13"/>
      <c r="G37" s="19" t="s">
        <v>61</v>
      </c>
      <c r="H37" s="13"/>
      <c r="I37" s="14">
        <v>450</v>
      </c>
      <c r="J37" s="13"/>
      <c r="K37" s="13"/>
    </row>
    <row r="38" spans="2:12" x14ac:dyDescent="0.25">
      <c r="B38" s="19" t="s">
        <v>118</v>
      </c>
      <c r="C38" s="13"/>
      <c r="D38" s="14">
        <f>2028+611+2532</f>
        <v>5171</v>
      </c>
      <c r="E38" s="13"/>
      <c r="F38" s="13"/>
      <c r="G38" s="19" t="s">
        <v>118</v>
      </c>
      <c r="H38" s="13"/>
      <c r="I38" s="14">
        <f>2028+611+2532</f>
        <v>5171</v>
      </c>
      <c r="J38" s="13"/>
      <c r="K38" s="13"/>
    </row>
    <row r="39" spans="2:12" x14ac:dyDescent="0.25">
      <c r="B39" s="19" t="s">
        <v>61</v>
      </c>
      <c r="C39" s="13"/>
      <c r="D39" s="14">
        <v>450</v>
      </c>
      <c r="E39" s="13"/>
      <c r="F39" s="13"/>
      <c r="G39" s="19" t="s">
        <v>61</v>
      </c>
      <c r="H39" s="13"/>
      <c r="I39" s="14">
        <v>450</v>
      </c>
      <c r="J39" s="21"/>
      <c r="K39" s="21"/>
    </row>
    <row r="40" spans="2:12" x14ac:dyDescent="0.25">
      <c r="B40" s="19" t="s">
        <v>119</v>
      </c>
      <c r="C40" s="13"/>
      <c r="D40" s="14">
        <v>11097</v>
      </c>
      <c r="E40" s="13"/>
      <c r="F40" s="13"/>
      <c r="G40" s="19" t="s">
        <v>119</v>
      </c>
      <c r="H40" s="13"/>
      <c r="I40" s="14">
        <v>11097</v>
      </c>
      <c r="J40" s="21"/>
      <c r="K40" s="21"/>
    </row>
    <row r="41" spans="2:12" x14ac:dyDescent="0.25">
      <c r="B41" s="20" t="s">
        <v>120</v>
      </c>
      <c r="C41" s="13"/>
      <c r="D41" s="14">
        <v>149990</v>
      </c>
      <c r="E41" s="13"/>
      <c r="F41" s="13"/>
      <c r="G41" s="20" t="s">
        <v>120</v>
      </c>
      <c r="H41" s="13"/>
      <c r="I41" s="14">
        <v>149990</v>
      </c>
      <c r="J41" s="21"/>
      <c r="K41" s="21"/>
    </row>
    <row r="42" spans="2:12" x14ac:dyDescent="0.25">
      <c r="B42" s="18"/>
      <c r="C42" s="30">
        <f>C25+C26+C27+C28+C29+C30+C31-D32</f>
        <v>183159</v>
      </c>
      <c r="D42" s="31">
        <f>SUM(D34:D41)</f>
        <v>183158</v>
      </c>
      <c r="E42" s="31">
        <f>C42-D42</f>
        <v>1</v>
      </c>
      <c r="F42" s="13"/>
      <c r="G42" s="18"/>
      <c r="H42" s="30">
        <f>H25+H26-I32</f>
        <v>181259</v>
      </c>
      <c r="I42" s="21">
        <f>SUM(I34:I41)</f>
        <v>185408</v>
      </c>
      <c r="J42" s="30">
        <f>H42-I42</f>
        <v>-4149</v>
      </c>
      <c r="K42" s="3"/>
      <c r="L42" s="15"/>
    </row>
    <row r="43" spans="2:12" x14ac:dyDescent="0.25">
      <c r="B43" t="s">
        <v>20</v>
      </c>
      <c r="D43" t="s">
        <v>21</v>
      </c>
      <c r="I43">
        <f>I42-I34</f>
        <v>183158</v>
      </c>
      <c r="J43" t="s">
        <v>22</v>
      </c>
      <c r="L43" s="1"/>
    </row>
    <row r="44" spans="2:12" x14ac:dyDescent="0.25">
      <c r="L44" s="1"/>
    </row>
    <row r="45" spans="2:12" x14ac:dyDescent="0.25">
      <c r="B45" t="s">
        <v>34</v>
      </c>
      <c r="D45" t="s">
        <v>23</v>
      </c>
      <c r="J45" t="s">
        <v>95</v>
      </c>
      <c r="K45" s="15"/>
    </row>
    <row r="46" spans="2:12" x14ac:dyDescent="0.25">
      <c r="L46" s="15"/>
    </row>
  </sheetData>
  <pageMargins left="0" right="0" top="0" bottom="0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10" workbookViewId="0">
      <selection activeCell="P8" sqref="P8"/>
    </sheetView>
  </sheetViews>
  <sheetFormatPr defaultRowHeight="15" x14ac:dyDescent="0.25"/>
  <cols>
    <col min="1" max="1" width="6.5703125" customWidth="1"/>
    <col min="2" max="2" width="16.5703125" customWidth="1"/>
    <col min="4" max="5" width="7.28515625" customWidth="1"/>
    <col min="7" max="7" width="6.140625" customWidth="1"/>
    <col min="9" max="9" width="7.42578125" customWidth="1"/>
    <col min="12" max="12" width="7.28515625" customWidth="1"/>
  </cols>
  <sheetData>
    <row r="1" spans="1:12" x14ac:dyDescent="0.25">
      <c r="E1" s="1" t="s">
        <v>94</v>
      </c>
      <c r="F1" s="1"/>
      <c r="G1" s="1"/>
      <c r="H1" s="1"/>
      <c r="I1" s="1"/>
      <c r="J1" s="1"/>
      <c r="K1" s="1"/>
      <c r="L1" s="1"/>
    </row>
    <row r="2" spans="1:12" x14ac:dyDescent="0.25">
      <c r="E2" s="1" t="s">
        <v>0</v>
      </c>
      <c r="F2" s="1"/>
      <c r="G2" s="1"/>
      <c r="H2" s="1"/>
      <c r="I2" s="1"/>
      <c r="J2" s="1"/>
      <c r="K2" s="1"/>
      <c r="L2" s="1"/>
    </row>
    <row r="3" spans="1:12" x14ac:dyDescent="0.25">
      <c r="B3" s="1"/>
      <c r="E3" s="1" t="s">
        <v>121</v>
      </c>
      <c r="F3" s="1"/>
      <c r="G3" s="1"/>
      <c r="H3" s="1"/>
      <c r="I3" s="1"/>
      <c r="J3" s="1"/>
      <c r="K3" s="1"/>
      <c r="L3" s="1"/>
    </row>
    <row r="4" spans="1:12" x14ac:dyDescent="0.25">
      <c r="A4" s="3"/>
      <c r="B4" s="2" t="s">
        <v>2</v>
      </c>
      <c r="C4" s="2" t="s">
        <v>51</v>
      </c>
      <c r="D4" s="2" t="s">
        <v>3</v>
      </c>
      <c r="E4" s="2" t="s">
        <v>27</v>
      </c>
      <c r="F4" s="2" t="s">
        <v>31</v>
      </c>
      <c r="G4" s="2" t="s">
        <v>50</v>
      </c>
      <c r="H4" s="2" t="s">
        <v>42</v>
      </c>
      <c r="I4" s="2" t="s">
        <v>43</v>
      </c>
      <c r="J4" s="2" t="s">
        <v>5</v>
      </c>
      <c r="K4" s="2" t="s">
        <v>6</v>
      </c>
      <c r="L4" s="2" t="s">
        <v>7</v>
      </c>
    </row>
    <row r="5" spans="1:12" x14ac:dyDescent="0.25">
      <c r="A5" s="3">
        <v>1</v>
      </c>
      <c r="B5" s="3" t="s">
        <v>123</v>
      </c>
      <c r="C5" s="3">
        <v>14000</v>
      </c>
      <c r="D5" s="3"/>
      <c r="E5" s="3">
        <v>14000</v>
      </c>
      <c r="F5" s="3">
        <v>1000</v>
      </c>
      <c r="G5" s="3">
        <v>1000</v>
      </c>
      <c r="H5" s="3">
        <v>250</v>
      </c>
      <c r="I5" s="3">
        <v>0</v>
      </c>
      <c r="J5" s="3">
        <f>C5+C17+D5+E5+F5+G5+H5+I5</f>
        <v>30250</v>
      </c>
      <c r="K5" s="3">
        <v>30250</v>
      </c>
      <c r="L5" s="3">
        <f>J5-K5</f>
        <v>0</v>
      </c>
    </row>
    <row r="6" spans="1:12" x14ac:dyDescent="0.25">
      <c r="A6" s="3">
        <v>2</v>
      </c>
      <c r="B6" s="3" t="s">
        <v>39</v>
      </c>
      <c r="C6" s="3">
        <v>14000</v>
      </c>
      <c r="D6" s="3">
        <f>FEBRUARY21!L6:L20</f>
        <v>0</v>
      </c>
      <c r="E6" s="3"/>
      <c r="F6" s="3"/>
      <c r="G6" s="3">
        <v>1000</v>
      </c>
      <c r="H6" s="3">
        <v>250</v>
      </c>
      <c r="I6" s="3">
        <v>1050</v>
      </c>
      <c r="J6" s="3">
        <f t="shared" ref="J6:J17" si="0">C6+D6+E6+F6+G6+H6+I6</f>
        <v>16300</v>
      </c>
      <c r="K6" s="3">
        <f>16300</f>
        <v>16300</v>
      </c>
      <c r="L6" s="3">
        <f>J6-K6</f>
        <v>0</v>
      </c>
    </row>
    <row r="7" spans="1:12" x14ac:dyDescent="0.25">
      <c r="A7" s="3">
        <v>3</v>
      </c>
      <c r="B7" s="3" t="s">
        <v>35</v>
      </c>
      <c r="C7" s="3">
        <v>14000</v>
      </c>
      <c r="D7" s="3">
        <f>FEBRUARY21!L7:L21</f>
        <v>1850</v>
      </c>
      <c r="E7" s="3"/>
      <c r="F7" s="3"/>
      <c r="G7" s="3">
        <v>1000</v>
      </c>
      <c r="H7" s="3">
        <v>250</v>
      </c>
      <c r="I7" s="3">
        <v>1500</v>
      </c>
      <c r="J7" s="3">
        <f>C7+D7+E7+F7+G7+H7+I7</f>
        <v>18600</v>
      </c>
      <c r="K7" s="3">
        <f>16600</f>
        <v>16600</v>
      </c>
      <c r="L7" s="3">
        <f>J7-K7</f>
        <v>2000</v>
      </c>
    </row>
    <row r="8" spans="1:12" x14ac:dyDescent="0.25">
      <c r="A8" s="3">
        <v>4</v>
      </c>
      <c r="B8" s="3" t="s">
        <v>48</v>
      </c>
      <c r="C8" s="3">
        <v>14000</v>
      </c>
      <c r="D8" s="3">
        <f>FEBRUARY21!L8:L22</f>
        <v>3700</v>
      </c>
      <c r="E8" s="3"/>
      <c r="F8" s="3"/>
      <c r="G8" s="3">
        <v>1000</v>
      </c>
      <c r="H8" s="3">
        <v>250</v>
      </c>
      <c r="I8" s="3">
        <v>450</v>
      </c>
      <c r="J8" s="3">
        <f t="shared" si="0"/>
        <v>19400</v>
      </c>
      <c r="K8" s="3">
        <f>10000+9400</f>
        <v>19400</v>
      </c>
      <c r="L8" s="3">
        <f t="shared" ref="L8:L19" si="1">J8-K8</f>
        <v>0</v>
      </c>
    </row>
    <row r="9" spans="1:12" x14ac:dyDescent="0.25">
      <c r="A9" s="3">
        <v>5</v>
      </c>
      <c r="B9" s="3" t="s">
        <v>59</v>
      </c>
      <c r="C9" s="3">
        <v>9000</v>
      </c>
      <c r="D9" s="3">
        <f>FEBRUARY21!L9:L23</f>
        <v>-300</v>
      </c>
      <c r="E9" s="3"/>
      <c r="F9" s="3"/>
      <c r="G9" s="3">
        <v>1000</v>
      </c>
      <c r="H9" s="3">
        <v>250</v>
      </c>
      <c r="I9" s="3">
        <v>750</v>
      </c>
      <c r="J9" s="3">
        <f>C9+D9+E9+F9+G9+H9+I9</f>
        <v>10700</v>
      </c>
      <c r="K9" s="3">
        <v>10200</v>
      </c>
      <c r="L9" s="3">
        <f t="shared" si="1"/>
        <v>500</v>
      </c>
    </row>
    <row r="10" spans="1:12" x14ac:dyDescent="0.25">
      <c r="A10" s="3">
        <v>6</v>
      </c>
      <c r="B10" s="4" t="s">
        <v>111</v>
      </c>
      <c r="C10" s="3">
        <v>14000</v>
      </c>
      <c r="D10" s="3">
        <f>FEBRUARY21!L10:L24</f>
        <v>1650</v>
      </c>
      <c r="E10" s="3"/>
      <c r="F10" s="3"/>
      <c r="G10" s="3">
        <v>1000</v>
      </c>
      <c r="H10" s="3">
        <v>250</v>
      </c>
      <c r="I10" s="3">
        <v>1200</v>
      </c>
      <c r="J10" s="3">
        <f>C10+D10+E10+F10+G10+H10+I10</f>
        <v>18100</v>
      </c>
      <c r="K10" s="3">
        <v>15000</v>
      </c>
      <c r="L10" s="3">
        <f>J10-K10</f>
        <v>3100</v>
      </c>
    </row>
    <row r="11" spans="1:12" x14ac:dyDescent="0.25">
      <c r="A11" s="3">
        <v>7</v>
      </c>
      <c r="B11" s="3" t="s">
        <v>32</v>
      </c>
      <c r="C11" s="3">
        <v>14000</v>
      </c>
      <c r="D11" s="3">
        <f>FEBRUARY21!L11:L25</f>
        <v>900</v>
      </c>
      <c r="E11" s="3"/>
      <c r="F11" s="3"/>
      <c r="G11" s="3">
        <v>1000</v>
      </c>
      <c r="H11" s="3">
        <v>250</v>
      </c>
      <c r="I11" s="3">
        <v>900</v>
      </c>
      <c r="J11" s="3">
        <f t="shared" si="0"/>
        <v>17050</v>
      </c>
      <c r="K11" s="3">
        <v>16500</v>
      </c>
      <c r="L11" s="3">
        <f t="shared" si="1"/>
        <v>550</v>
      </c>
    </row>
    <row r="12" spans="1:12" x14ac:dyDescent="0.25">
      <c r="A12" s="3">
        <v>8</v>
      </c>
      <c r="B12" s="3" t="s">
        <v>30</v>
      </c>
      <c r="C12" s="3">
        <v>14000</v>
      </c>
      <c r="D12" s="3">
        <f>FEBRUARY21!L12:L26</f>
        <v>0</v>
      </c>
      <c r="E12" s="3"/>
      <c r="F12" s="3"/>
      <c r="G12" s="3">
        <v>1000</v>
      </c>
      <c r="H12" s="3">
        <v>250</v>
      </c>
      <c r="I12" s="3">
        <v>900</v>
      </c>
      <c r="J12" s="3">
        <f t="shared" si="0"/>
        <v>16150</v>
      </c>
      <c r="K12" s="3">
        <f>16150</f>
        <v>16150</v>
      </c>
      <c r="L12" s="3">
        <f t="shared" si="1"/>
        <v>0</v>
      </c>
    </row>
    <row r="13" spans="1:12" x14ac:dyDescent="0.25">
      <c r="A13" s="3">
        <v>9</v>
      </c>
      <c r="B13" s="3" t="s">
        <v>40</v>
      </c>
      <c r="C13" s="3">
        <v>14000</v>
      </c>
      <c r="D13" s="3">
        <f>FEBRUARY21!L13:L27</f>
        <v>-150</v>
      </c>
      <c r="E13" s="3"/>
      <c r="F13" s="3"/>
      <c r="G13" s="3">
        <v>1000</v>
      </c>
      <c r="H13" s="3">
        <v>250</v>
      </c>
      <c r="I13" s="3">
        <v>450</v>
      </c>
      <c r="J13" s="3">
        <f t="shared" si="0"/>
        <v>15550</v>
      </c>
      <c r="K13" s="3">
        <f>15550</f>
        <v>15550</v>
      </c>
      <c r="L13" s="3">
        <f t="shared" si="1"/>
        <v>0</v>
      </c>
    </row>
    <row r="14" spans="1:12" x14ac:dyDescent="0.25">
      <c r="A14" s="3">
        <v>10</v>
      </c>
      <c r="B14" s="3" t="s">
        <v>99</v>
      </c>
      <c r="C14" s="3">
        <v>9000</v>
      </c>
      <c r="D14" s="3">
        <f>FEBRUARY21!L14:L28</f>
        <v>0</v>
      </c>
      <c r="E14" s="3"/>
      <c r="F14" s="3"/>
      <c r="G14" s="3">
        <v>1000</v>
      </c>
      <c r="H14" s="3">
        <v>250</v>
      </c>
      <c r="I14" s="3">
        <v>300</v>
      </c>
      <c r="J14" s="3">
        <f t="shared" si="0"/>
        <v>10550</v>
      </c>
      <c r="K14" s="3">
        <f>10550</f>
        <v>10550</v>
      </c>
      <c r="L14" s="3">
        <f t="shared" si="1"/>
        <v>0</v>
      </c>
    </row>
    <row r="15" spans="1:12" x14ac:dyDescent="0.25">
      <c r="A15" s="3">
        <v>11</v>
      </c>
      <c r="B15" s="3" t="s">
        <v>125</v>
      </c>
      <c r="C15" s="3">
        <v>15000</v>
      </c>
      <c r="D15" s="3">
        <f>FEBRUARY21!L15:L29</f>
        <v>0</v>
      </c>
      <c r="E15" s="3"/>
      <c r="F15" s="3"/>
      <c r="G15" s="3">
        <v>1000</v>
      </c>
      <c r="H15" s="3"/>
      <c r="I15" s="3"/>
      <c r="J15" s="3">
        <f>C15+D15+E15+F15+G15+H15+I15</f>
        <v>16000</v>
      </c>
      <c r="K15" s="3">
        <f>15000</f>
        <v>15000</v>
      </c>
      <c r="L15" s="3">
        <f t="shared" si="1"/>
        <v>1000</v>
      </c>
    </row>
    <row r="16" spans="1:12" x14ac:dyDescent="0.25">
      <c r="A16" s="3">
        <v>12</v>
      </c>
      <c r="B16" s="3" t="s">
        <v>36</v>
      </c>
      <c r="C16" s="3">
        <v>22000</v>
      </c>
      <c r="D16" s="3">
        <f>FEBRUARY21!L16:L30</f>
        <v>17500</v>
      </c>
      <c r="E16" s="3"/>
      <c r="F16" s="3"/>
      <c r="G16" s="3">
        <v>1000</v>
      </c>
      <c r="H16" s="3"/>
      <c r="I16" s="3"/>
      <c r="J16" s="3">
        <f>C16+D16+E16+F16+G16+H16+I16</f>
        <v>40500</v>
      </c>
      <c r="K16" s="3">
        <f>23000</f>
        <v>23000</v>
      </c>
      <c r="L16" s="3">
        <f>J16-K16</f>
        <v>17500</v>
      </c>
    </row>
    <row r="17" spans="1:12" x14ac:dyDescent="0.25">
      <c r="A17" s="3">
        <v>13</v>
      </c>
      <c r="B17" s="3" t="s">
        <v>74</v>
      </c>
      <c r="C17" s="3"/>
      <c r="D17" s="3">
        <f>FEBRUARY21!L17:L31</f>
        <v>0</v>
      </c>
      <c r="E17" s="3"/>
      <c r="F17" s="3"/>
      <c r="G17" s="3"/>
      <c r="H17" s="3"/>
      <c r="I17" s="3">
        <v>1050</v>
      </c>
      <c r="J17" s="3">
        <f t="shared" si="0"/>
        <v>1050</v>
      </c>
      <c r="K17" s="3">
        <v>1050</v>
      </c>
      <c r="L17" s="3">
        <f>J17-K17</f>
        <v>0</v>
      </c>
    </row>
    <row r="18" spans="1:12" x14ac:dyDescent="0.25">
      <c r="A18" s="3"/>
      <c r="B18" s="3"/>
      <c r="C18" s="3"/>
      <c r="D18" s="3">
        <f>FEBRUARY21!L18:L32</f>
        <v>0</v>
      </c>
      <c r="E18" s="3"/>
      <c r="F18" s="3"/>
      <c r="G18" s="3"/>
      <c r="H18" s="3"/>
      <c r="I18" s="3"/>
      <c r="J18" s="3">
        <f>C18+D18+E18+F18+G18+H18+I18</f>
        <v>0</v>
      </c>
      <c r="K18" s="3"/>
      <c r="L18" s="3">
        <f t="shared" si="1"/>
        <v>0</v>
      </c>
    </row>
    <row r="19" spans="1:12" x14ac:dyDescent="0.25">
      <c r="A19" s="3"/>
      <c r="B19" s="3"/>
      <c r="C19" s="3"/>
      <c r="D19" s="3">
        <f>FEBRUARY21!L19:L33</f>
        <v>0</v>
      </c>
      <c r="E19" s="3"/>
      <c r="F19" s="3"/>
      <c r="G19" s="3"/>
      <c r="H19" s="3"/>
      <c r="I19" s="3"/>
      <c r="J19" s="3">
        <f>C19+D19+E19+F19+G19+H19+I19</f>
        <v>0</v>
      </c>
      <c r="K19" s="3"/>
      <c r="L19" s="3">
        <f t="shared" si="1"/>
        <v>0</v>
      </c>
    </row>
    <row r="20" spans="1:12" x14ac:dyDescent="0.25">
      <c r="A20" s="3"/>
      <c r="B20" s="2"/>
      <c r="C20" s="2">
        <f>SUM(C5:C19)</f>
        <v>167000</v>
      </c>
      <c r="D20" s="3">
        <f>SUM(D5:D19)</f>
        <v>25150</v>
      </c>
      <c r="E20" s="2">
        <f t="shared" ref="E20:G20" si="2">SUM(E5:E19)</f>
        <v>14000</v>
      </c>
      <c r="F20" s="2">
        <f t="shared" si="2"/>
        <v>1000</v>
      </c>
      <c r="G20" s="2">
        <f t="shared" si="2"/>
        <v>12000</v>
      </c>
      <c r="H20" s="2">
        <f>SUM(H5:H19)</f>
        <v>2500</v>
      </c>
      <c r="I20" s="2">
        <f>SUM(I5:I19)</f>
        <v>8550</v>
      </c>
      <c r="J20" s="3">
        <f>SUM(J5:J19)</f>
        <v>230200</v>
      </c>
      <c r="K20" s="2">
        <f>SUM(K5:K19)</f>
        <v>205550</v>
      </c>
      <c r="L20" s="3">
        <f>SUM(L5:L19)</f>
        <v>24650</v>
      </c>
    </row>
    <row r="21" spans="1:12" x14ac:dyDescent="0.25">
      <c r="B21" s="6"/>
      <c r="C21" s="6"/>
      <c r="D21" s="3">
        <f>'JANUARY 21'!L21:L36</f>
        <v>19750</v>
      </c>
      <c r="E21" s="6"/>
      <c r="F21" s="6" t="s">
        <v>9</v>
      </c>
      <c r="G21" s="6"/>
      <c r="H21" s="6"/>
      <c r="I21" s="6"/>
      <c r="J21" s="3"/>
      <c r="K21" s="6"/>
      <c r="L21" s="29">
        <f>L20-D16-L5+500+7550</f>
        <v>15200</v>
      </c>
    </row>
    <row r="22" spans="1:12" x14ac:dyDescent="0.25">
      <c r="C22" s="7"/>
      <c r="D22" s="8"/>
      <c r="E22" s="8"/>
      <c r="F22" s="28" t="s">
        <v>10</v>
      </c>
      <c r="G22" s="6"/>
      <c r="H22" s="6"/>
      <c r="I22" s="6"/>
      <c r="J22" s="22"/>
      <c r="K22" s="10"/>
      <c r="L22" s="9"/>
    </row>
    <row r="23" spans="1:12" x14ac:dyDescent="0.25">
      <c r="B23" s="1" t="s">
        <v>11</v>
      </c>
      <c r="C23" s="1"/>
      <c r="D23" s="1"/>
      <c r="E23" s="1"/>
      <c r="F23" s="11"/>
      <c r="G23" s="1" t="s">
        <v>12</v>
      </c>
      <c r="H23" s="12"/>
      <c r="I23" s="12"/>
      <c r="J23" s="12"/>
      <c r="K23" s="12"/>
    </row>
    <row r="24" spans="1:12" x14ac:dyDescent="0.25">
      <c r="B24" s="2" t="s">
        <v>13</v>
      </c>
      <c r="C24" s="2" t="s">
        <v>14</v>
      </c>
      <c r="D24" s="2" t="s">
        <v>15</v>
      </c>
      <c r="E24" s="2"/>
      <c r="F24" s="2" t="s">
        <v>16</v>
      </c>
      <c r="G24" s="2" t="s">
        <v>13</v>
      </c>
      <c r="H24" s="2" t="s">
        <v>14</v>
      </c>
      <c r="J24" s="2" t="s">
        <v>16</v>
      </c>
      <c r="K24" s="2"/>
    </row>
    <row r="25" spans="1:12" x14ac:dyDescent="0.25">
      <c r="B25" s="13" t="s">
        <v>122</v>
      </c>
      <c r="C25" s="14">
        <f>C20</f>
        <v>167000</v>
      </c>
      <c r="D25" s="13"/>
      <c r="E25" s="13"/>
      <c r="F25" s="13"/>
      <c r="G25" s="13" t="s">
        <v>54</v>
      </c>
      <c r="H25" s="14">
        <f>K20</f>
        <v>205550</v>
      </c>
      <c r="J25" s="13"/>
      <c r="K25" s="13"/>
    </row>
    <row r="26" spans="1:12" x14ac:dyDescent="0.25">
      <c r="B26" s="13" t="s">
        <v>3</v>
      </c>
      <c r="C26" s="14">
        <f>FEBRUARY21!E42</f>
        <v>1</v>
      </c>
      <c r="D26" s="13"/>
      <c r="E26" s="13"/>
      <c r="F26" s="13"/>
      <c r="G26" s="13" t="s">
        <v>3</v>
      </c>
      <c r="H26" s="14">
        <f>FEBRUARY21!J42</f>
        <v>-4149</v>
      </c>
      <c r="I26" s="13"/>
      <c r="J26" s="13"/>
      <c r="K26" s="13"/>
    </row>
    <row r="27" spans="1:12" x14ac:dyDescent="0.25">
      <c r="B27" s="13"/>
      <c r="C27" s="14"/>
      <c r="D27" s="13"/>
      <c r="E27" s="13"/>
      <c r="F27" s="13"/>
      <c r="G27" s="13"/>
      <c r="H27" s="14"/>
      <c r="I27" s="13"/>
      <c r="J27" s="13"/>
      <c r="K27" s="13"/>
    </row>
    <row r="28" spans="1:12" x14ac:dyDescent="0.25">
      <c r="B28" s="13" t="s">
        <v>27</v>
      </c>
      <c r="C28" s="14">
        <f>E20</f>
        <v>14000</v>
      </c>
      <c r="D28" s="13"/>
      <c r="E28" s="13"/>
      <c r="F28" s="13"/>
      <c r="G28" s="13"/>
      <c r="H28" s="14"/>
      <c r="I28" s="13"/>
      <c r="J28" s="13"/>
      <c r="K28" s="13"/>
    </row>
    <row r="29" spans="1:12" x14ac:dyDescent="0.25">
      <c r="B29" s="3" t="s">
        <v>31</v>
      </c>
      <c r="C29" s="3">
        <f>F20</f>
        <v>1000</v>
      </c>
      <c r="D29" s="3"/>
      <c r="E29" s="3"/>
      <c r="F29" s="3"/>
      <c r="G29" s="3"/>
      <c r="H29" s="3"/>
      <c r="I29" s="3"/>
      <c r="J29" s="3"/>
      <c r="K29" s="3"/>
    </row>
    <row r="30" spans="1:12" x14ac:dyDescent="0.25">
      <c r="B30" s="3" t="s">
        <v>37</v>
      </c>
      <c r="C30" s="3">
        <f>G20</f>
        <v>12000</v>
      </c>
      <c r="D30" s="3"/>
      <c r="E30" s="3"/>
      <c r="F30" s="3"/>
      <c r="G30" s="3"/>
      <c r="H30" s="3"/>
      <c r="I30" s="3"/>
      <c r="J30" s="2" t="s">
        <v>15</v>
      </c>
      <c r="K30" s="3"/>
    </row>
    <row r="31" spans="1:12" x14ac:dyDescent="0.25">
      <c r="B31" s="3" t="s">
        <v>43</v>
      </c>
      <c r="C31" s="3">
        <f>I20</f>
        <v>8550</v>
      </c>
      <c r="D31" s="3"/>
      <c r="E31" s="3"/>
      <c r="F31" s="3"/>
      <c r="G31" s="3"/>
      <c r="H31" s="3"/>
      <c r="I31" s="3"/>
      <c r="J31" s="13"/>
      <c r="K31" s="3"/>
    </row>
    <row r="32" spans="1:12" x14ac:dyDescent="0.25">
      <c r="B32" s="13" t="s">
        <v>18</v>
      </c>
      <c r="C32" s="16">
        <v>0.05</v>
      </c>
      <c r="D32" s="14">
        <f>C32*C25</f>
        <v>8350</v>
      </c>
      <c r="E32" s="14"/>
      <c r="F32" s="13"/>
      <c r="G32" s="13" t="s">
        <v>18</v>
      </c>
      <c r="H32" s="16">
        <v>0.05</v>
      </c>
      <c r="I32" s="14">
        <f>H32*C25</f>
        <v>8350</v>
      </c>
      <c r="J32" s="14"/>
      <c r="K32" s="14"/>
    </row>
    <row r="33" spans="2:12" x14ac:dyDescent="0.25">
      <c r="B33" s="27" t="s">
        <v>19</v>
      </c>
      <c r="C33" s="13" t="s">
        <v>9</v>
      </c>
      <c r="D33" s="13"/>
      <c r="E33" s="13"/>
      <c r="F33" s="13"/>
      <c r="G33" s="27" t="s">
        <v>19</v>
      </c>
      <c r="H33" s="14"/>
      <c r="I33" s="13"/>
      <c r="J33" s="13"/>
      <c r="K33" s="13"/>
    </row>
    <row r="34" spans="2:12" x14ac:dyDescent="0.25">
      <c r="B34" s="27"/>
      <c r="C34" s="13"/>
      <c r="D34" s="14"/>
      <c r="E34" s="13"/>
      <c r="F34" s="13"/>
      <c r="G34" s="24" t="s">
        <v>42</v>
      </c>
      <c r="H34" s="14"/>
      <c r="I34" s="13">
        <f>H20</f>
        <v>2500</v>
      </c>
      <c r="J34" s="13"/>
      <c r="K34" s="13"/>
    </row>
    <row r="35" spans="2:12" x14ac:dyDescent="0.25">
      <c r="B35" s="17" t="s">
        <v>37</v>
      </c>
      <c r="C35" s="3"/>
      <c r="D35" s="30">
        <v>9000</v>
      </c>
      <c r="E35" s="3"/>
      <c r="F35" s="3"/>
      <c r="G35" s="17" t="s">
        <v>37</v>
      </c>
      <c r="H35" s="3"/>
      <c r="I35" s="3">
        <v>9000</v>
      </c>
      <c r="J35" s="3"/>
      <c r="K35" s="3"/>
    </row>
    <row r="36" spans="2:12" x14ac:dyDescent="0.25">
      <c r="B36" s="18" t="s">
        <v>60</v>
      </c>
      <c r="C36" s="3"/>
      <c r="D36" s="30">
        <v>7000</v>
      </c>
      <c r="E36" s="3"/>
      <c r="F36" s="3"/>
      <c r="G36" s="18" t="s">
        <v>60</v>
      </c>
      <c r="H36" s="3"/>
      <c r="I36" s="3">
        <v>7000</v>
      </c>
      <c r="J36" s="3"/>
      <c r="K36" s="3"/>
    </row>
    <row r="37" spans="2:12" x14ac:dyDescent="0.25">
      <c r="B37" s="19" t="s">
        <v>124</v>
      </c>
      <c r="C37" s="13"/>
      <c r="D37" s="14">
        <v>178200</v>
      </c>
      <c r="E37" s="13"/>
      <c r="F37" s="13"/>
      <c r="G37" s="19" t="s">
        <v>124</v>
      </c>
      <c r="H37" s="13"/>
      <c r="I37" s="14">
        <v>178200</v>
      </c>
      <c r="J37" s="13"/>
      <c r="K37" s="13"/>
    </row>
    <row r="38" spans="2:12" x14ac:dyDescent="0.25">
      <c r="B38" s="19"/>
      <c r="C38" s="13"/>
      <c r="D38" s="14"/>
      <c r="E38" s="13"/>
      <c r="F38" s="13"/>
      <c r="G38" s="19"/>
      <c r="H38" s="13"/>
      <c r="I38" s="14"/>
      <c r="J38" s="13"/>
      <c r="K38" s="13"/>
    </row>
    <row r="39" spans="2:12" x14ac:dyDescent="0.25">
      <c r="B39" s="18"/>
      <c r="C39" s="30">
        <f>C25+C26+C27+C28+C29+C30+C31-D32</f>
        <v>194201</v>
      </c>
      <c r="D39" s="31">
        <f>SUM(D34:D38)</f>
        <v>194200</v>
      </c>
      <c r="E39" s="31">
        <f>C39-D39</f>
        <v>1</v>
      </c>
      <c r="F39" s="13"/>
      <c r="G39" s="18"/>
      <c r="H39" s="30">
        <f>H25+H26-I32</f>
        <v>193051</v>
      </c>
      <c r="I39" s="21">
        <f>SUM(I34:I38)</f>
        <v>196700</v>
      </c>
      <c r="J39" s="30">
        <f>H39-I39</f>
        <v>-3649</v>
      </c>
      <c r="K39" s="3"/>
      <c r="L39" s="15"/>
    </row>
    <row r="40" spans="2:12" x14ac:dyDescent="0.25">
      <c r="B40" t="s">
        <v>20</v>
      </c>
      <c r="D40" t="s">
        <v>21</v>
      </c>
      <c r="I40">
        <f>I39-I34</f>
        <v>194200</v>
      </c>
      <c r="J40" t="s">
        <v>22</v>
      </c>
      <c r="L40" s="1"/>
    </row>
    <row r="41" spans="2:12" x14ac:dyDescent="0.25">
      <c r="L41" s="1"/>
    </row>
    <row r="42" spans="2:12" x14ac:dyDescent="0.25">
      <c r="B42" t="s">
        <v>34</v>
      </c>
      <c r="D42" t="s">
        <v>23</v>
      </c>
      <c r="J42" t="s">
        <v>95</v>
      </c>
      <c r="K42" s="15"/>
    </row>
    <row r="43" spans="2:12" x14ac:dyDescent="0.25">
      <c r="L43" s="15"/>
    </row>
  </sheetData>
  <pageMargins left="0" right="0" top="0" bottom="0" header="0" footer="0"/>
  <pageSetup paperSize="5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L22" sqref="L22"/>
    </sheetView>
  </sheetViews>
  <sheetFormatPr defaultRowHeight="15" x14ac:dyDescent="0.25"/>
  <cols>
    <col min="1" max="1" width="4.5703125" customWidth="1"/>
    <col min="2" max="2" width="18.5703125" customWidth="1"/>
  </cols>
  <sheetData>
    <row r="1" spans="1:12" x14ac:dyDescent="0.25">
      <c r="E1" s="1" t="s">
        <v>94</v>
      </c>
      <c r="F1" s="1"/>
      <c r="G1" s="1"/>
      <c r="H1" s="1"/>
      <c r="I1" s="1"/>
      <c r="J1" s="1"/>
      <c r="K1" s="1"/>
      <c r="L1" s="1"/>
    </row>
    <row r="2" spans="1:12" x14ac:dyDescent="0.25">
      <c r="E2" s="1" t="s">
        <v>0</v>
      </c>
      <c r="F2" s="1"/>
      <c r="G2" s="1"/>
      <c r="H2" s="1"/>
      <c r="I2" s="1"/>
      <c r="J2" s="1"/>
      <c r="K2" s="1"/>
      <c r="L2" s="1"/>
    </row>
    <row r="3" spans="1:12" x14ac:dyDescent="0.25">
      <c r="B3" s="1"/>
      <c r="E3" s="1" t="s">
        <v>126</v>
      </c>
      <c r="F3" s="1"/>
      <c r="G3" s="1"/>
      <c r="H3" s="1"/>
      <c r="I3" s="1"/>
      <c r="J3" s="1"/>
      <c r="K3" s="1"/>
      <c r="L3" s="1"/>
    </row>
    <row r="4" spans="1:12" x14ac:dyDescent="0.25">
      <c r="A4" s="3"/>
      <c r="B4" s="2" t="s">
        <v>2</v>
      </c>
      <c r="C4" s="2" t="s">
        <v>51</v>
      </c>
      <c r="D4" s="2" t="s">
        <v>3</v>
      </c>
      <c r="E4" s="2" t="s">
        <v>27</v>
      </c>
      <c r="F4" s="2" t="s">
        <v>31</v>
      </c>
      <c r="G4" s="2" t="s">
        <v>50</v>
      </c>
      <c r="H4" s="2" t="s">
        <v>42</v>
      </c>
      <c r="I4" s="2" t="s">
        <v>43</v>
      </c>
      <c r="J4" s="2" t="s">
        <v>5</v>
      </c>
      <c r="K4" s="2" t="s">
        <v>6</v>
      </c>
      <c r="L4" s="2" t="s">
        <v>7</v>
      </c>
    </row>
    <row r="5" spans="1:12" x14ac:dyDescent="0.25">
      <c r="A5" s="3">
        <v>1</v>
      </c>
      <c r="B5" s="3" t="s">
        <v>123</v>
      </c>
      <c r="C5" s="3">
        <v>14000</v>
      </c>
      <c r="D5" s="3">
        <f>'MARCH 21'!L5:L19</f>
        <v>0</v>
      </c>
      <c r="E5" s="3"/>
      <c r="F5" s="3"/>
      <c r="G5" s="3">
        <v>1000</v>
      </c>
      <c r="H5" s="3">
        <v>250</v>
      </c>
      <c r="I5" s="3">
        <v>750</v>
      </c>
      <c r="J5" s="3">
        <f>C5+C17+D5+E5+F5+G5+H5+I5</f>
        <v>16000</v>
      </c>
      <c r="K5" s="3">
        <v>16000</v>
      </c>
      <c r="L5" s="3">
        <f>J5-K5</f>
        <v>0</v>
      </c>
    </row>
    <row r="6" spans="1:12" x14ac:dyDescent="0.25">
      <c r="A6" s="3">
        <v>2</v>
      </c>
      <c r="B6" s="3" t="s">
        <v>39</v>
      </c>
      <c r="C6" s="3">
        <v>14000</v>
      </c>
      <c r="D6" s="3">
        <f>'MARCH 21'!L6:L20</f>
        <v>0</v>
      </c>
      <c r="E6" s="3"/>
      <c r="F6" s="3"/>
      <c r="G6" s="3">
        <v>1000</v>
      </c>
      <c r="H6" s="3">
        <v>250</v>
      </c>
      <c r="I6" s="3">
        <v>1350</v>
      </c>
      <c r="J6" s="3">
        <f t="shared" ref="J6:J17" si="0">C6+D6+E6+F6+G6+H6+I6</f>
        <v>16600</v>
      </c>
      <c r="K6" s="3">
        <f>16600</f>
        <v>16600</v>
      </c>
      <c r="L6" s="3">
        <f>J6-K6</f>
        <v>0</v>
      </c>
    </row>
    <row r="7" spans="1:12" x14ac:dyDescent="0.25">
      <c r="A7" s="3">
        <v>3</v>
      </c>
      <c r="B7" s="3" t="s">
        <v>35</v>
      </c>
      <c r="C7" s="3">
        <v>14000</v>
      </c>
      <c r="D7" s="3">
        <f>'MARCH 21'!L7:L21</f>
        <v>2000</v>
      </c>
      <c r="E7" s="3"/>
      <c r="F7" s="3"/>
      <c r="G7" s="3">
        <v>1000</v>
      </c>
      <c r="H7" s="3">
        <v>250</v>
      </c>
      <c r="I7" s="3">
        <v>2250</v>
      </c>
      <c r="J7" s="3">
        <f>C7+D7+E7+F7+G7+H7+I7</f>
        <v>19500</v>
      </c>
      <c r="K7" s="3">
        <v>19500</v>
      </c>
      <c r="L7" s="3">
        <f>J7-K7</f>
        <v>0</v>
      </c>
    </row>
    <row r="8" spans="1:12" x14ac:dyDescent="0.25">
      <c r="A8" s="3">
        <v>4</v>
      </c>
      <c r="B8" s="3" t="s">
        <v>48</v>
      </c>
      <c r="C8" s="3">
        <v>14000</v>
      </c>
      <c r="D8" s="3">
        <f>'MARCH 21'!L8:L22</f>
        <v>0</v>
      </c>
      <c r="E8" s="3"/>
      <c r="F8" s="3"/>
      <c r="G8" s="3">
        <v>1000</v>
      </c>
      <c r="H8" s="3">
        <v>250</v>
      </c>
      <c r="I8" s="3">
        <v>600</v>
      </c>
      <c r="J8" s="3">
        <f t="shared" si="0"/>
        <v>15850</v>
      </c>
      <c r="K8" s="3">
        <f>15850</f>
        <v>15850</v>
      </c>
      <c r="L8" s="3">
        <f t="shared" ref="L8:L19" si="1">J8-K8</f>
        <v>0</v>
      </c>
    </row>
    <row r="9" spans="1:12" x14ac:dyDescent="0.25">
      <c r="A9" s="3">
        <v>5</v>
      </c>
      <c r="B9" s="3" t="s">
        <v>59</v>
      </c>
      <c r="C9" s="3">
        <v>9000</v>
      </c>
      <c r="D9" s="3">
        <f>'MARCH 21'!L9:L23</f>
        <v>500</v>
      </c>
      <c r="E9" s="3"/>
      <c r="F9" s="3"/>
      <c r="G9" s="3">
        <v>1000</v>
      </c>
      <c r="H9" s="3">
        <v>250</v>
      </c>
      <c r="I9" s="3">
        <v>1050</v>
      </c>
      <c r="J9" s="3">
        <f>C9+D9+E9+F9+G9+H9+I9</f>
        <v>11800</v>
      </c>
      <c r="K9" s="3">
        <v>11800</v>
      </c>
      <c r="L9" s="3">
        <f t="shared" si="1"/>
        <v>0</v>
      </c>
    </row>
    <row r="10" spans="1:12" x14ac:dyDescent="0.25">
      <c r="A10" s="3">
        <v>6</v>
      </c>
      <c r="B10" s="4" t="s">
        <v>111</v>
      </c>
      <c r="C10" s="3">
        <v>14000</v>
      </c>
      <c r="D10" s="3">
        <f>'MARCH 21'!L10:L24</f>
        <v>3100</v>
      </c>
      <c r="E10" s="3"/>
      <c r="F10" s="3"/>
      <c r="G10" s="3">
        <v>1000</v>
      </c>
      <c r="H10" s="3">
        <v>250</v>
      </c>
      <c r="I10" s="3">
        <v>1650</v>
      </c>
      <c r="J10" s="3">
        <f>C10+D10+E10+F10+G10+H10+I10</f>
        <v>20000</v>
      </c>
      <c r="K10" s="3">
        <f>1650+10000</f>
        <v>11650</v>
      </c>
      <c r="L10" s="3">
        <f>J10-K10</f>
        <v>8350</v>
      </c>
    </row>
    <row r="11" spans="1:12" x14ac:dyDescent="0.25">
      <c r="A11" s="3">
        <v>7</v>
      </c>
      <c r="B11" s="3" t="s">
        <v>32</v>
      </c>
      <c r="C11" s="3">
        <v>14000</v>
      </c>
      <c r="D11" s="3">
        <f>'MARCH 21'!L11:L25</f>
        <v>550</v>
      </c>
      <c r="E11" s="3"/>
      <c r="F11" s="3"/>
      <c r="G11" s="3">
        <v>1000</v>
      </c>
      <c r="H11" s="3">
        <v>250</v>
      </c>
      <c r="I11" s="3">
        <v>1050</v>
      </c>
      <c r="J11" s="3">
        <f t="shared" si="0"/>
        <v>16850</v>
      </c>
      <c r="K11" s="3">
        <f>16250</f>
        <v>16250</v>
      </c>
      <c r="L11" s="3">
        <f>J11-K11</f>
        <v>600</v>
      </c>
    </row>
    <row r="12" spans="1:12" x14ac:dyDescent="0.25">
      <c r="A12" s="3">
        <v>8</v>
      </c>
      <c r="B12" s="3" t="s">
        <v>30</v>
      </c>
      <c r="C12" s="3">
        <v>14000</v>
      </c>
      <c r="D12" s="3">
        <f>'MARCH 21'!L12:L26</f>
        <v>0</v>
      </c>
      <c r="E12" s="3"/>
      <c r="F12" s="3"/>
      <c r="G12" s="3">
        <v>1000</v>
      </c>
      <c r="H12" s="3">
        <v>250</v>
      </c>
      <c r="I12" s="3">
        <v>1050</v>
      </c>
      <c r="J12" s="3">
        <f t="shared" si="0"/>
        <v>16300</v>
      </c>
      <c r="K12" s="3">
        <v>16300</v>
      </c>
      <c r="L12" s="3">
        <f t="shared" si="1"/>
        <v>0</v>
      </c>
    </row>
    <row r="13" spans="1:12" x14ac:dyDescent="0.25">
      <c r="A13" s="3">
        <v>9</v>
      </c>
      <c r="B13" s="3" t="s">
        <v>40</v>
      </c>
      <c r="C13" s="3">
        <v>14000</v>
      </c>
      <c r="D13" s="3">
        <f>'MARCH 21'!L13:L27</f>
        <v>0</v>
      </c>
      <c r="E13" s="3"/>
      <c r="F13" s="3"/>
      <c r="G13" s="3">
        <v>1000</v>
      </c>
      <c r="H13" s="3">
        <v>250</v>
      </c>
      <c r="I13" s="3">
        <v>900</v>
      </c>
      <c r="J13" s="3">
        <f t="shared" si="0"/>
        <v>16150</v>
      </c>
      <c r="K13" s="3">
        <v>16150</v>
      </c>
      <c r="L13" s="3">
        <f t="shared" si="1"/>
        <v>0</v>
      </c>
    </row>
    <row r="14" spans="1:12" x14ac:dyDescent="0.25">
      <c r="A14" s="3">
        <v>10</v>
      </c>
      <c r="B14" s="3" t="s">
        <v>99</v>
      </c>
      <c r="C14" s="3">
        <v>9000</v>
      </c>
      <c r="D14" s="3">
        <f>'MARCH 21'!L14:L28</f>
        <v>0</v>
      </c>
      <c r="E14" s="3"/>
      <c r="F14" s="3"/>
      <c r="G14" s="3">
        <v>1000</v>
      </c>
      <c r="H14" s="3">
        <v>250</v>
      </c>
      <c r="I14" s="3">
        <v>300</v>
      </c>
      <c r="J14" s="3">
        <f t="shared" si="0"/>
        <v>10550</v>
      </c>
      <c r="K14" s="3">
        <v>10550</v>
      </c>
      <c r="L14" s="3">
        <f t="shared" si="1"/>
        <v>0</v>
      </c>
    </row>
    <row r="15" spans="1:12" x14ac:dyDescent="0.25">
      <c r="A15" s="3">
        <v>11</v>
      </c>
      <c r="B15" s="3" t="s">
        <v>127</v>
      </c>
      <c r="C15" s="3">
        <v>15000</v>
      </c>
      <c r="D15" s="3">
        <f>'MARCH 21'!L15:L29</f>
        <v>1000</v>
      </c>
      <c r="E15" s="3"/>
      <c r="F15" s="3"/>
      <c r="G15" s="3">
        <v>1000</v>
      </c>
      <c r="H15" s="3"/>
      <c r="I15" s="3">
        <v>1200</v>
      </c>
      <c r="J15" s="3">
        <f>C15+D15+E15+F15+G15+H15+I15</f>
        <v>18200</v>
      </c>
      <c r="K15" s="3">
        <f>17000</f>
        <v>17000</v>
      </c>
      <c r="L15" s="3">
        <f t="shared" si="1"/>
        <v>1200</v>
      </c>
    </row>
    <row r="16" spans="1:12" x14ac:dyDescent="0.25">
      <c r="A16" s="3">
        <v>12</v>
      </c>
      <c r="B16" s="3" t="s">
        <v>128</v>
      </c>
      <c r="C16" s="3">
        <v>22000</v>
      </c>
      <c r="D16" s="3">
        <f>'MARCH 21'!L16:L30</f>
        <v>17500</v>
      </c>
      <c r="E16" s="3"/>
      <c r="F16" s="3"/>
      <c r="G16" s="3">
        <v>1000</v>
      </c>
      <c r="H16" s="3"/>
      <c r="I16" s="3"/>
      <c r="J16" s="3">
        <f>C16+D16+E16+F16+G16+H16+I16</f>
        <v>40500</v>
      </c>
      <c r="K16" s="3"/>
      <c r="L16" s="3">
        <f>J16-K16</f>
        <v>40500</v>
      </c>
    </row>
    <row r="17" spans="1:15" x14ac:dyDescent="0.25">
      <c r="A17" s="3">
        <v>13</v>
      </c>
      <c r="B17" s="3" t="s">
        <v>74</v>
      </c>
      <c r="C17" s="3"/>
      <c r="D17" s="3">
        <f>'MARCH 21'!L17:L31</f>
        <v>0</v>
      </c>
      <c r="E17" s="3"/>
      <c r="F17" s="3"/>
      <c r="G17" s="3"/>
      <c r="H17" s="3"/>
      <c r="I17" s="3">
        <v>1050</v>
      </c>
      <c r="J17" s="3">
        <f t="shared" si="0"/>
        <v>1050</v>
      </c>
      <c r="K17" s="3">
        <f>1050</f>
        <v>1050</v>
      </c>
      <c r="L17" s="3">
        <f>J17-K17</f>
        <v>0</v>
      </c>
    </row>
    <row r="18" spans="1:15" x14ac:dyDescent="0.25">
      <c r="A18" s="3"/>
      <c r="B18" s="3"/>
      <c r="C18" s="3"/>
      <c r="D18" s="3">
        <f>'MARCH 21'!L18:L32</f>
        <v>0</v>
      </c>
      <c r="E18" s="3"/>
      <c r="F18" s="3"/>
      <c r="G18" s="3"/>
      <c r="H18" s="3"/>
      <c r="I18" s="3"/>
      <c r="J18" s="3">
        <f>C18+D18+E18+F18+G18+H18+I18</f>
        <v>0</v>
      </c>
      <c r="K18" s="3"/>
      <c r="L18" s="3">
        <f t="shared" si="1"/>
        <v>0</v>
      </c>
    </row>
    <row r="19" spans="1:15" x14ac:dyDescent="0.25">
      <c r="A19" s="3"/>
      <c r="B19" s="3"/>
      <c r="C19" s="3"/>
      <c r="D19" s="3">
        <f>'MARCH 21'!L19:L33</f>
        <v>0</v>
      </c>
      <c r="E19" s="3"/>
      <c r="F19" s="3"/>
      <c r="G19" s="3"/>
      <c r="H19" s="3"/>
      <c r="I19" s="3"/>
      <c r="J19" s="3">
        <f>C19+D19+E19+F19+G19+H19+I19</f>
        <v>0</v>
      </c>
      <c r="K19" s="3"/>
      <c r="L19" s="3">
        <f t="shared" si="1"/>
        <v>0</v>
      </c>
    </row>
    <row r="20" spans="1:15" x14ac:dyDescent="0.25">
      <c r="A20" s="3"/>
      <c r="B20" s="2"/>
      <c r="C20" s="2">
        <f>SUM(C5:C19)</f>
        <v>167000</v>
      </c>
      <c r="D20" s="3">
        <f>SUM(D5:D19)</f>
        <v>24650</v>
      </c>
      <c r="E20" s="2">
        <f t="shared" ref="E20:G20" si="2">SUM(E5:E19)</f>
        <v>0</v>
      </c>
      <c r="F20" s="2">
        <f t="shared" si="2"/>
        <v>0</v>
      </c>
      <c r="G20" s="2">
        <f t="shared" si="2"/>
        <v>12000</v>
      </c>
      <c r="H20" s="2">
        <f>SUM(H5:H19)</f>
        <v>2500</v>
      </c>
      <c r="I20" s="2">
        <f>SUM(I5:I19)</f>
        <v>13200</v>
      </c>
      <c r="J20" s="3">
        <f>SUM(J5:J19)</f>
        <v>219350</v>
      </c>
      <c r="K20" s="2">
        <f>SUM(K5:K19)</f>
        <v>168700</v>
      </c>
      <c r="L20" s="3">
        <f>SUM(L5:L19)</f>
        <v>50650</v>
      </c>
    </row>
    <row r="21" spans="1:15" x14ac:dyDescent="0.25">
      <c r="B21" s="6"/>
      <c r="C21" s="6"/>
      <c r="D21" s="3">
        <f>'JANUARY 21'!L21:L36</f>
        <v>19750</v>
      </c>
      <c r="E21" s="6"/>
      <c r="F21" s="6" t="s">
        <v>9</v>
      </c>
      <c r="G21" s="6"/>
      <c r="H21" s="6"/>
      <c r="I21" s="6"/>
      <c r="J21" s="3"/>
      <c r="K21" s="6"/>
      <c r="L21" s="29">
        <f>L20-D16</f>
        <v>33150</v>
      </c>
    </row>
    <row r="22" spans="1:15" x14ac:dyDescent="0.25">
      <c r="C22" s="7"/>
      <c r="D22" s="8"/>
      <c r="E22" s="8"/>
      <c r="F22" s="28" t="s">
        <v>10</v>
      </c>
      <c r="G22" s="6"/>
      <c r="H22" s="6"/>
      <c r="I22" s="6"/>
      <c r="J22" s="22"/>
      <c r="K22" s="10"/>
      <c r="L22" s="9"/>
      <c r="M22">
        <f>L105</f>
        <v>0</v>
      </c>
    </row>
    <row r="23" spans="1:15" x14ac:dyDescent="0.25">
      <c r="B23" s="1" t="s">
        <v>11</v>
      </c>
      <c r="C23" s="1"/>
      <c r="D23" s="1"/>
      <c r="E23" s="1"/>
      <c r="F23" s="11"/>
      <c r="G23" s="1" t="s">
        <v>12</v>
      </c>
      <c r="H23" s="12"/>
      <c r="I23" s="12"/>
      <c r="J23" s="12"/>
      <c r="K23" s="12"/>
    </row>
    <row r="24" spans="1:15" x14ac:dyDescent="0.25">
      <c r="B24" s="2" t="s">
        <v>13</v>
      </c>
      <c r="C24" s="2" t="s">
        <v>14</v>
      </c>
      <c r="D24" s="2" t="s">
        <v>15</v>
      </c>
      <c r="E24" s="2"/>
      <c r="F24" s="2" t="s">
        <v>16</v>
      </c>
      <c r="G24" s="2" t="s">
        <v>13</v>
      </c>
      <c r="H24" s="2" t="s">
        <v>14</v>
      </c>
      <c r="I24" s="3" t="s">
        <v>15</v>
      </c>
      <c r="J24" s="2" t="s">
        <v>16</v>
      </c>
      <c r="K24" s="2"/>
    </row>
    <row r="25" spans="1:15" x14ac:dyDescent="0.25">
      <c r="B25" s="13" t="s">
        <v>57</v>
      </c>
      <c r="C25" s="14">
        <f>C20</f>
        <v>167000</v>
      </c>
      <c r="D25" s="13"/>
      <c r="E25" s="13"/>
      <c r="F25" s="13"/>
      <c r="G25" s="13" t="s">
        <v>57</v>
      </c>
      <c r="H25" s="14">
        <f>K20</f>
        <v>168700</v>
      </c>
      <c r="I25" s="3"/>
      <c r="J25" s="13"/>
      <c r="K25" s="13"/>
    </row>
    <row r="26" spans="1:15" x14ac:dyDescent="0.25">
      <c r="B26" s="13" t="s">
        <v>3</v>
      </c>
      <c r="C26" s="14">
        <f>'MARCH 21'!E39</f>
        <v>1</v>
      </c>
      <c r="D26" s="13"/>
      <c r="E26" s="13"/>
      <c r="F26" s="13"/>
      <c r="G26" s="13" t="s">
        <v>3</v>
      </c>
      <c r="H26" s="14">
        <f>'MARCH 21'!J39</f>
        <v>-3649</v>
      </c>
      <c r="I26" s="13"/>
      <c r="J26" s="13"/>
      <c r="K26" s="13"/>
    </row>
    <row r="27" spans="1:15" x14ac:dyDescent="0.25">
      <c r="B27" s="13" t="s">
        <v>27</v>
      </c>
      <c r="C27" s="14">
        <f>E20</f>
        <v>0</v>
      </c>
      <c r="D27" s="13"/>
      <c r="E27" s="13"/>
      <c r="F27" s="13"/>
      <c r="G27" s="13"/>
      <c r="H27" s="14"/>
      <c r="I27" s="13"/>
      <c r="J27" s="13"/>
      <c r="K27" s="13"/>
    </row>
    <row r="28" spans="1:15" x14ac:dyDescent="0.25">
      <c r="B28" s="3" t="s">
        <v>31</v>
      </c>
      <c r="C28" s="3">
        <f>F20</f>
        <v>0</v>
      </c>
      <c r="D28" s="13"/>
      <c r="E28" s="13"/>
      <c r="F28" s="13"/>
      <c r="G28" s="13"/>
      <c r="H28" s="14"/>
      <c r="I28" s="13"/>
      <c r="J28" s="13"/>
      <c r="K28" s="13"/>
    </row>
    <row r="29" spans="1:15" x14ac:dyDescent="0.25">
      <c r="B29" s="3" t="s">
        <v>37</v>
      </c>
      <c r="C29" s="3">
        <f>G20</f>
        <v>12000</v>
      </c>
      <c r="D29" s="3"/>
      <c r="E29" s="3"/>
      <c r="F29" s="3"/>
      <c r="G29" s="3"/>
      <c r="H29" s="3"/>
      <c r="I29" s="3"/>
      <c r="J29" s="3"/>
      <c r="K29" s="3"/>
    </row>
    <row r="30" spans="1:15" x14ac:dyDescent="0.25">
      <c r="B30" s="3" t="s">
        <v>43</v>
      </c>
      <c r="C30" s="3">
        <f>I20</f>
        <v>13200</v>
      </c>
      <c r="D30" s="3"/>
      <c r="E30" s="3"/>
      <c r="F30" s="3"/>
      <c r="G30" s="3"/>
      <c r="H30" s="3"/>
      <c r="I30" s="3"/>
      <c r="J30" s="2"/>
      <c r="K30" s="3"/>
    </row>
    <row r="31" spans="1:15" x14ac:dyDescent="0.25">
      <c r="B31" s="13" t="s">
        <v>18</v>
      </c>
      <c r="C31" s="16">
        <v>0.05</v>
      </c>
      <c r="D31" s="14">
        <f>C31*C25</f>
        <v>8350</v>
      </c>
      <c r="E31" s="14"/>
      <c r="F31" s="13"/>
      <c r="G31" s="13" t="s">
        <v>18</v>
      </c>
      <c r="H31" s="16">
        <v>0.05</v>
      </c>
      <c r="I31" s="14">
        <f>H31*C25</f>
        <v>8350</v>
      </c>
      <c r="J31" s="13"/>
      <c r="K31" s="3"/>
    </row>
    <row r="32" spans="1:15" x14ac:dyDescent="0.25">
      <c r="B32" s="27" t="s">
        <v>19</v>
      </c>
      <c r="C32" s="13" t="s">
        <v>9</v>
      </c>
      <c r="D32" s="13"/>
      <c r="E32" s="13"/>
      <c r="F32" s="13"/>
      <c r="G32" s="27" t="s">
        <v>19</v>
      </c>
      <c r="H32" s="14"/>
      <c r="I32" s="13"/>
      <c r="J32" s="13"/>
      <c r="K32" s="13"/>
      <c r="O32" t="s">
        <v>9</v>
      </c>
    </row>
    <row r="33" spans="2:13" x14ac:dyDescent="0.25">
      <c r="B33" s="27"/>
      <c r="C33" s="13"/>
      <c r="D33" s="14"/>
      <c r="E33" s="13"/>
      <c r="F33" s="13"/>
      <c r="G33" s="24" t="s">
        <v>42</v>
      </c>
      <c r="H33" s="14"/>
      <c r="I33" s="13">
        <f>H20</f>
        <v>2500</v>
      </c>
      <c r="J33" s="13"/>
      <c r="K33" s="13"/>
    </row>
    <row r="34" spans="2:13" x14ac:dyDescent="0.25">
      <c r="B34" s="17" t="s">
        <v>37</v>
      </c>
      <c r="C34" s="3"/>
      <c r="D34" s="30">
        <v>9000</v>
      </c>
      <c r="E34" s="3"/>
      <c r="F34" s="3"/>
      <c r="G34" s="17" t="s">
        <v>37</v>
      </c>
      <c r="H34" s="3"/>
      <c r="I34" s="3">
        <v>9000</v>
      </c>
      <c r="J34" s="3"/>
      <c r="K34" s="3"/>
      <c r="M34" s="15"/>
    </row>
    <row r="35" spans="2:13" x14ac:dyDescent="0.25">
      <c r="B35" s="18" t="s">
        <v>60</v>
      </c>
      <c r="C35" s="3"/>
      <c r="D35" s="30">
        <v>7000</v>
      </c>
      <c r="E35" s="3"/>
      <c r="F35" s="3"/>
      <c r="G35" s="18" t="s">
        <v>60</v>
      </c>
      <c r="H35" s="3"/>
      <c r="I35" s="3">
        <v>7000</v>
      </c>
      <c r="J35" s="3"/>
      <c r="K35" s="3"/>
    </row>
    <row r="36" spans="2:13" x14ac:dyDescent="0.25">
      <c r="B36" s="19" t="s">
        <v>61</v>
      </c>
      <c r="C36" s="13"/>
      <c r="D36" s="14">
        <v>450</v>
      </c>
      <c r="E36" s="13"/>
      <c r="F36" s="13"/>
      <c r="G36" s="19" t="s">
        <v>61</v>
      </c>
      <c r="H36" s="13"/>
      <c r="I36" s="14">
        <v>450</v>
      </c>
      <c r="J36" s="13"/>
      <c r="K36" s="13"/>
    </row>
    <row r="37" spans="2:13" x14ac:dyDescent="0.25">
      <c r="B37" s="19" t="s">
        <v>129</v>
      </c>
      <c r="C37" s="13"/>
      <c r="D37" s="14">
        <v>167400</v>
      </c>
      <c r="E37" s="13"/>
      <c r="F37" s="13"/>
      <c r="G37" s="19" t="s">
        <v>129</v>
      </c>
      <c r="H37" s="13"/>
      <c r="I37" s="14">
        <v>167400</v>
      </c>
      <c r="J37" s="13"/>
      <c r="K37" s="13"/>
    </row>
    <row r="38" spans="2:13" x14ac:dyDescent="0.25">
      <c r="B38" s="18"/>
      <c r="C38" s="30">
        <f>C25+C26+C27+C28+C29+C30-D31</f>
        <v>183851</v>
      </c>
      <c r="D38" s="31">
        <f>SUM(D33:D37)</f>
        <v>183850</v>
      </c>
      <c r="E38" s="31">
        <f>C38-D38</f>
        <v>1</v>
      </c>
      <c r="F38" s="13"/>
      <c r="G38" s="18"/>
      <c r="H38" s="30">
        <f>H25+H26-I31</f>
        <v>156701</v>
      </c>
      <c r="I38" s="21">
        <f>SUM(I33:I37)</f>
        <v>186350</v>
      </c>
      <c r="J38" s="30">
        <f>H38-I38</f>
        <v>-29649</v>
      </c>
      <c r="K38" s="3"/>
    </row>
    <row r="39" spans="2:13" x14ac:dyDescent="0.25">
      <c r="B39" t="s">
        <v>20</v>
      </c>
      <c r="D39" t="s">
        <v>21</v>
      </c>
      <c r="I39">
        <f>I38-I33</f>
        <v>183850</v>
      </c>
      <c r="J39" t="s">
        <v>22</v>
      </c>
      <c r="L39" s="15"/>
    </row>
    <row r="40" spans="2:13" x14ac:dyDescent="0.25">
      <c r="L40" s="1"/>
    </row>
    <row r="41" spans="2:13" x14ac:dyDescent="0.25">
      <c r="B41" t="s">
        <v>34</v>
      </c>
      <c r="D41" t="s">
        <v>23</v>
      </c>
      <c r="J41" t="s">
        <v>95</v>
      </c>
      <c r="K41" s="15"/>
      <c r="L41" s="1"/>
    </row>
    <row r="43" spans="2:13" x14ac:dyDescent="0.25">
      <c r="L43" s="1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P11" sqref="P11"/>
    </sheetView>
  </sheetViews>
  <sheetFormatPr defaultRowHeight="15" x14ac:dyDescent="0.25"/>
  <cols>
    <col min="1" max="1" width="5.28515625" customWidth="1"/>
    <col min="2" max="2" width="21.28515625" customWidth="1"/>
    <col min="6" max="6" width="11.28515625" customWidth="1"/>
  </cols>
  <sheetData>
    <row r="1" spans="1:16" x14ac:dyDescent="0.25">
      <c r="E1" s="1" t="s">
        <v>94</v>
      </c>
      <c r="F1" s="1"/>
      <c r="G1" s="1"/>
      <c r="H1" s="1"/>
      <c r="I1" s="1"/>
      <c r="J1" s="1"/>
      <c r="K1" s="1"/>
      <c r="L1" s="1"/>
    </row>
    <row r="2" spans="1:16" x14ac:dyDescent="0.25">
      <c r="E2" s="1" t="s">
        <v>0</v>
      </c>
      <c r="F2" s="1"/>
      <c r="G2" s="1"/>
      <c r="H2" s="1"/>
      <c r="I2" s="1"/>
      <c r="J2" s="1"/>
      <c r="K2" s="1"/>
      <c r="L2" s="1"/>
    </row>
    <row r="3" spans="1:16" x14ac:dyDescent="0.25">
      <c r="B3" s="1"/>
      <c r="E3" s="1" t="s">
        <v>130</v>
      </c>
      <c r="F3" s="1"/>
      <c r="G3" s="1"/>
      <c r="H3" s="1"/>
      <c r="I3" s="1"/>
      <c r="J3" s="1"/>
      <c r="K3" s="1"/>
      <c r="L3" s="1"/>
    </row>
    <row r="4" spans="1:16" x14ac:dyDescent="0.25">
      <c r="A4" s="3"/>
      <c r="B4" s="2" t="s">
        <v>2</v>
      </c>
      <c r="C4" s="2" t="s">
        <v>51</v>
      </c>
      <c r="D4" s="2" t="s">
        <v>3</v>
      </c>
      <c r="E4" s="2" t="s">
        <v>27</v>
      </c>
      <c r="F4" s="2" t="s">
        <v>31</v>
      </c>
      <c r="G4" s="2" t="s">
        <v>50</v>
      </c>
      <c r="H4" s="2" t="s">
        <v>42</v>
      </c>
      <c r="I4" s="2" t="s">
        <v>43</v>
      </c>
      <c r="J4" s="2" t="s">
        <v>5</v>
      </c>
      <c r="K4" s="2" t="s">
        <v>6</v>
      </c>
      <c r="L4" s="2" t="s">
        <v>7</v>
      </c>
    </row>
    <row r="5" spans="1:16" x14ac:dyDescent="0.25">
      <c r="A5" s="3">
        <v>1</v>
      </c>
      <c r="B5" s="3" t="s">
        <v>123</v>
      </c>
      <c r="C5" s="3">
        <v>14000</v>
      </c>
      <c r="D5" s="3">
        <f>'APRIL 21'!L5:L21</f>
        <v>0</v>
      </c>
      <c r="E5" s="3"/>
      <c r="F5" s="3"/>
      <c r="G5" s="3">
        <v>1000</v>
      </c>
      <c r="H5" s="3">
        <v>250</v>
      </c>
      <c r="I5" s="3">
        <v>900</v>
      </c>
      <c r="J5" s="3">
        <f>C5+C17+D5+E5+F5+G5+H5+I5</f>
        <v>16150</v>
      </c>
      <c r="K5" s="3">
        <v>16150</v>
      </c>
      <c r="L5" s="3">
        <f>J5-K5</f>
        <v>0</v>
      </c>
    </row>
    <row r="6" spans="1:16" x14ac:dyDescent="0.25">
      <c r="A6" s="3">
        <v>2</v>
      </c>
      <c r="B6" s="3" t="s">
        <v>39</v>
      </c>
      <c r="C6" s="3">
        <v>14000</v>
      </c>
      <c r="D6" s="3">
        <f>'APRIL 21'!L6:L22</f>
        <v>0</v>
      </c>
      <c r="E6" s="3"/>
      <c r="F6" s="3"/>
      <c r="G6" s="3">
        <v>1000</v>
      </c>
      <c r="H6" s="3">
        <v>250</v>
      </c>
      <c r="I6" s="3">
        <v>1530</v>
      </c>
      <c r="J6" s="3">
        <f t="shared" ref="J6:J17" si="0">C6+D6+E6+F6+G6+H6+I6</f>
        <v>16780</v>
      </c>
      <c r="K6" s="3">
        <f>16000</f>
        <v>16000</v>
      </c>
      <c r="L6" s="3">
        <f>J6-K6</f>
        <v>780</v>
      </c>
    </row>
    <row r="7" spans="1:16" x14ac:dyDescent="0.25">
      <c r="A7" s="3">
        <v>3</v>
      </c>
      <c r="B7" s="3" t="s">
        <v>35</v>
      </c>
      <c r="C7" s="3">
        <v>14000</v>
      </c>
      <c r="D7" s="3">
        <f>'APRIL 21'!L7:L23</f>
        <v>0</v>
      </c>
      <c r="E7" s="3"/>
      <c r="F7" s="3"/>
      <c r="G7" s="3">
        <v>1000</v>
      </c>
      <c r="H7" s="3">
        <v>250</v>
      </c>
      <c r="I7" s="3">
        <v>1500</v>
      </c>
      <c r="J7" s="3">
        <f>C7+D7+E7+F7+G7+H7+I7</f>
        <v>16750</v>
      </c>
      <c r="K7" s="3">
        <v>16750</v>
      </c>
      <c r="L7" s="3">
        <f>J7-K7</f>
        <v>0</v>
      </c>
    </row>
    <row r="8" spans="1:16" x14ac:dyDescent="0.25">
      <c r="A8" s="3">
        <v>4</v>
      </c>
      <c r="B8" s="3" t="s">
        <v>48</v>
      </c>
      <c r="C8" s="3">
        <v>14000</v>
      </c>
      <c r="D8" s="3">
        <f>'APRIL 21'!L8:L24</f>
        <v>0</v>
      </c>
      <c r="E8" s="3"/>
      <c r="F8" s="3"/>
      <c r="G8" s="3">
        <v>1000</v>
      </c>
      <c r="H8" s="3">
        <v>250</v>
      </c>
      <c r="I8" s="3">
        <v>750</v>
      </c>
      <c r="J8" s="3">
        <f t="shared" si="0"/>
        <v>16000</v>
      </c>
      <c r="K8" s="3">
        <f>14000</f>
        <v>14000</v>
      </c>
      <c r="L8" s="3">
        <f t="shared" ref="L8:L19" si="1">J8-K8</f>
        <v>2000</v>
      </c>
    </row>
    <row r="9" spans="1:16" x14ac:dyDescent="0.25">
      <c r="A9" s="3">
        <v>5</v>
      </c>
      <c r="B9" s="3" t="s">
        <v>59</v>
      </c>
      <c r="C9" s="3">
        <v>9000</v>
      </c>
      <c r="D9" s="3">
        <f>'APRIL 21'!L9:L25</f>
        <v>0</v>
      </c>
      <c r="E9" s="3"/>
      <c r="F9" s="3"/>
      <c r="G9" s="3">
        <v>1000</v>
      </c>
      <c r="H9" s="3">
        <v>250</v>
      </c>
      <c r="I9" s="3">
        <v>1190</v>
      </c>
      <c r="J9" s="3">
        <f>C9+D9+E9+F9+G9+H9+I9</f>
        <v>11440</v>
      </c>
      <c r="K9" s="3">
        <f>11000</f>
        <v>11000</v>
      </c>
      <c r="L9" s="3">
        <f t="shared" si="1"/>
        <v>440</v>
      </c>
      <c r="N9">
        <f>C6+G6+250</f>
        <v>15250</v>
      </c>
    </row>
    <row r="10" spans="1:16" x14ac:dyDescent="0.25">
      <c r="A10" s="3">
        <v>6</v>
      </c>
      <c r="B10" s="4" t="s">
        <v>111</v>
      </c>
      <c r="C10" s="3">
        <v>14000</v>
      </c>
      <c r="D10" s="3">
        <f>'APRIL 21'!L10:L26</f>
        <v>8350</v>
      </c>
      <c r="E10" s="3"/>
      <c r="F10" s="3"/>
      <c r="G10" s="3">
        <v>1000</v>
      </c>
      <c r="H10" s="3">
        <v>250</v>
      </c>
      <c r="I10" s="3">
        <v>1500</v>
      </c>
      <c r="J10" s="3">
        <f>C10+D10+E10+F10+G10+H10+I10</f>
        <v>25100</v>
      </c>
      <c r="K10" s="3">
        <f>17000+2000</f>
        <v>19000</v>
      </c>
      <c r="L10" s="3">
        <f>J10-K10</f>
        <v>6100</v>
      </c>
      <c r="N10">
        <f>N9+1550</f>
        <v>16800</v>
      </c>
      <c r="P10">
        <f>16000-N9</f>
        <v>750</v>
      </c>
    </row>
    <row r="11" spans="1:16" x14ac:dyDescent="0.25">
      <c r="A11" s="3">
        <v>7</v>
      </c>
      <c r="B11" s="3" t="s">
        <v>32</v>
      </c>
      <c r="C11" s="3">
        <v>14000</v>
      </c>
      <c r="D11" s="3">
        <f>'APRIL 21'!L11:L27</f>
        <v>600</v>
      </c>
      <c r="E11" s="3"/>
      <c r="F11" s="3"/>
      <c r="G11" s="3">
        <v>1000</v>
      </c>
      <c r="H11" s="3">
        <v>250</v>
      </c>
      <c r="I11" s="3">
        <v>450</v>
      </c>
      <c r="J11" s="3">
        <f t="shared" si="0"/>
        <v>16300</v>
      </c>
      <c r="K11" s="3">
        <f>15250+450+250</f>
        <v>15950</v>
      </c>
      <c r="L11" s="3">
        <f>J11-K11</f>
        <v>350</v>
      </c>
    </row>
    <row r="12" spans="1:16" x14ac:dyDescent="0.25">
      <c r="A12" s="3">
        <v>8</v>
      </c>
      <c r="B12" s="3" t="s">
        <v>30</v>
      </c>
      <c r="C12" s="3">
        <v>14000</v>
      </c>
      <c r="D12" s="3">
        <f>'APRIL 21'!L12:L28</f>
        <v>0</v>
      </c>
      <c r="E12" s="3"/>
      <c r="F12" s="3"/>
      <c r="G12" s="3">
        <v>1000</v>
      </c>
      <c r="H12" s="3">
        <v>250</v>
      </c>
      <c r="I12" s="3">
        <v>1200</v>
      </c>
      <c r="J12" s="3">
        <f t="shared" si="0"/>
        <v>16450</v>
      </c>
      <c r="K12" s="3">
        <f>5950+10500</f>
        <v>16450</v>
      </c>
      <c r="L12" s="3">
        <f t="shared" si="1"/>
        <v>0</v>
      </c>
    </row>
    <row r="13" spans="1:16" x14ac:dyDescent="0.25">
      <c r="A13" s="3">
        <v>9</v>
      </c>
      <c r="B13" s="3" t="s">
        <v>40</v>
      </c>
      <c r="C13" s="3">
        <v>14000</v>
      </c>
      <c r="D13" s="3">
        <f>'APRIL 21'!L13:L29</f>
        <v>0</v>
      </c>
      <c r="E13" s="3"/>
      <c r="F13" s="3"/>
      <c r="G13" s="3">
        <v>1000</v>
      </c>
      <c r="H13" s="3">
        <v>250</v>
      </c>
      <c r="I13" s="3">
        <v>680</v>
      </c>
      <c r="J13" s="3">
        <f t="shared" si="0"/>
        <v>15930</v>
      </c>
      <c r="K13" s="3">
        <f>15900</f>
        <v>15900</v>
      </c>
      <c r="L13" s="3">
        <f t="shared" si="1"/>
        <v>30</v>
      </c>
    </row>
    <row r="14" spans="1:16" x14ac:dyDescent="0.25">
      <c r="A14" s="3">
        <v>10</v>
      </c>
      <c r="B14" s="3" t="s">
        <v>99</v>
      </c>
      <c r="C14" s="3">
        <v>9000</v>
      </c>
      <c r="D14" s="3">
        <f>'APRIL 21'!L14:L30</f>
        <v>0</v>
      </c>
      <c r="E14" s="3"/>
      <c r="F14" s="3"/>
      <c r="G14" s="3">
        <v>1000</v>
      </c>
      <c r="H14" s="3">
        <v>250</v>
      </c>
      <c r="I14" s="3">
        <v>450</v>
      </c>
      <c r="J14" s="3">
        <f t="shared" si="0"/>
        <v>10700</v>
      </c>
      <c r="K14" s="3">
        <f>6700</f>
        <v>6700</v>
      </c>
      <c r="L14" s="3">
        <f t="shared" si="1"/>
        <v>4000</v>
      </c>
    </row>
    <row r="15" spans="1:16" x14ac:dyDescent="0.25">
      <c r="A15" s="3">
        <v>11</v>
      </c>
      <c r="B15" s="3" t="s">
        <v>127</v>
      </c>
      <c r="C15" s="3">
        <v>15000</v>
      </c>
      <c r="D15" s="3">
        <f>'APRIL 21'!L15:L31</f>
        <v>1200</v>
      </c>
      <c r="E15" s="3"/>
      <c r="F15" s="3"/>
      <c r="G15" s="3">
        <v>1000</v>
      </c>
      <c r="H15" s="3"/>
      <c r="I15" s="3">
        <v>450</v>
      </c>
      <c r="J15" s="3">
        <f>C15+D15+E15+F15+G15+H15+I15</f>
        <v>17650</v>
      </c>
      <c r="K15" s="3">
        <v>17650</v>
      </c>
      <c r="L15" s="3">
        <f t="shared" si="1"/>
        <v>0</v>
      </c>
    </row>
    <row r="16" spans="1:16" x14ac:dyDescent="0.25">
      <c r="A16" s="3">
        <v>12</v>
      </c>
      <c r="B16" s="3" t="s">
        <v>128</v>
      </c>
      <c r="C16" s="3">
        <v>22000</v>
      </c>
      <c r="D16" s="3">
        <f>'APRIL 21'!L16:L32</f>
        <v>40500</v>
      </c>
      <c r="E16" s="3"/>
      <c r="F16" s="3"/>
      <c r="G16" s="3">
        <v>1000</v>
      </c>
      <c r="H16" s="3"/>
      <c r="I16" s="3"/>
      <c r="J16" s="3">
        <f>C16+D16+E16+F16+G16+H16+I16</f>
        <v>63500</v>
      </c>
      <c r="K16" s="3">
        <f>46000</f>
        <v>46000</v>
      </c>
      <c r="L16" s="3">
        <f>J16-K16</f>
        <v>17500</v>
      </c>
    </row>
    <row r="17" spans="1:13" x14ac:dyDescent="0.25">
      <c r="A17" s="3">
        <v>13</v>
      </c>
      <c r="B17" s="3" t="s">
        <v>74</v>
      </c>
      <c r="C17" s="3"/>
      <c r="D17" s="3">
        <f>'APRIL 21'!L17:L33</f>
        <v>0</v>
      </c>
      <c r="E17" s="3"/>
      <c r="F17" s="3"/>
      <c r="G17" s="3"/>
      <c r="H17" s="3"/>
      <c r="I17" s="3">
        <v>600</v>
      </c>
      <c r="J17" s="3">
        <f t="shared" si="0"/>
        <v>600</v>
      </c>
      <c r="K17" s="3">
        <f>600</f>
        <v>600</v>
      </c>
      <c r="L17" s="3">
        <f>J17-K17</f>
        <v>0</v>
      </c>
    </row>
    <row r="18" spans="1:13" x14ac:dyDescent="0.25">
      <c r="A18" s="3"/>
      <c r="B18" s="3"/>
      <c r="C18" s="3"/>
      <c r="D18" s="3">
        <f>'APRIL 21'!L18:L34</f>
        <v>0</v>
      </c>
      <c r="E18" s="3"/>
      <c r="F18" s="3"/>
      <c r="G18" s="3"/>
      <c r="H18" s="3"/>
      <c r="I18" s="3"/>
      <c r="J18" s="3">
        <f>C18+D18+E18+F18+G18+H18+I18</f>
        <v>0</v>
      </c>
      <c r="K18" s="3"/>
      <c r="L18" s="3">
        <f t="shared" si="1"/>
        <v>0</v>
      </c>
    </row>
    <row r="19" spans="1:13" x14ac:dyDescent="0.25">
      <c r="A19" s="3"/>
      <c r="B19" s="3"/>
      <c r="C19" s="3"/>
      <c r="D19" s="3">
        <f>'APRIL 21'!L19:L35</f>
        <v>0</v>
      </c>
      <c r="E19" s="3"/>
      <c r="F19" s="3"/>
      <c r="G19" s="3"/>
      <c r="H19" s="3"/>
      <c r="I19" s="3"/>
      <c r="J19" s="3">
        <f>C19+D19+E19+F19+G19+H19+I19</f>
        <v>0</v>
      </c>
      <c r="K19" s="3"/>
      <c r="L19" s="3">
        <f t="shared" si="1"/>
        <v>0</v>
      </c>
    </row>
    <row r="20" spans="1:13" x14ac:dyDescent="0.25">
      <c r="A20" s="3"/>
      <c r="B20" s="2"/>
      <c r="C20" s="2">
        <f>SUM(C5:C19)</f>
        <v>167000</v>
      </c>
      <c r="D20" s="3">
        <f>SUM(D5:D19)</f>
        <v>50650</v>
      </c>
      <c r="E20" s="2">
        <f t="shared" ref="E20:G20" si="2">SUM(E5:E19)</f>
        <v>0</v>
      </c>
      <c r="F20" s="2">
        <f t="shared" si="2"/>
        <v>0</v>
      </c>
      <c r="G20" s="2">
        <f t="shared" si="2"/>
        <v>12000</v>
      </c>
      <c r="H20" s="2">
        <f>SUM(H5:H19)</f>
        <v>2500</v>
      </c>
      <c r="I20" s="2">
        <f>SUM(I5:I19)</f>
        <v>11200</v>
      </c>
      <c r="J20" s="3">
        <f>SUM(J5:J19)</f>
        <v>243350</v>
      </c>
      <c r="K20" s="2">
        <f>SUM(K5:K19)</f>
        <v>212150</v>
      </c>
      <c r="L20" s="3">
        <f>SUM(L5:L19)</f>
        <v>31200</v>
      </c>
    </row>
    <row r="21" spans="1:13" x14ac:dyDescent="0.25">
      <c r="B21" s="6"/>
      <c r="C21" s="6"/>
      <c r="D21" s="3">
        <f>'APRIL 21'!L21:L37</f>
        <v>33150</v>
      </c>
      <c r="E21" s="6"/>
      <c r="F21" s="6" t="s">
        <v>9</v>
      </c>
      <c r="G21" s="6"/>
      <c r="H21" s="6"/>
      <c r="I21" s="6"/>
      <c r="J21" s="3"/>
      <c r="K21" s="6"/>
      <c r="L21" s="29">
        <f>L20-17500</f>
        <v>13700</v>
      </c>
    </row>
    <row r="22" spans="1:13" x14ac:dyDescent="0.25">
      <c r="C22" s="7"/>
      <c r="D22" s="8"/>
      <c r="E22" s="8"/>
      <c r="F22" s="28" t="s">
        <v>10</v>
      </c>
      <c r="G22" s="6"/>
      <c r="H22" s="6"/>
      <c r="I22" s="6"/>
      <c r="J22" s="22"/>
      <c r="K22" s="10"/>
      <c r="L22" s="9"/>
      <c r="M22">
        <f>L105</f>
        <v>0</v>
      </c>
    </row>
    <row r="23" spans="1:13" x14ac:dyDescent="0.25">
      <c r="B23" s="1" t="s">
        <v>11</v>
      </c>
      <c r="C23" s="1"/>
      <c r="D23" s="1"/>
      <c r="E23" s="1"/>
      <c r="F23" s="11"/>
      <c r="G23" s="1" t="s">
        <v>12</v>
      </c>
      <c r="H23" s="12"/>
      <c r="I23" s="12"/>
      <c r="J23" s="12"/>
      <c r="K23" s="12"/>
    </row>
    <row r="24" spans="1:13" x14ac:dyDescent="0.25">
      <c r="B24" s="2" t="s">
        <v>13</v>
      </c>
      <c r="C24" s="2" t="s">
        <v>14</v>
      </c>
      <c r="D24" s="2" t="s">
        <v>15</v>
      </c>
      <c r="E24" s="2"/>
      <c r="F24" s="2" t="s">
        <v>16</v>
      </c>
      <c r="G24" s="2" t="s">
        <v>13</v>
      </c>
      <c r="H24" s="2" t="s">
        <v>14</v>
      </c>
      <c r="I24" s="3" t="s">
        <v>15</v>
      </c>
      <c r="J24" s="2" t="s">
        <v>16</v>
      </c>
      <c r="K24" s="2"/>
    </row>
    <row r="25" spans="1:13" x14ac:dyDescent="0.25">
      <c r="B25" s="13" t="s">
        <v>67</v>
      </c>
      <c r="C25" s="14">
        <f>C20</f>
        <v>167000</v>
      </c>
      <c r="D25" s="13"/>
      <c r="E25" s="13"/>
      <c r="F25" s="13"/>
      <c r="G25" s="13" t="s">
        <v>67</v>
      </c>
      <c r="H25" s="14">
        <f>K20</f>
        <v>212150</v>
      </c>
      <c r="I25" s="3"/>
      <c r="J25" s="13"/>
      <c r="K25" s="13"/>
    </row>
    <row r="26" spans="1:13" x14ac:dyDescent="0.25">
      <c r="B26" s="13" t="s">
        <v>3</v>
      </c>
      <c r="C26" s="14">
        <f>'APRIL 21'!F38</f>
        <v>0</v>
      </c>
      <c r="D26" s="13"/>
      <c r="E26" s="13"/>
      <c r="F26" s="13"/>
      <c r="G26" s="13" t="s">
        <v>3</v>
      </c>
      <c r="H26" s="14">
        <f>'APRIL 21'!J38</f>
        <v>-29649</v>
      </c>
      <c r="I26" s="13"/>
      <c r="J26" s="13"/>
      <c r="K26" s="13"/>
    </row>
    <row r="27" spans="1:13" x14ac:dyDescent="0.25">
      <c r="B27" s="13" t="s">
        <v>27</v>
      </c>
      <c r="C27" s="14">
        <f>E20</f>
        <v>0</v>
      </c>
      <c r="D27" s="13"/>
      <c r="E27" s="13"/>
      <c r="F27" s="13"/>
      <c r="G27" s="13"/>
      <c r="H27" s="14"/>
      <c r="I27" s="13"/>
      <c r="J27" s="13"/>
      <c r="K27" s="13"/>
    </row>
    <row r="28" spans="1:13" x14ac:dyDescent="0.25">
      <c r="B28" s="3" t="s">
        <v>31</v>
      </c>
      <c r="C28" s="3">
        <f>F20</f>
        <v>0</v>
      </c>
      <c r="D28" s="13"/>
      <c r="E28" s="13"/>
      <c r="F28" s="13"/>
      <c r="G28" s="13"/>
      <c r="H28" s="14"/>
      <c r="I28" s="13"/>
      <c r="J28" s="13"/>
      <c r="K28" s="13"/>
    </row>
    <row r="29" spans="1:13" x14ac:dyDescent="0.25">
      <c r="B29" s="3" t="s">
        <v>37</v>
      </c>
      <c r="C29" s="3">
        <f>G20</f>
        <v>12000</v>
      </c>
      <c r="D29" s="3"/>
      <c r="E29" s="3"/>
      <c r="F29" s="3"/>
      <c r="G29" s="3"/>
      <c r="H29" s="3"/>
      <c r="I29" s="3"/>
      <c r="J29" s="3"/>
      <c r="K29" s="3"/>
    </row>
    <row r="30" spans="1:13" x14ac:dyDescent="0.25">
      <c r="B30" s="3" t="s">
        <v>43</v>
      </c>
      <c r="C30" s="3">
        <f>I20</f>
        <v>11200</v>
      </c>
      <c r="D30" s="3"/>
      <c r="E30" s="3"/>
      <c r="F30" s="3"/>
      <c r="G30" s="3"/>
      <c r="H30" s="3"/>
      <c r="I30" s="3"/>
      <c r="J30" s="2"/>
      <c r="K30" s="3"/>
    </row>
    <row r="31" spans="1:13" x14ac:dyDescent="0.25">
      <c r="B31" s="13" t="s">
        <v>18</v>
      </c>
      <c r="C31" s="16">
        <v>0.05</v>
      </c>
      <c r="D31" s="14">
        <f>C31*C25</f>
        <v>8350</v>
      </c>
      <c r="E31" s="14"/>
      <c r="F31" s="13"/>
      <c r="G31" s="13" t="s">
        <v>18</v>
      </c>
      <c r="H31" s="16">
        <v>0.05</v>
      </c>
      <c r="I31" s="14">
        <f>H31*C25</f>
        <v>8350</v>
      </c>
      <c r="J31" s="13"/>
      <c r="K31" s="3"/>
    </row>
    <row r="32" spans="1:13" x14ac:dyDescent="0.25">
      <c r="B32" s="27" t="s">
        <v>19</v>
      </c>
      <c r="C32" s="13" t="s">
        <v>9</v>
      </c>
      <c r="D32" s="13"/>
      <c r="E32" s="13"/>
      <c r="F32" s="13"/>
      <c r="G32" s="27" t="s">
        <v>19</v>
      </c>
      <c r="H32" s="14"/>
      <c r="I32" s="13"/>
      <c r="J32" s="13"/>
      <c r="K32" s="13"/>
    </row>
    <row r="33" spans="2:13" x14ac:dyDescent="0.25">
      <c r="B33" s="27"/>
      <c r="C33" s="13"/>
      <c r="D33" s="14"/>
      <c r="E33" s="13"/>
      <c r="F33" s="13"/>
      <c r="G33" s="24" t="s">
        <v>42</v>
      </c>
      <c r="H33" s="14"/>
      <c r="I33" s="13">
        <f>H20</f>
        <v>2500</v>
      </c>
      <c r="J33" s="13"/>
      <c r="K33" s="13"/>
      <c r="M33">
        <f>79920+5000</f>
        <v>84920</v>
      </c>
    </row>
    <row r="34" spans="2:13" x14ac:dyDescent="0.25">
      <c r="B34" s="17" t="s">
        <v>37</v>
      </c>
      <c r="C34" s="3"/>
      <c r="D34" s="30">
        <v>9000</v>
      </c>
      <c r="E34" s="3"/>
      <c r="F34" s="3"/>
      <c r="G34" s="17" t="s">
        <v>37</v>
      </c>
      <c r="H34" s="3"/>
      <c r="I34" s="3">
        <v>9000</v>
      </c>
      <c r="J34" s="3"/>
      <c r="K34" s="3"/>
      <c r="M34" s="15">
        <f>M33+16200+10600</f>
        <v>111720</v>
      </c>
    </row>
    <row r="35" spans="2:13" x14ac:dyDescent="0.25">
      <c r="B35" s="18" t="s">
        <v>60</v>
      </c>
      <c r="C35" s="3"/>
      <c r="D35" s="30">
        <v>7000</v>
      </c>
      <c r="E35" s="3"/>
      <c r="F35" s="3"/>
      <c r="G35" s="18" t="s">
        <v>60</v>
      </c>
      <c r="H35" s="3"/>
      <c r="I35" s="3">
        <v>7000</v>
      </c>
      <c r="J35" s="3"/>
      <c r="K35" s="3"/>
    </row>
    <row r="36" spans="2:13" x14ac:dyDescent="0.25">
      <c r="B36" s="19" t="s">
        <v>70</v>
      </c>
      <c r="C36" s="13"/>
      <c r="D36" s="14">
        <v>165850</v>
      </c>
      <c r="E36" s="13"/>
      <c r="F36" s="13"/>
      <c r="G36" s="19" t="s">
        <v>70</v>
      </c>
      <c r="H36" s="13"/>
      <c r="I36" s="14">
        <v>165850</v>
      </c>
      <c r="J36" s="13"/>
      <c r="K36" s="13"/>
    </row>
    <row r="37" spans="2:13" x14ac:dyDescent="0.25">
      <c r="B37" s="19"/>
      <c r="C37" s="13"/>
      <c r="D37" s="14"/>
      <c r="E37" s="13"/>
      <c r="F37" s="13"/>
      <c r="G37" s="19"/>
      <c r="H37" s="13"/>
      <c r="I37" s="14"/>
      <c r="J37" s="13"/>
      <c r="K37" s="13"/>
    </row>
    <row r="38" spans="2:13" x14ac:dyDescent="0.25">
      <c r="B38" s="18"/>
      <c r="C38" s="30">
        <f>C25+C26+C27+C28+C29+C30-D31</f>
        <v>181850</v>
      </c>
      <c r="D38" s="31">
        <f>SUM(D33:D37)</f>
        <v>181850</v>
      </c>
      <c r="E38" s="31">
        <f>C38-D38</f>
        <v>0</v>
      </c>
      <c r="F38" s="13"/>
      <c r="G38" s="18"/>
      <c r="H38" s="30">
        <f>H25+H26-I31</f>
        <v>174151</v>
      </c>
      <c r="I38" s="21">
        <f>SUM(I33:I37)</f>
        <v>184350</v>
      </c>
      <c r="J38" s="30">
        <f>H38-I38</f>
        <v>-10199</v>
      </c>
      <c r="K38" s="3"/>
      <c r="L38" s="15"/>
    </row>
    <row r="39" spans="2:13" x14ac:dyDescent="0.25">
      <c r="B39" t="s">
        <v>20</v>
      </c>
      <c r="D39" t="s">
        <v>21</v>
      </c>
      <c r="I39">
        <f>I38-I33</f>
        <v>181850</v>
      </c>
      <c r="J39" t="s">
        <v>22</v>
      </c>
      <c r="L39" s="15"/>
    </row>
    <row r="40" spans="2:13" x14ac:dyDescent="0.25">
      <c r="L40" s="1"/>
    </row>
    <row r="41" spans="2:13" x14ac:dyDescent="0.25">
      <c r="B41" t="s">
        <v>34</v>
      </c>
      <c r="D41" t="s">
        <v>23</v>
      </c>
      <c r="J41" t="s">
        <v>95</v>
      </c>
      <c r="K41" s="15"/>
      <c r="L41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B1" workbookViewId="0">
      <selection activeCell="K7" sqref="K7"/>
    </sheetView>
  </sheetViews>
  <sheetFormatPr defaultRowHeight="15" x14ac:dyDescent="0.25"/>
  <cols>
    <col min="2" max="2" width="21" customWidth="1"/>
  </cols>
  <sheetData>
    <row r="1" spans="1:12" x14ac:dyDescent="0.25">
      <c r="E1" s="1" t="s">
        <v>94</v>
      </c>
      <c r="F1" s="1"/>
      <c r="G1" s="1"/>
      <c r="H1" s="1"/>
      <c r="I1" s="1"/>
      <c r="J1" s="1"/>
      <c r="K1" s="1"/>
      <c r="L1" s="1"/>
    </row>
    <row r="2" spans="1:12" x14ac:dyDescent="0.25">
      <c r="E2" s="1" t="s">
        <v>0</v>
      </c>
      <c r="F2" s="1"/>
      <c r="G2" s="1"/>
      <c r="H2" s="1"/>
      <c r="I2" s="1"/>
      <c r="J2" s="1"/>
      <c r="K2" s="1"/>
      <c r="L2" s="1"/>
    </row>
    <row r="3" spans="1:12" x14ac:dyDescent="0.25">
      <c r="B3" s="1"/>
      <c r="E3" s="1" t="s">
        <v>131</v>
      </c>
      <c r="F3" s="1"/>
      <c r="G3" s="1"/>
      <c r="H3" s="1"/>
      <c r="I3" s="1"/>
      <c r="J3" s="1"/>
      <c r="K3" s="1"/>
      <c r="L3" s="1"/>
    </row>
    <row r="4" spans="1:12" x14ac:dyDescent="0.25">
      <c r="A4" s="3"/>
      <c r="B4" s="2" t="s">
        <v>2</v>
      </c>
      <c r="C4" s="2" t="s">
        <v>51</v>
      </c>
      <c r="D4" s="2" t="s">
        <v>3</v>
      </c>
      <c r="E4" s="2" t="s">
        <v>27</v>
      </c>
      <c r="F4" s="2" t="s">
        <v>31</v>
      </c>
      <c r="G4" s="2" t="s">
        <v>50</v>
      </c>
      <c r="H4" s="2" t="s">
        <v>42</v>
      </c>
      <c r="I4" s="2" t="s">
        <v>43</v>
      </c>
      <c r="J4" s="2" t="s">
        <v>5</v>
      </c>
      <c r="K4" s="2" t="s">
        <v>6</v>
      </c>
      <c r="L4" s="2" t="s">
        <v>7</v>
      </c>
    </row>
    <row r="5" spans="1:12" x14ac:dyDescent="0.25">
      <c r="A5" s="3">
        <v>1</v>
      </c>
      <c r="B5" s="3" t="s">
        <v>123</v>
      </c>
      <c r="C5" s="3">
        <v>14000</v>
      </c>
      <c r="D5" s="3">
        <f>'MAY 21'!L5:L21</f>
        <v>0</v>
      </c>
      <c r="E5" s="3"/>
      <c r="F5" s="3"/>
      <c r="G5" s="3">
        <v>1000</v>
      </c>
      <c r="H5" s="3">
        <v>250</v>
      </c>
      <c r="I5" s="3">
        <v>900</v>
      </c>
      <c r="J5" s="3">
        <f>C5+C17+D5+E5+F5+G5+H5+I5</f>
        <v>16150</v>
      </c>
      <c r="K5" s="3">
        <v>16150</v>
      </c>
      <c r="L5" s="3">
        <f>J5-K5</f>
        <v>0</v>
      </c>
    </row>
    <row r="6" spans="1:12" x14ac:dyDescent="0.25">
      <c r="A6" s="3">
        <v>2</v>
      </c>
      <c r="B6" s="3" t="s">
        <v>39</v>
      </c>
      <c r="C6" s="3">
        <v>14000</v>
      </c>
      <c r="D6" s="3">
        <f>'MAY 21'!L6:L22</f>
        <v>780</v>
      </c>
      <c r="E6" s="3"/>
      <c r="F6" s="3"/>
      <c r="G6" s="3">
        <v>1000</v>
      </c>
      <c r="H6" s="3">
        <v>250</v>
      </c>
      <c r="I6" s="3">
        <v>1050</v>
      </c>
      <c r="J6" s="3">
        <f t="shared" ref="J6:J17" si="0">C6+D6+E6+F6+G6+H6+I6</f>
        <v>17080</v>
      </c>
      <c r="K6" s="3">
        <f>16300</f>
        <v>16300</v>
      </c>
      <c r="L6" s="3">
        <f>J6-K6</f>
        <v>780</v>
      </c>
    </row>
    <row r="7" spans="1:12" x14ac:dyDescent="0.25">
      <c r="A7" s="3">
        <v>3</v>
      </c>
      <c r="B7" s="3" t="s">
        <v>35</v>
      </c>
      <c r="C7" s="3">
        <v>14000</v>
      </c>
      <c r="D7" s="3">
        <f>'MAY 21'!L7:L23</f>
        <v>0</v>
      </c>
      <c r="E7" s="3"/>
      <c r="F7" s="3"/>
      <c r="G7" s="3">
        <v>1000</v>
      </c>
      <c r="H7" s="3">
        <v>250</v>
      </c>
      <c r="I7" s="3">
        <v>1350</v>
      </c>
      <c r="J7" s="3">
        <f>C7+D7+E7+F7+G7+H7+I7</f>
        <v>16600</v>
      </c>
      <c r="K7" s="3">
        <v>16600</v>
      </c>
      <c r="L7" s="3">
        <f>J7-K7</f>
        <v>0</v>
      </c>
    </row>
    <row r="8" spans="1:12" x14ac:dyDescent="0.25">
      <c r="A8" s="3">
        <v>4</v>
      </c>
      <c r="B8" s="3" t="s">
        <v>48</v>
      </c>
      <c r="C8" s="3">
        <v>14000</v>
      </c>
      <c r="D8" s="3">
        <f>'MAY 21'!L8:L24</f>
        <v>2000</v>
      </c>
      <c r="E8" s="3"/>
      <c r="F8" s="3"/>
      <c r="G8" s="3">
        <v>1000</v>
      </c>
      <c r="H8" s="3">
        <v>250</v>
      </c>
      <c r="I8" s="3">
        <v>150</v>
      </c>
      <c r="J8" s="3">
        <f t="shared" si="0"/>
        <v>17400</v>
      </c>
      <c r="K8" s="3">
        <v>13500</v>
      </c>
      <c r="L8" s="3">
        <f t="shared" ref="L8:L19" si="1">J8-K8</f>
        <v>3900</v>
      </c>
    </row>
    <row r="9" spans="1:12" x14ac:dyDescent="0.25">
      <c r="A9" s="3">
        <v>5</v>
      </c>
      <c r="B9" s="3" t="s">
        <v>59</v>
      </c>
      <c r="C9" s="3">
        <v>9000</v>
      </c>
      <c r="D9" s="3">
        <f>'MAY 21'!L9:L25</f>
        <v>440</v>
      </c>
      <c r="E9" s="3"/>
      <c r="F9" s="3"/>
      <c r="G9" s="3">
        <v>1000</v>
      </c>
      <c r="H9" s="3">
        <v>250</v>
      </c>
      <c r="I9" s="3">
        <v>900</v>
      </c>
      <c r="J9" s="3">
        <f>C9+D9+E9+F9+G9+H9+I9</f>
        <v>11590</v>
      </c>
      <c r="K9" s="3">
        <f>11500</f>
        <v>11500</v>
      </c>
      <c r="L9" s="3">
        <f t="shared" si="1"/>
        <v>90</v>
      </c>
    </row>
    <row r="10" spans="1:12" x14ac:dyDescent="0.25">
      <c r="A10" s="3">
        <v>6</v>
      </c>
      <c r="B10" s="4" t="s">
        <v>111</v>
      </c>
      <c r="C10" s="3">
        <v>14000</v>
      </c>
      <c r="D10" s="3">
        <f>'MAY 21'!L10:L26</f>
        <v>6100</v>
      </c>
      <c r="E10" s="3"/>
      <c r="F10" s="3"/>
      <c r="G10" s="3">
        <v>1000</v>
      </c>
      <c r="H10" s="3">
        <v>250</v>
      </c>
      <c r="I10" s="3">
        <v>1350</v>
      </c>
      <c r="J10" s="3">
        <f>C10+D10+E10+F10+G10+H10+I10</f>
        <v>22700</v>
      </c>
      <c r="K10" s="3">
        <f>7300+7500</f>
        <v>14800</v>
      </c>
      <c r="L10" s="3">
        <f>J10-K10</f>
        <v>7900</v>
      </c>
    </row>
    <row r="11" spans="1:12" x14ac:dyDescent="0.25">
      <c r="A11" s="3">
        <v>7</v>
      </c>
      <c r="B11" s="3" t="s">
        <v>32</v>
      </c>
      <c r="C11" s="3">
        <v>14000</v>
      </c>
      <c r="D11" s="3">
        <f>'MAY 21'!L11:L27</f>
        <v>350</v>
      </c>
      <c r="E11" s="3"/>
      <c r="F11" s="3"/>
      <c r="G11" s="3">
        <v>1000</v>
      </c>
      <c r="H11" s="3">
        <v>250</v>
      </c>
      <c r="I11" s="3">
        <v>750</v>
      </c>
      <c r="J11" s="3">
        <f t="shared" si="0"/>
        <v>16350</v>
      </c>
      <c r="K11" s="3">
        <f>15000</f>
        <v>15000</v>
      </c>
      <c r="L11" s="3">
        <f>J11-K11</f>
        <v>1350</v>
      </c>
    </row>
    <row r="12" spans="1:12" x14ac:dyDescent="0.25">
      <c r="A12" s="3">
        <v>8</v>
      </c>
      <c r="B12" s="3" t="s">
        <v>30</v>
      </c>
      <c r="C12" s="3">
        <v>14000</v>
      </c>
      <c r="D12" s="3">
        <f>'MAY 21'!L12:L28</f>
        <v>0</v>
      </c>
      <c r="E12" s="3"/>
      <c r="F12" s="3"/>
      <c r="G12" s="3">
        <v>1000</v>
      </c>
      <c r="H12" s="3">
        <v>250</v>
      </c>
      <c r="I12" s="3">
        <v>1050</v>
      </c>
      <c r="J12" s="3">
        <f t="shared" si="0"/>
        <v>16300</v>
      </c>
      <c r="K12" s="3">
        <f>16300</f>
        <v>16300</v>
      </c>
      <c r="L12" s="3">
        <f t="shared" si="1"/>
        <v>0</v>
      </c>
    </row>
    <row r="13" spans="1:12" x14ac:dyDescent="0.25">
      <c r="A13" s="3">
        <v>9</v>
      </c>
      <c r="B13" s="3" t="s">
        <v>40</v>
      </c>
      <c r="C13" s="3">
        <v>14000</v>
      </c>
      <c r="D13" s="3">
        <f>'MAY 21'!L13:L29</f>
        <v>30</v>
      </c>
      <c r="E13" s="3"/>
      <c r="F13" s="3"/>
      <c r="G13" s="3">
        <v>1000</v>
      </c>
      <c r="H13" s="3">
        <v>250</v>
      </c>
      <c r="I13" s="3">
        <v>900</v>
      </c>
      <c r="J13" s="3">
        <f t="shared" si="0"/>
        <v>16180</v>
      </c>
      <c r="K13" s="3">
        <v>16180</v>
      </c>
      <c r="L13" s="3">
        <f t="shared" si="1"/>
        <v>0</v>
      </c>
    </row>
    <row r="14" spans="1:12" x14ac:dyDescent="0.25">
      <c r="A14" s="3">
        <v>10</v>
      </c>
      <c r="B14" s="3" t="s">
        <v>100</v>
      </c>
      <c r="C14" s="3"/>
      <c r="D14" s="3"/>
      <c r="E14" s="3"/>
      <c r="F14" s="3"/>
      <c r="G14" s="3">
        <v>0</v>
      </c>
      <c r="H14" s="3">
        <v>0</v>
      </c>
      <c r="I14" s="3"/>
      <c r="J14" s="3">
        <f t="shared" si="0"/>
        <v>0</v>
      </c>
      <c r="K14" s="3"/>
      <c r="L14" s="3">
        <f t="shared" si="1"/>
        <v>0</v>
      </c>
    </row>
    <row r="15" spans="1:12" x14ac:dyDescent="0.25">
      <c r="A15" s="3">
        <v>11</v>
      </c>
      <c r="B15" s="3" t="s">
        <v>127</v>
      </c>
      <c r="C15" s="3">
        <v>15000</v>
      </c>
      <c r="D15" s="3">
        <f>'MAY 21'!L15:L31</f>
        <v>0</v>
      </c>
      <c r="E15" s="3"/>
      <c r="F15" s="3"/>
      <c r="G15" s="3">
        <v>1000</v>
      </c>
      <c r="H15" s="3"/>
      <c r="I15" s="3">
        <v>450</v>
      </c>
      <c r="J15" s="3">
        <f>C15+D15+E15+F15+G15+H15+I15</f>
        <v>16450</v>
      </c>
      <c r="K15" s="3">
        <v>15000</v>
      </c>
      <c r="L15" s="3">
        <f t="shared" si="1"/>
        <v>1450</v>
      </c>
    </row>
    <row r="16" spans="1:12" x14ac:dyDescent="0.25">
      <c r="A16" s="3">
        <v>12</v>
      </c>
      <c r="B16" s="3" t="s">
        <v>128</v>
      </c>
      <c r="C16" s="3">
        <v>22000</v>
      </c>
      <c r="D16" s="3">
        <f>'MAY 21'!L16:L32</f>
        <v>17500</v>
      </c>
      <c r="E16" s="3"/>
      <c r="F16" s="3"/>
      <c r="G16" s="3">
        <v>1000</v>
      </c>
      <c r="H16" s="3"/>
      <c r="I16" s="3"/>
      <c r="J16" s="3">
        <f>C16+D16+E16+F16+G16+H16+I16</f>
        <v>40500</v>
      </c>
      <c r="K16" s="3">
        <v>23000</v>
      </c>
      <c r="L16" s="3">
        <f>J16-K16</f>
        <v>17500</v>
      </c>
    </row>
    <row r="17" spans="1:13" x14ac:dyDescent="0.25">
      <c r="A17" s="3">
        <v>13</v>
      </c>
      <c r="B17" s="3" t="s">
        <v>74</v>
      </c>
      <c r="C17" s="3"/>
      <c r="D17" s="3">
        <f>'MAY 21'!L17:L33</f>
        <v>0</v>
      </c>
      <c r="E17" s="3"/>
      <c r="F17" s="3"/>
      <c r="G17" s="3"/>
      <c r="H17" s="3"/>
      <c r="I17" s="3">
        <v>600</v>
      </c>
      <c r="J17" s="3">
        <f t="shared" si="0"/>
        <v>600</v>
      </c>
      <c r="K17" s="3">
        <f>600</f>
        <v>600</v>
      </c>
      <c r="L17" s="3">
        <f>J17-K17</f>
        <v>0</v>
      </c>
    </row>
    <row r="18" spans="1:13" x14ac:dyDescent="0.25">
      <c r="A18" s="3"/>
      <c r="B18" s="3"/>
      <c r="C18" s="3"/>
      <c r="D18" s="3">
        <f>'MAY 21'!L18:L34</f>
        <v>0</v>
      </c>
      <c r="E18" s="3"/>
      <c r="F18" s="3"/>
      <c r="G18" s="3"/>
      <c r="H18" s="3"/>
      <c r="I18" s="3"/>
      <c r="J18" s="3">
        <f>C18+D18+E18+F18+G18+H18+I18</f>
        <v>0</v>
      </c>
      <c r="K18" s="3"/>
      <c r="L18" s="3">
        <f t="shared" si="1"/>
        <v>0</v>
      </c>
    </row>
    <row r="19" spans="1:13" x14ac:dyDescent="0.25">
      <c r="A19" s="3"/>
      <c r="B19" s="3"/>
      <c r="C19" s="3"/>
      <c r="D19" s="3">
        <f>'MAY 21'!L19:L35</f>
        <v>0</v>
      </c>
      <c r="E19" s="3"/>
      <c r="F19" s="3"/>
      <c r="G19" s="3"/>
      <c r="H19" s="3"/>
      <c r="I19" s="3"/>
      <c r="J19" s="3">
        <f>C19+D19+E19+F19+G19+H19+I19</f>
        <v>0</v>
      </c>
      <c r="K19" s="3"/>
      <c r="L19" s="3">
        <f t="shared" si="1"/>
        <v>0</v>
      </c>
    </row>
    <row r="20" spans="1:13" x14ac:dyDescent="0.25">
      <c r="A20" s="3"/>
      <c r="B20" s="2"/>
      <c r="C20" s="2">
        <f>SUM(C5:C19)</f>
        <v>158000</v>
      </c>
      <c r="D20" s="3">
        <f>'MAY 21'!L20:L36</f>
        <v>31200</v>
      </c>
      <c r="E20" s="2">
        <f t="shared" ref="E20:G20" si="2">SUM(E5:E19)</f>
        <v>0</v>
      </c>
      <c r="F20" s="2">
        <f t="shared" si="2"/>
        <v>0</v>
      </c>
      <c r="G20" s="2">
        <f t="shared" si="2"/>
        <v>11000</v>
      </c>
      <c r="H20" s="2">
        <f>SUM(H5:H19)</f>
        <v>2250</v>
      </c>
      <c r="I20" s="2">
        <f>SUM(I5:I19)</f>
        <v>9450</v>
      </c>
      <c r="J20" s="3">
        <f>SUM(J5:J19)</f>
        <v>207900</v>
      </c>
      <c r="K20" s="2">
        <f>SUM(K5:K19)</f>
        <v>174930</v>
      </c>
      <c r="L20" s="3">
        <f>SUM(L5:L19)</f>
        <v>32970</v>
      </c>
    </row>
    <row r="21" spans="1:13" x14ac:dyDescent="0.25">
      <c r="B21" s="6"/>
      <c r="C21" s="6"/>
      <c r="D21" s="3">
        <f>'MAY 21'!L21:L37</f>
        <v>13700</v>
      </c>
      <c r="E21" s="6"/>
      <c r="F21" s="6" t="s">
        <v>9</v>
      </c>
      <c r="G21" s="6"/>
      <c r="H21" s="6"/>
      <c r="I21" s="6"/>
      <c r="J21" s="3"/>
      <c r="K21" s="6"/>
      <c r="L21" s="29">
        <f>L20-17500</f>
        <v>15470</v>
      </c>
    </row>
    <row r="22" spans="1:13" x14ac:dyDescent="0.25">
      <c r="C22" s="7"/>
      <c r="D22" s="8"/>
      <c r="E22" s="8"/>
      <c r="F22" s="28" t="s">
        <v>10</v>
      </c>
      <c r="G22" s="6"/>
      <c r="H22" s="6"/>
      <c r="I22" s="6"/>
      <c r="J22" s="22"/>
      <c r="K22" s="10"/>
      <c r="L22" s="9"/>
      <c r="M22">
        <f>L105</f>
        <v>0</v>
      </c>
    </row>
    <row r="23" spans="1:13" x14ac:dyDescent="0.25">
      <c r="B23" s="1" t="s">
        <v>11</v>
      </c>
      <c r="C23" s="1"/>
      <c r="D23" s="1"/>
      <c r="E23" s="1"/>
      <c r="F23" s="11"/>
      <c r="G23" s="1" t="s">
        <v>12</v>
      </c>
      <c r="H23" s="12"/>
      <c r="I23" s="12"/>
      <c r="J23" s="12"/>
      <c r="K23" s="12"/>
    </row>
    <row r="24" spans="1:13" x14ac:dyDescent="0.25">
      <c r="B24" s="2" t="s">
        <v>13</v>
      </c>
      <c r="C24" s="2" t="s">
        <v>14</v>
      </c>
      <c r="D24" s="2" t="s">
        <v>15</v>
      </c>
      <c r="E24" s="2"/>
      <c r="F24" s="2" t="s">
        <v>16</v>
      </c>
      <c r="G24" s="2" t="s">
        <v>13</v>
      </c>
      <c r="H24" s="2" t="s">
        <v>14</v>
      </c>
      <c r="I24" s="3" t="s">
        <v>15</v>
      </c>
      <c r="J24" s="2" t="s">
        <v>16</v>
      </c>
      <c r="K24" s="2"/>
    </row>
    <row r="25" spans="1:13" x14ac:dyDescent="0.25">
      <c r="B25" s="13" t="s">
        <v>73</v>
      </c>
      <c r="C25" s="14">
        <f>C20</f>
        <v>158000</v>
      </c>
      <c r="D25" s="13"/>
      <c r="E25" s="13"/>
      <c r="F25" s="13"/>
      <c r="G25" s="13" t="s">
        <v>73</v>
      </c>
      <c r="H25" s="14">
        <f>K20</f>
        <v>174930</v>
      </c>
      <c r="I25" s="3"/>
      <c r="J25" s="13"/>
      <c r="K25" s="13"/>
    </row>
    <row r="26" spans="1:13" x14ac:dyDescent="0.25">
      <c r="B26" s="13" t="s">
        <v>3</v>
      </c>
      <c r="C26" s="14">
        <f>'MAY 21'!E38</f>
        <v>0</v>
      </c>
      <c r="D26" s="13"/>
      <c r="E26" s="13"/>
      <c r="F26" s="13"/>
      <c r="G26" s="13" t="s">
        <v>3</v>
      </c>
      <c r="H26" s="14">
        <f>'MAY 21'!J38</f>
        <v>-10199</v>
      </c>
      <c r="I26" s="13"/>
      <c r="J26" s="13"/>
      <c r="K26" s="13"/>
    </row>
    <row r="27" spans="1:13" x14ac:dyDescent="0.25">
      <c r="B27" s="13" t="s">
        <v>27</v>
      </c>
      <c r="C27" s="14">
        <f>E20</f>
        <v>0</v>
      </c>
      <c r="D27" s="13"/>
      <c r="E27" s="13"/>
      <c r="F27" s="13"/>
      <c r="G27" s="13"/>
      <c r="H27" s="14"/>
      <c r="I27" s="13"/>
      <c r="J27" s="13"/>
      <c r="K27" s="13"/>
    </row>
    <row r="28" spans="1:13" x14ac:dyDescent="0.25">
      <c r="B28" s="3" t="s">
        <v>31</v>
      </c>
      <c r="C28" s="3">
        <f>F20</f>
        <v>0</v>
      </c>
      <c r="D28" s="13"/>
      <c r="E28" s="13"/>
      <c r="F28" s="13"/>
      <c r="G28" s="13"/>
      <c r="H28" s="14"/>
      <c r="I28" s="13"/>
      <c r="J28" s="13"/>
      <c r="K28" s="13"/>
    </row>
    <row r="29" spans="1:13" x14ac:dyDescent="0.25">
      <c r="B29" s="3" t="s">
        <v>37</v>
      </c>
      <c r="C29" s="3">
        <f>G20</f>
        <v>11000</v>
      </c>
      <c r="D29" s="3"/>
      <c r="E29" s="3"/>
      <c r="F29" s="3"/>
      <c r="G29" s="3"/>
      <c r="H29" s="3"/>
      <c r="I29" s="3"/>
      <c r="J29" s="3"/>
      <c r="K29" s="3"/>
    </row>
    <row r="30" spans="1:13" x14ac:dyDescent="0.25">
      <c r="B30" s="3" t="s">
        <v>43</v>
      </c>
      <c r="C30" s="3">
        <f>I20</f>
        <v>9450</v>
      </c>
      <c r="D30" s="3"/>
      <c r="E30" s="3"/>
      <c r="F30" s="3"/>
      <c r="G30" s="3"/>
      <c r="H30" s="3"/>
      <c r="I30" s="3"/>
      <c r="J30" s="2"/>
      <c r="K30" s="3"/>
    </row>
    <row r="31" spans="1:13" x14ac:dyDescent="0.25">
      <c r="B31" s="13" t="s">
        <v>18</v>
      </c>
      <c r="C31" s="16">
        <v>0.05</v>
      </c>
      <c r="D31" s="14">
        <f>C31*C25</f>
        <v>7900</v>
      </c>
      <c r="E31" s="14"/>
      <c r="F31" s="13"/>
      <c r="G31" s="13" t="s">
        <v>18</v>
      </c>
      <c r="H31" s="16">
        <v>0.05</v>
      </c>
      <c r="I31" s="14">
        <f>H31*C25</f>
        <v>7900</v>
      </c>
      <c r="J31" s="13"/>
      <c r="K31" s="3"/>
    </row>
    <row r="32" spans="1:13" x14ac:dyDescent="0.25">
      <c r="B32" s="27" t="s">
        <v>19</v>
      </c>
      <c r="C32" s="13" t="s">
        <v>9</v>
      </c>
      <c r="D32" s="13"/>
      <c r="E32" s="13"/>
      <c r="F32" s="13"/>
      <c r="G32" s="27" t="s">
        <v>19</v>
      </c>
      <c r="H32" s="14"/>
      <c r="I32" s="13"/>
      <c r="J32" s="13"/>
      <c r="K32" s="13"/>
    </row>
    <row r="33" spans="2:13" x14ac:dyDescent="0.25">
      <c r="B33" s="27"/>
      <c r="C33" s="13"/>
      <c r="D33" s="14"/>
      <c r="E33" s="13"/>
      <c r="F33" s="13"/>
      <c r="G33" s="24" t="s">
        <v>42</v>
      </c>
      <c r="H33" s="14"/>
      <c r="I33" s="13">
        <f>H20</f>
        <v>2250</v>
      </c>
      <c r="J33" s="13"/>
      <c r="K33" s="13"/>
    </row>
    <row r="34" spans="2:13" x14ac:dyDescent="0.25">
      <c r="B34" s="17" t="s">
        <v>37</v>
      </c>
      <c r="C34" s="3"/>
      <c r="D34" s="30">
        <v>9000</v>
      </c>
      <c r="E34" s="3"/>
      <c r="F34" s="3"/>
      <c r="G34" s="17" t="s">
        <v>37</v>
      </c>
      <c r="H34" s="3"/>
      <c r="I34" s="3">
        <v>9000</v>
      </c>
      <c r="J34" s="3"/>
      <c r="K34" s="3"/>
      <c r="M34" s="15"/>
    </row>
    <row r="35" spans="2:13" x14ac:dyDescent="0.25">
      <c r="B35" s="18" t="s">
        <v>60</v>
      </c>
      <c r="C35" s="3"/>
      <c r="D35" s="30">
        <v>7000</v>
      </c>
      <c r="E35" s="3"/>
      <c r="F35" s="3"/>
      <c r="G35" s="18" t="s">
        <v>60</v>
      </c>
      <c r="H35" s="3"/>
      <c r="I35" s="3">
        <v>7000</v>
      </c>
      <c r="J35" s="3"/>
      <c r="K35" s="3"/>
    </row>
    <row r="36" spans="2:13" x14ac:dyDescent="0.25">
      <c r="B36" s="19" t="s">
        <v>75</v>
      </c>
      <c r="C36" s="13"/>
      <c r="D36" s="14">
        <v>150550</v>
      </c>
      <c r="E36" s="13"/>
      <c r="F36" s="13"/>
      <c r="G36" s="19" t="s">
        <v>75</v>
      </c>
      <c r="H36" s="13"/>
      <c r="I36" s="14">
        <v>150550</v>
      </c>
      <c r="J36" s="13"/>
      <c r="K36" s="13"/>
    </row>
    <row r="37" spans="2:13" x14ac:dyDescent="0.25">
      <c r="B37" s="19" t="s">
        <v>132</v>
      </c>
      <c r="C37" s="13"/>
      <c r="D37" s="14">
        <v>4000</v>
      </c>
      <c r="E37" s="13"/>
      <c r="F37" s="13"/>
      <c r="G37" s="19" t="s">
        <v>132</v>
      </c>
      <c r="H37" s="13"/>
      <c r="I37" s="14">
        <v>4000</v>
      </c>
      <c r="J37" s="13"/>
      <c r="K37" s="13"/>
    </row>
    <row r="38" spans="2:13" x14ac:dyDescent="0.25">
      <c r="B38" s="18"/>
      <c r="C38" s="30">
        <f>C25+C26+C27+C28+C29+C30-D31</f>
        <v>170550</v>
      </c>
      <c r="D38" s="31">
        <f>SUM(D33:D37)</f>
        <v>170550</v>
      </c>
      <c r="E38" s="31">
        <f>C38-D38</f>
        <v>0</v>
      </c>
      <c r="F38" s="13"/>
      <c r="G38" s="18"/>
      <c r="H38" s="30">
        <f>H25+H26-I31</f>
        <v>156831</v>
      </c>
      <c r="I38" s="21">
        <f>SUM(I33:I37)</f>
        <v>172800</v>
      </c>
      <c r="J38" s="30">
        <f>H38-I38</f>
        <v>-15969</v>
      </c>
      <c r="K38" s="3"/>
      <c r="L38" s="15"/>
    </row>
    <row r="39" spans="2:13" x14ac:dyDescent="0.25">
      <c r="B39" t="s">
        <v>20</v>
      </c>
      <c r="D39" t="s">
        <v>21</v>
      </c>
      <c r="I39">
        <f>I38-I33</f>
        <v>170550</v>
      </c>
      <c r="J39" t="s">
        <v>22</v>
      </c>
      <c r="L39" s="15"/>
    </row>
    <row r="40" spans="2:13" x14ac:dyDescent="0.25">
      <c r="L40" s="1"/>
    </row>
    <row r="41" spans="2:13" x14ac:dyDescent="0.25">
      <c r="B41" t="s">
        <v>34</v>
      </c>
      <c r="D41" t="s">
        <v>23</v>
      </c>
      <c r="J41" t="s">
        <v>95</v>
      </c>
      <c r="K41" s="15"/>
      <c r="L41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4" workbookViewId="0">
      <selection activeCell="K28" sqref="K28"/>
    </sheetView>
  </sheetViews>
  <sheetFormatPr defaultRowHeight="15" x14ac:dyDescent="0.25"/>
  <cols>
    <col min="2" max="2" width="20.28515625" customWidth="1"/>
  </cols>
  <sheetData>
    <row r="1" spans="1:12" x14ac:dyDescent="0.25">
      <c r="E1" s="1" t="s">
        <v>94</v>
      </c>
      <c r="F1" s="1"/>
      <c r="G1" s="1"/>
      <c r="H1" s="1"/>
      <c r="I1" s="1"/>
      <c r="J1" s="1"/>
      <c r="K1" s="1"/>
      <c r="L1" s="1"/>
    </row>
    <row r="2" spans="1:12" x14ac:dyDescent="0.25">
      <c r="E2" s="1" t="s">
        <v>0</v>
      </c>
      <c r="F2" s="1"/>
      <c r="G2" s="1"/>
      <c r="H2" s="1"/>
      <c r="I2" s="1"/>
      <c r="J2" s="1"/>
      <c r="K2" s="1"/>
      <c r="L2" s="1"/>
    </row>
    <row r="3" spans="1:12" x14ac:dyDescent="0.25">
      <c r="B3" s="1"/>
      <c r="E3" s="1" t="s">
        <v>133</v>
      </c>
      <c r="F3" s="1"/>
      <c r="G3" s="1"/>
      <c r="H3" s="1"/>
      <c r="I3" s="1"/>
      <c r="J3" s="1"/>
      <c r="K3" s="1"/>
      <c r="L3" s="1"/>
    </row>
    <row r="4" spans="1:12" x14ac:dyDescent="0.25">
      <c r="A4" s="3"/>
      <c r="B4" s="2" t="s">
        <v>2</v>
      </c>
      <c r="C4" s="2" t="s">
        <v>51</v>
      </c>
      <c r="D4" s="2" t="s">
        <v>3</v>
      </c>
      <c r="E4" s="2" t="s">
        <v>27</v>
      </c>
      <c r="F4" s="2" t="s">
        <v>31</v>
      </c>
      <c r="G4" s="2" t="s">
        <v>50</v>
      </c>
      <c r="H4" s="2" t="s">
        <v>42</v>
      </c>
      <c r="I4" s="2" t="s">
        <v>43</v>
      </c>
      <c r="J4" s="2" t="s">
        <v>5</v>
      </c>
      <c r="K4" s="2" t="s">
        <v>6</v>
      </c>
      <c r="L4" s="2" t="s">
        <v>7</v>
      </c>
    </row>
    <row r="5" spans="1:12" x14ac:dyDescent="0.25">
      <c r="A5" s="3">
        <v>1</v>
      </c>
      <c r="B5" s="3" t="s">
        <v>123</v>
      </c>
      <c r="C5" s="3">
        <v>14000</v>
      </c>
      <c r="D5" s="3">
        <f>'JUNE 21'!L5:L19</f>
        <v>0</v>
      </c>
      <c r="E5" s="3"/>
      <c r="F5" s="3"/>
      <c r="G5" s="3">
        <v>1000</v>
      </c>
      <c r="H5" s="3">
        <v>250</v>
      </c>
      <c r="I5" s="3">
        <v>750</v>
      </c>
      <c r="J5" s="3">
        <f>C5+C17+D5+E5+F5+G5+H5+I5</f>
        <v>16000</v>
      </c>
      <c r="K5" s="3">
        <v>16000</v>
      </c>
      <c r="L5" s="3">
        <f>J5-K5</f>
        <v>0</v>
      </c>
    </row>
    <row r="6" spans="1:12" x14ac:dyDescent="0.25">
      <c r="A6" s="3">
        <v>2</v>
      </c>
      <c r="B6" s="3" t="s">
        <v>39</v>
      </c>
      <c r="C6" s="3">
        <v>14000</v>
      </c>
      <c r="D6" s="3">
        <f>'JUNE 21'!L6:L20</f>
        <v>780</v>
      </c>
      <c r="E6" s="3"/>
      <c r="F6" s="3"/>
      <c r="G6" s="3">
        <v>1000</v>
      </c>
      <c r="H6" s="3">
        <v>250</v>
      </c>
      <c r="I6" s="3">
        <v>1650</v>
      </c>
      <c r="J6" s="3">
        <f t="shared" ref="J6:J17" si="0">C6+D6+E6+F6+G6+H6+I6</f>
        <v>17680</v>
      </c>
      <c r="K6" s="3">
        <f>600+16300</f>
        <v>16900</v>
      </c>
      <c r="L6" s="3">
        <f>J6-K6</f>
        <v>780</v>
      </c>
    </row>
    <row r="7" spans="1:12" x14ac:dyDescent="0.25">
      <c r="A7" s="3">
        <v>3</v>
      </c>
      <c r="B7" s="3" t="s">
        <v>35</v>
      </c>
      <c r="C7" s="3">
        <v>14000</v>
      </c>
      <c r="D7" s="3">
        <f>'JUNE 21'!L7:L21</f>
        <v>0</v>
      </c>
      <c r="E7" s="3"/>
      <c r="F7" s="3"/>
      <c r="G7" s="3">
        <v>1000</v>
      </c>
      <c r="H7" s="3">
        <v>250</v>
      </c>
      <c r="I7" s="3">
        <v>1650</v>
      </c>
      <c r="J7" s="3">
        <f>C7+D7+E7+F7+G7+H7+I7</f>
        <v>16900</v>
      </c>
      <c r="K7" s="3">
        <v>16900</v>
      </c>
      <c r="L7" s="3">
        <f>J7-K7</f>
        <v>0</v>
      </c>
    </row>
    <row r="8" spans="1:12" x14ac:dyDescent="0.25">
      <c r="A8" s="3">
        <v>4</v>
      </c>
      <c r="B8" s="3" t="s">
        <v>48</v>
      </c>
      <c r="C8" s="3">
        <v>14000</v>
      </c>
      <c r="D8" s="3">
        <f>'JUNE 21'!L8:L22</f>
        <v>3900</v>
      </c>
      <c r="E8" s="3"/>
      <c r="F8" s="3"/>
      <c r="G8" s="3">
        <v>1000</v>
      </c>
      <c r="H8" s="3">
        <v>250</v>
      </c>
      <c r="I8" s="3">
        <v>300</v>
      </c>
      <c r="J8" s="3">
        <f t="shared" si="0"/>
        <v>19450</v>
      </c>
      <c r="K8" s="3">
        <f>4000+15450</f>
        <v>19450</v>
      </c>
      <c r="L8" s="3">
        <f t="shared" ref="L8:L19" si="1">J8-K8</f>
        <v>0</v>
      </c>
    </row>
    <row r="9" spans="1:12" x14ac:dyDescent="0.25">
      <c r="A9" s="3">
        <v>5</v>
      </c>
      <c r="B9" s="3" t="s">
        <v>59</v>
      </c>
      <c r="C9" s="3">
        <v>9000</v>
      </c>
      <c r="D9" s="3">
        <f>'JUNE 21'!L9:L23</f>
        <v>90</v>
      </c>
      <c r="E9" s="3"/>
      <c r="F9" s="3"/>
      <c r="G9" s="3">
        <v>1000</v>
      </c>
      <c r="H9" s="3">
        <v>250</v>
      </c>
      <c r="I9" s="3">
        <v>750</v>
      </c>
      <c r="J9" s="3">
        <f>C9+D9+E9+F9+G9+H9+I9</f>
        <v>11090</v>
      </c>
      <c r="K9" s="3">
        <v>11000</v>
      </c>
      <c r="L9" s="3">
        <f t="shared" si="1"/>
        <v>90</v>
      </c>
    </row>
    <row r="10" spans="1:12" x14ac:dyDescent="0.25">
      <c r="A10" s="3">
        <v>6</v>
      </c>
      <c r="B10" s="4" t="s">
        <v>111</v>
      </c>
      <c r="C10" s="3">
        <v>14000</v>
      </c>
      <c r="D10" s="3">
        <f>'JUNE 21'!L10:L24</f>
        <v>7900</v>
      </c>
      <c r="E10" s="3"/>
      <c r="F10" s="3"/>
      <c r="G10" s="3">
        <v>1000</v>
      </c>
      <c r="H10" s="3">
        <v>250</v>
      </c>
      <c r="I10" s="3">
        <v>1800</v>
      </c>
      <c r="J10" s="3">
        <f>C10+D10+E10+F10+G10+H10+I10</f>
        <v>24950</v>
      </c>
      <c r="K10" s="3">
        <f>10400+6500+5000</f>
        <v>21900</v>
      </c>
      <c r="L10" s="3">
        <f>J10-K10</f>
        <v>3050</v>
      </c>
    </row>
    <row r="11" spans="1:12" x14ac:dyDescent="0.25">
      <c r="A11" s="3">
        <v>7</v>
      </c>
      <c r="B11" s="3" t="s">
        <v>32</v>
      </c>
      <c r="C11" s="3">
        <v>14000</v>
      </c>
      <c r="D11" s="3">
        <f>'JUNE 21'!L11:L25</f>
        <v>1350</v>
      </c>
      <c r="E11" s="3"/>
      <c r="F11" s="3"/>
      <c r="G11" s="3">
        <v>1000</v>
      </c>
      <c r="H11" s="3">
        <v>250</v>
      </c>
      <c r="I11" s="3">
        <v>1050</v>
      </c>
      <c r="J11" s="3">
        <f t="shared" si="0"/>
        <v>17650</v>
      </c>
      <c r="K11" s="3">
        <v>17650</v>
      </c>
      <c r="L11" s="3">
        <f>J11-K11</f>
        <v>0</v>
      </c>
    </row>
    <row r="12" spans="1:12" x14ac:dyDescent="0.25">
      <c r="A12" s="3">
        <v>8</v>
      </c>
      <c r="B12" s="33" t="s">
        <v>136</v>
      </c>
      <c r="C12" s="3">
        <v>2800</v>
      </c>
      <c r="D12" s="3">
        <f>'JUNE 21'!L12:L26</f>
        <v>0</v>
      </c>
      <c r="E12" s="3"/>
      <c r="F12" s="3"/>
      <c r="G12" s="3"/>
      <c r="H12" s="3"/>
      <c r="I12" s="3">
        <v>900</v>
      </c>
      <c r="J12" s="3">
        <f t="shared" si="0"/>
        <v>3700</v>
      </c>
      <c r="K12" s="3">
        <v>3700</v>
      </c>
      <c r="L12" s="3">
        <f t="shared" si="1"/>
        <v>0</v>
      </c>
    </row>
    <row r="13" spans="1:12" x14ac:dyDescent="0.25">
      <c r="A13" s="3">
        <v>9</v>
      </c>
      <c r="B13" s="3" t="s">
        <v>40</v>
      </c>
      <c r="C13" s="3">
        <v>14000</v>
      </c>
      <c r="D13" s="3">
        <f>'JUNE 21'!L13:L27</f>
        <v>0</v>
      </c>
      <c r="E13" s="3"/>
      <c r="F13" s="3"/>
      <c r="G13" s="3">
        <v>1000</v>
      </c>
      <c r="H13" s="3">
        <v>250</v>
      </c>
      <c r="I13" s="3">
        <v>750</v>
      </c>
      <c r="J13" s="3">
        <f t="shared" si="0"/>
        <v>16000</v>
      </c>
      <c r="K13" s="3">
        <v>16000</v>
      </c>
      <c r="L13" s="3">
        <f t="shared" si="1"/>
        <v>0</v>
      </c>
    </row>
    <row r="14" spans="1:12" x14ac:dyDescent="0.25">
      <c r="A14" s="3">
        <v>10</v>
      </c>
      <c r="B14" s="3" t="s">
        <v>134</v>
      </c>
      <c r="C14" s="3">
        <v>9000</v>
      </c>
      <c r="D14" s="3">
        <f>'JUNE 21'!L14:L28</f>
        <v>0</v>
      </c>
      <c r="E14" s="3">
        <v>9000</v>
      </c>
      <c r="F14" s="3">
        <v>1000</v>
      </c>
      <c r="G14" s="3">
        <v>1000</v>
      </c>
      <c r="H14" s="3">
        <v>250</v>
      </c>
      <c r="I14" s="3"/>
      <c r="J14" s="3">
        <f t="shared" si="0"/>
        <v>20250</v>
      </c>
      <c r="K14" s="3">
        <f>11250+9000</f>
        <v>20250</v>
      </c>
      <c r="L14" s="3">
        <f t="shared" si="1"/>
        <v>0</v>
      </c>
    </row>
    <row r="15" spans="1:12" x14ac:dyDescent="0.25">
      <c r="A15" s="3">
        <v>11</v>
      </c>
      <c r="B15" s="3" t="s">
        <v>127</v>
      </c>
      <c r="C15" s="3">
        <v>15000</v>
      </c>
      <c r="D15" s="3">
        <f>'JUNE 21'!L15:L29</f>
        <v>1450</v>
      </c>
      <c r="E15" s="3"/>
      <c r="F15" s="3"/>
      <c r="G15" s="3">
        <v>1000</v>
      </c>
      <c r="H15" s="3"/>
      <c r="I15" s="3">
        <v>450</v>
      </c>
      <c r="J15" s="3">
        <f>C15+D15+E15+F15+G15+H15+I15</f>
        <v>17900</v>
      </c>
      <c r="K15" s="3">
        <f>15900</f>
        <v>15900</v>
      </c>
      <c r="L15" s="3">
        <f t="shared" si="1"/>
        <v>2000</v>
      </c>
    </row>
    <row r="16" spans="1:12" x14ac:dyDescent="0.25">
      <c r="A16" s="3">
        <v>12</v>
      </c>
      <c r="B16" s="3" t="s">
        <v>128</v>
      </c>
      <c r="C16" s="3">
        <v>22000</v>
      </c>
      <c r="D16" s="3">
        <f>'JUNE 21'!L16:L30</f>
        <v>17500</v>
      </c>
      <c r="E16" s="3"/>
      <c r="F16" s="3"/>
      <c r="G16" s="3">
        <v>1000</v>
      </c>
      <c r="H16" s="3"/>
      <c r="I16" s="3"/>
      <c r="J16" s="3">
        <f>C16+D16+E16+F16+G16+H16+I16</f>
        <v>40500</v>
      </c>
      <c r="K16" s="3"/>
      <c r="L16" s="3">
        <f>J16-K16</f>
        <v>40500</v>
      </c>
    </row>
    <row r="17" spans="1:13" x14ac:dyDescent="0.25">
      <c r="A17" s="3">
        <v>13</v>
      </c>
      <c r="B17" s="3" t="s">
        <v>74</v>
      </c>
      <c r="C17" s="3"/>
      <c r="D17" s="3">
        <f>'JUNE 21'!L17:L31</f>
        <v>0</v>
      </c>
      <c r="E17" s="3"/>
      <c r="F17" s="3"/>
      <c r="G17" s="3"/>
      <c r="H17" s="3"/>
      <c r="I17" s="3">
        <v>1050</v>
      </c>
      <c r="J17" s="3">
        <f t="shared" si="0"/>
        <v>1050</v>
      </c>
      <c r="K17" s="3">
        <v>1050</v>
      </c>
      <c r="L17" s="3">
        <f>J17-K17</f>
        <v>0</v>
      </c>
    </row>
    <row r="18" spans="1:13" x14ac:dyDescent="0.25">
      <c r="A18" s="3"/>
      <c r="B18" s="3"/>
      <c r="C18" s="3"/>
      <c r="D18" s="3">
        <f>'JUNE 21'!L18:L32</f>
        <v>0</v>
      </c>
      <c r="E18" s="3"/>
      <c r="F18" s="3"/>
      <c r="G18" s="3"/>
      <c r="H18" s="3"/>
      <c r="I18" s="3"/>
      <c r="J18" s="3">
        <f>C18+D18+E18+F18+G18+H18+I18</f>
        <v>0</v>
      </c>
      <c r="K18" s="3"/>
      <c r="L18" s="3">
        <f t="shared" si="1"/>
        <v>0</v>
      </c>
    </row>
    <row r="19" spans="1:13" x14ac:dyDescent="0.25">
      <c r="A19" s="3"/>
      <c r="B19" s="3"/>
      <c r="C19" s="3"/>
      <c r="D19" s="3">
        <f>'JUNE 21'!L19:L33</f>
        <v>0</v>
      </c>
      <c r="E19" s="3"/>
      <c r="F19" s="3"/>
      <c r="G19" s="3"/>
      <c r="H19" s="3"/>
      <c r="I19" s="3"/>
      <c r="J19" s="3">
        <f>C19+D19+E19+F19+G19+H19+I19</f>
        <v>0</v>
      </c>
      <c r="K19" s="3"/>
      <c r="L19" s="3">
        <f t="shared" si="1"/>
        <v>0</v>
      </c>
    </row>
    <row r="20" spans="1:13" x14ac:dyDescent="0.25">
      <c r="A20" s="3"/>
      <c r="B20" s="2"/>
      <c r="C20" s="2">
        <f>SUM(C5:C19)</f>
        <v>155800</v>
      </c>
      <c r="D20" s="3">
        <f>SUM(D5:D19)</f>
        <v>32970</v>
      </c>
      <c r="E20" s="2">
        <f t="shared" ref="E20:G20" si="2">SUM(E5:E19)</f>
        <v>9000</v>
      </c>
      <c r="F20" s="2">
        <f t="shared" si="2"/>
        <v>1000</v>
      </c>
      <c r="G20" s="2">
        <f t="shared" si="2"/>
        <v>11000</v>
      </c>
      <c r="H20" s="2">
        <f>SUM(H5:H19)</f>
        <v>2250</v>
      </c>
      <c r="I20" s="2">
        <f>SUM(I5:I19)</f>
        <v>11100</v>
      </c>
      <c r="J20" s="3">
        <f>SUM(J5:J19)</f>
        <v>223120</v>
      </c>
      <c r="K20" s="2">
        <f>SUM(K5:K19)</f>
        <v>176700</v>
      </c>
      <c r="L20" s="3">
        <f>SUM(L5:L19)</f>
        <v>46420</v>
      </c>
    </row>
    <row r="21" spans="1:13" x14ac:dyDescent="0.25">
      <c r="B21" s="6"/>
      <c r="C21" s="6"/>
      <c r="D21" s="3">
        <f>'MAY 21'!K21:K37</f>
        <v>0</v>
      </c>
      <c r="E21" s="6"/>
      <c r="F21" s="6" t="s">
        <v>9</v>
      </c>
      <c r="G21" s="6"/>
      <c r="H21" s="6"/>
      <c r="I21" s="6"/>
      <c r="J21" s="3"/>
      <c r="K21" s="6"/>
      <c r="L21" s="29">
        <f>L20-17500</f>
        <v>28920</v>
      </c>
    </row>
    <row r="22" spans="1:13" x14ac:dyDescent="0.25">
      <c r="C22" s="7"/>
      <c r="D22" s="8"/>
      <c r="E22" s="8"/>
      <c r="F22" s="28" t="s">
        <v>10</v>
      </c>
      <c r="G22" s="6"/>
      <c r="H22" s="6"/>
      <c r="I22" s="6"/>
      <c r="J22" s="22"/>
      <c r="K22" s="10"/>
      <c r="L22" s="9"/>
      <c r="M22">
        <f>L106</f>
        <v>0</v>
      </c>
    </row>
    <row r="23" spans="1:13" x14ac:dyDescent="0.25">
      <c r="B23" s="1" t="s">
        <v>11</v>
      </c>
      <c r="C23" s="1"/>
      <c r="D23" s="1"/>
      <c r="E23" s="1"/>
      <c r="F23" s="11"/>
      <c r="G23" s="1" t="s">
        <v>12</v>
      </c>
      <c r="H23" s="12"/>
      <c r="I23" s="12"/>
      <c r="J23" s="12"/>
      <c r="K23" s="12"/>
    </row>
    <row r="24" spans="1:13" x14ac:dyDescent="0.25">
      <c r="B24" s="2" t="s">
        <v>13</v>
      </c>
      <c r="C24" s="2" t="s">
        <v>14</v>
      </c>
      <c r="D24" s="2" t="s">
        <v>15</v>
      </c>
      <c r="E24" s="2"/>
      <c r="F24" s="2" t="s">
        <v>16</v>
      </c>
      <c r="G24" s="2" t="s">
        <v>13</v>
      </c>
      <c r="H24" s="2" t="s">
        <v>14</v>
      </c>
      <c r="I24" s="3" t="s">
        <v>15</v>
      </c>
      <c r="J24" s="2" t="s">
        <v>16</v>
      </c>
      <c r="K24" s="2"/>
    </row>
    <row r="25" spans="1:13" x14ac:dyDescent="0.25">
      <c r="B25" s="13" t="s">
        <v>76</v>
      </c>
      <c r="C25" s="14">
        <f>C20</f>
        <v>155800</v>
      </c>
      <c r="D25" s="13"/>
      <c r="E25" s="13"/>
      <c r="F25" s="13"/>
      <c r="G25" s="13" t="s">
        <v>76</v>
      </c>
      <c r="H25" s="14">
        <f>K20</f>
        <v>176700</v>
      </c>
      <c r="I25" s="3"/>
      <c r="J25" s="13"/>
      <c r="K25" s="13"/>
    </row>
    <row r="26" spans="1:13" x14ac:dyDescent="0.25">
      <c r="B26" s="13" t="s">
        <v>3</v>
      </c>
      <c r="C26" s="14">
        <f>'JUNE 21'!E38</f>
        <v>0</v>
      </c>
      <c r="D26" s="13"/>
      <c r="E26" s="13"/>
      <c r="F26" s="13"/>
      <c r="G26" s="13" t="s">
        <v>3</v>
      </c>
      <c r="H26" s="14">
        <f>'JUNE 21'!J38</f>
        <v>-15969</v>
      </c>
      <c r="I26" s="13"/>
      <c r="J26" s="13"/>
      <c r="K26" s="13"/>
    </row>
    <row r="27" spans="1:13" x14ac:dyDescent="0.25">
      <c r="B27" s="13" t="s">
        <v>27</v>
      </c>
      <c r="C27" s="14">
        <f>E20</f>
        <v>9000</v>
      </c>
      <c r="D27" s="13"/>
      <c r="E27" s="13"/>
      <c r="F27" s="13"/>
      <c r="G27" s="13"/>
      <c r="H27" s="14"/>
      <c r="I27" s="13"/>
      <c r="J27" s="13"/>
      <c r="K27" s="13"/>
    </row>
    <row r="28" spans="1:13" x14ac:dyDescent="0.25">
      <c r="B28" s="3" t="s">
        <v>31</v>
      </c>
      <c r="C28" s="3">
        <f>F20</f>
        <v>1000</v>
      </c>
      <c r="D28" s="13"/>
      <c r="E28" s="13"/>
      <c r="F28" s="13"/>
      <c r="G28" s="13"/>
      <c r="H28" s="14"/>
      <c r="I28" s="13"/>
      <c r="J28" s="13"/>
      <c r="K28" s="13"/>
    </row>
    <row r="29" spans="1:13" x14ac:dyDescent="0.25">
      <c r="B29" s="3" t="s">
        <v>37</v>
      </c>
      <c r="C29" s="3">
        <f>G20</f>
        <v>11000</v>
      </c>
      <c r="D29" s="3"/>
      <c r="E29" s="3"/>
      <c r="F29" s="3"/>
      <c r="G29" s="3"/>
      <c r="H29" s="3"/>
      <c r="I29" s="3"/>
      <c r="J29" s="3"/>
      <c r="K29" s="3"/>
    </row>
    <row r="30" spans="1:13" x14ac:dyDescent="0.25">
      <c r="B30" s="3" t="s">
        <v>43</v>
      </c>
      <c r="C30" s="3">
        <f>I20</f>
        <v>11100</v>
      </c>
      <c r="D30" s="3"/>
      <c r="E30" s="3"/>
      <c r="F30" s="3"/>
      <c r="G30" s="3"/>
      <c r="H30" s="3"/>
      <c r="I30" s="3"/>
      <c r="J30" s="2"/>
      <c r="K30" s="3"/>
    </row>
    <row r="31" spans="1:13" x14ac:dyDescent="0.25">
      <c r="B31" s="13" t="s">
        <v>18</v>
      </c>
      <c r="C31" s="16">
        <v>0.05</v>
      </c>
      <c r="D31" s="14">
        <f>C31*C25</f>
        <v>7790</v>
      </c>
      <c r="E31" s="14"/>
      <c r="F31" s="13"/>
      <c r="G31" s="13" t="s">
        <v>18</v>
      </c>
      <c r="H31" s="16">
        <v>0.05</v>
      </c>
      <c r="I31" s="14">
        <f>H31*C25</f>
        <v>7790</v>
      </c>
      <c r="J31" s="13"/>
      <c r="K31" s="3"/>
    </row>
    <row r="32" spans="1:13" x14ac:dyDescent="0.25">
      <c r="B32" s="27" t="s">
        <v>19</v>
      </c>
      <c r="C32" s="13" t="s">
        <v>9</v>
      </c>
      <c r="D32" s="13"/>
      <c r="E32" s="13"/>
      <c r="F32" s="13"/>
      <c r="G32" s="27" t="s">
        <v>19</v>
      </c>
      <c r="H32" s="14"/>
      <c r="I32" s="13"/>
      <c r="J32" s="13"/>
      <c r="K32" s="13"/>
    </row>
    <row r="33" spans="2:13" x14ac:dyDescent="0.25">
      <c r="B33" s="27"/>
      <c r="C33" s="13"/>
      <c r="D33" s="14"/>
      <c r="E33" s="13"/>
      <c r="F33" s="13"/>
      <c r="G33" s="24" t="s">
        <v>42</v>
      </c>
      <c r="H33" s="14"/>
      <c r="I33" s="13">
        <f>H20</f>
        <v>2250</v>
      </c>
      <c r="J33" s="13"/>
      <c r="K33" s="13"/>
    </row>
    <row r="34" spans="2:13" x14ac:dyDescent="0.25">
      <c r="B34" s="17" t="s">
        <v>37</v>
      </c>
      <c r="C34" s="3"/>
      <c r="D34" s="30">
        <v>9000</v>
      </c>
      <c r="E34" s="3"/>
      <c r="F34" s="3"/>
      <c r="G34" s="17" t="s">
        <v>37</v>
      </c>
      <c r="H34" s="3"/>
      <c r="I34" s="3">
        <v>9000</v>
      </c>
      <c r="J34" s="3"/>
      <c r="K34" s="3"/>
      <c r="M34" s="15"/>
    </row>
    <row r="35" spans="2:13" x14ac:dyDescent="0.25">
      <c r="B35" s="18" t="s">
        <v>60</v>
      </c>
      <c r="C35" s="3"/>
      <c r="D35" s="30">
        <v>7000</v>
      </c>
      <c r="E35" s="3"/>
      <c r="F35" s="3"/>
      <c r="G35" s="18" t="s">
        <v>60</v>
      </c>
      <c r="H35" s="3"/>
      <c r="I35" s="3">
        <v>7000</v>
      </c>
      <c r="J35" s="3"/>
      <c r="K35" s="3"/>
    </row>
    <row r="36" spans="2:13" x14ac:dyDescent="0.25">
      <c r="B36" s="19"/>
      <c r="C36" s="16"/>
      <c r="D36" s="14"/>
      <c r="E36" s="13"/>
      <c r="F36" s="13"/>
      <c r="G36" s="19"/>
      <c r="H36" s="16"/>
      <c r="I36" s="14"/>
      <c r="J36" s="13"/>
      <c r="K36" s="13"/>
    </row>
    <row r="37" spans="2:13" x14ac:dyDescent="0.25">
      <c r="B37" s="19" t="s">
        <v>135</v>
      </c>
      <c r="C37" s="13"/>
      <c r="D37" s="14">
        <v>161410</v>
      </c>
      <c r="E37" s="13"/>
      <c r="F37" s="13"/>
      <c r="G37" s="19" t="s">
        <v>135</v>
      </c>
      <c r="H37" s="13"/>
      <c r="I37" s="14">
        <v>161410</v>
      </c>
      <c r="J37" s="13"/>
      <c r="K37" s="13"/>
    </row>
    <row r="38" spans="2:13" x14ac:dyDescent="0.25">
      <c r="B38" s="19"/>
      <c r="C38" s="13"/>
      <c r="D38" s="14"/>
      <c r="E38" s="13"/>
      <c r="F38" s="13"/>
      <c r="G38" s="19"/>
      <c r="H38" s="13"/>
      <c r="I38" s="14"/>
      <c r="J38" s="13"/>
      <c r="K38" s="13"/>
    </row>
    <row r="39" spans="2:13" x14ac:dyDescent="0.25">
      <c r="B39" s="18"/>
      <c r="C39" s="30">
        <f>C25+C26+C27+C28+C29+C30-D31</f>
        <v>180110</v>
      </c>
      <c r="D39" s="31">
        <f>SUM(D33:D38)</f>
        <v>177410</v>
      </c>
      <c r="E39" s="31">
        <f>C39-D39</f>
        <v>2700</v>
      </c>
      <c r="F39" s="13"/>
      <c r="G39" s="18"/>
      <c r="H39" s="30">
        <f>H25+H26-I31</f>
        <v>152941</v>
      </c>
      <c r="I39" s="21">
        <f>SUM(I33:I38)</f>
        <v>179660</v>
      </c>
      <c r="J39" s="30">
        <f>H39-I39</f>
        <v>-26719</v>
      </c>
      <c r="K39" s="3"/>
      <c r="L39" s="15"/>
    </row>
    <row r="40" spans="2:13" x14ac:dyDescent="0.25">
      <c r="B40" t="s">
        <v>20</v>
      </c>
      <c r="D40" t="s">
        <v>21</v>
      </c>
      <c r="I40">
        <f>I39-I33</f>
        <v>177410</v>
      </c>
      <c r="J40" t="s">
        <v>22</v>
      </c>
      <c r="L40" s="15"/>
    </row>
    <row r="41" spans="2:13" x14ac:dyDescent="0.25">
      <c r="L41" s="1"/>
    </row>
    <row r="42" spans="2:13" x14ac:dyDescent="0.25">
      <c r="B42" t="s">
        <v>34</v>
      </c>
      <c r="D42" t="s">
        <v>23</v>
      </c>
      <c r="J42" t="s">
        <v>95</v>
      </c>
      <c r="K42" s="15"/>
      <c r="L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4" workbookViewId="0">
      <selection activeCell="N26" sqref="N26"/>
    </sheetView>
  </sheetViews>
  <sheetFormatPr defaultRowHeight="15" x14ac:dyDescent="0.25"/>
  <cols>
    <col min="1" max="1" width="3.5703125" customWidth="1"/>
    <col min="2" max="2" width="17.140625" customWidth="1"/>
    <col min="3" max="3" width="10.5703125" customWidth="1"/>
    <col min="4" max="4" width="9.42578125" customWidth="1"/>
    <col min="5" max="5" width="6.5703125" customWidth="1"/>
    <col min="6" max="6" width="7.28515625" customWidth="1"/>
    <col min="7" max="7" width="8.7109375" customWidth="1"/>
    <col min="8" max="8" width="8.85546875" customWidth="1"/>
    <col min="9" max="9" width="7.28515625" customWidth="1"/>
    <col min="10" max="10" width="8" customWidth="1"/>
    <col min="11" max="11" width="8.28515625" customWidth="1"/>
    <col min="12" max="12" width="7.42578125" customWidth="1"/>
  </cols>
  <sheetData>
    <row r="1" spans="1:12" x14ac:dyDescent="0.25">
      <c r="A1" s="1"/>
      <c r="B1" s="1"/>
      <c r="C1" s="1" t="s">
        <v>33</v>
      </c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 t="s">
        <v>0</v>
      </c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/>
      <c r="B3" s="1"/>
      <c r="C3" s="1" t="s">
        <v>44</v>
      </c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2" t="s">
        <v>1</v>
      </c>
      <c r="B4" s="2" t="s">
        <v>2</v>
      </c>
      <c r="C4" s="2" t="s">
        <v>51</v>
      </c>
      <c r="D4" s="2" t="s">
        <v>3</v>
      </c>
      <c r="E4" s="2" t="s">
        <v>27</v>
      </c>
      <c r="F4" s="2" t="s">
        <v>31</v>
      </c>
      <c r="G4" s="2" t="s">
        <v>50</v>
      </c>
      <c r="H4" s="2" t="s">
        <v>42</v>
      </c>
      <c r="I4" s="2" t="s">
        <v>43</v>
      </c>
      <c r="J4" s="2" t="s">
        <v>5</v>
      </c>
      <c r="K4" s="2" t="s">
        <v>6</v>
      </c>
      <c r="L4" s="2" t="s">
        <v>7</v>
      </c>
    </row>
    <row r="5" spans="1:12" x14ac:dyDescent="0.25">
      <c r="A5" s="3">
        <v>1</v>
      </c>
      <c r="B5" s="3" t="s">
        <v>26</v>
      </c>
      <c r="C5">
        <v>14000</v>
      </c>
      <c r="D5" s="3"/>
      <c r="E5" s="3"/>
      <c r="F5" s="3">
        <v>1000</v>
      </c>
      <c r="G5" s="3">
        <v>1000</v>
      </c>
      <c r="H5" s="3">
        <v>250</v>
      </c>
      <c r="I5" s="3"/>
      <c r="J5" s="3">
        <f>C5+D5+E5+F5+G5+H5+I5</f>
        <v>16250</v>
      </c>
      <c r="K5" s="3">
        <f>14000+2250</f>
        <v>16250</v>
      </c>
      <c r="L5" s="3">
        <f>J5-K5</f>
        <v>0</v>
      </c>
    </row>
    <row r="6" spans="1:12" x14ac:dyDescent="0.25">
      <c r="A6" s="3">
        <v>2</v>
      </c>
      <c r="B6" s="3" t="s">
        <v>39</v>
      </c>
      <c r="C6" s="3">
        <v>14000</v>
      </c>
      <c r="D6" s="3"/>
      <c r="E6" s="3"/>
      <c r="F6" s="3"/>
      <c r="G6" s="3">
        <v>1000</v>
      </c>
      <c r="H6" s="3">
        <v>250</v>
      </c>
      <c r="I6" s="3"/>
      <c r="J6" s="3">
        <f t="shared" ref="J6:J16" si="0">C6+D6+E6+F6+G6+H6+I6</f>
        <v>15250</v>
      </c>
      <c r="K6" s="3">
        <f>14000+1250</f>
        <v>15250</v>
      </c>
      <c r="L6" s="3">
        <f>J6-K6</f>
        <v>0</v>
      </c>
    </row>
    <row r="7" spans="1:12" x14ac:dyDescent="0.25">
      <c r="A7" s="3">
        <v>3</v>
      </c>
      <c r="B7" s="3" t="s">
        <v>25</v>
      </c>
      <c r="C7" s="3">
        <v>14000</v>
      </c>
      <c r="D7" s="3"/>
      <c r="E7" s="3"/>
      <c r="F7" s="3">
        <v>1000</v>
      </c>
      <c r="G7" s="3">
        <v>1000</v>
      </c>
      <c r="H7" s="3">
        <v>250</v>
      </c>
      <c r="I7" s="3"/>
      <c r="J7" s="3">
        <f>C7+D7+E7+F7+G7+H7+I7</f>
        <v>16250</v>
      </c>
      <c r="K7" s="3">
        <v>14000</v>
      </c>
      <c r="L7" s="3">
        <f t="shared" ref="L7:L19" si="1">J7-K7</f>
        <v>2250</v>
      </c>
    </row>
    <row r="8" spans="1:12" x14ac:dyDescent="0.25">
      <c r="A8" s="3">
        <v>4</v>
      </c>
      <c r="B8" s="3" t="s">
        <v>48</v>
      </c>
      <c r="C8" s="3">
        <v>14000</v>
      </c>
      <c r="D8" s="3"/>
      <c r="E8" s="3">
        <v>14000</v>
      </c>
      <c r="F8" s="3">
        <v>1000</v>
      </c>
      <c r="G8" s="3">
        <v>1000</v>
      </c>
      <c r="H8" s="3">
        <v>250</v>
      </c>
      <c r="I8" s="3"/>
      <c r="J8" s="3">
        <f>C8+D8+E8+F8+G8+H8+I8</f>
        <v>30250</v>
      </c>
      <c r="K8" s="3">
        <f>23000+2250+5000</f>
        <v>30250</v>
      </c>
      <c r="L8" s="3">
        <f t="shared" si="1"/>
        <v>0</v>
      </c>
    </row>
    <row r="9" spans="1:12" x14ac:dyDescent="0.25">
      <c r="A9" s="3">
        <v>5</v>
      </c>
      <c r="B9" s="3"/>
      <c r="C9" s="3"/>
      <c r="D9" s="3"/>
      <c r="E9" s="3"/>
      <c r="F9" s="3"/>
      <c r="G9" s="3"/>
      <c r="H9" s="3"/>
      <c r="I9" s="3"/>
      <c r="J9" s="3">
        <f t="shared" si="0"/>
        <v>0</v>
      </c>
      <c r="K9" s="3"/>
      <c r="L9" s="3">
        <f t="shared" si="1"/>
        <v>0</v>
      </c>
    </row>
    <row r="10" spans="1:12" x14ac:dyDescent="0.25">
      <c r="A10" s="3">
        <v>6</v>
      </c>
      <c r="B10" s="4" t="s">
        <v>35</v>
      </c>
      <c r="C10" s="3">
        <v>14000</v>
      </c>
      <c r="D10" s="3"/>
      <c r="E10" s="3"/>
      <c r="F10" s="3"/>
      <c r="G10" s="3">
        <v>1000</v>
      </c>
      <c r="H10" s="3">
        <v>250</v>
      </c>
      <c r="I10" s="3"/>
      <c r="J10" s="3">
        <f t="shared" si="0"/>
        <v>15250</v>
      </c>
      <c r="K10" s="3">
        <f>14000+1000</f>
        <v>15000</v>
      </c>
      <c r="L10" s="3">
        <f t="shared" si="1"/>
        <v>250</v>
      </c>
    </row>
    <row r="11" spans="1:12" x14ac:dyDescent="0.25">
      <c r="A11" s="3">
        <v>7</v>
      </c>
      <c r="B11" s="3" t="s">
        <v>32</v>
      </c>
      <c r="C11" s="3">
        <v>14000</v>
      </c>
      <c r="D11" s="3"/>
      <c r="E11" s="3"/>
      <c r="F11" s="3"/>
      <c r="G11" s="3">
        <v>1000</v>
      </c>
      <c r="H11" s="3">
        <v>250</v>
      </c>
      <c r="I11" s="3"/>
      <c r="J11" s="3">
        <f t="shared" si="0"/>
        <v>15250</v>
      </c>
      <c r="K11" s="3">
        <f>14000+1000</f>
        <v>15000</v>
      </c>
      <c r="L11" s="3">
        <f t="shared" si="1"/>
        <v>250</v>
      </c>
    </row>
    <row r="12" spans="1:12" x14ac:dyDescent="0.25">
      <c r="A12" s="3">
        <v>8</v>
      </c>
      <c r="B12" s="3" t="s">
        <v>30</v>
      </c>
      <c r="C12" s="3">
        <v>14000</v>
      </c>
      <c r="D12" s="3"/>
      <c r="E12" s="3"/>
      <c r="F12" s="3"/>
      <c r="G12" s="3">
        <v>1000</v>
      </c>
      <c r="H12" s="3">
        <v>250</v>
      </c>
      <c r="I12" s="3"/>
      <c r="J12" s="3">
        <f t="shared" si="0"/>
        <v>15250</v>
      </c>
      <c r="K12" s="3">
        <f>14000+1000</f>
        <v>15000</v>
      </c>
      <c r="L12" s="3">
        <f t="shared" si="1"/>
        <v>250</v>
      </c>
    </row>
    <row r="13" spans="1:12" x14ac:dyDescent="0.25">
      <c r="A13" s="3">
        <v>9</v>
      </c>
      <c r="B13" s="3" t="s">
        <v>40</v>
      </c>
      <c r="C13" s="3">
        <v>14000</v>
      </c>
      <c r="D13" s="3"/>
      <c r="E13" s="3"/>
      <c r="F13" s="3"/>
      <c r="G13" s="3">
        <v>1000</v>
      </c>
      <c r="H13" s="3">
        <v>250</v>
      </c>
      <c r="I13" s="3"/>
      <c r="J13" s="3">
        <f t="shared" si="0"/>
        <v>15250</v>
      </c>
      <c r="K13" s="3">
        <f>14000+1250</f>
        <v>15250</v>
      </c>
      <c r="L13" s="3">
        <f t="shared" si="1"/>
        <v>0</v>
      </c>
    </row>
    <row r="14" spans="1:12" x14ac:dyDescent="0.25">
      <c r="A14" s="3">
        <v>10</v>
      </c>
      <c r="B14" s="3"/>
      <c r="C14" s="3"/>
      <c r="D14" s="3"/>
      <c r="E14" s="3"/>
      <c r="F14" s="3"/>
      <c r="G14" s="3"/>
      <c r="H14" s="3"/>
      <c r="I14" s="3"/>
      <c r="J14" s="3">
        <f t="shared" si="0"/>
        <v>0</v>
      </c>
      <c r="K14" s="3"/>
      <c r="L14" s="3">
        <f t="shared" si="1"/>
        <v>0</v>
      </c>
    </row>
    <row r="15" spans="1:12" x14ac:dyDescent="0.25">
      <c r="A15" s="3">
        <v>11</v>
      </c>
      <c r="B15" s="3" t="s">
        <v>24</v>
      </c>
      <c r="C15" s="3"/>
      <c r="D15" s="3"/>
      <c r="E15" s="3"/>
      <c r="F15" s="3"/>
      <c r="G15" s="3"/>
      <c r="H15" s="3"/>
      <c r="I15" s="3"/>
      <c r="J15" s="3">
        <f t="shared" si="0"/>
        <v>0</v>
      </c>
      <c r="K15" s="3"/>
      <c r="L15" s="3">
        <f t="shared" si="1"/>
        <v>0</v>
      </c>
    </row>
    <row r="16" spans="1:12" x14ac:dyDescent="0.25">
      <c r="A16" s="3">
        <v>12</v>
      </c>
      <c r="B16" s="3" t="s">
        <v>36</v>
      </c>
      <c r="C16" s="3">
        <v>22000</v>
      </c>
      <c r="D16" s="3">
        <v>22000</v>
      </c>
      <c r="E16" s="3"/>
      <c r="F16" s="3"/>
      <c r="G16" s="3">
        <v>1000</v>
      </c>
      <c r="H16" s="3">
        <v>250</v>
      </c>
      <c r="I16" s="3"/>
      <c r="J16" s="3">
        <f t="shared" si="0"/>
        <v>45250</v>
      </c>
      <c r="K16" s="3">
        <v>22000</v>
      </c>
      <c r="L16" s="3">
        <f>J16-K16</f>
        <v>23250</v>
      </c>
    </row>
    <row r="17" spans="1:12" x14ac:dyDescent="0.25">
      <c r="A17" s="3">
        <v>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>
        <f t="shared" si="1"/>
        <v>0</v>
      </c>
    </row>
    <row r="18" spans="1:12" x14ac:dyDescent="0.25">
      <c r="A18" s="3">
        <v>14</v>
      </c>
      <c r="B18" s="3"/>
      <c r="C18" s="3"/>
      <c r="D18" s="3"/>
      <c r="E18" s="3"/>
      <c r="F18" s="3"/>
      <c r="G18" s="3"/>
      <c r="H18" s="3"/>
      <c r="I18" s="3"/>
      <c r="J18" s="3">
        <f>C18+D18+E18+F18+G18+H18+I18</f>
        <v>0</v>
      </c>
      <c r="K18" s="3"/>
      <c r="L18" s="3">
        <f t="shared" si="1"/>
        <v>0</v>
      </c>
    </row>
    <row r="19" spans="1:12" x14ac:dyDescent="0.25">
      <c r="A19" s="3">
        <v>15</v>
      </c>
      <c r="B19" s="3"/>
      <c r="C19" s="3"/>
      <c r="D19" s="3"/>
      <c r="E19" s="3"/>
      <c r="F19" s="3"/>
      <c r="G19" s="3"/>
      <c r="H19" s="3"/>
      <c r="I19" s="3"/>
      <c r="J19" s="3">
        <f>C19+D19+E19+F19+G19+H19+I19</f>
        <v>0</v>
      </c>
      <c r="K19" s="3"/>
      <c r="L19" s="3">
        <f t="shared" si="1"/>
        <v>0</v>
      </c>
    </row>
    <row r="20" spans="1:12" x14ac:dyDescent="0.25">
      <c r="A20" s="3"/>
      <c r="B20" s="2"/>
      <c r="C20" s="2">
        <f t="shared" ref="C20:H20" si="2">SUM(C5:C19)</f>
        <v>134000</v>
      </c>
      <c r="D20" s="2">
        <f t="shared" si="2"/>
        <v>22000</v>
      </c>
      <c r="E20" s="2">
        <f t="shared" si="2"/>
        <v>14000</v>
      </c>
      <c r="F20" s="2">
        <f t="shared" si="2"/>
        <v>3000</v>
      </c>
      <c r="G20" s="2">
        <f t="shared" si="2"/>
        <v>9000</v>
      </c>
      <c r="H20" s="2">
        <f t="shared" si="2"/>
        <v>2250</v>
      </c>
      <c r="I20" s="2"/>
      <c r="J20" s="3">
        <f>C20+D20+E20+F20+G20+H20+I20</f>
        <v>184250</v>
      </c>
      <c r="K20" s="2">
        <f>SUM(K5:K19)</f>
        <v>158000</v>
      </c>
      <c r="L20" s="3">
        <f>SUM(L5:L19)</f>
        <v>26250</v>
      </c>
    </row>
    <row r="21" spans="1:12" x14ac:dyDescent="0.25">
      <c r="A21" s="5"/>
      <c r="B21" s="6"/>
      <c r="C21" s="6"/>
      <c r="D21" s="6"/>
      <c r="E21" s="6"/>
      <c r="F21" s="6" t="s">
        <v>9</v>
      </c>
      <c r="G21" s="6"/>
      <c r="H21" s="6"/>
      <c r="I21" s="6"/>
      <c r="J21" s="3"/>
      <c r="K21" s="6"/>
      <c r="L21" s="29">
        <f>L7+L10+L11+L12+H16+G16</f>
        <v>4250</v>
      </c>
    </row>
    <row r="22" spans="1:12" x14ac:dyDescent="0.25">
      <c r="B22" s="26" t="s">
        <v>10</v>
      </c>
      <c r="C22" s="7"/>
      <c r="D22" s="8"/>
      <c r="E22" s="8"/>
      <c r="F22" s="6"/>
      <c r="G22" s="6"/>
      <c r="H22" s="6"/>
      <c r="I22" s="6"/>
      <c r="J22" s="22"/>
      <c r="K22" s="10"/>
      <c r="L22" s="9"/>
    </row>
    <row r="23" spans="1:12" x14ac:dyDescent="0.25">
      <c r="B23" s="1" t="s">
        <v>11</v>
      </c>
      <c r="C23" s="1"/>
      <c r="D23" s="1"/>
      <c r="E23" s="1"/>
      <c r="F23" s="11"/>
      <c r="G23" s="1" t="s">
        <v>12</v>
      </c>
      <c r="H23" s="12"/>
      <c r="I23" s="12"/>
      <c r="J23" s="12"/>
      <c r="K23" s="12"/>
    </row>
    <row r="24" spans="1:12" x14ac:dyDescent="0.25">
      <c r="B24" s="2" t="s">
        <v>13</v>
      </c>
      <c r="C24" s="2" t="s">
        <v>14</v>
      </c>
      <c r="D24" s="2" t="s">
        <v>15</v>
      </c>
      <c r="E24" s="2"/>
      <c r="F24" s="2" t="s">
        <v>16</v>
      </c>
      <c r="G24" s="2" t="s">
        <v>13</v>
      </c>
      <c r="H24" s="2" t="s">
        <v>14</v>
      </c>
      <c r="I24" s="2" t="s">
        <v>15</v>
      </c>
      <c r="J24" s="2" t="s">
        <v>16</v>
      </c>
      <c r="K24" s="2"/>
    </row>
    <row r="25" spans="1:12" x14ac:dyDescent="0.25">
      <c r="B25" s="13" t="s">
        <v>46</v>
      </c>
      <c r="C25" s="14">
        <f>C20</f>
        <v>134000</v>
      </c>
      <c r="D25" s="13"/>
      <c r="E25" s="13"/>
      <c r="F25" s="13"/>
      <c r="G25" s="13" t="s">
        <v>45</v>
      </c>
      <c r="H25" s="14">
        <f>K20</f>
        <v>158000</v>
      </c>
      <c r="I25" s="13"/>
      <c r="J25" s="13"/>
      <c r="K25" s="13"/>
    </row>
    <row r="26" spans="1:12" x14ac:dyDescent="0.25">
      <c r="B26" s="13" t="s">
        <v>3</v>
      </c>
      <c r="C26" s="14">
        <f>'JANUARY '!F38</f>
        <v>-4240</v>
      </c>
      <c r="D26" s="13"/>
      <c r="E26" s="13"/>
      <c r="F26" s="13"/>
      <c r="G26" s="13" t="s">
        <v>3</v>
      </c>
      <c r="H26" s="14">
        <f>'JANUARY '!J38</f>
        <v>-4240</v>
      </c>
      <c r="I26" s="13"/>
      <c r="J26" s="13"/>
      <c r="K26" s="13"/>
    </row>
    <row r="27" spans="1:12" x14ac:dyDescent="0.25">
      <c r="B27" s="13" t="s">
        <v>27</v>
      </c>
      <c r="C27" s="14">
        <f>E20</f>
        <v>14000</v>
      </c>
      <c r="D27" s="13"/>
      <c r="E27" s="13"/>
      <c r="F27" s="13"/>
      <c r="G27" s="13"/>
      <c r="H27" s="14"/>
      <c r="I27" s="13"/>
      <c r="J27" s="13"/>
      <c r="K27" s="13"/>
    </row>
    <row r="28" spans="1:12" x14ac:dyDescent="0.25">
      <c r="B28" s="3" t="s">
        <v>31</v>
      </c>
      <c r="C28" s="3">
        <f>F20</f>
        <v>3000</v>
      </c>
      <c r="D28" s="3"/>
      <c r="E28" s="3"/>
      <c r="F28" s="3"/>
      <c r="G28" s="3"/>
      <c r="H28" s="3"/>
      <c r="I28" s="3"/>
      <c r="J28" s="3"/>
      <c r="K28" s="3"/>
    </row>
    <row r="29" spans="1:12" x14ac:dyDescent="0.25">
      <c r="B29" s="3" t="s">
        <v>37</v>
      </c>
      <c r="C29" s="3">
        <f>G20</f>
        <v>9000</v>
      </c>
      <c r="D29" s="3"/>
      <c r="E29" s="3"/>
      <c r="F29" s="3"/>
      <c r="G29" s="3"/>
      <c r="H29" s="3"/>
      <c r="I29" s="3"/>
      <c r="J29" s="3"/>
      <c r="K29" s="3"/>
    </row>
    <row r="30" spans="1:12" x14ac:dyDescent="0.25">
      <c r="B30" s="3" t="s">
        <v>43</v>
      </c>
      <c r="C30" s="3">
        <f>I20</f>
        <v>0</v>
      </c>
      <c r="D30" s="3"/>
      <c r="E30" s="3"/>
      <c r="F30" s="3"/>
      <c r="G30" s="3"/>
      <c r="H30" s="3"/>
      <c r="I30" s="3"/>
      <c r="J30" s="3"/>
      <c r="K30" s="3"/>
    </row>
    <row r="31" spans="1:12" x14ac:dyDescent="0.25">
      <c r="B31" s="13" t="s">
        <v>18</v>
      </c>
      <c r="C31" s="16">
        <v>0.05</v>
      </c>
      <c r="D31" s="14">
        <f>C31*C25</f>
        <v>6700</v>
      </c>
      <c r="E31" s="14"/>
      <c r="F31" s="13"/>
      <c r="G31" s="13" t="s">
        <v>18</v>
      </c>
      <c r="H31" s="16">
        <v>0.05</v>
      </c>
      <c r="I31" s="14">
        <f>H31*C20</f>
        <v>6700</v>
      </c>
      <c r="J31" s="14"/>
      <c r="K31" s="14"/>
    </row>
    <row r="32" spans="1:12" x14ac:dyDescent="0.25">
      <c r="B32" s="24" t="s">
        <v>19</v>
      </c>
      <c r="C32" s="13" t="s">
        <v>9</v>
      </c>
      <c r="D32" s="13"/>
      <c r="E32" s="13"/>
      <c r="F32" s="13"/>
      <c r="G32" s="24" t="s">
        <v>19</v>
      </c>
      <c r="H32" s="14"/>
      <c r="I32" s="13"/>
      <c r="J32" s="13"/>
      <c r="K32" s="13"/>
    </row>
    <row r="33" spans="2:13" x14ac:dyDescent="0.25">
      <c r="B33" s="17" t="s">
        <v>49</v>
      </c>
      <c r="C33" s="3"/>
      <c r="D33" s="3">
        <v>146060</v>
      </c>
      <c r="E33" s="3"/>
      <c r="F33" s="3"/>
      <c r="G33" s="17" t="s">
        <v>49</v>
      </c>
      <c r="H33" s="3"/>
      <c r="I33" s="3">
        <v>146060</v>
      </c>
      <c r="J33" s="3"/>
      <c r="K33" s="3"/>
    </row>
    <row r="34" spans="2:13" x14ac:dyDescent="0.25">
      <c r="B34" s="18"/>
      <c r="C34" s="3"/>
      <c r="D34" s="3"/>
      <c r="E34" s="3"/>
      <c r="F34" s="3"/>
      <c r="G34" s="18" t="s">
        <v>42</v>
      </c>
      <c r="H34" s="3"/>
      <c r="I34" s="3">
        <f>H20</f>
        <v>2250</v>
      </c>
      <c r="J34" s="3"/>
      <c r="K34" s="3"/>
    </row>
    <row r="35" spans="2:13" x14ac:dyDescent="0.25">
      <c r="B35" s="19"/>
      <c r="C35" s="13"/>
      <c r="D35" s="13"/>
      <c r="E35" s="13"/>
      <c r="F35" s="13"/>
      <c r="G35" s="19"/>
      <c r="H35" s="13"/>
      <c r="I35" s="13"/>
      <c r="J35" s="13"/>
      <c r="K35" s="13"/>
    </row>
    <row r="36" spans="2:13" x14ac:dyDescent="0.25">
      <c r="B36" s="19"/>
      <c r="C36" s="13"/>
      <c r="D36" s="13"/>
      <c r="E36" s="13"/>
      <c r="F36" s="13"/>
      <c r="G36" s="19"/>
      <c r="H36" s="13"/>
      <c r="I36" s="13"/>
      <c r="J36" s="13"/>
      <c r="K36" s="13"/>
    </row>
    <row r="37" spans="2:13" x14ac:dyDescent="0.25">
      <c r="B37" s="20"/>
      <c r="C37" s="13"/>
      <c r="D37" s="13"/>
      <c r="E37" s="13"/>
      <c r="F37" s="13"/>
      <c r="G37" s="18"/>
      <c r="H37" s="3"/>
      <c r="I37" s="21"/>
      <c r="J37" s="21"/>
      <c r="K37" s="21"/>
    </row>
    <row r="38" spans="2:13" x14ac:dyDescent="0.25">
      <c r="B38" s="18"/>
      <c r="C38" s="3"/>
      <c r="D38" s="21"/>
      <c r="E38" s="21"/>
      <c r="F38" s="13"/>
      <c r="G38" s="3"/>
      <c r="H38" s="3"/>
      <c r="I38" s="3"/>
      <c r="J38" s="3"/>
      <c r="K38" s="3"/>
    </row>
    <row r="39" spans="2:13" x14ac:dyDescent="0.25">
      <c r="B39" s="24" t="s">
        <v>8</v>
      </c>
      <c r="C39" s="25">
        <f>C25+C26+C27+C28+C29+C30-D31</f>
        <v>149060</v>
      </c>
      <c r="D39" s="25">
        <f>SUM(D33:D38)</f>
        <v>146060</v>
      </c>
      <c r="E39" s="25"/>
      <c r="F39" s="25">
        <f>C39-D39</f>
        <v>3000</v>
      </c>
      <c r="G39" s="24" t="s">
        <v>8</v>
      </c>
      <c r="H39" s="25">
        <f>H25+H26-I31</f>
        <v>147060</v>
      </c>
      <c r="I39" s="25">
        <f>SUM(I33:I38)</f>
        <v>148310</v>
      </c>
      <c r="J39" s="25">
        <f>H39-I39</f>
        <v>-1250</v>
      </c>
      <c r="K39" s="25"/>
    </row>
    <row r="40" spans="2:13" x14ac:dyDescent="0.25">
      <c r="M40" s="15">
        <f>I39-I34</f>
        <v>146060</v>
      </c>
    </row>
    <row r="41" spans="2:13" x14ac:dyDescent="0.25">
      <c r="B41" t="s">
        <v>20</v>
      </c>
      <c r="D41" t="s">
        <v>21</v>
      </c>
      <c r="J41" t="s">
        <v>22</v>
      </c>
    </row>
    <row r="43" spans="2:13" x14ac:dyDescent="0.25">
      <c r="B43" t="s">
        <v>34</v>
      </c>
      <c r="D43" t="s">
        <v>23</v>
      </c>
      <c r="J43" t="s">
        <v>28</v>
      </c>
    </row>
  </sheetData>
  <pageMargins left="0" right="0" top="0.75" bottom="0.75" header="0.3" footer="0.3"/>
  <pageSetup orientation="portrait" horizontalDpi="203" verticalDpi="20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O7" sqref="O7"/>
    </sheetView>
  </sheetViews>
  <sheetFormatPr defaultRowHeight="15" x14ac:dyDescent="0.25"/>
  <cols>
    <col min="2" max="2" width="20.140625" customWidth="1"/>
  </cols>
  <sheetData>
    <row r="1" spans="1:16" x14ac:dyDescent="0.25">
      <c r="E1" s="1" t="s">
        <v>94</v>
      </c>
      <c r="F1" s="1"/>
      <c r="G1" s="1"/>
      <c r="H1" s="1"/>
      <c r="I1" s="1"/>
      <c r="J1" s="1"/>
      <c r="K1" s="1"/>
      <c r="L1" s="1"/>
    </row>
    <row r="2" spans="1:16" x14ac:dyDescent="0.25">
      <c r="E2" s="1" t="s">
        <v>0</v>
      </c>
      <c r="F2" s="1"/>
      <c r="G2" s="1"/>
      <c r="H2" s="1"/>
      <c r="I2" s="1"/>
      <c r="J2" s="1"/>
      <c r="K2" s="1"/>
      <c r="L2" s="1"/>
    </row>
    <row r="3" spans="1:16" x14ac:dyDescent="0.25">
      <c r="B3" s="1"/>
      <c r="E3" s="1" t="s">
        <v>137</v>
      </c>
      <c r="F3" s="1"/>
      <c r="G3" s="1"/>
      <c r="H3" s="1"/>
      <c r="I3" s="1"/>
      <c r="J3" s="1"/>
      <c r="K3" s="1"/>
      <c r="L3" s="1"/>
    </row>
    <row r="4" spans="1:16" x14ac:dyDescent="0.25">
      <c r="A4" s="3"/>
      <c r="B4" s="2" t="s">
        <v>2</v>
      </c>
      <c r="C4" s="2" t="s">
        <v>51</v>
      </c>
      <c r="D4" s="2" t="s">
        <v>3</v>
      </c>
      <c r="E4" s="2" t="s">
        <v>27</v>
      </c>
      <c r="F4" s="2" t="s">
        <v>31</v>
      </c>
      <c r="G4" s="2" t="s">
        <v>50</v>
      </c>
      <c r="H4" s="2" t="s">
        <v>42</v>
      </c>
      <c r="I4" s="2" t="s">
        <v>43</v>
      </c>
      <c r="J4" s="2" t="s">
        <v>5</v>
      </c>
      <c r="K4" s="2" t="s">
        <v>6</v>
      </c>
      <c r="L4" s="2" t="s">
        <v>7</v>
      </c>
    </row>
    <row r="5" spans="1:16" x14ac:dyDescent="0.25">
      <c r="A5" s="3">
        <v>1</v>
      </c>
      <c r="B5" s="3" t="s">
        <v>123</v>
      </c>
      <c r="C5" s="3">
        <v>14000</v>
      </c>
      <c r="D5" s="3">
        <f>'JULY 21'!L5:L21</f>
        <v>0</v>
      </c>
      <c r="E5" s="3"/>
      <c r="F5" s="3"/>
      <c r="G5" s="3">
        <v>1000</v>
      </c>
      <c r="H5" s="3">
        <v>250</v>
      </c>
      <c r="I5" s="3">
        <v>900</v>
      </c>
      <c r="J5" s="3">
        <f>C5+C17+D5+E5+F5+G5+H5+I5</f>
        <v>16150</v>
      </c>
      <c r="K5" s="3">
        <f>16150</f>
        <v>16150</v>
      </c>
      <c r="L5" s="3">
        <f>J5-K5</f>
        <v>0</v>
      </c>
    </row>
    <row r="6" spans="1:16" x14ac:dyDescent="0.25">
      <c r="A6" s="3">
        <v>2</v>
      </c>
      <c r="B6" s="3" t="s">
        <v>39</v>
      </c>
      <c r="C6" s="3">
        <v>14000</v>
      </c>
      <c r="D6" s="3">
        <f>'JULY 21'!L6:L22</f>
        <v>780</v>
      </c>
      <c r="E6" s="3"/>
      <c r="F6" s="3"/>
      <c r="G6" s="3">
        <v>1000</v>
      </c>
      <c r="H6" s="3">
        <v>250</v>
      </c>
      <c r="I6" s="3">
        <v>1200</v>
      </c>
      <c r="J6" s="3">
        <f t="shared" ref="J6:J17" si="0">C6+D6+E6+F6+G6+H6+I6</f>
        <v>17230</v>
      </c>
      <c r="K6" s="3">
        <v>16450</v>
      </c>
      <c r="L6" s="3">
        <f>J6-K6</f>
        <v>780</v>
      </c>
      <c r="O6">
        <f>10000+250+600+900</f>
        <v>11750</v>
      </c>
    </row>
    <row r="7" spans="1:16" x14ac:dyDescent="0.25">
      <c r="A7" s="3">
        <v>3</v>
      </c>
      <c r="B7" s="3" t="s">
        <v>35</v>
      </c>
      <c r="C7" s="3">
        <v>14000</v>
      </c>
      <c r="D7" s="3">
        <f>'JULY 21'!L7:L23</f>
        <v>0</v>
      </c>
      <c r="E7" s="3"/>
      <c r="F7" s="3"/>
      <c r="G7" s="3">
        <v>1000</v>
      </c>
      <c r="H7" s="3">
        <v>250</v>
      </c>
      <c r="I7" s="3">
        <v>1500</v>
      </c>
      <c r="J7" s="3">
        <f>C7+D7+E7+F7+G7+H7+I7</f>
        <v>16750</v>
      </c>
      <c r="K7" s="3">
        <v>16750</v>
      </c>
      <c r="L7" s="3">
        <f>J7-K7</f>
        <v>0</v>
      </c>
    </row>
    <row r="8" spans="1:16" x14ac:dyDescent="0.25">
      <c r="A8" s="3">
        <v>4</v>
      </c>
      <c r="B8" s="3" t="s">
        <v>48</v>
      </c>
      <c r="C8" s="3">
        <v>14000</v>
      </c>
      <c r="D8" s="3">
        <f>'JULY 21'!L8:L24</f>
        <v>0</v>
      </c>
      <c r="E8" s="3"/>
      <c r="F8" s="3"/>
      <c r="G8" s="3">
        <v>1000</v>
      </c>
      <c r="H8" s="3">
        <v>250</v>
      </c>
      <c r="I8" s="3">
        <v>300</v>
      </c>
      <c r="J8" s="3">
        <f t="shared" si="0"/>
        <v>15550</v>
      </c>
      <c r="K8" s="3">
        <f>15000</f>
        <v>15000</v>
      </c>
      <c r="L8" s="3">
        <f t="shared" ref="L8:L19" si="1">J8-K8</f>
        <v>550</v>
      </c>
    </row>
    <row r="9" spans="1:16" x14ac:dyDescent="0.25">
      <c r="A9" s="3">
        <v>5</v>
      </c>
      <c r="B9" s="3" t="s">
        <v>59</v>
      </c>
      <c r="C9" s="3">
        <v>9000</v>
      </c>
      <c r="D9" s="3">
        <f>'JULY 21'!L9:L25</f>
        <v>90</v>
      </c>
      <c r="E9" s="3"/>
      <c r="F9" s="3"/>
      <c r="G9" s="3">
        <v>1000</v>
      </c>
      <c r="H9" s="3">
        <v>250</v>
      </c>
      <c r="I9" s="3">
        <v>600</v>
      </c>
      <c r="J9" s="3">
        <f>C9+D9+E9+F9+G9+H9+I9</f>
        <v>10940</v>
      </c>
      <c r="K9" s="3">
        <f>10000+600</f>
        <v>10600</v>
      </c>
      <c r="L9" s="3">
        <f t="shared" si="1"/>
        <v>340</v>
      </c>
      <c r="P9">
        <f>18000+2000+900+250</f>
        <v>21150</v>
      </c>
    </row>
    <row r="10" spans="1:16" x14ac:dyDescent="0.25">
      <c r="A10" s="3">
        <v>6</v>
      </c>
      <c r="B10" s="4" t="s">
        <v>111</v>
      </c>
      <c r="C10" s="3">
        <v>14000</v>
      </c>
      <c r="D10" s="3">
        <f>'JULY 21'!L10:L26</f>
        <v>3050</v>
      </c>
      <c r="E10" s="3"/>
      <c r="F10" s="3"/>
      <c r="G10" s="3">
        <v>1000</v>
      </c>
      <c r="H10" s="3">
        <v>250</v>
      </c>
      <c r="I10" s="3">
        <v>900</v>
      </c>
      <c r="J10" s="3">
        <f>C10+D10+E10+F10+G10+H10+I10</f>
        <v>19200</v>
      </c>
      <c r="K10" s="3">
        <f>2500+13500</f>
        <v>16000</v>
      </c>
      <c r="L10" s="3">
        <f>J10-K10</f>
        <v>3200</v>
      </c>
    </row>
    <row r="11" spans="1:16" x14ac:dyDescent="0.25">
      <c r="A11" s="3">
        <v>7</v>
      </c>
      <c r="B11" s="3" t="s">
        <v>32</v>
      </c>
      <c r="C11" s="3">
        <v>14000</v>
      </c>
      <c r="D11" s="3">
        <f>'JULY 21'!L11:L27</f>
        <v>0</v>
      </c>
      <c r="E11" s="3"/>
      <c r="F11" s="3"/>
      <c r="G11" s="3">
        <v>1000</v>
      </c>
      <c r="H11" s="3">
        <v>250</v>
      </c>
      <c r="I11" s="3">
        <v>900</v>
      </c>
      <c r="J11" s="3">
        <f t="shared" si="0"/>
        <v>16150</v>
      </c>
      <c r="K11" s="3">
        <f>16500</f>
        <v>16500</v>
      </c>
      <c r="L11" s="3">
        <f>J11-K11</f>
        <v>-350</v>
      </c>
    </row>
    <row r="12" spans="1:16" x14ac:dyDescent="0.25">
      <c r="A12" s="3">
        <v>8</v>
      </c>
      <c r="B12" s="33" t="s">
        <v>100</v>
      </c>
      <c r="C12" s="3"/>
      <c r="D12" s="3">
        <f>'JULY 21'!L12:L28</f>
        <v>0</v>
      </c>
      <c r="E12" s="3"/>
      <c r="F12" s="3"/>
      <c r="G12" s="3">
        <v>0</v>
      </c>
      <c r="H12" s="3"/>
      <c r="I12" s="3"/>
      <c r="J12" s="3"/>
      <c r="K12" s="3"/>
      <c r="L12" s="3">
        <f t="shared" si="1"/>
        <v>0</v>
      </c>
    </row>
    <row r="13" spans="1:16" x14ac:dyDescent="0.25">
      <c r="A13" s="3">
        <v>9</v>
      </c>
      <c r="B13" s="3" t="s">
        <v>40</v>
      </c>
      <c r="C13" s="3">
        <v>14000</v>
      </c>
      <c r="D13" s="3">
        <f>'JULY 21'!L13:L29</f>
        <v>0</v>
      </c>
      <c r="E13" s="3"/>
      <c r="F13" s="3"/>
      <c r="G13" s="3">
        <v>1000</v>
      </c>
      <c r="H13" s="3">
        <v>250</v>
      </c>
      <c r="I13" s="3">
        <v>450</v>
      </c>
      <c r="J13" s="3">
        <f t="shared" si="0"/>
        <v>15700</v>
      </c>
      <c r="K13" s="3">
        <v>15700</v>
      </c>
      <c r="L13" s="3">
        <f t="shared" si="1"/>
        <v>0</v>
      </c>
    </row>
    <row r="14" spans="1:16" x14ac:dyDescent="0.25">
      <c r="A14" s="3">
        <v>10</v>
      </c>
      <c r="B14" s="3" t="s">
        <v>134</v>
      </c>
      <c r="C14" s="3">
        <v>9000</v>
      </c>
      <c r="D14" s="3">
        <f>'JULY 21'!L14:L30</f>
        <v>0</v>
      </c>
      <c r="E14" s="3"/>
      <c r="F14" s="3"/>
      <c r="G14" s="3">
        <v>1000</v>
      </c>
      <c r="H14" s="3">
        <v>250</v>
      </c>
      <c r="I14" s="3">
        <v>600</v>
      </c>
      <c r="J14" s="3">
        <f t="shared" si="0"/>
        <v>10850</v>
      </c>
      <c r="K14" s="3">
        <f>4600</f>
        <v>4600</v>
      </c>
      <c r="L14" s="3">
        <f t="shared" si="1"/>
        <v>6250</v>
      </c>
    </row>
    <row r="15" spans="1:16" x14ac:dyDescent="0.25">
      <c r="A15" s="3">
        <v>11</v>
      </c>
      <c r="B15" s="3" t="s">
        <v>127</v>
      </c>
      <c r="C15" s="3">
        <v>15000</v>
      </c>
      <c r="D15" s="3">
        <f>'JULY 21'!L15:L31</f>
        <v>2000</v>
      </c>
      <c r="E15" s="3"/>
      <c r="F15" s="3"/>
      <c r="G15" s="3">
        <v>1000</v>
      </c>
      <c r="H15" s="3"/>
      <c r="I15" s="3">
        <v>750</v>
      </c>
      <c r="J15" s="3">
        <f>C15+D15+E15+F15+G15+H15+I15</f>
        <v>18750</v>
      </c>
      <c r="K15" s="3">
        <f>17000</f>
        <v>17000</v>
      </c>
      <c r="L15" s="3">
        <f t="shared" si="1"/>
        <v>1750</v>
      </c>
    </row>
    <row r="16" spans="1:16" x14ac:dyDescent="0.25">
      <c r="A16" s="3">
        <v>12</v>
      </c>
      <c r="B16" s="3" t="s">
        <v>128</v>
      </c>
      <c r="C16" s="3">
        <v>22000</v>
      </c>
      <c r="D16" s="3">
        <f>'JULY 21'!L16:L32</f>
        <v>40500</v>
      </c>
      <c r="E16" s="3"/>
      <c r="F16" s="3"/>
      <c r="G16" s="3">
        <v>1000</v>
      </c>
      <c r="H16" s="3"/>
      <c r="I16" s="3"/>
      <c r="J16" s="3">
        <f>C16+D16+E16+F16+G16+H16+I16</f>
        <v>63500</v>
      </c>
      <c r="K16" s="3">
        <f>23000</f>
        <v>23000</v>
      </c>
      <c r="L16" s="3">
        <f>J16-K16</f>
        <v>40500</v>
      </c>
    </row>
    <row r="17" spans="1:13" x14ac:dyDescent="0.25">
      <c r="A17" s="3">
        <v>13</v>
      </c>
      <c r="B17" s="3" t="s">
        <v>74</v>
      </c>
      <c r="C17" s="3"/>
      <c r="D17" s="3">
        <f>'JULY 21'!L17:L33</f>
        <v>0</v>
      </c>
      <c r="E17" s="3"/>
      <c r="F17" s="3"/>
      <c r="G17" s="3"/>
      <c r="H17" s="3"/>
      <c r="I17" s="3">
        <v>600</v>
      </c>
      <c r="J17" s="3">
        <f t="shared" si="0"/>
        <v>600</v>
      </c>
      <c r="K17" s="3">
        <f>600</f>
        <v>600</v>
      </c>
      <c r="L17" s="3">
        <f>J17-K17</f>
        <v>0</v>
      </c>
    </row>
    <row r="18" spans="1:13" x14ac:dyDescent="0.25">
      <c r="A18" s="3"/>
      <c r="B18" s="3"/>
      <c r="C18" s="3"/>
      <c r="D18" s="3">
        <f>'JULY 21'!L18:L34</f>
        <v>0</v>
      </c>
      <c r="E18" s="3"/>
      <c r="F18" s="3"/>
      <c r="G18" s="3"/>
      <c r="H18" s="3"/>
      <c r="I18" s="3"/>
      <c r="J18" s="3">
        <f>C18+D18+E18+F18+G18+H18+I18</f>
        <v>0</v>
      </c>
      <c r="K18" s="3"/>
      <c r="L18" s="3">
        <f t="shared" si="1"/>
        <v>0</v>
      </c>
    </row>
    <row r="19" spans="1:13" x14ac:dyDescent="0.25">
      <c r="A19" s="3"/>
      <c r="B19" s="3"/>
      <c r="C19" s="3"/>
      <c r="D19" s="3">
        <f>'JULY 21'!L19:L35</f>
        <v>0</v>
      </c>
      <c r="E19" s="3"/>
      <c r="F19" s="3"/>
      <c r="G19" s="3"/>
      <c r="H19" s="3"/>
      <c r="I19" s="3"/>
      <c r="J19" s="3">
        <f>C19+D19+E19+F19+G19+H19+I19</f>
        <v>0</v>
      </c>
      <c r="K19" s="3"/>
      <c r="L19" s="3">
        <f t="shared" si="1"/>
        <v>0</v>
      </c>
    </row>
    <row r="20" spans="1:13" x14ac:dyDescent="0.25">
      <c r="A20" s="3"/>
      <c r="B20" s="2"/>
      <c r="C20" s="2">
        <f>SUM(C5:C19)</f>
        <v>153000</v>
      </c>
      <c r="D20" s="3">
        <f>SUM(D5:D19)</f>
        <v>46420</v>
      </c>
      <c r="E20" s="2">
        <f t="shared" ref="E20:G20" si="2">SUM(E5:E19)</f>
        <v>0</v>
      </c>
      <c r="F20" s="2">
        <f t="shared" si="2"/>
        <v>0</v>
      </c>
      <c r="G20" s="2">
        <f t="shared" si="2"/>
        <v>11000</v>
      </c>
      <c r="H20" s="2">
        <f>SUM(H5:H19)</f>
        <v>2250</v>
      </c>
      <c r="I20" s="2">
        <f>SUM(I5:I19)</f>
        <v>8700</v>
      </c>
      <c r="J20" s="3">
        <f>SUM(J5:J19)</f>
        <v>221370</v>
      </c>
      <c r="K20" s="2">
        <f>SUM(K5:K19)</f>
        <v>168350</v>
      </c>
      <c r="L20" s="3">
        <f>SUM(L5:L19)</f>
        <v>53020</v>
      </c>
    </row>
    <row r="21" spans="1:13" x14ac:dyDescent="0.25">
      <c r="B21" s="6"/>
      <c r="C21" s="6"/>
      <c r="D21" s="3">
        <f>'JULY 21'!L21:L37</f>
        <v>28920</v>
      </c>
      <c r="E21" s="6"/>
      <c r="F21" s="6" t="s">
        <v>9</v>
      </c>
      <c r="G21" s="6"/>
      <c r="H21" s="6"/>
      <c r="I21" s="6"/>
      <c r="J21" s="3"/>
      <c r="K21" s="6"/>
      <c r="L21" s="29">
        <f>L20-17500</f>
        <v>35520</v>
      </c>
    </row>
    <row r="22" spans="1:13" x14ac:dyDescent="0.25">
      <c r="C22" s="7"/>
      <c r="D22" s="8"/>
      <c r="E22" s="8"/>
      <c r="F22" s="28" t="s">
        <v>10</v>
      </c>
      <c r="G22" s="6"/>
      <c r="H22" s="6"/>
      <c r="I22" s="6"/>
      <c r="J22" s="22"/>
      <c r="K22" s="10"/>
      <c r="L22" s="9"/>
      <c r="M22">
        <f>L106</f>
        <v>0</v>
      </c>
    </row>
    <row r="23" spans="1:13" x14ac:dyDescent="0.25">
      <c r="B23" s="1" t="s">
        <v>11</v>
      </c>
      <c r="C23" s="1"/>
      <c r="D23" s="1"/>
      <c r="E23" s="1"/>
      <c r="F23" s="11"/>
      <c r="G23" s="1" t="s">
        <v>12</v>
      </c>
      <c r="H23" s="12"/>
      <c r="I23" s="12"/>
      <c r="J23" s="12"/>
      <c r="K23" s="12"/>
    </row>
    <row r="24" spans="1:13" x14ac:dyDescent="0.25">
      <c r="B24" s="2" t="s">
        <v>13</v>
      </c>
      <c r="C24" s="2" t="s">
        <v>14</v>
      </c>
      <c r="D24" s="2" t="s">
        <v>15</v>
      </c>
      <c r="E24" s="2"/>
      <c r="F24" s="2" t="s">
        <v>16</v>
      </c>
      <c r="G24" s="2" t="s">
        <v>13</v>
      </c>
      <c r="H24" s="2" t="s">
        <v>14</v>
      </c>
      <c r="I24" s="3" t="s">
        <v>15</v>
      </c>
      <c r="J24" s="2" t="s">
        <v>16</v>
      </c>
      <c r="K24" s="2"/>
    </row>
    <row r="25" spans="1:13" x14ac:dyDescent="0.25">
      <c r="B25" s="13" t="s">
        <v>83</v>
      </c>
      <c r="C25" s="14">
        <f>C20</f>
        <v>153000</v>
      </c>
      <c r="D25" s="13"/>
      <c r="E25" s="13"/>
      <c r="F25" s="13"/>
      <c r="G25" s="13" t="s">
        <v>83</v>
      </c>
      <c r="H25" s="14">
        <f>K20</f>
        <v>168350</v>
      </c>
      <c r="I25" s="3"/>
      <c r="J25" s="13"/>
      <c r="K25" s="13"/>
    </row>
    <row r="26" spans="1:13" x14ac:dyDescent="0.25">
      <c r="B26" s="13" t="s">
        <v>3</v>
      </c>
      <c r="C26" s="14">
        <f>'JULY 21'!E39</f>
        <v>2700</v>
      </c>
      <c r="D26" s="13"/>
      <c r="E26" s="13"/>
      <c r="F26" s="13"/>
      <c r="G26" s="13" t="s">
        <v>3</v>
      </c>
      <c r="H26" s="14">
        <f>'JULY 21'!J39</f>
        <v>-26719</v>
      </c>
      <c r="I26" s="13"/>
      <c r="J26" s="13"/>
      <c r="K26" s="13"/>
    </row>
    <row r="27" spans="1:13" x14ac:dyDescent="0.25">
      <c r="B27" s="13" t="s">
        <v>27</v>
      </c>
      <c r="C27" s="14">
        <f>E20</f>
        <v>0</v>
      </c>
      <c r="D27" s="13"/>
      <c r="E27" s="13"/>
      <c r="F27" s="13"/>
      <c r="G27" s="13"/>
      <c r="H27" s="14"/>
      <c r="I27" s="13"/>
      <c r="J27" s="13"/>
      <c r="K27" s="13"/>
    </row>
    <row r="28" spans="1:13" x14ac:dyDescent="0.25">
      <c r="B28" s="3" t="s">
        <v>31</v>
      </c>
      <c r="C28" s="3">
        <f>F20</f>
        <v>0</v>
      </c>
      <c r="D28" s="13"/>
      <c r="E28" s="13"/>
      <c r="F28" s="13"/>
      <c r="G28" s="13"/>
      <c r="H28" s="14"/>
      <c r="I28" s="13"/>
      <c r="J28" s="13"/>
      <c r="K28" s="13"/>
    </row>
    <row r="29" spans="1:13" x14ac:dyDescent="0.25">
      <c r="B29" s="3" t="s">
        <v>37</v>
      </c>
      <c r="C29" s="3">
        <f>G20</f>
        <v>11000</v>
      </c>
      <c r="D29" s="3"/>
      <c r="E29" s="3"/>
      <c r="F29" s="3"/>
      <c r="G29" s="3"/>
      <c r="H29" s="3"/>
      <c r="I29" s="3"/>
      <c r="J29" s="3"/>
      <c r="K29" s="3"/>
    </row>
    <row r="30" spans="1:13" x14ac:dyDescent="0.25">
      <c r="B30" s="3" t="s">
        <v>43</v>
      </c>
      <c r="C30" s="3">
        <f>I20</f>
        <v>8700</v>
      </c>
      <c r="D30" s="3"/>
      <c r="E30" s="3"/>
      <c r="F30" s="3"/>
      <c r="G30" s="3"/>
      <c r="H30" s="3"/>
      <c r="I30" s="3"/>
      <c r="J30" s="2"/>
      <c r="K30" s="3"/>
    </row>
    <row r="31" spans="1:13" x14ac:dyDescent="0.25">
      <c r="B31" s="13" t="s">
        <v>18</v>
      </c>
      <c r="C31" s="16">
        <v>0.05</v>
      </c>
      <c r="D31" s="14">
        <f>C31*C25</f>
        <v>7650</v>
      </c>
      <c r="E31" s="14"/>
      <c r="F31" s="13"/>
      <c r="G31" s="13" t="s">
        <v>18</v>
      </c>
      <c r="H31" s="16">
        <v>0.05</v>
      </c>
      <c r="I31" s="14">
        <f>H31*C25</f>
        <v>7650</v>
      </c>
      <c r="J31" s="13"/>
      <c r="K31" s="3"/>
    </row>
    <row r="32" spans="1:13" x14ac:dyDescent="0.25">
      <c r="B32" s="27" t="s">
        <v>19</v>
      </c>
      <c r="C32" s="13" t="s">
        <v>9</v>
      </c>
      <c r="D32" s="13"/>
      <c r="E32" s="13"/>
      <c r="F32" s="13"/>
      <c r="G32" s="27" t="s">
        <v>19</v>
      </c>
      <c r="H32" s="14"/>
      <c r="I32" s="13"/>
      <c r="J32" s="13"/>
      <c r="K32" s="13"/>
    </row>
    <row r="33" spans="2:14" x14ac:dyDescent="0.25">
      <c r="B33" s="27"/>
      <c r="C33" s="13"/>
      <c r="D33" s="14"/>
      <c r="E33" s="13"/>
      <c r="F33" s="13"/>
      <c r="G33" s="24" t="s">
        <v>42</v>
      </c>
      <c r="H33" s="14"/>
      <c r="I33" s="13">
        <f>H20</f>
        <v>2250</v>
      </c>
      <c r="J33" s="13"/>
      <c r="K33" s="13"/>
    </row>
    <row r="34" spans="2:14" x14ac:dyDescent="0.25">
      <c r="B34" s="17" t="s">
        <v>37</v>
      </c>
      <c r="C34" s="3"/>
      <c r="D34" s="30">
        <v>9000</v>
      </c>
      <c r="E34" s="3"/>
      <c r="F34" s="3"/>
      <c r="G34" s="17" t="s">
        <v>37</v>
      </c>
      <c r="H34" s="3"/>
      <c r="I34" s="3">
        <v>9000</v>
      </c>
      <c r="J34" s="3"/>
      <c r="K34" s="3"/>
      <c r="M34" s="15"/>
    </row>
    <row r="35" spans="2:14" x14ac:dyDescent="0.25">
      <c r="B35" s="18" t="s">
        <v>60</v>
      </c>
      <c r="C35" s="3"/>
      <c r="D35" s="30">
        <v>7000</v>
      </c>
      <c r="E35" s="3"/>
      <c r="F35" s="3"/>
      <c r="G35" s="18" t="s">
        <v>60</v>
      </c>
      <c r="H35" s="3"/>
      <c r="I35" s="3">
        <v>7000</v>
      </c>
      <c r="J35" s="3"/>
      <c r="K35" s="3"/>
    </row>
    <row r="36" spans="2:14" x14ac:dyDescent="0.25">
      <c r="B36" s="19" t="s">
        <v>138</v>
      </c>
      <c r="C36" s="16"/>
      <c r="D36" s="14">
        <v>151750</v>
      </c>
      <c r="E36" s="13"/>
      <c r="F36" s="13"/>
      <c r="G36" s="19" t="s">
        <v>138</v>
      </c>
      <c r="H36" s="16"/>
      <c r="I36" s="14">
        <f>D36</f>
        <v>151750</v>
      </c>
      <c r="J36" s="13"/>
      <c r="K36" s="13"/>
      <c r="N36" s="15">
        <f>H25+H26</f>
        <v>141631</v>
      </c>
    </row>
    <row r="37" spans="2:14" x14ac:dyDescent="0.25">
      <c r="B37" s="19"/>
      <c r="C37" s="13"/>
      <c r="D37" s="14"/>
      <c r="E37" s="13"/>
      <c r="F37" s="13"/>
      <c r="G37" s="19"/>
      <c r="H37" s="13"/>
      <c r="I37" s="14"/>
      <c r="J37" s="13"/>
      <c r="K37" s="13"/>
      <c r="N37" s="15">
        <f>N36-I31</f>
        <v>133981</v>
      </c>
    </row>
    <row r="38" spans="2:14" x14ac:dyDescent="0.25">
      <c r="B38" s="19"/>
      <c r="C38" s="13"/>
      <c r="D38" s="14"/>
      <c r="E38" s="13"/>
      <c r="F38" s="13"/>
      <c r="G38" s="19"/>
      <c r="H38" s="13"/>
      <c r="I38" s="14"/>
      <c r="J38" s="13"/>
      <c r="K38" s="13"/>
    </row>
    <row r="39" spans="2:14" x14ac:dyDescent="0.25">
      <c r="B39" s="18"/>
      <c r="C39" s="30">
        <f>C25+C26+C27+C28+C29+C30-D31</f>
        <v>167750</v>
      </c>
      <c r="D39" s="31">
        <f>SUM(D33:D38)</f>
        <v>167750</v>
      </c>
      <c r="E39" s="31">
        <f>C39-D39</f>
        <v>0</v>
      </c>
      <c r="F39" s="13"/>
      <c r="G39" s="18"/>
      <c r="H39" s="30">
        <f>H25+H26-I31</f>
        <v>133981</v>
      </c>
      <c r="I39" s="21">
        <f>SUM(I33:I38)</f>
        <v>170000</v>
      </c>
      <c r="J39" s="30">
        <f>H39-I39</f>
        <v>-36019</v>
      </c>
      <c r="K39" s="3"/>
      <c r="L39" s="15"/>
    </row>
    <row r="40" spans="2:14" x14ac:dyDescent="0.25">
      <c r="B40" t="s">
        <v>20</v>
      </c>
      <c r="D40" t="s">
        <v>21</v>
      </c>
      <c r="I40">
        <f>I39-I33</f>
        <v>167750</v>
      </c>
      <c r="J40" t="s">
        <v>22</v>
      </c>
      <c r="L40" s="15"/>
    </row>
    <row r="41" spans="2:14" x14ac:dyDescent="0.25">
      <c r="L41" s="1"/>
    </row>
    <row r="42" spans="2:14" x14ac:dyDescent="0.25">
      <c r="B42" t="s">
        <v>34</v>
      </c>
      <c r="D42" t="s">
        <v>23</v>
      </c>
      <c r="J42" t="s">
        <v>95</v>
      </c>
      <c r="K42" s="15"/>
      <c r="L42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A7" sqref="A7:XFD7"/>
    </sheetView>
  </sheetViews>
  <sheetFormatPr defaultRowHeight="15" x14ac:dyDescent="0.25"/>
  <cols>
    <col min="2" max="2" width="19.28515625" customWidth="1"/>
  </cols>
  <sheetData>
    <row r="1" spans="1:16" x14ac:dyDescent="0.25">
      <c r="E1" s="1" t="s">
        <v>94</v>
      </c>
      <c r="F1" s="1"/>
      <c r="G1" s="1"/>
      <c r="H1" s="1"/>
      <c r="I1" s="1"/>
      <c r="J1" s="1"/>
      <c r="K1" s="1"/>
      <c r="L1" s="1"/>
    </row>
    <row r="2" spans="1:16" x14ac:dyDescent="0.25">
      <c r="E2" s="1" t="s">
        <v>0</v>
      </c>
      <c r="F2" s="1"/>
      <c r="G2" s="1"/>
      <c r="H2" s="1"/>
      <c r="I2" s="1"/>
      <c r="J2" s="1"/>
      <c r="K2" s="1"/>
      <c r="L2" s="1"/>
    </row>
    <row r="3" spans="1:16" x14ac:dyDescent="0.25">
      <c r="B3" s="1"/>
      <c r="E3" s="1" t="s">
        <v>139</v>
      </c>
      <c r="F3" s="1"/>
      <c r="G3" s="1"/>
      <c r="H3" s="1"/>
      <c r="I3" s="1"/>
      <c r="J3" s="1"/>
      <c r="K3" s="1"/>
      <c r="L3" s="1"/>
    </row>
    <row r="4" spans="1:16" x14ac:dyDescent="0.25">
      <c r="A4" s="3"/>
      <c r="B4" s="2" t="s">
        <v>2</v>
      </c>
      <c r="C4" s="2" t="s">
        <v>51</v>
      </c>
      <c r="D4" s="2" t="s">
        <v>3</v>
      </c>
      <c r="E4" s="2" t="s">
        <v>27</v>
      </c>
      <c r="F4" s="2" t="s">
        <v>31</v>
      </c>
      <c r="G4" s="2" t="s">
        <v>50</v>
      </c>
      <c r="H4" s="2" t="s">
        <v>42</v>
      </c>
      <c r="I4" s="2" t="s">
        <v>43</v>
      </c>
      <c r="J4" s="2" t="s">
        <v>5</v>
      </c>
      <c r="K4" s="2" t="s">
        <v>6</v>
      </c>
      <c r="L4" s="2" t="s">
        <v>7</v>
      </c>
      <c r="O4">
        <f>9000+1000+250+900+900</f>
        <v>12050</v>
      </c>
    </row>
    <row r="5" spans="1:16" x14ac:dyDescent="0.25">
      <c r="A5" s="3">
        <v>1</v>
      </c>
      <c r="B5" s="3" t="s">
        <v>123</v>
      </c>
      <c r="C5" s="3">
        <v>14000</v>
      </c>
      <c r="D5" s="3">
        <f>'AUGUST 21'!L5:L19</f>
        <v>0</v>
      </c>
      <c r="E5" s="3"/>
      <c r="F5" s="3"/>
      <c r="G5" s="3">
        <v>1000</v>
      </c>
      <c r="H5" s="3">
        <v>250</v>
      </c>
      <c r="I5" s="3">
        <v>900</v>
      </c>
      <c r="J5" s="3">
        <f>C5+C17+D5+E5+F5+G5+H5+I5</f>
        <v>16150</v>
      </c>
      <c r="K5" s="3">
        <f>15250+900</f>
        <v>16150</v>
      </c>
      <c r="L5" s="3">
        <f>J5-K5</f>
        <v>0</v>
      </c>
    </row>
    <row r="6" spans="1:16" x14ac:dyDescent="0.25">
      <c r="A6" s="3">
        <v>2</v>
      </c>
      <c r="B6" s="3" t="s">
        <v>39</v>
      </c>
      <c r="C6" s="3">
        <v>14000</v>
      </c>
      <c r="D6" s="3">
        <f>'AUGUST 21'!L6:L20</f>
        <v>780</v>
      </c>
      <c r="E6" s="3"/>
      <c r="F6" s="3"/>
      <c r="G6" s="3">
        <v>1000</v>
      </c>
      <c r="H6" s="3">
        <v>250</v>
      </c>
      <c r="I6" s="3">
        <v>1200</v>
      </c>
      <c r="J6" s="3">
        <f t="shared" ref="J6:J17" si="0">C6+D6+E6+F6+G6+H6+I6</f>
        <v>17230</v>
      </c>
      <c r="K6" s="3">
        <f>16450+800</f>
        <v>17250</v>
      </c>
      <c r="L6" s="3">
        <f>J6-K6</f>
        <v>-20</v>
      </c>
      <c r="P6">
        <f>10000+250+900+900</f>
        <v>12050</v>
      </c>
    </row>
    <row r="7" spans="1:16" x14ac:dyDescent="0.25">
      <c r="A7" s="3">
        <v>3</v>
      </c>
      <c r="B7" s="3" t="s">
        <v>35</v>
      </c>
      <c r="C7" s="3">
        <v>14000</v>
      </c>
      <c r="D7" s="3">
        <f>'AUGUST 21'!L7:L21</f>
        <v>0</v>
      </c>
      <c r="E7" s="3"/>
      <c r="F7" s="3"/>
      <c r="G7" s="3">
        <v>1000</v>
      </c>
      <c r="H7" s="3">
        <v>250</v>
      </c>
      <c r="I7" s="3">
        <v>1950</v>
      </c>
      <c r="J7" s="3">
        <f>C7+D7+E7+F7+G7+H7+I7</f>
        <v>17200</v>
      </c>
      <c r="K7" s="3">
        <f>17200</f>
        <v>17200</v>
      </c>
      <c r="L7" s="3">
        <f>J7-K7</f>
        <v>0</v>
      </c>
    </row>
    <row r="8" spans="1:16" x14ac:dyDescent="0.25">
      <c r="A8" s="3">
        <v>4</v>
      </c>
      <c r="B8" s="3" t="s">
        <v>48</v>
      </c>
      <c r="C8" s="3">
        <v>14000</v>
      </c>
      <c r="D8" s="3">
        <f>'AUGUST 21'!L8:L22</f>
        <v>550</v>
      </c>
      <c r="E8" s="3"/>
      <c r="F8" s="3"/>
      <c r="G8" s="3">
        <f>1000+300</f>
        <v>1300</v>
      </c>
      <c r="H8" s="3">
        <f>250+500</f>
        <v>750</v>
      </c>
      <c r="I8" s="3">
        <v>1050</v>
      </c>
      <c r="J8" s="3">
        <f t="shared" si="0"/>
        <v>17650</v>
      </c>
      <c r="K8" s="3">
        <f>15000+2650</f>
        <v>17650</v>
      </c>
      <c r="L8" s="3">
        <f t="shared" ref="L8:L19" si="1">J8-K8</f>
        <v>0</v>
      </c>
    </row>
    <row r="9" spans="1:16" x14ac:dyDescent="0.25">
      <c r="A9" s="3">
        <v>5</v>
      </c>
      <c r="B9" s="3" t="s">
        <v>59</v>
      </c>
      <c r="C9" s="3">
        <v>9000</v>
      </c>
      <c r="D9" s="3">
        <f>'AUGUST 21'!L9:L23</f>
        <v>340</v>
      </c>
      <c r="E9" s="3"/>
      <c r="F9" s="3"/>
      <c r="G9" s="3">
        <v>1000</v>
      </c>
      <c r="H9" s="3">
        <v>250</v>
      </c>
      <c r="I9" s="3">
        <v>750</v>
      </c>
      <c r="J9" s="3">
        <f>C9+D9+E9+F9+G9+H9+I9</f>
        <v>11340</v>
      </c>
      <c r="K9" s="3">
        <v>11000</v>
      </c>
      <c r="L9" s="3">
        <f t="shared" si="1"/>
        <v>340</v>
      </c>
    </row>
    <row r="10" spans="1:16" x14ac:dyDescent="0.25">
      <c r="A10" s="3">
        <v>6</v>
      </c>
      <c r="B10" s="4" t="s">
        <v>111</v>
      </c>
      <c r="C10" s="3">
        <v>14000</v>
      </c>
      <c r="D10" s="3">
        <f>'AUGUST 21'!L10:L24</f>
        <v>3200</v>
      </c>
      <c r="E10" s="3"/>
      <c r="F10" s="3"/>
      <c r="G10" s="3">
        <v>1000</v>
      </c>
      <c r="H10" s="3">
        <v>250</v>
      </c>
      <c r="I10" s="3">
        <v>1650</v>
      </c>
      <c r="J10" s="3">
        <f>C10+D10+E10+F10+G10+H10+I10</f>
        <v>20100</v>
      </c>
      <c r="K10" s="3">
        <f>12000+5000</f>
        <v>17000</v>
      </c>
      <c r="L10" s="3">
        <f>J10-K10</f>
        <v>3100</v>
      </c>
    </row>
    <row r="11" spans="1:16" x14ac:dyDescent="0.25">
      <c r="A11" s="3">
        <v>7</v>
      </c>
      <c r="B11" s="3" t="s">
        <v>32</v>
      </c>
      <c r="C11" s="3">
        <v>14000</v>
      </c>
      <c r="D11" s="3">
        <f>'AUGUST 21'!L11:L25</f>
        <v>-350</v>
      </c>
      <c r="E11" s="3"/>
      <c r="F11" s="3"/>
      <c r="G11" s="3">
        <v>1000</v>
      </c>
      <c r="H11" s="3">
        <v>250</v>
      </c>
      <c r="I11" s="3">
        <v>600</v>
      </c>
      <c r="J11" s="3">
        <f t="shared" si="0"/>
        <v>15500</v>
      </c>
      <c r="K11" s="3">
        <f>15850</f>
        <v>15850</v>
      </c>
      <c r="L11" s="3">
        <f>J11-K11</f>
        <v>-350</v>
      </c>
    </row>
    <row r="12" spans="1:16" x14ac:dyDescent="0.25">
      <c r="A12" s="3">
        <v>8</v>
      </c>
      <c r="B12" s="33" t="s">
        <v>140</v>
      </c>
      <c r="C12" s="3">
        <v>14000</v>
      </c>
      <c r="D12" s="3">
        <f>'AUGUST 21'!L12:L26</f>
        <v>0</v>
      </c>
      <c r="E12" s="3">
        <v>14000</v>
      </c>
      <c r="F12" s="3">
        <v>1000</v>
      </c>
      <c r="G12" s="3">
        <v>1000</v>
      </c>
      <c r="H12" s="3">
        <v>250</v>
      </c>
      <c r="I12" s="3"/>
      <c r="J12" s="3">
        <f t="shared" si="0"/>
        <v>30250</v>
      </c>
      <c r="K12" s="3">
        <v>30250</v>
      </c>
      <c r="L12" s="3">
        <f t="shared" si="1"/>
        <v>0</v>
      </c>
    </row>
    <row r="13" spans="1:16" x14ac:dyDescent="0.25">
      <c r="A13" s="3">
        <v>9</v>
      </c>
      <c r="B13" s="3" t="s">
        <v>40</v>
      </c>
      <c r="C13" s="3">
        <v>14000</v>
      </c>
      <c r="D13" s="3">
        <f>'AUGUST 21'!L13:L27</f>
        <v>0</v>
      </c>
      <c r="E13" s="3"/>
      <c r="F13" s="3"/>
      <c r="G13" s="3">
        <v>1000</v>
      </c>
      <c r="H13" s="3">
        <v>250</v>
      </c>
      <c r="I13" s="3">
        <v>600</v>
      </c>
      <c r="J13" s="3">
        <f t="shared" si="0"/>
        <v>15850</v>
      </c>
      <c r="K13" s="3">
        <f>14850</f>
        <v>14850</v>
      </c>
      <c r="L13" s="3">
        <f t="shared" si="1"/>
        <v>1000</v>
      </c>
    </row>
    <row r="14" spans="1:16" x14ac:dyDescent="0.25">
      <c r="A14" s="3">
        <v>10</v>
      </c>
      <c r="B14" s="3" t="s">
        <v>134</v>
      </c>
      <c r="C14" s="3">
        <v>9000</v>
      </c>
      <c r="D14" s="3">
        <f>'AUGUST 21'!L14:L28</f>
        <v>6250</v>
      </c>
      <c r="E14" s="3"/>
      <c r="F14" s="3"/>
      <c r="G14" s="3">
        <v>1000</v>
      </c>
      <c r="H14" s="3">
        <v>250</v>
      </c>
      <c r="I14" s="3">
        <v>900</v>
      </c>
      <c r="J14" s="3">
        <f t="shared" si="0"/>
        <v>17400</v>
      </c>
      <c r="K14" s="3">
        <f>4450+3000+10000</f>
        <v>17450</v>
      </c>
      <c r="L14" s="3">
        <f t="shared" si="1"/>
        <v>-50</v>
      </c>
    </row>
    <row r="15" spans="1:16" x14ac:dyDescent="0.25">
      <c r="A15" s="3">
        <v>11</v>
      </c>
      <c r="B15" s="3" t="s">
        <v>127</v>
      </c>
      <c r="C15" s="3">
        <v>15000</v>
      </c>
      <c r="D15" s="3">
        <f>'AUGUST 21'!L15:L29</f>
        <v>1750</v>
      </c>
      <c r="E15" s="3"/>
      <c r="F15" s="3"/>
      <c r="G15" s="3">
        <v>1000</v>
      </c>
      <c r="H15" s="3"/>
      <c r="I15" s="3">
        <v>450</v>
      </c>
      <c r="J15" s="3">
        <f>C15+D15+E15+F15+G15+H15+I15</f>
        <v>18200</v>
      </c>
      <c r="K15" s="3">
        <f>15000</f>
        <v>15000</v>
      </c>
      <c r="L15" s="3">
        <f t="shared" si="1"/>
        <v>3200</v>
      </c>
    </row>
    <row r="16" spans="1:16" x14ac:dyDescent="0.25">
      <c r="A16" s="3">
        <v>12</v>
      </c>
      <c r="B16" s="3" t="s">
        <v>128</v>
      </c>
      <c r="C16" s="3">
        <v>22000</v>
      </c>
      <c r="D16" s="3">
        <f>'AUGUST 21'!L16:L30</f>
        <v>40500</v>
      </c>
      <c r="E16" s="3"/>
      <c r="F16" s="3"/>
      <c r="G16" s="3">
        <v>1000</v>
      </c>
      <c r="H16" s="3"/>
      <c r="I16" s="3"/>
      <c r="J16" s="3">
        <f>C16+D16+E16+F16+G16+H16+I16</f>
        <v>63500</v>
      </c>
      <c r="K16" s="3">
        <f>23000+23000</f>
        <v>46000</v>
      </c>
      <c r="L16" s="3">
        <f>J16-K16</f>
        <v>17500</v>
      </c>
    </row>
    <row r="17" spans="1:14" x14ac:dyDescent="0.25">
      <c r="A17" s="3">
        <v>13</v>
      </c>
      <c r="B17" s="3" t="s">
        <v>74</v>
      </c>
      <c r="C17" s="3"/>
      <c r="D17" s="3">
        <f>'AUGUST 21'!L17:L31</f>
        <v>0</v>
      </c>
      <c r="E17" s="3"/>
      <c r="F17" s="3"/>
      <c r="G17" s="3"/>
      <c r="H17" s="3"/>
      <c r="I17" s="3">
        <v>600</v>
      </c>
      <c r="J17" s="3">
        <f t="shared" si="0"/>
        <v>600</v>
      </c>
      <c r="K17" s="3">
        <v>600</v>
      </c>
      <c r="L17" s="3">
        <f>J17-K17</f>
        <v>0</v>
      </c>
    </row>
    <row r="18" spans="1:14" x14ac:dyDescent="0.25">
      <c r="A18" s="3"/>
      <c r="B18" s="3"/>
      <c r="C18" s="3"/>
      <c r="D18" s="3">
        <f>'AUGUST 21'!L18:L32</f>
        <v>0</v>
      </c>
      <c r="E18" s="3"/>
      <c r="F18" s="3"/>
      <c r="G18" s="3"/>
      <c r="H18" s="3"/>
      <c r="I18" s="3"/>
      <c r="J18" s="3">
        <f>C18+D18+E18+F18+G18+H18+I18</f>
        <v>0</v>
      </c>
      <c r="K18" s="3"/>
      <c r="L18" s="3">
        <f t="shared" si="1"/>
        <v>0</v>
      </c>
    </row>
    <row r="19" spans="1:14" x14ac:dyDescent="0.25">
      <c r="A19" s="3"/>
      <c r="B19" s="3"/>
      <c r="C19" s="3"/>
      <c r="D19" s="3">
        <f>'AUGUST 21'!L19:L33</f>
        <v>0</v>
      </c>
      <c r="E19" s="3"/>
      <c r="F19" s="3"/>
      <c r="G19" s="3"/>
      <c r="H19" s="3"/>
      <c r="I19" s="3"/>
      <c r="J19" s="3">
        <f>C19+D19+E19+F19+G19+H19+I19</f>
        <v>0</v>
      </c>
      <c r="K19" s="3"/>
      <c r="L19" s="3">
        <f t="shared" si="1"/>
        <v>0</v>
      </c>
    </row>
    <row r="20" spans="1:14" x14ac:dyDescent="0.25">
      <c r="A20" s="3"/>
      <c r="B20" s="2"/>
      <c r="C20" s="2">
        <f>SUM(C5:C19)</f>
        <v>167000</v>
      </c>
      <c r="D20" s="3">
        <f>SUM(D5:D19)</f>
        <v>53020</v>
      </c>
      <c r="E20" s="2">
        <f t="shared" ref="E20:G20" si="2">SUM(E5:E19)</f>
        <v>14000</v>
      </c>
      <c r="F20" s="2">
        <f t="shared" si="2"/>
        <v>1000</v>
      </c>
      <c r="G20" s="2">
        <f t="shared" si="2"/>
        <v>12300</v>
      </c>
      <c r="H20" s="2">
        <f>SUM(H5:H19)</f>
        <v>3000</v>
      </c>
      <c r="I20" s="2">
        <f>SUM(I5:I19)</f>
        <v>10650</v>
      </c>
      <c r="J20" s="3">
        <f>SUM(J5:J19)</f>
        <v>260970</v>
      </c>
      <c r="K20" s="2">
        <f>SUM(K5:K19)</f>
        <v>236250</v>
      </c>
      <c r="L20" s="3">
        <f>SUM(L5:L19)</f>
        <v>24720</v>
      </c>
    </row>
    <row r="21" spans="1:14" x14ac:dyDescent="0.25">
      <c r="B21" s="6"/>
      <c r="C21" s="6"/>
      <c r="D21" s="3">
        <f>'JULY 21'!L21:L37</f>
        <v>28920</v>
      </c>
      <c r="E21" s="6"/>
      <c r="F21" s="6" t="s">
        <v>9</v>
      </c>
      <c r="G21" s="6"/>
      <c r="H21" s="6"/>
      <c r="I21" s="6"/>
      <c r="J21" s="3"/>
      <c r="K21" s="6"/>
      <c r="L21" s="29">
        <f>L20-17500</f>
        <v>7220</v>
      </c>
    </row>
    <row r="22" spans="1:14" x14ac:dyDescent="0.25">
      <c r="C22" s="7"/>
      <c r="D22" s="8"/>
      <c r="E22" s="8"/>
      <c r="F22" s="28" t="s">
        <v>10</v>
      </c>
      <c r="G22" s="6"/>
      <c r="H22" s="6"/>
      <c r="I22" s="6"/>
      <c r="J22" s="22"/>
      <c r="K22" s="10"/>
      <c r="L22" s="9"/>
      <c r="M22">
        <f>L106</f>
        <v>0</v>
      </c>
    </row>
    <row r="23" spans="1:14" x14ac:dyDescent="0.25">
      <c r="B23" s="1" t="s">
        <v>11</v>
      </c>
      <c r="C23" s="1"/>
      <c r="D23" s="1"/>
      <c r="E23" s="1"/>
      <c r="F23" s="11"/>
      <c r="G23" s="1" t="s">
        <v>12</v>
      </c>
      <c r="H23" s="12"/>
      <c r="I23" s="12"/>
      <c r="J23" s="12"/>
      <c r="K23" s="12"/>
    </row>
    <row r="24" spans="1:14" x14ac:dyDescent="0.25">
      <c r="B24" s="2" t="s">
        <v>13</v>
      </c>
      <c r="C24" s="2" t="s">
        <v>14</v>
      </c>
      <c r="D24" s="2" t="s">
        <v>15</v>
      </c>
      <c r="E24" s="2"/>
      <c r="F24" s="2" t="s">
        <v>16</v>
      </c>
      <c r="G24" s="2" t="s">
        <v>13</v>
      </c>
      <c r="H24" s="2" t="s">
        <v>14</v>
      </c>
      <c r="I24" s="3" t="s">
        <v>15</v>
      </c>
      <c r="J24" s="2" t="s">
        <v>16</v>
      </c>
      <c r="K24" s="2"/>
    </row>
    <row r="25" spans="1:14" x14ac:dyDescent="0.25">
      <c r="B25" s="13" t="s">
        <v>90</v>
      </c>
      <c r="C25" s="14">
        <f>C20</f>
        <v>167000</v>
      </c>
      <c r="D25" s="13"/>
      <c r="E25" s="13"/>
      <c r="F25" s="13"/>
      <c r="G25" s="13" t="s">
        <v>90</v>
      </c>
      <c r="H25" s="14">
        <f>K20</f>
        <v>236250</v>
      </c>
      <c r="I25" s="3"/>
      <c r="J25" s="13"/>
      <c r="K25" s="13"/>
    </row>
    <row r="26" spans="1:14" x14ac:dyDescent="0.25">
      <c r="B26" s="13" t="s">
        <v>3</v>
      </c>
      <c r="C26" s="14">
        <f>'AUGUST 21'!E39</f>
        <v>0</v>
      </c>
      <c r="D26" s="13"/>
      <c r="E26" s="13"/>
      <c r="F26" s="13"/>
      <c r="G26" s="13" t="s">
        <v>3</v>
      </c>
      <c r="H26" s="14">
        <f>'AUGUST 21'!J39</f>
        <v>-36019</v>
      </c>
      <c r="I26" s="13"/>
      <c r="J26" s="13"/>
      <c r="K26" s="13"/>
    </row>
    <row r="27" spans="1:14" x14ac:dyDescent="0.25">
      <c r="B27" s="13" t="s">
        <v>27</v>
      </c>
      <c r="C27" s="14">
        <f>E20</f>
        <v>14000</v>
      </c>
      <c r="D27" s="13"/>
      <c r="E27" s="13"/>
      <c r="F27" s="13"/>
      <c r="G27" s="13"/>
      <c r="H27" s="14"/>
      <c r="I27" s="13"/>
      <c r="J27" s="13"/>
      <c r="K27" s="13"/>
    </row>
    <row r="28" spans="1:14" x14ac:dyDescent="0.25">
      <c r="B28" s="3" t="s">
        <v>31</v>
      </c>
      <c r="C28" s="3">
        <f>F20</f>
        <v>1000</v>
      </c>
      <c r="D28" s="13"/>
      <c r="E28" s="13"/>
      <c r="F28" s="13"/>
      <c r="G28" s="13"/>
      <c r="H28" s="14"/>
      <c r="I28" s="13"/>
      <c r="J28" s="13"/>
      <c r="K28" s="13"/>
    </row>
    <row r="29" spans="1:14" x14ac:dyDescent="0.25">
      <c r="B29" s="3" t="s">
        <v>37</v>
      </c>
      <c r="C29" s="3">
        <f>G20</f>
        <v>12300</v>
      </c>
      <c r="D29" s="3"/>
      <c r="E29" s="3"/>
      <c r="F29" s="3"/>
      <c r="G29" s="3"/>
      <c r="H29" s="3"/>
      <c r="I29" s="3"/>
      <c r="J29" s="3"/>
      <c r="K29" s="3"/>
    </row>
    <row r="30" spans="1:14" x14ac:dyDescent="0.25">
      <c r="B30" s="3" t="s">
        <v>43</v>
      </c>
      <c r="C30" s="3">
        <f>I20</f>
        <v>10650</v>
      </c>
      <c r="D30" s="3"/>
      <c r="E30" s="3"/>
      <c r="F30" s="3"/>
      <c r="G30" s="3"/>
      <c r="H30" s="3"/>
      <c r="I30" s="3"/>
      <c r="J30" s="2"/>
      <c r="K30" s="3"/>
    </row>
    <row r="31" spans="1:14" x14ac:dyDescent="0.25">
      <c r="B31" s="13" t="s">
        <v>18</v>
      </c>
      <c r="C31" s="16">
        <v>0.05</v>
      </c>
      <c r="D31" s="14">
        <f>C31*C25</f>
        <v>8350</v>
      </c>
      <c r="E31" s="14"/>
      <c r="F31" s="13"/>
      <c r="G31" s="13" t="s">
        <v>18</v>
      </c>
      <c r="H31" s="16">
        <v>0.05</v>
      </c>
      <c r="I31" s="14">
        <f>H31*C25</f>
        <v>8350</v>
      </c>
      <c r="J31" s="13"/>
      <c r="K31" s="3"/>
    </row>
    <row r="32" spans="1:14" x14ac:dyDescent="0.25">
      <c r="B32" s="27" t="s">
        <v>19</v>
      </c>
      <c r="C32" s="13" t="s">
        <v>9</v>
      </c>
      <c r="D32" s="13"/>
      <c r="E32" s="13"/>
      <c r="F32" s="13"/>
      <c r="G32" s="27" t="s">
        <v>19</v>
      </c>
      <c r="H32" s="14"/>
      <c r="I32" s="13"/>
      <c r="J32" s="13"/>
      <c r="K32" s="13"/>
      <c r="N32">
        <f>14500-600</f>
        <v>13900</v>
      </c>
    </row>
    <row r="33" spans="2:13" x14ac:dyDescent="0.25">
      <c r="B33" s="27"/>
      <c r="C33" s="13"/>
      <c r="D33" s="14"/>
      <c r="E33" s="13"/>
      <c r="F33" s="13"/>
      <c r="G33" s="24" t="s">
        <v>42</v>
      </c>
      <c r="H33" s="14"/>
      <c r="I33" s="13">
        <f>H20</f>
        <v>3000</v>
      </c>
      <c r="J33" s="13"/>
      <c r="K33" s="13"/>
    </row>
    <row r="34" spans="2:13" x14ac:dyDescent="0.25">
      <c r="B34" s="17" t="s">
        <v>37</v>
      </c>
      <c r="C34" s="3"/>
      <c r="D34" s="30">
        <v>9000</v>
      </c>
      <c r="E34" s="3"/>
      <c r="F34" s="3"/>
      <c r="G34" s="17" t="s">
        <v>37</v>
      </c>
      <c r="H34" s="3"/>
      <c r="I34" s="3">
        <v>9000</v>
      </c>
      <c r="J34" s="3"/>
      <c r="K34" s="3"/>
      <c r="M34" s="15"/>
    </row>
    <row r="35" spans="2:13" x14ac:dyDescent="0.25">
      <c r="B35" s="18" t="s">
        <v>60</v>
      </c>
      <c r="C35" s="3"/>
      <c r="D35" s="30">
        <v>7000</v>
      </c>
      <c r="E35" s="3"/>
      <c r="F35" s="3"/>
      <c r="G35" s="18" t="s">
        <v>60</v>
      </c>
      <c r="H35" s="3"/>
      <c r="I35" s="3">
        <v>7000</v>
      </c>
      <c r="J35" s="3"/>
      <c r="K35" s="3"/>
    </row>
    <row r="36" spans="2:13" x14ac:dyDescent="0.25">
      <c r="B36" s="19" t="s">
        <v>141</v>
      </c>
      <c r="C36" s="16"/>
      <c r="D36" s="14">
        <v>180600</v>
      </c>
      <c r="E36" s="13"/>
      <c r="F36" s="13"/>
      <c r="G36" s="19" t="s">
        <v>141</v>
      </c>
      <c r="H36" s="16"/>
      <c r="I36" s="14">
        <v>180600</v>
      </c>
      <c r="J36" s="13"/>
      <c r="K36" s="13"/>
    </row>
    <row r="37" spans="2:13" x14ac:dyDescent="0.25">
      <c r="B37" s="19"/>
      <c r="C37" s="13"/>
      <c r="D37" s="14"/>
      <c r="E37" s="13"/>
      <c r="F37" s="13"/>
      <c r="G37" s="19"/>
      <c r="H37" s="13"/>
      <c r="I37" s="14"/>
      <c r="J37" s="13"/>
      <c r="K37" s="13"/>
    </row>
    <row r="38" spans="2:13" x14ac:dyDescent="0.25">
      <c r="B38" s="19"/>
      <c r="C38" s="13"/>
      <c r="D38" s="14"/>
      <c r="E38" s="13"/>
      <c r="F38" s="13"/>
      <c r="G38" s="19"/>
      <c r="H38" s="13"/>
      <c r="I38" s="14"/>
      <c r="J38" s="13"/>
      <c r="K38" s="13"/>
    </row>
    <row r="39" spans="2:13" x14ac:dyDescent="0.25">
      <c r="B39" s="18"/>
      <c r="C39" s="30">
        <f>C25+C26+C27+C28+C29+C30-D31</f>
        <v>196600</v>
      </c>
      <c r="D39" s="31">
        <f>SUM(D33:D38)</f>
        <v>196600</v>
      </c>
      <c r="E39" s="31">
        <f>C39-D39</f>
        <v>0</v>
      </c>
      <c r="F39" s="13"/>
      <c r="G39" s="18"/>
      <c r="H39" s="30">
        <f>H25+H26-I31</f>
        <v>191881</v>
      </c>
      <c r="I39" s="21">
        <f>SUM(I33:I38)</f>
        <v>199600</v>
      </c>
      <c r="J39" s="30">
        <f>H39-I39</f>
        <v>-7719</v>
      </c>
      <c r="K39" s="3"/>
      <c r="L39" s="15"/>
    </row>
    <row r="40" spans="2:13" x14ac:dyDescent="0.25">
      <c r="B40" t="s">
        <v>20</v>
      </c>
      <c r="D40" t="s">
        <v>21</v>
      </c>
      <c r="I40">
        <f>I39-I33</f>
        <v>196600</v>
      </c>
      <c r="J40" t="s">
        <v>22</v>
      </c>
      <c r="L40" s="15"/>
    </row>
    <row r="41" spans="2:13" x14ac:dyDescent="0.25">
      <c r="L41" s="1"/>
    </row>
    <row r="42" spans="2:13" x14ac:dyDescent="0.25">
      <c r="B42" t="s">
        <v>34</v>
      </c>
      <c r="D42" t="s">
        <v>23</v>
      </c>
      <c r="J42" t="s">
        <v>95</v>
      </c>
      <c r="K42" s="15"/>
      <c r="L42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4" workbookViewId="0">
      <selection activeCell="G35" sqref="G35"/>
    </sheetView>
  </sheetViews>
  <sheetFormatPr defaultRowHeight="15" x14ac:dyDescent="0.25"/>
  <cols>
    <col min="2" max="2" width="21.7109375" customWidth="1"/>
    <col min="6" max="6" width="12.42578125" customWidth="1"/>
    <col min="10" max="10" width="14.5703125" customWidth="1"/>
  </cols>
  <sheetData>
    <row r="1" spans="1:12" x14ac:dyDescent="0.25">
      <c r="E1" s="1" t="s">
        <v>94</v>
      </c>
      <c r="F1" s="1"/>
      <c r="G1" s="1"/>
      <c r="H1" s="1"/>
      <c r="I1" s="1"/>
      <c r="J1" s="1"/>
      <c r="K1" s="1"/>
      <c r="L1" s="1"/>
    </row>
    <row r="2" spans="1:12" x14ac:dyDescent="0.25">
      <c r="E2" s="1" t="s">
        <v>0</v>
      </c>
      <c r="F2" s="1"/>
      <c r="G2" s="1"/>
      <c r="H2" s="1"/>
      <c r="I2" s="1"/>
      <c r="J2" s="1"/>
      <c r="K2" s="1"/>
      <c r="L2" s="1"/>
    </row>
    <row r="3" spans="1:12" x14ac:dyDescent="0.25">
      <c r="B3" s="1"/>
      <c r="E3" s="1" t="s">
        <v>142</v>
      </c>
      <c r="F3" s="1"/>
      <c r="G3" s="1"/>
      <c r="H3" s="1"/>
      <c r="I3" s="1"/>
      <c r="J3" s="1"/>
      <c r="K3" s="1"/>
      <c r="L3" s="1"/>
    </row>
    <row r="4" spans="1:12" x14ac:dyDescent="0.25">
      <c r="A4" s="3"/>
      <c r="B4" s="2" t="s">
        <v>2</v>
      </c>
      <c r="C4" s="2" t="s">
        <v>51</v>
      </c>
      <c r="D4" s="2" t="s">
        <v>3</v>
      </c>
      <c r="E4" s="2" t="s">
        <v>27</v>
      </c>
      <c r="F4" s="2" t="s">
        <v>31</v>
      </c>
      <c r="G4" s="2" t="s">
        <v>50</v>
      </c>
      <c r="H4" s="2" t="s">
        <v>42</v>
      </c>
      <c r="I4" s="2" t="s">
        <v>43</v>
      </c>
      <c r="J4" s="2" t="s">
        <v>5</v>
      </c>
      <c r="K4" s="2" t="s">
        <v>6</v>
      </c>
      <c r="L4" s="2" t="s">
        <v>7</v>
      </c>
    </row>
    <row r="5" spans="1:12" x14ac:dyDescent="0.25">
      <c r="A5" s="3">
        <v>1</v>
      </c>
      <c r="B5" s="3" t="s">
        <v>123</v>
      </c>
      <c r="C5" s="3">
        <v>14000</v>
      </c>
      <c r="D5" s="3">
        <f>'SEPT 21'!L5:L21</f>
        <v>0</v>
      </c>
      <c r="E5" s="3"/>
      <c r="F5" s="3"/>
      <c r="G5" s="3">
        <v>1000</v>
      </c>
      <c r="H5" s="3">
        <v>250</v>
      </c>
      <c r="I5" s="3">
        <v>900</v>
      </c>
      <c r="J5" s="3">
        <f>C5+C17+D5+E5+F5+G5+H5+I5</f>
        <v>16150</v>
      </c>
      <c r="K5" s="3">
        <v>16150</v>
      </c>
      <c r="L5" s="3">
        <f>J5-K5</f>
        <v>0</v>
      </c>
    </row>
    <row r="6" spans="1:12" x14ac:dyDescent="0.25">
      <c r="A6" s="3">
        <v>2</v>
      </c>
      <c r="B6" s="3" t="s">
        <v>39</v>
      </c>
      <c r="C6" s="3">
        <v>14000</v>
      </c>
      <c r="D6" s="3">
        <f>'SEPT 21'!L6:L22</f>
        <v>-20</v>
      </c>
      <c r="E6" s="3"/>
      <c r="F6" s="3"/>
      <c r="G6" s="3">
        <v>1000</v>
      </c>
      <c r="H6" s="3">
        <v>250</v>
      </c>
      <c r="I6" s="3">
        <v>900</v>
      </c>
      <c r="J6" s="3">
        <f t="shared" ref="J6:J17" si="0">C6+D6+E6+F6+G6+H6+I6</f>
        <v>16130</v>
      </c>
      <c r="K6" s="3">
        <v>16130</v>
      </c>
      <c r="L6" s="3">
        <f>J6-K6</f>
        <v>0</v>
      </c>
    </row>
    <row r="7" spans="1:12" x14ac:dyDescent="0.25">
      <c r="A7" s="3">
        <v>3</v>
      </c>
      <c r="B7" s="3" t="s">
        <v>35</v>
      </c>
      <c r="C7" s="3">
        <v>14000</v>
      </c>
      <c r="D7" s="3">
        <f>'SEPT 21'!L7:L23</f>
        <v>0</v>
      </c>
      <c r="E7" s="3"/>
      <c r="F7" s="3"/>
      <c r="G7" s="3">
        <v>1000</v>
      </c>
      <c r="H7" s="3">
        <v>250</v>
      </c>
      <c r="I7" s="3">
        <v>1650</v>
      </c>
      <c r="J7" s="3">
        <f>C7+D7+E7+F7+G7+H7+I7</f>
        <v>16900</v>
      </c>
      <c r="K7" s="3">
        <v>16900</v>
      </c>
      <c r="L7" s="3">
        <f>J7-K7</f>
        <v>0</v>
      </c>
    </row>
    <row r="8" spans="1:12" x14ac:dyDescent="0.25">
      <c r="A8" s="3">
        <v>4</v>
      </c>
      <c r="B8" s="3" t="s">
        <v>48</v>
      </c>
      <c r="C8" s="3">
        <v>14000</v>
      </c>
      <c r="D8" s="3">
        <f>'SEPT 21'!L8:L24</f>
        <v>0</v>
      </c>
      <c r="E8" s="3"/>
      <c r="F8" s="3"/>
      <c r="G8" s="3">
        <v>1000</v>
      </c>
      <c r="H8" s="3">
        <v>250</v>
      </c>
      <c r="I8" s="3">
        <v>900</v>
      </c>
      <c r="J8" s="3">
        <f t="shared" si="0"/>
        <v>16150</v>
      </c>
      <c r="K8" s="3">
        <v>14000</v>
      </c>
      <c r="L8" s="3">
        <f t="shared" ref="L8:L19" si="1">J8-K8</f>
        <v>2150</v>
      </c>
    </row>
    <row r="9" spans="1:12" x14ac:dyDescent="0.25">
      <c r="A9" s="3">
        <v>5</v>
      </c>
      <c r="B9" s="3" t="s">
        <v>59</v>
      </c>
      <c r="C9" s="3">
        <v>9000</v>
      </c>
      <c r="D9" s="3">
        <f>'SEPT 21'!L9:L25</f>
        <v>340</v>
      </c>
      <c r="E9" s="3"/>
      <c r="F9" s="3"/>
      <c r="G9" s="3">
        <v>1000</v>
      </c>
      <c r="H9" s="3">
        <v>250</v>
      </c>
      <c r="I9" s="3">
        <v>600</v>
      </c>
      <c r="J9" s="3">
        <f>C9+D9+E9+F9+G9+H9+I9</f>
        <v>11190</v>
      </c>
      <c r="K9" s="3">
        <v>11190</v>
      </c>
      <c r="L9" s="3">
        <f t="shared" si="1"/>
        <v>0</v>
      </c>
    </row>
    <row r="10" spans="1:12" x14ac:dyDescent="0.25">
      <c r="A10" s="3">
        <v>6</v>
      </c>
      <c r="B10" s="4" t="s">
        <v>111</v>
      </c>
      <c r="C10" s="3">
        <v>14000</v>
      </c>
      <c r="D10" s="3">
        <f>'SEPT 21'!L10:L26</f>
        <v>3100</v>
      </c>
      <c r="E10" s="3"/>
      <c r="F10" s="3"/>
      <c r="G10" s="3">
        <v>1000</v>
      </c>
      <c r="H10" s="3">
        <v>250</v>
      </c>
      <c r="I10" s="3">
        <v>1350</v>
      </c>
      <c r="J10" s="3">
        <f>C10+D10+E10+F10+G10+H10+I10</f>
        <v>19700</v>
      </c>
      <c r="K10" s="3">
        <f>18000</f>
        <v>18000</v>
      </c>
      <c r="L10" s="3">
        <f>J10-K10</f>
        <v>1700</v>
      </c>
    </row>
    <row r="11" spans="1:12" x14ac:dyDescent="0.25">
      <c r="A11" s="3">
        <v>7</v>
      </c>
      <c r="B11" s="3" t="s">
        <v>32</v>
      </c>
      <c r="C11" s="3">
        <v>14000</v>
      </c>
      <c r="D11" s="3">
        <f>'SEPT 21'!L11:L27</f>
        <v>-350</v>
      </c>
      <c r="E11" s="3"/>
      <c r="F11" s="3"/>
      <c r="G11" s="3">
        <v>1000</v>
      </c>
      <c r="H11" s="3">
        <v>250</v>
      </c>
      <c r="I11" s="3">
        <v>750</v>
      </c>
      <c r="J11" s="3">
        <f t="shared" si="0"/>
        <v>15650</v>
      </c>
      <c r="K11" s="3">
        <v>15650</v>
      </c>
      <c r="L11" s="3">
        <f>J11-K11</f>
        <v>0</v>
      </c>
    </row>
    <row r="12" spans="1:12" x14ac:dyDescent="0.25">
      <c r="A12" s="3">
        <v>8</v>
      </c>
      <c r="B12" s="24" t="s">
        <v>140</v>
      </c>
      <c r="C12" s="3">
        <v>14000</v>
      </c>
      <c r="D12" s="3">
        <f>'SEPT 21'!L12:L28</f>
        <v>0</v>
      </c>
      <c r="E12" s="3"/>
      <c r="F12" s="3"/>
      <c r="G12" s="3">
        <v>1000</v>
      </c>
      <c r="H12" s="3">
        <v>250</v>
      </c>
      <c r="I12" s="3">
        <v>300</v>
      </c>
      <c r="J12" s="3">
        <f t="shared" si="0"/>
        <v>15550</v>
      </c>
      <c r="K12" s="3">
        <v>15550</v>
      </c>
      <c r="L12" s="3">
        <f t="shared" si="1"/>
        <v>0</v>
      </c>
    </row>
    <row r="13" spans="1:12" x14ac:dyDescent="0.25">
      <c r="A13" s="3">
        <v>9</v>
      </c>
      <c r="B13" s="3" t="s">
        <v>40</v>
      </c>
      <c r="C13" s="3">
        <v>14000</v>
      </c>
      <c r="D13" s="3">
        <f>'SEPT 21'!L13:L29</f>
        <v>1000</v>
      </c>
      <c r="E13" s="3"/>
      <c r="F13" s="3"/>
      <c r="G13" s="3">
        <v>1000</v>
      </c>
      <c r="H13" s="3">
        <v>250</v>
      </c>
      <c r="I13" s="3">
        <v>600</v>
      </c>
      <c r="J13" s="3">
        <f t="shared" si="0"/>
        <v>16850</v>
      </c>
      <c r="K13" s="3">
        <f>15850</f>
        <v>15850</v>
      </c>
      <c r="L13" s="3">
        <f t="shared" si="1"/>
        <v>1000</v>
      </c>
    </row>
    <row r="14" spans="1:12" x14ac:dyDescent="0.25">
      <c r="A14" s="3">
        <v>10</v>
      </c>
      <c r="B14" s="3" t="s">
        <v>134</v>
      </c>
      <c r="C14" s="3">
        <v>9000</v>
      </c>
      <c r="D14" s="3">
        <f>'SEPT 21'!L14:L30</f>
        <v>-50</v>
      </c>
      <c r="E14" s="3"/>
      <c r="F14" s="3"/>
      <c r="G14" s="3">
        <v>1000</v>
      </c>
      <c r="H14" s="3">
        <v>250</v>
      </c>
      <c r="I14" s="3">
        <v>900</v>
      </c>
      <c r="J14" s="3">
        <f t="shared" si="0"/>
        <v>11100</v>
      </c>
      <c r="K14" s="3"/>
      <c r="L14" s="3">
        <f t="shared" si="1"/>
        <v>11100</v>
      </c>
    </row>
    <row r="15" spans="1:12" x14ac:dyDescent="0.25">
      <c r="A15" s="3">
        <v>11</v>
      </c>
      <c r="B15" s="3" t="s">
        <v>127</v>
      </c>
      <c r="C15" s="3">
        <v>15000</v>
      </c>
      <c r="D15" s="3">
        <f>'SEPT 21'!L15:L31</f>
        <v>3200</v>
      </c>
      <c r="E15" s="3"/>
      <c r="F15" s="3"/>
      <c r="G15" s="3">
        <v>1000</v>
      </c>
      <c r="H15" s="3"/>
      <c r="I15" s="3">
        <v>750</v>
      </c>
      <c r="J15" s="3">
        <f>C15+D15+E15+F15+G15+H15+I15</f>
        <v>19950</v>
      </c>
      <c r="K15" s="3">
        <f>15000</f>
        <v>15000</v>
      </c>
      <c r="L15" s="3">
        <f t="shared" si="1"/>
        <v>4950</v>
      </c>
    </row>
    <row r="16" spans="1:12" x14ac:dyDescent="0.25">
      <c r="A16" s="3">
        <v>12</v>
      </c>
      <c r="B16" s="3" t="s">
        <v>128</v>
      </c>
      <c r="C16" s="3">
        <v>22000</v>
      </c>
      <c r="D16" s="3">
        <f>'SEPT 21'!L16:L32</f>
        <v>17500</v>
      </c>
      <c r="E16" s="3"/>
      <c r="F16" s="3"/>
      <c r="G16" s="3">
        <v>1000</v>
      </c>
      <c r="H16" s="3"/>
      <c r="I16" s="3">
        <v>300</v>
      </c>
      <c r="J16" s="3">
        <f>C16+D16+E16+F16+G16+H16+I16</f>
        <v>40800</v>
      </c>
      <c r="K16" s="3"/>
      <c r="L16" s="3">
        <f>J16-K16</f>
        <v>40800</v>
      </c>
    </row>
    <row r="17" spans="1:12" x14ac:dyDescent="0.25">
      <c r="A17" s="3">
        <v>13</v>
      </c>
      <c r="B17" s="3" t="s">
        <v>74</v>
      </c>
      <c r="C17" s="3"/>
      <c r="D17" s="3">
        <f>'SEPT 21'!L17:L33</f>
        <v>0</v>
      </c>
      <c r="E17" s="3"/>
      <c r="F17" s="3"/>
      <c r="G17" s="3"/>
      <c r="H17" s="3"/>
      <c r="I17" s="3"/>
      <c r="J17" s="3">
        <f t="shared" si="0"/>
        <v>0</v>
      </c>
      <c r="K17" s="3"/>
      <c r="L17" s="3">
        <f>J17-K17</f>
        <v>0</v>
      </c>
    </row>
    <row r="18" spans="1:12" x14ac:dyDescent="0.25">
      <c r="A18" s="3"/>
      <c r="B18" s="3"/>
      <c r="C18" s="3"/>
      <c r="D18" s="3">
        <f>'SEPT 21'!L18:L34</f>
        <v>0</v>
      </c>
      <c r="E18" s="3"/>
      <c r="F18" s="3"/>
      <c r="G18" s="3"/>
      <c r="H18" s="3"/>
      <c r="I18" s="3"/>
      <c r="J18" s="3">
        <f>C18+D18+E18+F18+G18+H18+I18</f>
        <v>0</v>
      </c>
      <c r="K18" s="3"/>
      <c r="L18" s="3">
        <f t="shared" si="1"/>
        <v>0</v>
      </c>
    </row>
    <row r="19" spans="1:12" x14ac:dyDescent="0.25">
      <c r="A19" s="3"/>
      <c r="B19" s="3"/>
      <c r="C19" s="3"/>
      <c r="D19" s="3">
        <f>'SEPT 21'!L19:L35</f>
        <v>0</v>
      </c>
      <c r="E19" s="3"/>
      <c r="F19" s="3"/>
      <c r="G19" s="3"/>
      <c r="H19" s="3"/>
      <c r="I19" s="3"/>
      <c r="J19" s="3">
        <f>C19+D19+E19+F19+G19+H19+I19</f>
        <v>0</v>
      </c>
      <c r="K19" s="3"/>
      <c r="L19" s="3">
        <f t="shared" si="1"/>
        <v>0</v>
      </c>
    </row>
    <row r="20" spans="1:12" x14ac:dyDescent="0.25">
      <c r="A20" s="3"/>
      <c r="B20" s="2"/>
      <c r="C20" s="2">
        <f>SUM(C5:C19)</f>
        <v>167000</v>
      </c>
      <c r="D20" s="3">
        <f>'SEPT 21'!L20:L36</f>
        <v>24720</v>
      </c>
      <c r="E20" s="2">
        <f t="shared" ref="E20:G20" si="2">SUM(E5:E19)</f>
        <v>0</v>
      </c>
      <c r="F20" s="2">
        <f t="shared" si="2"/>
        <v>0</v>
      </c>
      <c r="G20" s="2">
        <f t="shared" si="2"/>
        <v>12000</v>
      </c>
      <c r="H20" s="2">
        <f>SUM(H5:H19)</f>
        <v>2500</v>
      </c>
      <c r="I20" s="2">
        <f>SUM(I5:I19)</f>
        <v>9900</v>
      </c>
      <c r="J20" s="3">
        <f>SUM(J5:J19)</f>
        <v>216120</v>
      </c>
      <c r="K20" s="2">
        <f>SUM(K5:K19)</f>
        <v>154420</v>
      </c>
      <c r="L20" s="3">
        <f>SUM(L5:L19)</f>
        <v>61700</v>
      </c>
    </row>
    <row r="21" spans="1:12" x14ac:dyDescent="0.25">
      <c r="B21" s="6"/>
      <c r="C21" s="6"/>
      <c r="D21" s="3">
        <f>'SEPT 21'!L21:L37</f>
        <v>7220</v>
      </c>
      <c r="E21" s="6"/>
      <c r="F21" s="6" t="s">
        <v>9</v>
      </c>
      <c r="G21" s="6"/>
      <c r="H21" s="6"/>
      <c r="I21" s="6"/>
      <c r="J21" s="3"/>
      <c r="K21" s="6"/>
      <c r="L21" s="29">
        <f>L20-17500</f>
        <v>44200</v>
      </c>
    </row>
    <row r="22" spans="1:12" x14ac:dyDescent="0.25">
      <c r="C22" s="7"/>
      <c r="D22" s="8"/>
      <c r="E22" s="8"/>
      <c r="F22" s="28" t="s">
        <v>10</v>
      </c>
      <c r="G22" s="6"/>
      <c r="H22" s="6"/>
      <c r="I22" s="6"/>
      <c r="J22" s="22"/>
      <c r="K22" s="10"/>
      <c r="L22" s="9"/>
    </row>
    <row r="23" spans="1:12" x14ac:dyDescent="0.25">
      <c r="B23" s="1" t="s">
        <v>11</v>
      </c>
      <c r="C23" s="1"/>
      <c r="D23" s="1"/>
      <c r="E23" s="1"/>
      <c r="F23" s="11"/>
      <c r="G23" s="1" t="s">
        <v>12</v>
      </c>
      <c r="H23" s="12"/>
      <c r="I23" s="12"/>
      <c r="J23" s="12"/>
      <c r="K23" s="12"/>
    </row>
    <row r="24" spans="1:12" x14ac:dyDescent="0.25">
      <c r="B24" s="2" t="s">
        <v>13</v>
      </c>
      <c r="C24" s="2" t="s">
        <v>14</v>
      </c>
      <c r="D24" s="2" t="s">
        <v>15</v>
      </c>
      <c r="E24" s="2"/>
      <c r="F24" s="2" t="s">
        <v>16</v>
      </c>
      <c r="G24" s="2" t="s">
        <v>13</v>
      </c>
      <c r="H24" s="2" t="s">
        <v>14</v>
      </c>
      <c r="I24" s="3" t="s">
        <v>15</v>
      </c>
      <c r="J24" s="2" t="s">
        <v>16</v>
      </c>
      <c r="K24" s="2"/>
    </row>
    <row r="25" spans="1:12" x14ac:dyDescent="0.25">
      <c r="B25" s="13" t="s">
        <v>97</v>
      </c>
      <c r="C25" s="14">
        <f>C20</f>
        <v>167000</v>
      </c>
      <c r="D25" s="13"/>
      <c r="E25" s="13"/>
      <c r="F25" s="13"/>
      <c r="G25" s="13" t="s">
        <v>97</v>
      </c>
      <c r="H25" s="14">
        <f>K20</f>
        <v>154420</v>
      </c>
      <c r="I25" s="3"/>
      <c r="J25" s="13"/>
      <c r="K25" s="13"/>
    </row>
    <row r="26" spans="1:12" x14ac:dyDescent="0.25">
      <c r="B26" s="13" t="s">
        <v>3</v>
      </c>
      <c r="C26" s="14">
        <f>'SEPT 21'!E39</f>
        <v>0</v>
      </c>
      <c r="D26" s="13"/>
      <c r="E26" s="13"/>
      <c r="F26" s="13"/>
      <c r="G26" s="13" t="s">
        <v>3</v>
      </c>
      <c r="H26" s="14">
        <f>'SEPT 21'!J39</f>
        <v>-7719</v>
      </c>
      <c r="I26" s="13"/>
      <c r="J26" s="13"/>
      <c r="K26" s="13"/>
    </row>
    <row r="27" spans="1:12" x14ac:dyDescent="0.25">
      <c r="B27" s="13" t="s">
        <v>27</v>
      </c>
      <c r="C27" s="14">
        <f>E20</f>
        <v>0</v>
      </c>
      <c r="D27" s="13"/>
      <c r="E27" s="13"/>
      <c r="F27" s="13"/>
      <c r="G27" s="13"/>
      <c r="H27" s="14"/>
      <c r="I27" s="13"/>
      <c r="J27" s="13"/>
      <c r="K27" s="13"/>
    </row>
    <row r="28" spans="1:12" x14ac:dyDescent="0.25">
      <c r="B28" s="3" t="s">
        <v>31</v>
      </c>
      <c r="C28" s="3">
        <f>F20</f>
        <v>0</v>
      </c>
      <c r="D28" s="13"/>
      <c r="E28" s="13"/>
      <c r="F28" s="13"/>
      <c r="G28" s="13"/>
      <c r="H28" s="14"/>
      <c r="I28" s="13"/>
      <c r="J28" s="13"/>
      <c r="K28" s="13"/>
    </row>
    <row r="29" spans="1:12" x14ac:dyDescent="0.25">
      <c r="B29" s="3" t="s">
        <v>37</v>
      </c>
      <c r="C29" s="3">
        <f>G20</f>
        <v>12000</v>
      </c>
      <c r="D29" s="3"/>
      <c r="E29" s="3"/>
      <c r="F29" s="3"/>
      <c r="G29" s="3"/>
      <c r="H29" s="3"/>
      <c r="I29" s="3"/>
      <c r="J29" s="3"/>
      <c r="K29" s="3"/>
    </row>
    <row r="30" spans="1:12" x14ac:dyDescent="0.25">
      <c r="B30" s="3" t="s">
        <v>43</v>
      </c>
      <c r="C30" s="3">
        <f>I20</f>
        <v>9900</v>
      </c>
      <c r="D30" s="3"/>
      <c r="E30" s="3"/>
      <c r="F30" s="3"/>
      <c r="G30" s="3"/>
      <c r="H30" s="3"/>
      <c r="I30" s="3"/>
      <c r="J30" s="2"/>
      <c r="K30" s="3"/>
    </row>
    <row r="31" spans="1:12" x14ac:dyDescent="0.25">
      <c r="B31" s="13" t="s">
        <v>18</v>
      </c>
      <c r="C31" s="16">
        <v>0.05</v>
      </c>
      <c r="D31" s="14">
        <f>C31*C25</f>
        <v>8350</v>
      </c>
      <c r="E31" s="14"/>
      <c r="F31" s="13"/>
      <c r="G31" s="13" t="s">
        <v>18</v>
      </c>
      <c r="H31" s="16">
        <v>0.05</v>
      </c>
      <c r="I31" s="14">
        <f>H31*C25</f>
        <v>8350</v>
      </c>
      <c r="J31" s="13"/>
      <c r="K31" s="3"/>
    </row>
    <row r="32" spans="1:12" x14ac:dyDescent="0.25">
      <c r="B32" s="27" t="s">
        <v>19</v>
      </c>
      <c r="C32" s="13" t="s">
        <v>9</v>
      </c>
      <c r="D32" s="13"/>
      <c r="E32" s="13"/>
      <c r="F32" s="13"/>
      <c r="G32" s="27" t="s">
        <v>19</v>
      </c>
      <c r="H32" s="14"/>
      <c r="I32" s="13"/>
      <c r="J32" s="13"/>
      <c r="K32" s="13"/>
    </row>
    <row r="33" spans="2:12" x14ac:dyDescent="0.25">
      <c r="B33" s="27"/>
      <c r="C33" s="13"/>
      <c r="D33" s="14"/>
      <c r="E33" s="13"/>
      <c r="F33" s="13"/>
      <c r="G33" s="24" t="s">
        <v>42</v>
      </c>
      <c r="H33" s="14"/>
      <c r="I33" s="13">
        <f>H20</f>
        <v>2500</v>
      </c>
      <c r="J33" s="13"/>
      <c r="K33" s="13"/>
    </row>
    <row r="34" spans="2:12" x14ac:dyDescent="0.25">
      <c r="B34" s="17" t="s">
        <v>37</v>
      </c>
      <c r="C34" s="3"/>
      <c r="D34" s="30">
        <v>9000</v>
      </c>
      <c r="E34" s="3"/>
      <c r="F34" s="3"/>
      <c r="G34" s="17" t="s">
        <v>37</v>
      </c>
      <c r="H34" s="3"/>
      <c r="I34" s="3">
        <v>9000</v>
      </c>
      <c r="J34" s="3"/>
      <c r="K34" s="3"/>
    </row>
    <row r="35" spans="2:12" x14ac:dyDescent="0.25">
      <c r="B35" s="18"/>
      <c r="C35" s="3"/>
      <c r="D35" s="30"/>
      <c r="E35" s="3"/>
      <c r="F35" s="3"/>
      <c r="G35" s="18"/>
      <c r="H35" s="3"/>
      <c r="I35" s="3"/>
      <c r="J35" s="3"/>
      <c r="K35" s="3"/>
    </row>
    <row r="36" spans="2:12" x14ac:dyDescent="0.25">
      <c r="B36" s="19" t="s">
        <v>143</v>
      </c>
      <c r="C36" s="16"/>
      <c r="D36" s="14">
        <v>164550</v>
      </c>
      <c r="E36" s="13"/>
      <c r="F36" s="13"/>
      <c r="G36" s="19" t="s">
        <v>143</v>
      </c>
      <c r="H36" s="16"/>
      <c r="I36" s="14">
        <v>164550</v>
      </c>
      <c r="J36" s="13"/>
      <c r="K36" s="13"/>
    </row>
    <row r="37" spans="2:12" x14ac:dyDescent="0.25">
      <c r="B37" s="19"/>
      <c r="C37" s="13"/>
      <c r="D37" s="14"/>
      <c r="E37" s="13"/>
      <c r="F37" s="13"/>
      <c r="G37" s="19"/>
      <c r="H37" s="13"/>
      <c r="I37" s="14"/>
      <c r="J37" s="13"/>
      <c r="K37" s="13"/>
    </row>
    <row r="38" spans="2:12" x14ac:dyDescent="0.25">
      <c r="B38" s="19"/>
      <c r="C38" s="13"/>
      <c r="D38" s="14"/>
      <c r="E38" s="13"/>
      <c r="F38" s="13"/>
      <c r="G38" s="19"/>
      <c r="H38" s="13"/>
      <c r="I38" s="14"/>
      <c r="J38" s="13"/>
      <c r="K38" s="13"/>
    </row>
    <row r="39" spans="2:12" x14ac:dyDescent="0.25">
      <c r="B39" s="18"/>
      <c r="C39" s="30">
        <f>C25+C26+C27+C28+C29+C30-D31</f>
        <v>180550</v>
      </c>
      <c r="D39" s="31">
        <f>SUM(D33:D38)</f>
        <v>173550</v>
      </c>
      <c r="E39" s="31">
        <f>C39-D39</f>
        <v>7000</v>
      </c>
      <c r="F39" s="13"/>
      <c r="G39" s="18"/>
      <c r="H39" s="30">
        <f>H25+H26-I31</f>
        <v>138351</v>
      </c>
      <c r="I39" s="21">
        <f>SUM(I33:I38)</f>
        <v>176050</v>
      </c>
      <c r="J39" s="30">
        <f>H39-I39</f>
        <v>-37699</v>
      </c>
      <c r="K39" s="3"/>
      <c r="L39" s="15"/>
    </row>
    <row r="40" spans="2:12" x14ac:dyDescent="0.25">
      <c r="B40" t="s">
        <v>20</v>
      </c>
      <c r="D40" t="s">
        <v>21</v>
      </c>
      <c r="I40">
        <f>I39-I33</f>
        <v>173550</v>
      </c>
      <c r="J40" t="s">
        <v>22</v>
      </c>
      <c r="L40" s="15"/>
    </row>
    <row r="41" spans="2:12" x14ac:dyDescent="0.25">
      <c r="L41" s="1"/>
    </row>
    <row r="42" spans="2:12" x14ac:dyDescent="0.25">
      <c r="B42" t="s">
        <v>34</v>
      </c>
      <c r="D42" t="s">
        <v>23</v>
      </c>
      <c r="J42" t="s">
        <v>95</v>
      </c>
      <c r="K42" s="15"/>
      <c r="L42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B1" workbookViewId="0">
      <selection activeCell="B5" sqref="A5:XFD5"/>
    </sheetView>
  </sheetViews>
  <sheetFormatPr defaultRowHeight="15" x14ac:dyDescent="0.25"/>
  <cols>
    <col min="2" max="2" width="21.7109375" customWidth="1"/>
    <col min="6" max="6" width="12.42578125" customWidth="1"/>
    <col min="8" max="8" width="20.28515625" customWidth="1"/>
    <col min="10" max="10" width="14.5703125" customWidth="1"/>
  </cols>
  <sheetData>
    <row r="1" spans="1:12" x14ac:dyDescent="0.25">
      <c r="E1" s="1" t="s">
        <v>94</v>
      </c>
      <c r="F1" s="1"/>
      <c r="G1" s="1"/>
      <c r="H1" s="1"/>
      <c r="I1" s="1"/>
      <c r="J1" s="1"/>
      <c r="K1" s="1"/>
      <c r="L1" s="1"/>
    </row>
    <row r="2" spans="1:12" x14ac:dyDescent="0.25">
      <c r="E2" s="1" t="s">
        <v>0</v>
      </c>
      <c r="F2" s="1"/>
      <c r="G2" s="1"/>
      <c r="H2" s="1"/>
      <c r="I2" s="1"/>
      <c r="J2" s="1"/>
      <c r="K2" s="1"/>
      <c r="L2" s="1"/>
    </row>
    <row r="3" spans="1:12" x14ac:dyDescent="0.25">
      <c r="B3" s="1"/>
      <c r="E3" s="1" t="s">
        <v>144</v>
      </c>
      <c r="F3" s="1"/>
      <c r="G3" s="1"/>
      <c r="H3" s="1"/>
      <c r="I3" s="1"/>
      <c r="J3" s="1"/>
      <c r="K3" s="1"/>
      <c r="L3" s="1"/>
    </row>
    <row r="4" spans="1:12" x14ac:dyDescent="0.25">
      <c r="A4" s="3"/>
      <c r="B4" s="2" t="s">
        <v>2</v>
      </c>
      <c r="C4" s="2" t="s">
        <v>51</v>
      </c>
      <c r="D4" s="2" t="s">
        <v>3</v>
      </c>
      <c r="E4" s="2" t="s">
        <v>27</v>
      </c>
      <c r="F4" s="2" t="s">
        <v>31</v>
      </c>
      <c r="G4" s="2" t="s">
        <v>50</v>
      </c>
      <c r="H4" s="2" t="s">
        <v>42</v>
      </c>
      <c r="I4" s="2" t="s">
        <v>43</v>
      </c>
      <c r="J4" s="2" t="s">
        <v>5</v>
      </c>
      <c r="K4" s="2" t="s">
        <v>6</v>
      </c>
      <c r="L4" s="2" t="s">
        <v>7</v>
      </c>
    </row>
    <row r="5" spans="1:12" x14ac:dyDescent="0.25">
      <c r="A5" s="3">
        <v>1</v>
      </c>
      <c r="B5" s="3" t="s">
        <v>123</v>
      </c>
      <c r="C5" s="3">
        <v>14000</v>
      </c>
      <c r="D5" s="3">
        <f>'OCTOBER 21'!L5:L19</f>
        <v>0</v>
      </c>
      <c r="E5" s="3"/>
      <c r="F5" s="3"/>
      <c r="G5" s="3">
        <v>1000</v>
      </c>
      <c r="H5" s="3">
        <v>250</v>
      </c>
      <c r="I5" s="3">
        <v>750</v>
      </c>
      <c r="J5" s="3">
        <f>C5+C17+D5+E5+F5+G5+H5+I5</f>
        <v>16000</v>
      </c>
      <c r="K5" s="3">
        <v>16000</v>
      </c>
      <c r="L5" s="3">
        <f>J5-K5</f>
        <v>0</v>
      </c>
    </row>
    <row r="6" spans="1:12" x14ac:dyDescent="0.25">
      <c r="A6" s="3">
        <v>2</v>
      </c>
      <c r="B6" s="3" t="s">
        <v>39</v>
      </c>
      <c r="C6" s="3">
        <v>14000</v>
      </c>
      <c r="D6" s="3">
        <f>'OCTOBER 21'!L6:L20</f>
        <v>0</v>
      </c>
      <c r="E6" s="3"/>
      <c r="F6" s="3"/>
      <c r="G6" s="3">
        <v>1000</v>
      </c>
      <c r="H6" s="3">
        <v>250</v>
      </c>
      <c r="I6" s="3">
        <v>1200</v>
      </c>
      <c r="J6" s="3">
        <f t="shared" ref="J6:J17" si="0">C6+D6+E6+F6+G6+H6+I6</f>
        <v>16450</v>
      </c>
      <c r="K6" s="3">
        <v>16450</v>
      </c>
      <c r="L6" s="3">
        <f>J6-K6</f>
        <v>0</v>
      </c>
    </row>
    <row r="7" spans="1:12" x14ac:dyDescent="0.25">
      <c r="A7" s="3">
        <v>3</v>
      </c>
      <c r="B7" s="3" t="s">
        <v>35</v>
      </c>
      <c r="C7" s="3">
        <v>14000</v>
      </c>
      <c r="D7" s="3">
        <f>'OCTOBER 21'!L7:L21</f>
        <v>0</v>
      </c>
      <c r="E7" s="3"/>
      <c r="F7" s="3"/>
      <c r="G7" s="3">
        <v>1000</v>
      </c>
      <c r="H7" s="3">
        <v>250</v>
      </c>
      <c r="I7" s="3">
        <v>1850</v>
      </c>
      <c r="J7" s="3">
        <f>C7+D7+E7+F7+G7+H7+I7</f>
        <v>17100</v>
      </c>
      <c r="K7" s="3">
        <f>15000+2100</f>
        <v>17100</v>
      </c>
      <c r="L7" s="3">
        <f>J7-K7</f>
        <v>0</v>
      </c>
    </row>
    <row r="8" spans="1:12" x14ac:dyDescent="0.25">
      <c r="A8" s="3">
        <v>4</v>
      </c>
      <c r="B8" s="3" t="s">
        <v>48</v>
      </c>
      <c r="C8" s="3">
        <v>14000</v>
      </c>
      <c r="D8" s="3">
        <f>'OCTOBER 21'!L8:L22</f>
        <v>2150</v>
      </c>
      <c r="E8" s="3"/>
      <c r="F8" s="3"/>
      <c r="G8" s="3">
        <v>1000</v>
      </c>
      <c r="H8" s="3">
        <v>250</v>
      </c>
      <c r="I8" s="3">
        <v>450</v>
      </c>
      <c r="J8" s="3">
        <f t="shared" si="0"/>
        <v>17850</v>
      </c>
      <c r="K8" s="3">
        <v>15000</v>
      </c>
      <c r="L8" s="3">
        <f t="shared" ref="L8:L19" si="1">J8-K8</f>
        <v>2850</v>
      </c>
    </row>
    <row r="9" spans="1:12" x14ac:dyDescent="0.25">
      <c r="A9" s="3">
        <v>5</v>
      </c>
      <c r="B9" s="3" t="s">
        <v>59</v>
      </c>
      <c r="C9" s="3">
        <v>9000</v>
      </c>
      <c r="D9" s="3">
        <f>'OCTOBER 21'!L9:L23</f>
        <v>0</v>
      </c>
      <c r="E9" s="3"/>
      <c r="F9" s="3"/>
      <c r="G9" s="3">
        <v>1000</v>
      </c>
      <c r="H9" s="3">
        <v>250</v>
      </c>
      <c r="I9" s="3">
        <v>750</v>
      </c>
      <c r="J9" s="3">
        <f>C9+D9+E9+F9+G9+H9+I9</f>
        <v>11000</v>
      </c>
      <c r="K9" s="3">
        <f>10000+200</f>
        <v>10200</v>
      </c>
      <c r="L9" s="3">
        <f t="shared" si="1"/>
        <v>800</v>
      </c>
    </row>
    <row r="10" spans="1:12" x14ac:dyDescent="0.25">
      <c r="A10" s="3">
        <v>6</v>
      </c>
      <c r="B10" s="4" t="s">
        <v>111</v>
      </c>
      <c r="C10" s="3">
        <v>14000</v>
      </c>
      <c r="D10" s="3">
        <f>'OCTOBER 21'!L10:L24</f>
        <v>1700</v>
      </c>
      <c r="E10" s="3"/>
      <c r="F10" s="3"/>
      <c r="G10" s="3">
        <v>1000</v>
      </c>
      <c r="H10" s="3">
        <v>250</v>
      </c>
      <c r="I10" s="3">
        <v>900</v>
      </c>
      <c r="J10" s="3">
        <f>C10+D10+E10+F10+G10+H10+I10</f>
        <v>17850</v>
      </c>
      <c r="K10" s="3">
        <f>12000+2500</f>
        <v>14500</v>
      </c>
      <c r="L10" s="3">
        <f>J10-K10</f>
        <v>3350</v>
      </c>
    </row>
    <row r="11" spans="1:12" x14ac:dyDescent="0.25">
      <c r="A11" s="3">
        <v>7</v>
      </c>
      <c r="B11" s="3" t="s">
        <v>32</v>
      </c>
      <c r="C11" s="3">
        <v>14000</v>
      </c>
      <c r="D11" s="3">
        <f>'OCTOBER 21'!L11:L25</f>
        <v>0</v>
      </c>
      <c r="E11" s="3"/>
      <c r="F11" s="3"/>
      <c r="G11" s="3">
        <v>1000</v>
      </c>
      <c r="H11" s="3">
        <v>250</v>
      </c>
      <c r="I11" s="3">
        <v>900</v>
      </c>
      <c r="J11" s="3">
        <f t="shared" si="0"/>
        <v>16150</v>
      </c>
      <c r="K11" s="3">
        <f>14900+1250</f>
        <v>16150</v>
      </c>
      <c r="L11" s="3">
        <f>J11-K11</f>
        <v>0</v>
      </c>
    </row>
    <row r="12" spans="1:12" x14ac:dyDescent="0.25">
      <c r="A12" s="3">
        <v>8</v>
      </c>
      <c r="B12" s="24" t="s">
        <v>140</v>
      </c>
      <c r="C12" s="3">
        <v>14000</v>
      </c>
      <c r="D12" s="3">
        <f>'OCTOBER 21'!L12:L26</f>
        <v>0</v>
      </c>
      <c r="E12" s="3"/>
      <c r="F12" s="3"/>
      <c r="G12" s="3">
        <v>1000</v>
      </c>
      <c r="H12" s="3">
        <v>250</v>
      </c>
      <c r="I12" s="3">
        <v>600</v>
      </c>
      <c r="J12" s="3">
        <f t="shared" si="0"/>
        <v>15850</v>
      </c>
      <c r="K12" s="3">
        <v>15850</v>
      </c>
      <c r="L12" s="3">
        <f t="shared" si="1"/>
        <v>0</v>
      </c>
    </row>
    <row r="13" spans="1:12" x14ac:dyDescent="0.25">
      <c r="A13" s="3">
        <v>9</v>
      </c>
      <c r="B13" s="3" t="s">
        <v>40</v>
      </c>
      <c r="C13" s="3">
        <v>14000</v>
      </c>
      <c r="D13" s="3">
        <f>'OCTOBER 21'!L13:L27</f>
        <v>1000</v>
      </c>
      <c r="E13" s="3"/>
      <c r="F13" s="3"/>
      <c r="G13" s="3">
        <v>1000</v>
      </c>
      <c r="H13" s="3">
        <v>250</v>
      </c>
      <c r="I13" s="3">
        <v>450</v>
      </c>
      <c r="J13" s="3">
        <f t="shared" si="0"/>
        <v>16700</v>
      </c>
      <c r="K13" s="3">
        <v>16700</v>
      </c>
      <c r="L13" s="3">
        <f t="shared" si="1"/>
        <v>0</v>
      </c>
    </row>
    <row r="14" spans="1:12" ht="16.5" customHeight="1" x14ac:dyDescent="0.25">
      <c r="A14" s="3" t="s">
        <v>146</v>
      </c>
      <c r="B14" s="3" t="s">
        <v>134</v>
      </c>
      <c r="C14" s="3">
        <v>9000</v>
      </c>
      <c r="D14" s="3">
        <f>'OCTOBER 21'!L14:L28</f>
        <v>11100</v>
      </c>
      <c r="E14" s="3"/>
      <c r="F14" s="3"/>
      <c r="G14" s="3">
        <v>1000</v>
      </c>
      <c r="H14" s="3">
        <v>250</v>
      </c>
      <c r="I14" s="3">
        <v>450</v>
      </c>
      <c r="J14" s="3">
        <f t="shared" si="0"/>
        <v>21800</v>
      </c>
      <c r="K14" s="3">
        <f>3400+11000+4000+3350+50</f>
        <v>21800</v>
      </c>
      <c r="L14" s="3">
        <f t="shared" si="1"/>
        <v>0</v>
      </c>
    </row>
    <row r="15" spans="1:12" x14ac:dyDescent="0.25">
      <c r="A15" s="3">
        <v>11</v>
      </c>
      <c r="B15" s="3" t="s">
        <v>127</v>
      </c>
      <c r="C15" s="3">
        <v>15000</v>
      </c>
      <c r="D15" s="3">
        <f>'OCTOBER 21'!L15:L29</f>
        <v>4950</v>
      </c>
      <c r="E15" s="3"/>
      <c r="F15" s="3"/>
      <c r="G15" s="3">
        <v>1000</v>
      </c>
      <c r="H15" s="3"/>
      <c r="I15" s="3">
        <v>450</v>
      </c>
      <c r="J15" s="3">
        <f>C15+D15+E15+F15+G15+H15+I15</f>
        <v>21400</v>
      </c>
      <c r="K15" s="3">
        <f>17500</f>
        <v>17500</v>
      </c>
      <c r="L15" s="3">
        <f t="shared" si="1"/>
        <v>3900</v>
      </c>
    </row>
    <row r="16" spans="1:12" x14ac:dyDescent="0.25">
      <c r="A16" s="3">
        <v>12</v>
      </c>
      <c r="B16" s="3" t="s">
        <v>128</v>
      </c>
      <c r="C16" s="3">
        <v>22000</v>
      </c>
      <c r="D16" s="3">
        <f>'OCTOBER 21'!L16:L30</f>
        <v>40800</v>
      </c>
      <c r="E16" s="3"/>
      <c r="F16" s="3"/>
      <c r="G16" s="3">
        <v>1000</v>
      </c>
      <c r="H16" s="3"/>
      <c r="I16" s="3"/>
      <c r="J16" s="3">
        <f>C16+D16+E16+F16+G16+H16+I16</f>
        <v>63800</v>
      </c>
      <c r="K16" s="3">
        <f>23000+23000</f>
        <v>46000</v>
      </c>
      <c r="L16" s="3">
        <f>J16-K16</f>
        <v>17800</v>
      </c>
    </row>
    <row r="17" spans="1:12" x14ac:dyDescent="0.25">
      <c r="A17" s="3">
        <v>13</v>
      </c>
      <c r="B17" s="3" t="s">
        <v>74</v>
      </c>
      <c r="C17" s="3"/>
      <c r="D17" s="3">
        <f>'OCTOBER 21'!L17:L31</f>
        <v>0</v>
      </c>
      <c r="E17" s="3"/>
      <c r="F17" s="3"/>
      <c r="G17" s="3"/>
      <c r="H17" s="3"/>
      <c r="I17" s="3">
        <v>600</v>
      </c>
      <c r="J17" s="3">
        <f t="shared" si="0"/>
        <v>600</v>
      </c>
      <c r="K17" s="3">
        <v>600</v>
      </c>
      <c r="L17" s="3">
        <f>J17-K17</f>
        <v>0</v>
      </c>
    </row>
    <row r="18" spans="1:12" x14ac:dyDescent="0.25">
      <c r="A18" s="3"/>
      <c r="B18" s="3"/>
      <c r="C18" s="3"/>
      <c r="D18" s="3">
        <f>'OCTOBER 21'!L18:L32</f>
        <v>0</v>
      </c>
      <c r="E18" s="3"/>
      <c r="F18" s="3"/>
      <c r="G18" s="3"/>
      <c r="H18" s="3"/>
      <c r="I18" s="3"/>
      <c r="J18" s="3">
        <f>C18+D18+E18+F18+G18+H18+I18</f>
        <v>0</v>
      </c>
      <c r="K18" s="3"/>
      <c r="L18" s="3">
        <f t="shared" si="1"/>
        <v>0</v>
      </c>
    </row>
    <row r="19" spans="1:12" x14ac:dyDescent="0.25">
      <c r="A19" s="3"/>
      <c r="B19" s="3"/>
      <c r="C19" s="3"/>
      <c r="D19" s="3">
        <f>'OCTOBER 21'!L19:L33</f>
        <v>0</v>
      </c>
      <c r="E19" s="3"/>
      <c r="F19" s="3"/>
      <c r="G19" s="3"/>
      <c r="H19" s="3"/>
      <c r="I19" s="3"/>
      <c r="J19" s="3">
        <f>C19+D19+E19+F19+G19+H19+I19</f>
        <v>0</v>
      </c>
      <c r="K19" s="3"/>
      <c r="L19" s="3">
        <f t="shared" si="1"/>
        <v>0</v>
      </c>
    </row>
    <row r="20" spans="1:12" x14ac:dyDescent="0.25">
      <c r="A20" s="3"/>
      <c r="B20" s="2"/>
      <c r="C20" s="2">
        <f>SUM(C5:C19)</f>
        <v>167000</v>
      </c>
      <c r="D20" s="3">
        <f>SUM(D5:D19)</f>
        <v>61700</v>
      </c>
      <c r="E20" s="2">
        <f t="shared" ref="E20:G20" si="2">SUM(E5:E19)</f>
        <v>0</v>
      </c>
      <c r="F20" s="2">
        <f t="shared" si="2"/>
        <v>0</v>
      </c>
      <c r="G20" s="2">
        <f t="shared" si="2"/>
        <v>12000</v>
      </c>
      <c r="H20" s="2">
        <f>SUM(H5:H19)</f>
        <v>2500</v>
      </c>
      <c r="I20" s="2">
        <f>SUM(I5:I19)</f>
        <v>9350</v>
      </c>
      <c r="J20" s="3">
        <f>SUM(J5:J19)</f>
        <v>252550</v>
      </c>
      <c r="K20" s="2">
        <f>SUM(K5:K19)</f>
        <v>223850</v>
      </c>
      <c r="L20" s="3">
        <f>SUM(L5:L19)</f>
        <v>28700</v>
      </c>
    </row>
    <row r="21" spans="1:12" x14ac:dyDescent="0.25">
      <c r="B21" s="6"/>
      <c r="C21" s="6"/>
      <c r="D21" s="3">
        <f>'OCTOBER 21'!L21:L37</f>
        <v>44200</v>
      </c>
      <c r="E21" s="6"/>
      <c r="F21" s="6" t="s">
        <v>9</v>
      </c>
      <c r="G21" s="6"/>
      <c r="H21" s="6"/>
      <c r="I21" s="6"/>
      <c r="J21" s="3"/>
      <c r="K21" s="6"/>
      <c r="L21" s="29">
        <f>L20-17500</f>
        <v>11200</v>
      </c>
    </row>
    <row r="22" spans="1:12" x14ac:dyDescent="0.25">
      <c r="C22" s="7"/>
      <c r="D22" s="8"/>
      <c r="E22" s="8"/>
      <c r="F22" s="28" t="s">
        <v>10</v>
      </c>
      <c r="G22" s="6"/>
      <c r="H22" s="6"/>
      <c r="I22" s="6"/>
      <c r="J22" s="22"/>
      <c r="K22" s="10"/>
      <c r="L22" s="9"/>
    </row>
    <row r="23" spans="1:12" x14ac:dyDescent="0.25">
      <c r="B23" s="1" t="s">
        <v>11</v>
      </c>
      <c r="C23" s="1"/>
      <c r="D23" s="1"/>
      <c r="E23" s="1"/>
      <c r="F23" s="11"/>
      <c r="G23" s="1" t="s">
        <v>12</v>
      </c>
      <c r="H23" s="12"/>
      <c r="I23" s="12"/>
      <c r="J23" s="12"/>
      <c r="K23" s="12"/>
    </row>
    <row r="24" spans="1:12" x14ac:dyDescent="0.25">
      <c r="B24" s="2" t="s">
        <v>13</v>
      </c>
      <c r="C24" s="2" t="s">
        <v>14</v>
      </c>
      <c r="D24" s="2" t="s">
        <v>15</v>
      </c>
      <c r="E24" s="2"/>
      <c r="F24" s="2" t="s">
        <v>16</v>
      </c>
      <c r="G24" s="2" t="s">
        <v>13</v>
      </c>
      <c r="H24" s="2" t="s">
        <v>14</v>
      </c>
      <c r="I24" s="3" t="s">
        <v>15</v>
      </c>
      <c r="J24" s="2" t="s">
        <v>16</v>
      </c>
      <c r="K24" s="2"/>
    </row>
    <row r="25" spans="1:12" x14ac:dyDescent="0.25">
      <c r="B25" s="13" t="s">
        <v>145</v>
      </c>
      <c r="C25" s="14">
        <f>C20</f>
        <v>167000</v>
      </c>
      <c r="D25" s="13"/>
      <c r="E25" s="13"/>
      <c r="F25" s="13"/>
      <c r="G25" s="13" t="s">
        <v>145</v>
      </c>
      <c r="H25" s="14">
        <f>K20</f>
        <v>223850</v>
      </c>
      <c r="I25" s="3"/>
      <c r="J25" s="13"/>
      <c r="K25" s="13"/>
    </row>
    <row r="26" spans="1:12" x14ac:dyDescent="0.25">
      <c r="B26" s="13" t="s">
        <v>3</v>
      </c>
      <c r="C26" s="14">
        <f>'OCTOBER 21'!E39</f>
        <v>7000</v>
      </c>
      <c r="D26" s="13"/>
      <c r="E26" s="13"/>
      <c r="F26" s="13"/>
      <c r="G26" s="13" t="s">
        <v>3</v>
      </c>
      <c r="H26" s="14">
        <f>'OCTOBER 21'!J39</f>
        <v>-37699</v>
      </c>
      <c r="I26" s="13"/>
      <c r="J26" s="13"/>
      <c r="K26" s="13"/>
    </row>
    <row r="27" spans="1:12" x14ac:dyDescent="0.25">
      <c r="B27" s="13" t="s">
        <v>27</v>
      </c>
      <c r="C27" s="14">
        <f>E20</f>
        <v>0</v>
      </c>
      <c r="D27" s="13"/>
      <c r="E27" s="13"/>
      <c r="F27" s="13"/>
      <c r="G27" s="13"/>
      <c r="H27" s="14"/>
      <c r="I27" s="13"/>
      <c r="J27" s="13"/>
      <c r="K27" s="13"/>
    </row>
    <row r="28" spans="1:12" x14ac:dyDescent="0.25">
      <c r="B28" s="3" t="s">
        <v>31</v>
      </c>
      <c r="C28" s="3">
        <f>F20</f>
        <v>0</v>
      </c>
      <c r="D28" s="13"/>
      <c r="E28" s="13"/>
      <c r="F28" s="13"/>
      <c r="G28" s="13"/>
      <c r="H28" s="14"/>
      <c r="I28" s="13"/>
      <c r="J28" s="13"/>
      <c r="K28" s="13"/>
    </row>
    <row r="29" spans="1:12" x14ac:dyDescent="0.25">
      <c r="B29" s="3" t="s">
        <v>37</v>
      </c>
      <c r="C29" s="3">
        <f>G20</f>
        <v>12000</v>
      </c>
      <c r="D29" s="3"/>
      <c r="E29" s="3"/>
      <c r="F29" s="3"/>
      <c r="G29" s="3"/>
      <c r="H29" s="3"/>
      <c r="I29" s="3"/>
      <c r="J29" s="3"/>
      <c r="K29" s="3"/>
    </row>
    <row r="30" spans="1:12" x14ac:dyDescent="0.25">
      <c r="B30" s="3" t="s">
        <v>43</v>
      </c>
      <c r="C30" s="3">
        <f>I20</f>
        <v>9350</v>
      </c>
      <c r="D30" s="3"/>
      <c r="E30" s="3"/>
      <c r="F30" s="3"/>
      <c r="G30" s="3"/>
      <c r="H30" s="3"/>
      <c r="I30" s="3"/>
      <c r="J30" s="2"/>
      <c r="K30" s="3"/>
    </row>
    <row r="31" spans="1:12" x14ac:dyDescent="0.25">
      <c r="B31" s="13" t="s">
        <v>18</v>
      </c>
      <c r="C31" s="16">
        <v>0.05</v>
      </c>
      <c r="D31" s="14">
        <f>C31*C25</f>
        <v>8350</v>
      </c>
      <c r="E31" s="14"/>
      <c r="F31" s="13"/>
      <c r="G31" s="13" t="s">
        <v>18</v>
      </c>
      <c r="H31" s="16">
        <v>0.05</v>
      </c>
      <c r="I31" s="14">
        <f>H31*C25</f>
        <v>8350</v>
      </c>
      <c r="J31" s="13"/>
      <c r="K31" s="3"/>
    </row>
    <row r="32" spans="1:12" x14ac:dyDescent="0.25">
      <c r="B32" s="27" t="s">
        <v>19</v>
      </c>
      <c r="C32" s="13" t="s">
        <v>9</v>
      </c>
      <c r="D32" s="13"/>
      <c r="E32" s="13"/>
      <c r="F32" s="13"/>
      <c r="G32" s="27" t="s">
        <v>19</v>
      </c>
      <c r="H32" s="14"/>
      <c r="I32" s="13"/>
      <c r="J32" s="13"/>
      <c r="K32" s="13"/>
    </row>
    <row r="33" spans="2:12" x14ac:dyDescent="0.25">
      <c r="B33" s="27"/>
      <c r="C33" s="13"/>
      <c r="D33" s="14"/>
      <c r="E33" s="13"/>
      <c r="F33" s="13"/>
      <c r="G33" s="24" t="s">
        <v>42</v>
      </c>
      <c r="H33" s="14"/>
      <c r="I33" s="13">
        <f>H20</f>
        <v>2500</v>
      </c>
      <c r="J33" s="13"/>
      <c r="K33" s="13"/>
    </row>
    <row r="34" spans="2:12" x14ac:dyDescent="0.25">
      <c r="B34" s="17" t="s">
        <v>37</v>
      </c>
      <c r="C34" s="3"/>
      <c r="D34" s="30">
        <v>9000</v>
      </c>
      <c r="E34" s="3"/>
      <c r="F34" s="3"/>
      <c r="G34" s="17" t="s">
        <v>37</v>
      </c>
      <c r="H34" s="3"/>
      <c r="I34" s="3">
        <v>9000</v>
      </c>
      <c r="J34" s="3"/>
      <c r="K34" s="3"/>
    </row>
    <row r="35" spans="2:12" x14ac:dyDescent="0.25">
      <c r="B35" s="18" t="s">
        <v>106</v>
      </c>
      <c r="C35" s="3"/>
      <c r="D35" s="30">
        <v>178000</v>
      </c>
      <c r="E35" s="3"/>
      <c r="F35" s="3"/>
      <c r="G35" s="18" t="s">
        <v>106</v>
      </c>
      <c r="H35" s="3"/>
      <c r="I35" s="30">
        <v>178000</v>
      </c>
      <c r="J35" s="3"/>
      <c r="K35" s="3"/>
    </row>
    <row r="36" spans="2:12" x14ac:dyDescent="0.25">
      <c r="B36" s="18"/>
      <c r="C36" s="30">
        <f>C25+C26+C27+C28+C29+C30-D31</f>
        <v>187000</v>
      </c>
      <c r="D36" s="31">
        <f>SUM(D33:D35)</f>
        <v>187000</v>
      </c>
      <c r="E36" s="31">
        <f>C36-D36</f>
        <v>0</v>
      </c>
      <c r="F36" s="13"/>
      <c r="G36" s="18"/>
      <c r="H36" s="30">
        <f>H25+H26-I31</f>
        <v>177801</v>
      </c>
      <c r="I36" s="21">
        <f>SUM(I33:I35)</f>
        <v>189500</v>
      </c>
      <c r="J36" s="30">
        <f>H36-I36</f>
        <v>-11699</v>
      </c>
      <c r="K36" s="3"/>
      <c r="L36" s="15"/>
    </row>
    <row r="37" spans="2:12" x14ac:dyDescent="0.25">
      <c r="B37" t="s">
        <v>20</v>
      </c>
      <c r="D37" t="s">
        <v>21</v>
      </c>
      <c r="I37">
        <f>I36-I33</f>
        <v>187000</v>
      </c>
      <c r="J37" t="s">
        <v>22</v>
      </c>
      <c r="L37" s="15"/>
    </row>
    <row r="38" spans="2:12" x14ac:dyDescent="0.25">
      <c r="L38" s="1"/>
    </row>
    <row r="39" spans="2:12" x14ac:dyDescent="0.25">
      <c r="B39" t="s">
        <v>34</v>
      </c>
      <c r="D39" t="s">
        <v>23</v>
      </c>
      <c r="J39" t="s">
        <v>95</v>
      </c>
      <c r="K39" s="15"/>
      <c r="L39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J11" sqref="J11"/>
    </sheetView>
  </sheetViews>
  <sheetFormatPr defaultRowHeight="15" x14ac:dyDescent="0.25"/>
  <cols>
    <col min="1" max="1" width="20.140625" customWidth="1"/>
  </cols>
  <sheetData>
    <row r="1" spans="1:11" x14ac:dyDescent="0.25">
      <c r="D1" s="1" t="s">
        <v>94</v>
      </c>
      <c r="E1" s="1"/>
      <c r="F1" s="1"/>
      <c r="G1" s="1"/>
      <c r="H1" s="1"/>
      <c r="I1" s="1"/>
      <c r="J1" s="1"/>
      <c r="K1" s="1"/>
    </row>
    <row r="2" spans="1:11" x14ac:dyDescent="0.25">
      <c r="D2" s="1" t="s">
        <v>0</v>
      </c>
      <c r="E2" s="1"/>
      <c r="F2" s="1"/>
      <c r="G2" s="1"/>
      <c r="H2" s="1"/>
      <c r="I2" s="1"/>
      <c r="J2" s="1"/>
      <c r="K2" s="1"/>
    </row>
    <row r="3" spans="1:11" x14ac:dyDescent="0.25">
      <c r="A3" s="1"/>
      <c r="D3" s="1" t="s">
        <v>148</v>
      </c>
      <c r="E3" s="1"/>
      <c r="F3" s="1"/>
      <c r="G3" s="1"/>
      <c r="H3" s="1"/>
      <c r="I3" s="1"/>
      <c r="J3" s="1"/>
      <c r="K3" s="1"/>
    </row>
    <row r="4" spans="1:11" x14ac:dyDescent="0.25">
      <c r="A4" s="2" t="s">
        <v>2</v>
      </c>
      <c r="B4" s="2" t="s">
        <v>51</v>
      </c>
      <c r="C4" s="2" t="s">
        <v>3</v>
      </c>
      <c r="D4" s="2" t="s">
        <v>27</v>
      </c>
      <c r="E4" s="2" t="s">
        <v>31</v>
      </c>
      <c r="F4" s="2" t="s">
        <v>50</v>
      </c>
      <c r="G4" s="2" t="s">
        <v>42</v>
      </c>
      <c r="H4" s="2" t="s">
        <v>43</v>
      </c>
      <c r="I4" s="2" t="s">
        <v>5</v>
      </c>
      <c r="J4" s="2" t="s">
        <v>6</v>
      </c>
      <c r="K4" s="2" t="s">
        <v>7</v>
      </c>
    </row>
    <row r="5" spans="1:11" x14ac:dyDescent="0.25">
      <c r="A5" s="3" t="s">
        <v>123</v>
      </c>
      <c r="B5" s="3">
        <v>14000</v>
      </c>
      <c r="C5" s="3">
        <f>'NOVEMBER 21'!L5:L19</f>
        <v>0</v>
      </c>
      <c r="D5" s="3"/>
      <c r="E5" s="3"/>
      <c r="F5" s="3">
        <v>1000</v>
      </c>
      <c r="G5" s="3">
        <v>250</v>
      </c>
      <c r="H5" s="3">
        <v>900</v>
      </c>
      <c r="I5" s="3">
        <f>B5+B17+C5+D5+E5+F5+G5+H5</f>
        <v>16150</v>
      </c>
      <c r="J5" s="3">
        <v>10112</v>
      </c>
      <c r="K5" s="3">
        <f>I5-J5</f>
        <v>6038</v>
      </c>
    </row>
    <row r="6" spans="1:11" x14ac:dyDescent="0.25">
      <c r="A6" s="3" t="s">
        <v>39</v>
      </c>
      <c r="B6" s="3">
        <v>14000</v>
      </c>
      <c r="C6" s="3">
        <f>'NOVEMBER 21'!L6:L20</f>
        <v>0</v>
      </c>
      <c r="D6" s="3"/>
      <c r="E6" s="3"/>
      <c r="F6" s="3">
        <v>1000</v>
      </c>
      <c r="G6" s="3">
        <v>250</v>
      </c>
      <c r="H6" s="3">
        <v>1050</v>
      </c>
      <c r="I6" s="3">
        <f t="shared" ref="I6:I17" si="0">B6+C6+D6+E6+F6+G6+H6</f>
        <v>16300</v>
      </c>
      <c r="J6" s="3"/>
      <c r="K6" s="3">
        <f>I6-J6</f>
        <v>16300</v>
      </c>
    </row>
    <row r="7" spans="1:11" x14ac:dyDescent="0.25">
      <c r="A7" s="3" t="s">
        <v>35</v>
      </c>
      <c r="B7" s="3">
        <v>14000</v>
      </c>
      <c r="C7" s="3">
        <f>'NOVEMBER 21'!L7:L21</f>
        <v>0</v>
      </c>
      <c r="D7" s="3"/>
      <c r="E7" s="3"/>
      <c r="F7" s="3">
        <v>1000</v>
      </c>
      <c r="G7" s="3">
        <v>250</v>
      </c>
      <c r="H7" s="3">
        <v>2400</v>
      </c>
      <c r="I7" s="3">
        <f>B7+C7+D7+E7+F7+G7+H7</f>
        <v>17650</v>
      </c>
      <c r="J7" s="3"/>
      <c r="K7" s="3">
        <f>I7-J7</f>
        <v>17650</v>
      </c>
    </row>
    <row r="8" spans="1:11" x14ac:dyDescent="0.25">
      <c r="A8" s="3" t="s">
        <v>48</v>
      </c>
      <c r="B8" s="3">
        <v>14000</v>
      </c>
      <c r="C8" s="3">
        <f>'NOVEMBER 21'!L8:L22</f>
        <v>2850</v>
      </c>
      <c r="D8" s="3"/>
      <c r="E8" s="3"/>
      <c r="F8" s="3">
        <v>1000</v>
      </c>
      <c r="G8" s="3">
        <v>250</v>
      </c>
      <c r="H8" s="3">
        <v>450</v>
      </c>
      <c r="I8" s="3">
        <f t="shared" si="0"/>
        <v>18550</v>
      </c>
      <c r="J8" s="3">
        <f>2850+3500</f>
        <v>6350</v>
      </c>
      <c r="K8" s="3">
        <f t="shared" ref="K8:K19" si="1">I8-J8</f>
        <v>12200</v>
      </c>
    </row>
    <row r="9" spans="1:11" x14ac:dyDescent="0.25">
      <c r="A9" s="3" t="s">
        <v>59</v>
      </c>
      <c r="B9" s="3">
        <v>9000</v>
      </c>
      <c r="C9" s="3">
        <f>'NOVEMBER 21'!L9:L23</f>
        <v>800</v>
      </c>
      <c r="D9" s="3"/>
      <c r="E9" s="3"/>
      <c r="F9" s="3">
        <v>1000</v>
      </c>
      <c r="G9" s="3">
        <v>250</v>
      </c>
      <c r="H9" s="3">
        <v>900</v>
      </c>
      <c r="I9" s="3">
        <f>B9+C9+D9+E9+F9+G9+H9</f>
        <v>11950</v>
      </c>
      <c r="J9" s="3"/>
      <c r="K9" s="3">
        <f t="shared" si="1"/>
        <v>11950</v>
      </c>
    </row>
    <row r="10" spans="1:11" x14ac:dyDescent="0.25">
      <c r="A10" s="4" t="s">
        <v>111</v>
      </c>
      <c r="B10" s="3">
        <v>14000</v>
      </c>
      <c r="C10" s="3">
        <f>'NOVEMBER 21'!L10:L24</f>
        <v>3350</v>
      </c>
      <c r="D10" s="3"/>
      <c r="E10" s="3"/>
      <c r="F10" s="3">
        <v>1000</v>
      </c>
      <c r="G10" s="3">
        <v>250</v>
      </c>
      <c r="H10" s="3">
        <v>1500</v>
      </c>
      <c r="I10" s="3">
        <f>B10+C10+D10+E10+F10+G10+H10</f>
        <v>20100</v>
      </c>
      <c r="J10" s="3">
        <v>18550</v>
      </c>
      <c r="K10" s="3">
        <f>I10-J10</f>
        <v>1550</v>
      </c>
    </row>
    <row r="11" spans="1:11" x14ac:dyDescent="0.25">
      <c r="A11" s="3" t="s">
        <v>32</v>
      </c>
      <c r="B11" s="3">
        <v>14000</v>
      </c>
      <c r="C11" s="3">
        <f>'NOVEMBER 21'!L11:L25</f>
        <v>0</v>
      </c>
      <c r="D11" s="3"/>
      <c r="E11" s="3"/>
      <c r="F11" s="3">
        <v>1000</v>
      </c>
      <c r="G11" s="3">
        <v>250</v>
      </c>
      <c r="H11" s="3">
        <v>750</v>
      </c>
      <c r="I11" s="3">
        <f t="shared" si="0"/>
        <v>16000</v>
      </c>
      <c r="J11" s="3">
        <v>6000</v>
      </c>
      <c r="K11" s="3">
        <f>I11-J11</f>
        <v>10000</v>
      </c>
    </row>
    <row r="12" spans="1:11" x14ac:dyDescent="0.25">
      <c r="A12" s="24" t="s">
        <v>140</v>
      </c>
      <c r="B12" s="3">
        <v>14000</v>
      </c>
      <c r="C12" s="3">
        <f>'NOVEMBER 21'!L12:L26</f>
        <v>0</v>
      </c>
      <c r="D12" s="3"/>
      <c r="E12" s="3"/>
      <c r="F12" s="3">
        <v>1000</v>
      </c>
      <c r="G12" s="3">
        <v>250</v>
      </c>
      <c r="H12" s="3">
        <v>900</v>
      </c>
      <c r="I12" s="3">
        <f t="shared" si="0"/>
        <v>16150</v>
      </c>
      <c r="J12" s="3">
        <v>16150</v>
      </c>
      <c r="K12" s="3">
        <f t="shared" si="1"/>
        <v>0</v>
      </c>
    </row>
    <row r="13" spans="1:11" x14ac:dyDescent="0.25">
      <c r="A13" s="3" t="s">
        <v>40</v>
      </c>
      <c r="B13" s="3">
        <v>14000</v>
      </c>
      <c r="C13" s="3">
        <f>'NOVEMBER 21'!L13:L27</f>
        <v>0</v>
      </c>
      <c r="D13" s="3"/>
      <c r="E13" s="3"/>
      <c r="F13" s="3">
        <v>1000</v>
      </c>
      <c r="G13" s="3">
        <v>250</v>
      </c>
      <c r="H13" s="3">
        <v>750</v>
      </c>
      <c r="I13" s="3">
        <f t="shared" si="0"/>
        <v>16000</v>
      </c>
      <c r="J13" s="3"/>
      <c r="K13" s="3">
        <f t="shared" si="1"/>
        <v>16000</v>
      </c>
    </row>
    <row r="14" spans="1:11" x14ac:dyDescent="0.25">
      <c r="A14" s="3" t="s">
        <v>134</v>
      </c>
      <c r="B14" s="3">
        <v>9000</v>
      </c>
      <c r="C14" s="3">
        <f>'NOVEMBER 21'!L14:L28</f>
        <v>0</v>
      </c>
      <c r="D14" s="3"/>
      <c r="E14" s="3"/>
      <c r="F14" s="3">
        <v>1000</v>
      </c>
      <c r="G14" s="3">
        <v>250</v>
      </c>
      <c r="H14" s="3">
        <v>450</v>
      </c>
      <c r="I14" s="3">
        <f t="shared" si="0"/>
        <v>10700</v>
      </c>
      <c r="J14" s="3"/>
      <c r="K14" s="3">
        <f t="shared" si="1"/>
        <v>10700</v>
      </c>
    </row>
    <row r="15" spans="1:11" x14ac:dyDescent="0.25">
      <c r="A15" s="3" t="s">
        <v>127</v>
      </c>
      <c r="B15" s="3">
        <v>15000</v>
      </c>
      <c r="C15" s="3">
        <f>'NOVEMBER 21'!L15:L29</f>
        <v>3900</v>
      </c>
      <c r="D15" s="3"/>
      <c r="E15" s="3"/>
      <c r="F15" s="3">
        <v>1000</v>
      </c>
      <c r="G15" s="3"/>
      <c r="H15" s="3">
        <v>600</v>
      </c>
      <c r="I15" s="3">
        <f>B15+C15+D15+E15+F15+G15+H15</f>
        <v>20500</v>
      </c>
      <c r="J15" s="3"/>
      <c r="K15" s="3">
        <f t="shared" si="1"/>
        <v>20500</v>
      </c>
    </row>
    <row r="16" spans="1:11" x14ac:dyDescent="0.25">
      <c r="A16" s="3" t="s">
        <v>128</v>
      </c>
      <c r="B16" s="3">
        <v>22000</v>
      </c>
      <c r="C16" s="3">
        <f>'NOVEMBER 21'!L16:L30</f>
        <v>17800</v>
      </c>
      <c r="D16" s="3"/>
      <c r="E16" s="3"/>
      <c r="F16" s="3">
        <v>1000</v>
      </c>
      <c r="G16" s="3"/>
      <c r="H16" s="3">
        <v>300</v>
      </c>
      <c r="I16" s="3">
        <f>B16+C16+D16+E16+F16+G16+H16</f>
        <v>41100</v>
      </c>
      <c r="J16" s="3"/>
      <c r="K16" s="3">
        <f>I16-J16</f>
        <v>41100</v>
      </c>
    </row>
    <row r="17" spans="1:11" x14ac:dyDescent="0.25">
      <c r="A17" s="3" t="s">
        <v>74</v>
      </c>
      <c r="B17" s="3"/>
      <c r="C17" s="3">
        <f>'NOVEMBER 21'!L17:L31</f>
        <v>0</v>
      </c>
      <c r="D17" s="3"/>
      <c r="E17" s="3"/>
      <c r="F17" s="3"/>
      <c r="G17" s="3"/>
      <c r="H17" s="3"/>
      <c r="I17" s="3">
        <f t="shared" si="0"/>
        <v>0</v>
      </c>
      <c r="J17" s="3"/>
      <c r="K17" s="3">
        <f>I17-J17</f>
        <v>0</v>
      </c>
    </row>
    <row r="18" spans="1:11" x14ac:dyDescent="0.25">
      <c r="A18" s="3"/>
      <c r="B18" s="3"/>
      <c r="C18" s="3">
        <f>'NOVEMBER 21'!L18:L32</f>
        <v>0</v>
      </c>
      <c r="D18" s="3"/>
      <c r="E18" s="3"/>
      <c r="F18" s="3"/>
      <c r="G18" s="3"/>
      <c r="H18" s="3"/>
      <c r="I18" s="3">
        <f>B18+C18+D18+E18+F18+G18+H18</f>
        <v>0</v>
      </c>
      <c r="J18" s="3"/>
      <c r="K18" s="3">
        <f t="shared" si="1"/>
        <v>0</v>
      </c>
    </row>
    <row r="19" spans="1:11" x14ac:dyDescent="0.25">
      <c r="A19" s="3"/>
      <c r="B19" s="3"/>
      <c r="C19" s="3">
        <f>'NOVEMBER 21'!L19:L33</f>
        <v>0</v>
      </c>
      <c r="D19" s="3"/>
      <c r="E19" s="3"/>
      <c r="F19" s="3"/>
      <c r="G19" s="3"/>
      <c r="H19" s="3"/>
      <c r="I19" s="3">
        <f>B19+C19+D19+E19+F19+G19+H19</f>
        <v>0</v>
      </c>
      <c r="J19" s="3"/>
      <c r="K19" s="3">
        <f t="shared" si="1"/>
        <v>0</v>
      </c>
    </row>
    <row r="20" spans="1:11" x14ac:dyDescent="0.25">
      <c r="A20" s="2"/>
      <c r="B20" s="2">
        <f>SUM(B5:B19)</f>
        <v>167000</v>
      </c>
      <c r="C20" s="3">
        <f>SUM(C5:C19)</f>
        <v>28700</v>
      </c>
      <c r="D20" s="2">
        <f t="shared" ref="D20:F20" si="2">SUM(D5:D19)</f>
        <v>0</v>
      </c>
      <c r="E20" s="2">
        <f t="shared" si="2"/>
        <v>0</v>
      </c>
      <c r="F20" s="2">
        <f t="shared" si="2"/>
        <v>12000</v>
      </c>
      <c r="G20" s="2">
        <f>SUM(G5:G19)</f>
        <v>2500</v>
      </c>
      <c r="H20" s="2">
        <f>SUM(H5:H19)</f>
        <v>10950</v>
      </c>
      <c r="I20" s="3">
        <f>SUM(I5:I19)</f>
        <v>221150</v>
      </c>
      <c r="J20" s="2">
        <f>SUM(J5:J19)</f>
        <v>57162</v>
      </c>
      <c r="K20" s="3">
        <f>SUM(K5:K19)</f>
        <v>163988</v>
      </c>
    </row>
    <row r="21" spans="1:11" x14ac:dyDescent="0.25">
      <c r="A21" s="6"/>
      <c r="B21" s="6"/>
      <c r="C21" s="3">
        <f>'OCTOBER 21'!K21:K37</f>
        <v>0</v>
      </c>
      <c r="D21" s="6"/>
      <c r="E21" s="6" t="s">
        <v>9</v>
      </c>
      <c r="F21" s="6"/>
      <c r="G21" s="6"/>
      <c r="H21" s="6"/>
      <c r="I21" s="3"/>
      <c r="J21" s="6"/>
      <c r="K21" s="29">
        <f>K20-17500</f>
        <v>146488</v>
      </c>
    </row>
    <row r="22" spans="1:11" x14ac:dyDescent="0.25">
      <c r="B22" s="7"/>
      <c r="C22" s="8"/>
      <c r="D22" s="8"/>
      <c r="E22" s="28" t="s">
        <v>10</v>
      </c>
      <c r="F22" s="6"/>
      <c r="G22" s="6"/>
      <c r="H22" s="6"/>
      <c r="I22" s="22"/>
      <c r="J22" s="10"/>
      <c r="K22" s="9"/>
    </row>
    <row r="23" spans="1:11" x14ac:dyDescent="0.25">
      <c r="A23" s="1" t="s">
        <v>11</v>
      </c>
      <c r="B23" s="1"/>
      <c r="C23" s="1"/>
      <c r="D23" s="1"/>
      <c r="E23" s="11"/>
      <c r="F23" s="1" t="s">
        <v>12</v>
      </c>
      <c r="G23" s="12"/>
      <c r="H23" s="12"/>
      <c r="I23" s="12"/>
      <c r="J23" s="12"/>
    </row>
    <row r="24" spans="1:11" x14ac:dyDescent="0.25">
      <c r="A24" s="2" t="s">
        <v>13</v>
      </c>
      <c r="B24" s="2" t="s">
        <v>14</v>
      </c>
      <c r="C24" s="2" t="s">
        <v>15</v>
      </c>
      <c r="D24" s="2"/>
      <c r="E24" s="2" t="s">
        <v>16</v>
      </c>
      <c r="F24" s="2" t="s">
        <v>13</v>
      </c>
      <c r="G24" s="2" t="s">
        <v>14</v>
      </c>
      <c r="H24" s="3" t="s">
        <v>15</v>
      </c>
      <c r="I24" s="2" t="s">
        <v>16</v>
      </c>
      <c r="J24" s="2"/>
    </row>
    <row r="25" spans="1:11" x14ac:dyDescent="0.25">
      <c r="A25" s="13" t="s">
        <v>147</v>
      </c>
      <c r="B25" s="14">
        <f>B20</f>
        <v>167000</v>
      </c>
      <c r="C25" s="13"/>
      <c r="D25" s="13"/>
      <c r="E25" s="13"/>
      <c r="F25" s="13" t="s">
        <v>147</v>
      </c>
      <c r="G25" s="14">
        <f>J20</f>
        <v>57162</v>
      </c>
      <c r="H25" s="3"/>
      <c r="I25" s="13"/>
      <c r="J25" s="13"/>
    </row>
    <row r="26" spans="1:11" x14ac:dyDescent="0.25">
      <c r="A26" s="13" t="s">
        <v>3</v>
      </c>
      <c r="B26" s="14">
        <f>'NOVEMBER 21'!F36</f>
        <v>0</v>
      </c>
      <c r="C26" s="13"/>
      <c r="D26" s="13"/>
      <c r="E26" s="13"/>
      <c r="F26" s="13" t="s">
        <v>3</v>
      </c>
      <c r="G26" s="14">
        <f>'NOVEMBER 21'!J36</f>
        <v>-11699</v>
      </c>
      <c r="H26" s="13"/>
      <c r="I26" s="13"/>
      <c r="J26" s="13"/>
    </row>
    <row r="27" spans="1:11" x14ac:dyDescent="0.25">
      <c r="A27" s="13" t="s">
        <v>27</v>
      </c>
      <c r="B27" s="14">
        <f>D20</f>
        <v>0</v>
      </c>
      <c r="C27" s="13"/>
      <c r="D27" s="13"/>
      <c r="E27" s="13"/>
      <c r="F27" s="13"/>
      <c r="G27" s="14"/>
      <c r="H27" s="13"/>
      <c r="I27" s="13"/>
      <c r="J27" s="13"/>
    </row>
    <row r="28" spans="1:11" x14ac:dyDescent="0.25">
      <c r="A28" s="3" t="s">
        <v>31</v>
      </c>
      <c r="B28" s="3">
        <f>E20</f>
        <v>0</v>
      </c>
      <c r="C28" s="13"/>
      <c r="D28" s="13"/>
      <c r="E28" s="13"/>
      <c r="F28" s="13"/>
      <c r="G28" s="14"/>
      <c r="H28" s="13"/>
      <c r="I28" s="13"/>
      <c r="J28" s="13"/>
    </row>
    <row r="29" spans="1:11" x14ac:dyDescent="0.25">
      <c r="A29" s="3" t="s">
        <v>37</v>
      </c>
      <c r="B29" s="3">
        <f>F20</f>
        <v>12000</v>
      </c>
      <c r="C29" s="3"/>
      <c r="D29" s="3"/>
      <c r="E29" s="3"/>
      <c r="F29" s="3"/>
      <c r="G29" s="3"/>
      <c r="H29" s="3"/>
      <c r="I29" s="3"/>
      <c r="J29" s="3"/>
    </row>
    <row r="30" spans="1:11" x14ac:dyDescent="0.25">
      <c r="A30" s="3" t="s">
        <v>43</v>
      </c>
      <c r="B30" s="3">
        <f>H20</f>
        <v>10950</v>
      </c>
      <c r="C30" s="3"/>
      <c r="D30" s="3"/>
      <c r="E30" s="3"/>
      <c r="F30" s="3"/>
      <c r="G30" s="3"/>
      <c r="H30" s="3"/>
      <c r="I30" s="2"/>
      <c r="J30" s="3"/>
    </row>
    <row r="31" spans="1:11" x14ac:dyDescent="0.25">
      <c r="A31" s="13" t="s">
        <v>18</v>
      </c>
      <c r="B31" s="16">
        <v>0.05</v>
      </c>
      <c r="C31" s="14">
        <f>B31*B25</f>
        <v>8350</v>
      </c>
      <c r="D31" s="14"/>
      <c r="E31" s="13"/>
      <c r="F31" s="13" t="s">
        <v>18</v>
      </c>
      <c r="G31" s="16">
        <v>0.05</v>
      </c>
      <c r="H31" s="14">
        <f>G31*B25</f>
        <v>8350</v>
      </c>
      <c r="I31" s="13"/>
      <c r="J31" s="3"/>
    </row>
    <row r="32" spans="1:11" x14ac:dyDescent="0.25">
      <c r="A32" s="27" t="s">
        <v>19</v>
      </c>
      <c r="B32" s="13" t="s">
        <v>9</v>
      </c>
      <c r="C32" s="13"/>
      <c r="D32" s="13"/>
      <c r="E32" s="13"/>
      <c r="F32" s="27" t="s">
        <v>19</v>
      </c>
      <c r="G32" s="14"/>
      <c r="H32" s="13"/>
      <c r="I32" s="13"/>
      <c r="J32" s="13"/>
    </row>
    <row r="33" spans="1:11" x14ac:dyDescent="0.25">
      <c r="A33" s="27"/>
      <c r="B33" s="13"/>
      <c r="C33" s="14"/>
      <c r="D33" s="13"/>
      <c r="E33" s="13"/>
      <c r="F33" s="24" t="s">
        <v>42</v>
      </c>
      <c r="G33" s="14"/>
      <c r="H33" s="13">
        <f>G20</f>
        <v>2500</v>
      </c>
      <c r="I33" s="13"/>
      <c r="J33" s="13"/>
    </row>
    <row r="34" spans="1:11" x14ac:dyDescent="0.25">
      <c r="A34" s="17" t="s">
        <v>37</v>
      </c>
      <c r="B34" s="3"/>
      <c r="C34" s="30">
        <v>9000</v>
      </c>
      <c r="D34" s="3"/>
      <c r="E34" s="3"/>
      <c r="F34" s="17" t="s">
        <v>37</v>
      </c>
      <c r="G34" s="3"/>
      <c r="H34" s="3">
        <v>9000</v>
      </c>
      <c r="I34" s="3"/>
      <c r="J34" s="3"/>
    </row>
    <row r="35" spans="1:11" x14ac:dyDescent="0.25">
      <c r="A35" s="18"/>
      <c r="B35" s="3"/>
      <c r="C35" s="30"/>
      <c r="D35" s="3"/>
      <c r="E35" s="3"/>
      <c r="F35" s="18"/>
      <c r="G35" s="3"/>
      <c r="H35" s="30"/>
      <c r="I35" s="3"/>
      <c r="J35" s="3"/>
    </row>
    <row r="36" spans="1:11" x14ac:dyDescent="0.25">
      <c r="A36" s="18"/>
      <c r="B36" s="30">
        <f>B25+B26+B27+B28+B29+B30-C31</f>
        <v>181600</v>
      </c>
      <c r="C36" s="31">
        <f>SUM(C33:C35)</f>
        <v>9000</v>
      </c>
      <c r="D36" s="31">
        <f>B36-C36</f>
        <v>172600</v>
      </c>
      <c r="E36" s="13"/>
      <c r="F36" s="18"/>
      <c r="G36" s="30">
        <f>G25+G26-H31</f>
        <v>37113</v>
      </c>
      <c r="H36" s="21">
        <f>SUM(H33:H35)</f>
        <v>11500</v>
      </c>
      <c r="I36" s="30">
        <f>G36-H36</f>
        <v>25613</v>
      </c>
      <c r="J36" s="3"/>
      <c r="K36" s="15"/>
    </row>
    <row r="37" spans="1:11" x14ac:dyDescent="0.25">
      <c r="A37" t="s">
        <v>20</v>
      </c>
      <c r="C37" t="s">
        <v>21</v>
      </c>
      <c r="H37">
        <f>H36-H33</f>
        <v>9000</v>
      </c>
      <c r="I37" t="s">
        <v>22</v>
      </c>
      <c r="K37" s="15"/>
    </row>
    <row r="38" spans="1:11" x14ac:dyDescent="0.25">
      <c r="K38" s="1"/>
    </row>
    <row r="39" spans="1:11" x14ac:dyDescent="0.25">
      <c r="A39" t="s">
        <v>34</v>
      </c>
      <c r="C39" t="s">
        <v>23</v>
      </c>
      <c r="I39" t="s">
        <v>95</v>
      </c>
      <c r="J39" s="15"/>
      <c r="K3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7" workbookViewId="0">
      <selection activeCell="G26" sqref="G26"/>
    </sheetView>
  </sheetViews>
  <sheetFormatPr defaultRowHeight="15" x14ac:dyDescent="0.25"/>
  <cols>
    <col min="1" max="1" width="17.42578125" customWidth="1"/>
    <col min="3" max="3" width="8.42578125" customWidth="1"/>
    <col min="4" max="4" width="7.28515625" customWidth="1"/>
    <col min="6" max="6" width="9.28515625" customWidth="1"/>
  </cols>
  <sheetData>
    <row r="1" spans="1:11" x14ac:dyDescent="0.25">
      <c r="A1" s="1"/>
      <c r="B1" s="1" t="s">
        <v>33</v>
      </c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/>
      <c r="B2" s="1" t="s">
        <v>0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/>
      <c r="B3" s="1" t="s">
        <v>53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2" t="s">
        <v>2</v>
      </c>
      <c r="B4" s="2" t="s">
        <v>51</v>
      </c>
      <c r="C4" s="2" t="s">
        <v>3</v>
      </c>
      <c r="D4" s="2" t="s">
        <v>27</v>
      </c>
      <c r="E4" s="2" t="s">
        <v>31</v>
      </c>
      <c r="F4" s="2" t="s">
        <v>50</v>
      </c>
      <c r="G4" s="2" t="s">
        <v>42</v>
      </c>
      <c r="H4" s="2" t="s">
        <v>43</v>
      </c>
      <c r="I4" s="2" t="s">
        <v>5</v>
      </c>
      <c r="J4" s="2" t="s">
        <v>6</v>
      </c>
      <c r="K4" s="2" t="s">
        <v>7</v>
      </c>
    </row>
    <row r="5" spans="1:11" x14ac:dyDescent="0.25">
      <c r="A5" s="3" t="s">
        <v>26</v>
      </c>
      <c r="B5">
        <v>14000</v>
      </c>
      <c r="C5" s="3">
        <f>'FEBRUARY 20'!L5:L19</f>
        <v>0</v>
      </c>
      <c r="D5" s="3"/>
      <c r="E5" s="3"/>
      <c r="F5" s="3">
        <v>1000</v>
      </c>
      <c r="G5" s="3">
        <v>250</v>
      </c>
      <c r="H5" s="3">
        <v>1200</v>
      </c>
      <c r="I5" s="3">
        <f>B5+B17+C5+D5+E5+F5+G5+H5</f>
        <v>16450</v>
      </c>
      <c r="J5" s="3">
        <f>14000+2450</f>
        <v>16450</v>
      </c>
      <c r="K5" s="3">
        <f>I5-J5</f>
        <v>0</v>
      </c>
    </row>
    <row r="6" spans="1:11" x14ac:dyDescent="0.25">
      <c r="A6" s="3" t="s">
        <v>39</v>
      </c>
      <c r="B6" s="3">
        <v>14000</v>
      </c>
      <c r="C6" s="3">
        <f>'FEBRUARY 20'!L6:L20</f>
        <v>0</v>
      </c>
      <c r="D6" s="3"/>
      <c r="E6" s="3"/>
      <c r="F6" s="3">
        <v>1000</v>
      </c>
      <c r="G6" s="3">
        <v>250</v>
      </c>
      <c r="H6" s="3">
        <v>1200</v>
      </c>
      <c r="I6" s="3">
        <f t="shared" ref="I6:I16" si="0">B6+C6+D6+E6+F6+G6+H6</f>
        <v>16450</v>
      </c>
      <c r="J6" s="3">
        <v>16000</v>
      </c>
      <c r="K6" s="3">
        <f>I6-J6</f>
        <v>450</v>
      </c>
    </row>
    <row r="7" spans="1:11" x14ac:dyDescent="0.25">
      <c r="A7" s="3" t="s">
        <v>35</v>
      </c>
      <c r="B7" s="3">
        <v>14000</v>
      </c>
      <c r="C7" s="3">
        <v>250</v>
      </c>
      <c r="D7" s="3"/>
      <c r="E7" s="3"/>
      <c r="F7" s="3">
        <v>1000</v>
      </c>
      <c r="G7" s="3">
        <v>250</v>
      </c>
      <c r="H7" s="3">
        <v>450</v>
      </c>
      <c r="I7" s="3">
        <f t="shared" si="0"/>
        <v>15950</v>
      </c>
      <c r="J7" s="3">
        <v>15000</v>
      </c>
      <c r="K7" s="3">
        <f t="shared" ref="K7:K19" si="1">I7-J7</f>
        <v>950</v>
      </c>
    </row>
    <row r="8" spans="1:11" x14ac:dyDescent="0.25">
      <c r="A8" s="3" t="s">
        <v>48</v>
      </c>
      <c r="B8" s="3">
        <v>14000</v>
      </c>
      <c r="C8" s="3">
        <f>'FEBRUARY 20'!L8:L22</f>
        <v>0</v>
      </c>
      <c r="D8" s="3"/>
      <c r="E8" s="3"/>
      <c r="F8" s="3">
        <v>1000</v>
      </c>
      <c r="G8" s="3">
        <v>250</v>
      </c>
      <c r="H8" s="3">
        <v>300</v>
      </c>
      <c r="I8" s="3">
        <f t="shared" si="0"/>
        <v>15550</v>
      </c>
      <c r="J8" s="3">
        <v>15350</v>
      </c>
      <c r="K8" s="3">
        <f t="shared" si="1"/>
        <v>200</v>
      </c>
    </row>
    <row r="9" spans="1:11" x14ac:dyDescent="0.25">
      <c r="A9" s="3"/>
      <c r="B9" s="3"/>
      <c r="C9" s="3">
        <f>'FEBRUARY 20'!L9:L23</f>
        <v>0</v>
      </c>
      <c r="D9" s="3"/>
      <c r="E9" s="3"/>
      <c r="F9" s="3"/>
      <c r="G9" s="3"/>
      <c r="H9" s="3"/>
      <c r="I9" s="3">
        <f t="shared" si="0"/>
        <v>0</v>
      </c>
      <c r="J9" s="3"/>
      <c r="K9" s="3">
        <f t="shared" si="1"/>
        <v>0</v>
      </c>
    </row>
    <row r="10" spans="1:11" x14ac:dyDescent="0.25">
      <c r="A10" s="4" t="s">
        <v>25</v>
      </c>
      <c r="B10" s="3">
        <v>14000</v>
      </c>
      <c r="C10" s="3">
        <v>2250</v>
      </c>
      <c r="D10" s="3"/>
      <c r="E10" s="3"/>
      <c r="F10" s="3">
        <v>1000</v>
      </c>
      <c r="G10" s="3">
        <v>250</v>
      </c>
      <c r="H10" s="3">
        <v>600</v>
      </c>
      <c r="I10" s="3">
        <f t="shared" si="0"/>
        <v>18100</v>
      </c>
      <c r="J10" s="3">
        <f>15250+600</f>
        <v>15850</v>
      </c>
      <c r="K10" s="3">
        <f t="shared" si="1"/>
        <v>2250</v>
      </c>
    </row>
    <row r="11" spans="1:11" x14ac:dyDescent="0.25">
      <c r="A11" s="3" t="s">
        <v>32</v>
      </c>
      <c r="B11" s="3">
        <v>14000</v>
      </c>
      <c r="C11" s="3">
        <f>'FEBRUARY 20'!L11:L25</f>
        <v>250</v>
      </c>
      <c r="D11" s="3"/>
      <c r="E11" s="3"/>
      <c r="F11" s="3">
        <v>1000</v>
      </c>
      <c r="G11" s="3">
        <v>250</v>
      </c>
      <c r="H11" s="3">
        <v>750</v>
      </c>
      <c r="I11" s="3">
        <f t="shared" si="0"/>
        <v>16250</v>
      </c>
      <c r="J11" s="3">
        <v>16000</v>
      </c>
      <c r="K11" s="3">
        <f t="shared" si="1"/>
        <v>250</v>
      </c>
    </row>
    <row r="12" spans="1:11" x14ac:dyDescent="0.25">
      <c r="A12" s="3" t="s">
        <v>30</v>
      </c>
      <c r="B12" s="3">
        <v>14000</v>
      </c>
      <c r="C12" s="3">
        <f>'FEBRUARY 20'!L12:L26</f>
        <v>250</v>
      </c>
      <c r="D12" s="3"/>
      <c r="E12" s="3"/>
      <c r="F12" s="3">
        <v>1000</v>
      </c>
      <c r="G12" s="3">
        <v>250</v>
      </c>
      <c r="H12" s="3">
        <v>1500</v>
      </c>
      <c r="I12" s="3">
        <f t="shared" si="0"/>
        <v>17000</v>
      </c>
      <c r="J12" s="3">
        <v>15500</v>
      </c>
      <c r="K12" s="3">
        <f t="shared" si="1"/>
        <v>1500</v>
      </c>
    </row>
    <row r="13" spans="1:11" x14ac:dyDescent="0.25">
      <c r="A13" s="3" t="s">
        <v>40</v>
      </c>
      <c r="B13" s="3">
        <v>14000</v>
      </c>
      <c r="C13" s="3">
        <f>'FEBRUARY 20'!L13:L27</f>
        <v>0</v>
      </c>
      <c r="D13" s="3"/>
      <c r="E13" s="3"/>
      <c r="F13" s="3">
        <v>1000</v>
      </c>
      <c r="G13" s="3">
        <v>250</v>
      </c>
      <c r="H13" s="3">
        <v>1200</v>
      </c>
      <c r="I13" s="3">
        <f t="shared" si="0"/>
        <v>16450</v>
      </c>
      <c r="J13" s="3">
        <v>16000</v>
      </c>
      <c r="K13" s="3">
        <f t="shared" si="1"/>
        <v>450</v>
      </c>
    </row>
    <row r="14" spans="1:11" x14ac:dyDescent="0.25">
      <c r="A14" s="3"/>
      <c r="B14" s="3"/>
      <c r="C14" s="3">
        <f>'FEBRUARY 20'!L14:L28</f>
        <v>0</v>
      </c>
      <c r="D14" s="3"/>
      <c r="E14" s="3"/>
      <c r="F14" s="3"/>
      <c r="G14" s="3"/>
      <c r="H14" s="3"/>
      <c r="I14" s="3">
        <f t="shared" si="0"/>
        <v>0</v>
      </c>
      <c r="J14" s="3"/>
      <c r="K14" s="3">
        <f t="shared" si="1"/>
        <v>0</v>
      </c>
    </row>
    <row r="15" spans="1:11" x14ac:dyDescent="0.25">
      <c r="A15" s="3" t="s">
        <v>24</v>
      </c>
      <c r="B15" s="3"/>
      <c r="C15" s="3">
        <f>'FEBRUARY 20'!L15:L29</f>
        <v>0</v>
      </c>
      <c r="D15" s="3"/>
      <c r="E15" s="3"/>
      <c r="F15" s="3"/>
      <c r="G15" s="3"/>
      <c r="H15" s="3"/>
      <c r="I15" s="3">
        <f t="shared" si="0"/>
        <v>0</v>
      </c>
      <c r="J15" s="3"/>
      <c r="K15" s="3">
        <f t="shared" si="1"/>
        <v>0</v>
      </c>
    </row>
    <row r="16" spans="1:11" x14ac:dyDescent="0.25">
      <c r="A16" s="3" t="s">
        <v>36</v>
      </c>
      <c r="B16" s="3">
        <v>22000</v>
      </c>
      <c r="C16" s="3">
        <f>'FEBRUARY 20'!L16:L30</f>
        <v>23250</v>
      </c>
      <c r="D16" s="3"/>
      <c r="E16" s="3"/>
      <c r="F16" s="3">
        <v>1000</v>
      </c>
      <c r="G16" s="3">
        <v>250</v>
      </c>
      <c r="H16" s="3"/>
      <c r="I16" s="3">
        <f t="shared" si="0"/>
        <v>46500</v>
      </c>
      <c r="J16" s="3">
        <v>29000</v>
      </c>
      <c r="K16" s="3">
        <f>I16-J16</f>
        <v>17500</v>
      </c>
    </row>
    <row r="17" spans="1:13" x14ac:dyDescent="0.25">
      <c r="A17" s="3" t="s">
        <v>55</v>
      </c>
      <c r="B17" s="3"/>
      <c r="C17" s="3">
        <f>'FEBRUARY 20'!L17:L31</f>
        <v>0</v>
      </c>
      <c r="D17" s="3"/>
      <c r="E17" s="3"/>
      <c r="F17" s="3"/>
      <c r="G17" s="3"/>
      <c r="H17" s="3">
        <v>2250</v>
      </c>
      <c r="I17" s="3">
        <f>B17+C17+D17+E17+F17+G17+H17</f>
        <v>2250</v>
      </c>
      <c r="J17" s="3"/>
      <c r="K17" s="3">
        <f>I17-J17</f>
        <v>2250</v>
      </c>
    </row>
    <row r="18" spans="1:13" x14ac:dyDescent="0.25">
      <c r="A18" s="3"/>
      <c r="B18" s="3"/>
      <c r="C18" s="3">
        <f>'FEBRUARY 20'!L18:L32</f>
        <v>0</v>
      </c>
      <c r="D18" s="3"/>
      <c r="E18" s="3"/>
      <c r="F18" s="3"/>
      <c r="G18" s="3"/>
      <c r="H18" s="3"/>
      <c r="I18" s="3">
        <f>B18+C18+D18+E18+F18+G18+H18</f>
        <v>0</v>
      </c>
      <c r="J18" s="3"/>
      <c r="K18" s="3">
        <f t="shared" si="1"/>
        <v>0</v>
      </c>
    </row>
    <row r="19" spans="1:13" x14ac:dyDescent="0.25">
      <c r="A19" s="3"/>
      <c r="B19" s="3"/>
      <c r="C19" s="3">
        <f>'FEBRUARY 20'!L19:L33</f>
        <v>0</v>
      </c>
      <c r="D19" s="3"/>
      <c r="E19" s="3"/>
      <c r="F19" s="3"/>
      <c r="G19" s="3"/>
      <c r="H19" s="3"/>
      <c r="I19" s="3">
        <f>B19+C19+D19+E19+F19+G19+H19</f>
        <v>0</v>
      </c>
      <c r="J19" s="3"/>
      <c r="K19" s="3">
        <f t="shared" si="1"/>
        <v>0</v>
      </c>
    </row>
    <row r="20" spans="1:13" x14ac:dyDescent="0.25">
      <c r="A20" s="2"/>
      <c r="B20" s="2">
        <f t="shared" ref="B20:H20" si="2">SUM(B5:B19)</f>
        <v>134000</v>
      </c>
      <c r="C20" s="2">
        <f t="shared" si="2"/>
        <v>26250</v>
      </c>
      <c r="D20" s="2">
        <f t="shared" si="2"/>
        <v>0</v>
      </c>
      <c r="E20" s="2">
        <f t="shared" si="2"/>
        <v>0</v>
      </c>
      <c r="F20" s="2">
        <f t="shared" si="2"/>
        <v>9000</v>
      </c>
      <c r="G20" s="2">
        <f t="shared" si="2"/>
        <v>2250</v>
      </c>
      <c r="H20" s="2">
        <f t="shared" si="2"/>
        <v>9450</v>
      </c>
      <c r="I20" s="3">
        <f>B20+C20+D20+E20+F20+G20+H20</f>
        <v>180950</v>
      </c>
      <c r="J20" s="2">
        <f>SUM(J5:J19)</f>
        <v>155150</v>
      </c>
      <c r="K20" s="3">
        <f>SUM(K5:K19)</f>
        <v>25800</v>
      </c>
    </row>
    <row r="21" spans="1:13" x14ac:dyDescent="0.25">
      <c r="A21" s="6"/>
      <c r="B21" s="6"/>
      <c r="C21" s="6"/>
      <c r="D21" s="6"/>
      <c r="E21" s="6" t="s">
        <v>9</v>
      </c>
      <c r="F21" s="6"/>
      <c r="G21" s="6"/>
      <c r="H21" s="6"/>
      <c r="I21" s="3"/>
      <c r="J21" s="6"/>
      <c r="K21" s="29">
        <f>K6+K7+K8+K10+K11+K12+K13+G16+K17</f>
        <v>8550</v>
      </c>
    </row>
    <row r="22" spans="1:13" x14ac:dyDescent="0.25">
      <c r="A22" s="26" t="s">
        <v>10</v>
      </c>
      <c r="B22" s="7"/>
      <c r="C22" s="8"/>
      <c r="D22" s="8"/>
      <c r="E22" s="6"/>
      <c r="F22" s="6"/>
      <c r="G22" s="6"/>
      <c r="H22" s="6"/>
      <c r="I22" s="22"/>
      <c r="J22" s="10"/>
      <c r="K22" s="9">
        <f>K20-K16+500</f>
        <v>8800</v>
      </c>
      <c r="M22">
        <f>J16-5000</f>
        <v>24000</v>
      </c>
    </row>
    <row r="23" spans="1:13" x14ac:dyDescent="0.25">
      <c r="A23" s="1" t="s">
        <v>11</v>
      </c>
      <c r="B23" s="1"/>
      <c r="C23" s="1"/>
      <c r="D23" s="1"/>
      <c r="E23" s="11"/>
      <c r="F23" s="1" t="s">
        <v>12</v>
      </c>
      <c r="G23" s="12"/>
      <c r="H23" s="12"/>
      <c r="I23" s="12"/>
      <c r="J23" s="12"/>
    </row>
    <row r="24" spans="1:13" x14ac:dyDescent="0.25">
      <c r="A24" s="2" t="s">
        <v>13</v>
      </c>
      <c r="B24" s="2" t="s">
        <v>14</v>
      </c>
      <c r="C24" s="2" t="s">
        <v>15</v>
      </c>
      <c r="D24" s="2"/>
      <c r="E24" s="2" t="s">
        <v>16</v>
      </c>
      <c r="F24" s="2" t="s">
        <v>13</v>
      </c>
      <c r="G24" s="2" t="s">
        <v>14</v>
      </c>
      <c r="H24" s="2" t="s">
        <v>15</v>
      </c>
      <c r="I24" s="2" t="s">
        <v>16</v>
      </c>
      <c r="J24" s="2"/>
    </row>
    <row r="25" spans="1:13" x14ac:dyDescent="0.25">
      <c r="A25" s="13" t="s">
        <v>54</v>
      </c>
      <c r="B25" s="14">
        <f>B20</f>
        <v>134000</v>
      </c>
      <c r="C25" s="13"/>
      <c r="D25" s="13"/>
      <c r="E25" s="13"/>
      <c r="F25" s="13" t="s">
        <v>54</v>
      </c>
      <c r="G25" s="14">
        <f>J20</f>
        <v>155150</v>
      </c>
      <c r="H25" s="13"/>
      <c r="I25" s="13"/>
      <c r="J25" s="13"/>
    </row>
    <row r="26" spans="1:13" x14ac:dyDescent="0.25">
      <c r="A26" s="13" t="s">
        <v>3</v>
      </c>
      <c r="B26" s="14">
        <f>'FEBRUARY 20'!F39</f>
        <v>3000</v>
      </c>
      <c r="C26" s="13"/>
      <c r="D26" s="13"/>
      <c r="E26" s="13"/>
      <c r="F26" s="13" t="s">
        <v>3</v>
      </c>
      <c r="G26" s="14">
        <f>'FEBRUARY 20'!J39</f>
        <v>-1250</v>
      </c>
      <c r="H26" s="13"/>
      <c r="I26" s="13"/>
      <c r="J26" s="13"/>
    </row>
    <row r="27" spans="1:13" x14ac:dyDescent="0.25">
      <c r="A27" s="13" t="s">
        <v>27</v>
      </c>
      <c r="B27" s="14">
        <v>5000</v>
      </c>
      <c r="C27" s="13"/>
      <c r="D27" s="13"/>
      <c r="E27" s="13"/>
      <c r="F27" s="13"/>
      <c r="G27" s="14"/>
      <c r="H27" s="13"/>
      <c r="I27" s="13"/>
      <c r="J27" s="13"/>
      <c r="L27" s="15"/>
    </row>
    <row r="28" spans="1:13" x14ac:dyDescent="0.25">
      <c r="A28" s="3" t="s">
        <v>31</v>
      </c>
      <c r="B28" s="3">
        <f>E20</f>
        <v>0</v>
      </c>
      <c r="C28" s="3"/>
      <c r="D28" s="3"/>
      <c r="E28" s="3"/>
      <c r="F28" s="3"/>
      <c r="G28" s="3"/>
      <c r="H28" s="3"/>
      <c r="I28" s="3"/>
      <c r="J28" s="3"/>
    </row>
    <row r="29" spans="1:13" x14ac:dyDescent="0.25">
      <c r="A29" s="3" t="s">
        <v>37</v>
      </c>
      <c r="B29" s="3">
        <f>F20</f>
        <v>9000</v>
      </c>
      <c r="C29" s="3"/>
      <c r="D29" s="3"/>
      <c r="E29" s="3"/>
      <c r="F29" s="3"/>
      <c r="G29" s="3"/>
      <c r="H29" s="3"/>
      <c r="I29" s="3"/>
      <c r="J29" s="3"/>
    </row>
    <row r="30" spans="1:13" x14ac:dyDescent="0.25">
      <c r="A30" s="3" t="s">
        <v>43</v>
      </c>
      <c r="B30" s="3">
        <f>H20</f>
        <v>9450</v>
      </c>
      <c r="C30" s="3"/>
      <c r="D30" s="3"/>
      <c r="E30" s="3"/>
      <c r="F30" s="3"/>
      <c r="G30" s="3"/>
      <c r="H30" s="3"/>
      <c r="I30" s="3"/>
      <c r="J30" s="3"/>
    </row>
    <row r="31" spans="1:13" x14ac:dyDescent="0.25">
      <c r="A31" s="13" t="s">
        <v>18</v>
      </c>
      <c r="B31" s="16">
        <v>0.05</v>
      </c>
      <c r="C31" s="14">
        <f>B31*B25</f>
        <v>6700</v>
      </c>
      <c r="D31" s="14"/>
      <c r="E31" s="13"/>
      <c r="F31" s="13" t="s">
        <v>18</v>
      </c>
      <c r="G31" s="16">
        <v>0.05</v>
      </c>
      <c r="H31" s="14">
        <f>G31*B25</f>
        <v>6700</v>
      </c>
      <c r="I31" s="14"/>
      <c r="J31" s="14"/>
      <c r="L31" s="15">
        <f>L35-J21</f>
        <v>157450</v>
      </c>
    </row>
    <row r="32" spans="1:13" x14ac:dyDescent="0.25">
      <c r="A32" s="27" t="s">
        <v>19</v>
      </c>
      <c r="B32" s="13" t="s">
        <v>9</v>
      </c>
      <c r="C32" s="13"/>
      <c r="D32" s="13"/>
      <c r="E32" s="13"/>
      <c r="F32" s="27" t="s">
        <v>19</v>
      </c>
      <c r="G32" s="14"/>
      <c r="H32" s="13"/>
      <c r="I32" s="13"/>
      <c r="J32" s="13"/>
    </row>
    <row r="33" spans="1:12" x14ac:dyDescent="0.25">
      <c r="A33" s="17"/>
      <c r="B33" s="3"/>
      <c r="C33" s="3"/>
      <c r="D33" s="3"/>
      <c r="E33" s="3"/>
      <c r="F33" s="17"/>
      <c r="G33" s="3"/>
      <c r="H33" s="3"/>
      <c r="I33" s="3"/>
      <c r="J33" s="3"/>
    </row>
    <row r="34" spans="1:12" x14ac:dyDescent="0.25">
      <c r="A34" s="18"/>
      <c r="B34" s="3"/>
      <c r="C34" s="3"/>
      <c r="D34" s="3"/>
      <c r="E34" s="3"/>
      <c r="F34" s="18" t="s">
        <v>42</v>
      </c>
      <c r="G34" s="3"/>
      <c r="H34" s="3">
        <f>G20</f>
        <v>2250</v>
      </c>
      <c r="I34" s="3"/>
      <c r="J34" s="3"/>
    </row>
    <row r="35" spans="1:12" x14ac:dyDescent="0.25">
      <c r="A35" s="19" t="s">
        <v>56</v>
      </c>
      <c r="B35" s="13"/>
      <c r="C35" s="13">
        <v>163650</v>
      </c>
      <c r="D35" s="13"/>
      <c r="E35" s="13"/>
      <c r="F35" s="19" t="s">
        <v>56</v>
      </c>
      <c r="G35" s="13"/>
      <c r="H35" s="13">
        <v>163650</v>
      </c>
      <c r="I35" s="13"/>
      <c r="J35" s="13"/>
      <c r="L35" s="15">
        <f>B25+B27+B29+B30</f>
        <v>157450</v>
      </c>
    </row>
    <row r="36" spans="1:12" x14ac:dyDescent="0.25">
      <c r="A36" s="19"/>
      <c r="B36" s="13"/>
      <c r="C36" s="13"/>
      <c r="D36" s="13"/>
      <c r="E36" s="13"/>
      <c r="F36" s="19"/>
      <c r="G36" s="13"/>
      <c r="H36" s="13"/>
      <c r="I36" s="13"/>
      <c r="J36" s="13"/>
    </row>
    <row r="37" spans="1:12" x14ac:dyDescent="0.25">
      <c r="A37" s="20"/>
      <c r="B37" s="13"/>
      <c r="C37" s="13"/>
      <c r="D37" s="13"/>
      <c r="E37" s="13"/>
      <c r="F37" s="18"/>
      <c r="G37" s="3"/>
      <c r="H37" s="21"/>
      <c r="I37" s="21"/>
      <c r="J37" s="21"/>
    </row>
    <row r="38" spans="1:12" x14ac:dyDescent="0.25">
      <c r="A38" s="18"/>
      <c r="B38" s="3"/>
      <c r="C38" s="21"/>
      <c r="D38" s="21"/>
      <c r="E38" s="13"/>
      <c r="F38" s="3"/>
      <c r="G38" s="3"/>
      <c r="H38" s="3"/>
      <c r="I38" s="3"/>
      <c r="J38" s="3"/>
    </row>
    <row r="39" spans="1:12" x14ac:dyDescent="0.25">
      <c r="A39" s="24" t="s">
        <v>8</v>
      </c>
      <c r="B39" s="25">
        <f>B25+B26+B27+B28+B29+B30-C31</f>
        <v>153750</v>
      </c>
      <c r="C39" s="25">
        <f>SUM(C33:C38)</f>
        <v>163650</v>
      </c>
      <c r="D39" s="25"/>
      <c r="E39" s="25">
        <f>B39-C39</f>
        <v>-9900</v>
      </c>
      <c r="F39" s="24" t="s">
        <v>8</v>
      </c>
      <c r="G39" s="25">
        <f>G25+G26-H31</f>
        <v>147200</v>
      </c>
      <c r="H39" s="25">
        <f>SUM(H33:H38)</f>
        <v>165900</v>
      </c>
      <c r="I39" s="25">
        <f>G39-H39</f>
        <v>-18700</v>
      </c>
      <c r="J39" s="25"/>
    </row>
    <row r="41" spans="1:12" x14ac:dyDescent="0.25">
      <c r="A41" t="s">
        <v>20</v>
      </c>
      <c r="C41" t="s">
        <v>21</v>
      </c>
      <c r="I41" t="s">
        <v>22</v>
      </c>
    </row>
    <row r="43" spans="1:12" x14ac:dyDescent="0.25">
      <c r="A43" t="s">
        <v>34</v>
      </c>
      <c r="C43" t="s">
        <v>23</v>
      </c>
      <c r="I43" t="s">
        <v>28</v>
      </c>
    </row>
  </sheetData>
  <pageMargins left="0" right="0" top="0" bottom="0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A12" workbookViewId="0">
      <selection activeCell="L40" sqref="L40"/>
    </sheetView>
  </sheetViews>
  <sheetFormatPr defaultRowHeight="15" x14ac:dyDescent="0.25"/>
  <cols>
    <col min="1" max="1" width="18.5703125" customWidth="1"/>
    <col min="2" max="2" width="7.42578125" customWidth="1"/>
    <col min="3" max="3" width="7.85546875" customWidth="1"/>
    <col min="4" max="4" width="7.140625" customWidth="1"/>
    <col min="5" max="5" width="10.5703125" customWidth="1"/>
    <col min="6" max="6" width="7.42578125" customWidth="1"/>
    <col min="7" max="7" width="8.85546875" customWidth="1"/>
    <col min="8" max="8" width="8" customWidth="1"/>
    <col min="9" max="9" width="10.7109375" customWidth="1"/>
    <col min="10" max="10" width="7.7109375" customWidth="1"/>
    <col min="11" max="11" width="7.28515625" customWidth="1"/>
  </cols>
  <sheetData>
    <row r="1" spans="1:12" x14ac:dyDescent="0.25">
      <c r="A1" s="1"/>
      <c r="B1" s="1" t="s">
        <v>33</v>
      </c>
      <c r="C1" s="1"/>
      <c r="D1" s="1"/>
      <c r="E1" s="1"/>
      <c r="F1" s="1"/>
      <c r="G1" s="1"/>
      <c r="H1" s="1"/>
      <c r="I1" s="1"/>
      <c r="J1" s="1"/>
      <c r="K1" s="1"/>
    </row>
    <row r="2" spans="1:12" x14ac:dyDescent="0.25">
      <c r="A2" s="1"/>
      <c r="B2" s="1" t="s">
        <v>0</v>
      </c>
      <c r="C2" s="1"/>
      <c r="D2" s="1"/>
      <c r="E2" s="1"/>
      <c r="F2" s="1"/>
      <c r="G2" s="1"/>
      <c r="H2" s="1"/>
      <c r="I2" s="1"/>
      <c r="J2" s="1"/>
      <c r="K2" s="1"/>
    </row>
    <row r="3" spans="1:12" x14ac:dyDescent="0.25">
      <c r="A3" s="1"/>
      <c r="B3" s="1" t="s">
        <v>58</v>
      </c>
      <c r="C3" s="1"/>
      <c r="D3" s="1"/>
      <c r="E3" s="1"/>
      <c r="F3" s="1"/>
      <c r="G3" s="1"/>
      <c r="H3" s="1"/>
      <c r="I3" s="1"/>
      <c r="J3" s="1"/>
      <c r="K3" s="1"/>
    </row>
    <row r="4" spans="1:12" x14ac:dyDescent="0.25">
      <c r="A4" s="2" t="s">
        <v>2</v>
      </c>
      <c r="B4" s="2" t="s">
        <v>51</v>
      </c>
      <c r="C4" s="2" t="s">
        <v>3</v>
      </c>
      <c r="D4" s="2" t="s">
        <v>27</v>
      </c>
      <c r="E4" s="2" t="s">
        <v>31</v>
      </c>
      <c r="F4" s="2" t="s">
        <v>50</v>
      </c>
      <c r="G4" s="2" t="s">
        <v>42</v>
      </c>
      <c r="H4" s="2" t="s">
        <v>43</v>
      </c>
      <c r="I4" s="2" t="s">
        <v>5</v>
      </c>
      <c r="J4" s="2" t="s">
        <v>6</v>
      </c>
      <c r="K4" s="2" t="s">
        <v>7</v>
      </c>
    </row>
    <row r="5" spans="1:12" x14ac:dyDescent="0.25">
      <c r="A5" s="3" t="s">
        <v>26</v>
      </c>
      <c r="B5">
        <v>14000</v>
      </c>
      <c r="C5" s="3">
        <f>'MARCH 20'!K5:K19</f>
        <v>0</v>
      </c>
      <c r="D5" s="3"/>
      <c r="E5" s="3"/>
      <c r="F5" s="3">
        <v>1000</v>
      </c>
      <c r="G5" s="3">
        <v>250</v>
      </c>
      <c r="H5" s="3">
        <v>600</v>
      </c>
      <c r="I5" s="3">
        <f>B5+B17+C5+D5+E5+F5+G5+H5</f>
        <v>15850</v>
      </c>
      <c r="J5" s="3">
        <v>6300</v>
      </c>
      <c r="K5" s="3">
        <f>I5-J5</f>
        <v>9550</v>
      </c>
      <c r="L5" t="s">
        <v>69</v>
      </c>
    </row>
    <row r="6" spans="1:12" x14ac:dyDescent="0.25">
      <c r="A6" s="3" t="s">
        <v>39</v>
      </c>
      <c r="B6" s="3">
        <v>14000</v>
      </c>
      <c r="C6" s="3">
        <f>'MARCH 20'!K6:K20</f>
        <v>450</v>
      </c>
      <c r="D6" s="3"/>
      <c r="E6" s="3"/>
      <c r="F6" s="3">
        <v>1000</v>
      </c>
      <c r="G6" s="3">
        <v>250</v>
      </c>
      <c r="H6" s="3">
        <v>450</v>
      </c>
      <c r="I6" s="3">
        <f t="shared" ref="I6:I17" si="0">B6+C6+D6+E6+F6+G6+H6</f>
        <v>16150</v>
      </c>
      <c r="J6" s="3">
        <v>15450</v>
      </c>
      <c r="K6" s="3">
        <f>I6-J6</f>
        <v>700</v>
      </c>
    </row>
    <row r="7" spans="1:12" x14ac:dyDescent="0.25">
      <c r="A7" s="3" t="s">
        <v>35</v>
      </c>
      <c r="B7" s="3">
        <v>14000</v>
      </c>
      <c r="C7" s="3">
        <f>'MARCH 20'!K7:K21</f>
        <v>950</v>
      </c>
      <c r="D7" s="3"/>
      <c r="E7" s="3"/>
      <c r="F7" s="3">
        <v>1000</v>
      </c>
      <c r="G7" s="3">
        <v>250</v>
      </c>
      <c r="H7" s="3">
        <v>1200</v>
      </c>
      <c r="I7" s="3">
        <f>B7+C7+D7+E7+F7+G7+H7</f>
        <v>17400</v>
      </c>
      <c r="J7" s="3">
        <f>15000+950+1400</f>
        <v>17350</v>
      </c>
      <c r="K7" s="3">
        <f>I7-J7</f>
        <v>50</v>
      </c>
    </row>
    <row r="8" spans="1:12" x14ac:dyDescent="0.25">
      <c r="A8" s="3" t="s">
        <v>48</v>
      </c>
      <c r="B8" s="3">
        <v>14000</v>
      </c>
      <c r="C8" s="3">
        <f>'MARCH 20'!K8:K22</f>
        <v>200</v>
      </c>
      <c r="D8" s="3"/>
      <c r="E8" s="3"/>
      <c r="F8" s="3">
        <v>1000</v>
      </c>
      <c r="G8" s="3">
        <v>250</v>
      </c>
      <c r="H8" s="3">
        <v>450</v>
      </c>
      <c r="I8" s="3">
        <f t="shared" si="0"/>
        <v>15900</v>
      </c>
      <c r="J8" s="3">
        <f>14000+1900</f>
        <v>15900</v>
      </c>
      <c r="K8" s="3">
        <f t="shared" ref="K8:K19" si="1">I8-J8</f>
        <v>0</v>
      </c>
    </row>
    <row r="9" spans="1:12" x14ac:dyDescent="0.25">
      <c r="A9" s="3" t="s">
        <v>59</v>
      </c>
      <c r="B9" s="3">
        <v>9000</v>
      </c>
      <c r="C9" s="3">
        <f>'MARCH 20'!K9:K23</f>
        <v>0</v>
      </c>
      <c r="D9" s="3">
        <v>9000</v>
      </c>
      <c r="E9" s="3">
        <v>1000</v>
      </c>
      <c r="F9" s="3">
        <v>1000</v>
      </c>
      <c r="G9" s="3">
        <v>250</v>
      </c>
      <c r="H9" s="3">
        <v>0</v>
      </c>
      <c r="I9" s="3">
        <f>B9+C9+D9+E9+F9+G9+H9</f>
        <v>20250</v>
      </c>
      <c r="J9" s="3">
        <f>10000+7000</f>
        <v>17000</v>
      </c>
      <c r="K9" s="3">
        <f t="shared" si="1"/>
        <v>3250</v>
      </c>
    </row>
    <row r="10" spans="1:12" x14ac:dyDescent="0.25">
      <c r="A10" s="4" t="s">
        <v>25</v>
      </c>
      <c r="B10" s="3">
        <v>14000</v>
      </c>
      <c r="C10" s="3">
        <f>'MARCH 20'!K10:K24</f>
        <v>2250</v>
      </c>
      <c r="D10" s="3"/>
      <c r="E10" s="3"/>
      <c r="F10" s="3">
        <v>1000</v>
      </c>
      <c r="G10" s="3">
        <v>250</v>
      </c>
      <c r="H10" s="3">
        <v>1050</v>
      </c>
      <c r="I10" s="3">
        <f t="shared" si="0"/>
        <v>18550</v>
      </c>
      <c r="J10" s="3">
        <v>12050</v>
      </c>
      <c r="K10" s="3">
        <f>I10-J10</f>
        <v>6500</v>
      </c>
    </row>
    <row r="11" spans="1:12" x14ac:dyDescent="0.25">
      <c r="A11" s="3" t="s">
        <v>32</v>
      </c>
      <c r="B11" s="3">
        <v>14000</v>
      </c>
      <c r="C11" s="3">
        <f>'MARCH 20'!K11:K25</f>
        <v>250</v>
      </c>
      <c r="D11" s="3"/>
      <c r="E11" s="3"/>
      <c r="F11" s="3">
        <v>1000</v>
      </c>
      <c r="G11" s="3">
        <v>250</v>
      </c>
      <c r="H11" s="3">
        <v>750</v>
      </c>
      <c r="I11" s="3">
        <f t="shared" si="0"/>
        <v>16250</v>
      </c>
      <c r="J11" s="3">
        <v>16000</v>
      </c>
      <c r="K11" s="3">
        <f t="shared" si="1"/>
        <v>250</v>
      </c>
    </row>
    <row r="12" spans="1:12" x14ac:dyDescent="0.25">
      <c r="A12" s="3" t="s">
        <v>30</v>
      </c>
      <c r="B12" s="3">
        <v>14000</v>
      </c>
      <c r="C12" s="3">
        <f>'MARCH 20'!K12:K26</f>
        <v>1500</v>
      </c>
      <c r="D12" s="3"/>
      <c r="E12" s="3"/>
      <c r="F12" s="3">
        <v>1000</v>
      </c>
      <c r="G12" s="3">
        <v>250</v>
      </c>
      <c r="H12" s="3">
        <v>1200</v>
      </c>
      <c r="I12" s="3">
        <f t="shared" si="0"/>
        <v>17950</v>
      </c>
      <c r="J12" s="3">
        <v>17950</v>
      </c>
      <c r="K12" s="3">
        <f t="shared" si="1"/>
        <v>0</v>
      </c>
    </row>
    <row r="13" spans="1:12" x14ac:dyDescent="0.25">
      <c r="A13" s="3" t="s">
        <v>40</v>
      </c>
      <c r="B13" s="3">
        <v>14000</v>
      </c>
      <c r="C13" s="3">
        <f>'MARCH 20'!K13:K27</f>
        <v>450</v>
      </c>
      <c r="D13" s="3"/>
      <c r="E13" s="3"/>
      <c r="F13" s="3">
        <v>1000</v>
      </c>
      <c r="G13" s="3">
        <v>250</v>
      </c>
      <c r="H13" s="3">
        <v>1200</v>
      </c>
      <c r="I13" s="3">
        <f t="shared" si="0"/>
        <v>16900</v>
      </c>
      <c r="J13" s="3">
        <v>16450</v>
      </c>
      <c r="K13" s="3">
        <f t="shared" si="1"/>
        <v>450</v>
      </c>
    </row>
    <row r="14" spans="1:12" x14ac:dyDescent="0.25">
      <c r="A14" s="3"/>
      <c r="B14" s="3"/>
      <c r="C14" s="3">
        <f>'MARCH 20'!K14:K28</f>
        <v>0</v>
      </c>
      <c r="D14" s="3"/>
      <c r="E14" s="3"/>
      <c r="F14" s="3"/>
      <c r="G14" s="3"/>
      <c r="H14" s="3"/>
      <c r="I14" s="3">
        <f t="shared" si="0"/>
        <v>0</v>
      </c>
      <c r="J14" s="3"/>
      <c r="K14" s="3">
        <f t="shared" si="1"/>
        <v>0</v>
      </c>
    </row>
    <row r="15" spans="1:12" x14ac:dyDescent="0.25">
      <c r="A15" s="3" t="s">
        <v>24</v>
      </c>
      <c r="B15" s="3"/>
      <c r="C15" s="3">
        <f>'MARCH 20'!K15:K29</f>
        <v>0</v>
      </c>
      <c r="D15" s="3"/>
      <c r="E15" s="3"/>
      <c r="F15" s="3"/>
      <c r="G15" s="3"/>
      <c r="H15" s="3"/>
      <c r="I15" s="3">
        <f t="shared" si="0"/>
        <v>0</v>
      </c>
      <c r="J15" s="3"/>
      <c r="K15" s="3">
        <f t="shared" si="1"/>
        <v>0</v>
      </c>
    </row>
    <row r="16" spans="1:12" x14ac:dyDescent="0.25">
      <c r="A16" s="3" t="s">
        <v>36</v>
      </c>
      <c r="B16" s="3">
        <v>22000</v>
      </c>
      <c r="C16" s="3">
        <f>'MARCH 20'!K16:K30</f>
        <v>17500</v>
      </c>
      <c r="D16" s="3"/>
      <c r="E16" s="3"/>
      <c r="F16" s="3">
        <v>1000</v>
      </c>
      <c r="G16" s="3"/>
      <c r="H16" s="3"/>
      <c r="I16" s="3">
        <f t="shared" si="0"/>
        <v>40500</v>
      </c>
      <c r="J16" s="3">
        <v>23000</v>
      </c>
      <c r="K16" s="3">
        <f>I16-J16</f>
        <v>17500</v>
      </c>
    </row>
    <row r="17" spans="1:11" x14ac:dyDescent="0.25">
      <c r="A17" s="3" t="s">
        <v>55</v>
      </c>
      <c r="B17" s="3"/>
      <c r="C17" s="3">
        <v>2250</v>
      </c>
      <c r="D17" s="3"/>
      <c r="E17" s="3"/>
      <c r="F17" s="3"/>
      <c r="G17" s="3"/>
      <c r="H17" s="3">
        <v>1350</v>
      </c>
      <c r="I17" s="3">
        <f t="shared" si="0"/>
        <v>3600</v>
      </c>
      <c r="J17" s="3">
        <v>3600</v>
      </c>
      <c r="K17" s="3">
        <f>I17-J17</f>
        <v>0</v>
      </c>
    </row>
    <row r="18" spans="1:11" x14ac:dyDescent="0.25">
      <c r="A18" s="3"/>
      <c r="B18" s="3"/>
      <c r="C18" s="3">
        <f>'MARCH 20'!K18:K32</f>
        <v>0</v>
      </c>
      <c r="D18" s="3"/>
      <c r="E18" s="3"/>
      <c r="F18" s="3"/>
      <c r="G18" s="3"/>
      <c r="H18" s="3"/>
      <c r="I18" s="3">
        <f>B18+C18+D18+E18+F18+G18+H18</f>
        <v>0</v>
      </c>
      <c r="J18" s="3"/>
      <c r="K18" s="3">
        <f t="shared" si="1"/>
        <v>0</v>
      </c>
    </row>
    <row r="19" spans="1:11" x14ac:dyDescent="0.25">
      <c r="A19" s="3"/>
      <c r="B19" s="3"/>
      <c r="C19" s="3">
        <f>'MARCH 20'!K19:K33</f>
        <v>0</v>
      </c>
      <c r="D19" s="3"/>
      <c r="E19" s="3"/>
      <c r="F19" s="3"/>
      <c r="G19" s="3"/>
      <c r="H19" s="3"/>
      <c r="I19" s="3">
        <f>B19+C19+D19+E19+F19+G19+H19</f>
        <v>0</v>
      </c>
      <c r="J19" s="3"/>
      <c r="K19" s="3">
        <f t="shared" si="1"/>
        <v>0</v>
      </c>
    </row>
    <row r="20" spans="1:11" x14ac:dyDescent="0.25">
      <c r="A20" s="2"/>
      <c r="B20" s="2">
        <f t="shared" ref="B20:H20" si="2">SUM(B5:B19)</f>
        <v>143000</v>
      </c>
      <c r="C20" s="3">
        <f t="shared" si="2"/>
        <v>25800</v>
      </c>
      <c r="D20" s="2">
        <f t="shared" si="2"/>
        <v>9000</v>
      </c>
      <c r="E20" s="2">
        <f t="shared" si="2"/>
        <v>1000</v>
      </c>
      <c r="F20" s="2">
        <f t="shared" si="2"/>
        <v>10000</v>
      </c>
      <c r="G20" s="2">
        <f t="shared" si="2"/>
        <v>2250</v>
      </c>
      <c r="H20" s="2">
        <f t="shared" si="2"/>
        <v>8250</v>
      </c>
      <c r="I20" s="3">
        <f>B20+C20+D20+E20+F20+G20+H20</f>
        <v>199300</v>
      </c>
      <c r="J20" s="2">
        <f>SUM(J5:J19)</f>
        <v>161050</v>
      </c>
      <c r="K20" s="3">
        <f>SUM(K5:K19)</f>
        <v>38250</v>
      </c>
    </row>
    <row r="21" spans="1:11" x14ac:dyDescent="0.25">
      <c r="A21" s="6"/>
      <c r="B21" s="6"/>
      <c r="C21" s="6"/>
      <c r="D21" s="6"/>
      <c r="E21" s="6" t="s">
        <v>9</v>
      </c>
      <c r="F21" s="6"/>
      <c r="G21" s="6"/>
      <c r="H21" s="6"/>
      <c r="I21" s="3"/>
      <c r="J21" s="6"/>
      <c r="K21" s="29">
        <f>K5+K6+K7+K9+K10+K11+K13+500</f>
        <v>21250</v>
      </c>
    </row>
    <row r="22" spans="1:11" x14ac:dyDescent="0.25">
      <c r="A22" s="26" t="s">
        <v>10</v>
      </c>
      <c r="B22" s="7"/>
      <c r="C22" s="8"/>
      <c r="D22" s="8"/>
      <c r="E22" s="6"/>
      <c r="F22" s="6"/>
      <c r="G22" s="6"/>
      <c r="H22" s="6"/>
      <c r="I22" s="22"/>
      <c r="J22" s="10"/>
      <c r="K22" s="9"/>
    </row>
    <row r="23" spans="1:11" x14ac:dyDescent="0.25">
      <c r="A23" s="1" t="s">
        <v>11</v>
      </c>
      <c r="B23" s="1"/>
      <c r="C23" s="1"/>
      <c r="D23" s="1"/>
      <c r="E23" s="11"/>
      <c r="F23" s="1" t="s">
        <v>12</v>
      </c>
      <c r="G23" s="12"/>
      <c r="H23" s="12"/>
      <c r="I23" s="12"/>
      <c r="J23" s="12"/>
    </row>
    <row r="24" spans="1:11" x14ac:dyDescent="0.25">
      <c r="A24" s="2" t="s">
        <v>13</v>
      </c>
      <c r="B24" s="2" t="s">
        <v>14</v>
      </c>
      <c r="C24" s="2" t="s">
        <v>15</v>
      </c>
      <c r="D24" s="2"/>
      <c r="E24" s="2" t="s">
        <v>16</v>
      </c>
      <c r="F24" s="2" t="s">
        <v>13</v>
      </c>
      <c r="G24" s="2" t="s">
        <v>14</v>
      </c>
      <c r="H24" s="2" t="s">
        <v>15</v>
      </c>
      <c r="I24" s="2" t="s">
        <v>16</v>
      </c>
      <c r="J24" s="2"/>
    </row>
    <row r="25" spans="1:11" x14ac:dyDescent="0.25">
      <c r="A25" s="13" t="s">
        <v>57</v>
      </c>
      <c r="B25" s="14">
        <f>B20</f>
        <v>143000</v>
      </c>
      <c r="C25" s="13"/>
      <c r="D25" s="13"/>
      <c r="E25" s="13"/>
      <c r="F25" s="13" t="s">
        <v>57</v>
      </c>
      <c r="G25" s="14">
        <f>J20</f>
        <v>161050</v>
      </c>
      <c r="H25" s="13"/>
      <c r="I25" s="13"/>
      <c r="J25" s="13"/>
    </row>
    <row r="26" spans="1:11" x14ac:dyDescent="0.25">
      <c r="A26" s="13" t="s">
        <v>3</v>
      </c>
      <c r="B26" s="14">
        <f>'MARCH 20'!E39</f>
        <v>-9900</v>
      </c>
      <c r="C26" s="13"/>
      <c r="D26" s="13"/>
      <c r="E26" s="13"/>
      <c r="F26" s="13" t="s">
        <v>3</v>
      </c>
      <c r="G26" s="14">
        <f>'MARCH 20'!I39</f>
        <v>-18700</v>
      </c>
      <c r="H26" s="13"/>
      <c r="I26" s="13"/>
      <c r="J26" s="13"/>
    </row>
    <row r="27" spans="1:11" x14ac:dyDescent="0.25">
      <c r="A27" s="13" t="s">
        <v>27</v>
      </c>
      <c r="B27" s="14">
        <f>D20</f>
        <v>9000</v>
      </c>
      <c r="C27" s="13"/>
      <c r="D27" s="13"/>
      <c r="E27" s="13"/>
      <c r="F27" s="13"/>
      <c r="G27" s="14"/>
      <c r="H27" s="13"/>
      <c r="I27" s="13"/>
      <c r="J27" s="13"/>
    </row>
    <row r="28" spans="1:11" x14ac:dyDescent="0.25">
      <c r="A28" s="3" t="s">
        <v>31</v>
      </c>
      <c r="B28" s="3">
        <f>E20</f>
        <v>1000</v>
      </c>
      <c r="C28" s="3"/>
      <c r="D28" s="3"/>
      <c r="E28" s="3"/>
      <c r="F28" s="3"/>
      <c r="G28" s="3"/>
      <c r="H28" s="3"/>
      <c r="I28" s="3"/>
      <c r="J28" s="3"/>
    </row>
    <row r="29" spans="1:11" x14ac:dyDescent="0.25">
      <c r="A29" s="3" t="s">
        <v>37</v>
      </c>
      <c r="B29" s="3">
        <f>F20</f>
        <v>10000</v>
      </c>
      <c r="C29" s="3"/>
      <c r="D29" s="3"/>
      <c r="E29" s="3"/>
      <c r="F29" s="3"/>
      <c r="G29" s="3"/>
      <c r="H29" s="3"/>
      <c r="I29" s="3"/>
      <c r="J29" s="3"/>
    </row>
    <row r="30" spans="1:11" x14ac:dyDescent="0.25">
      <c r="A30" s="3" t="s">
        <v>43</v>
      </c>
      <c r="B30" s="3">
        <f>H20</f>
        <v>8250</v>
      </c>
      <c r="C30" s="3"/>
      <c r="D30" s="3"/>
      <c r="E30" s="3"/>
      <c r="F30" s="3"/>
      <c r="G30" s="3"/>
      <c r="H30" s="3"/>
      <c r="I30" s="3"/>
      <c r="J30" s="3"/>
    </row>
    <row r="31" spans="1:11" x14ac:dyDescent="0.25">
      <c r="A31" s="13" t="s">
        <v>18</v>
      </c>
      <c r="B31" s="16">
        <v>0.05</v>
      </c>
      <c r="C31" s="14">
        <f>B31*B25</f>
        <v>7150</v>
      </c>
      <c r="D31" s="14"/>
      <c r="E31" s="13"/>
      <c r="F31" s="13" t="s">
        <v>18</v>
      </c>
      <c r="G31" s="16">
        <v>0.05</v>
      </c>
      <c r="H31" s="14">
        <f>G31*B25</f>
        <v>7150</v>
      </c>
      <c r="I31" s="14"/>
      <c r="J31" s="14"/>
    </row>
    <row r="32" spans="1:11" x14ac:dyDescent="0.25">
      <c r="A32" s="27" t="s">
        <v>19</v>
      </c>
      <c r="B32" s="13" t="s">
        <v>9</v>
      </c>
      <c r="C32" s="13"/>
      <c r="D32" s="13"/>
      <c r="E32" s="13"/>
      <c r="F32" s="27" t="s">
        <v>19</v>
      </c>
      <c r="G32" s="14"/>
      <c r="H32" s="13"/>
      <c r="I32" s="13"/>
      <c r="J32" s="13"/>
    </row>
    <row r="33" spans="1:10" x14ac:dyDescent="0.25">
      <c r="A33" s="27"/>
      <c r="B33" s="13"/>
      <c r="C33" s="13"/>
      <c r="D33" s="13"/>
      <c r="E33" s="13"/>
      <c r="F33" s="27" t="s">
        <v>42</v>
      </c>
      <c r="G33" s="14"/>
      <c r="H33" s="13">
        <v>2250</v>
      </c>
      <c r="I33" s="13"/>
      <c r="J33" s="13"/>
    </row>
    <row r="34" spans="1:10" x14ac:dyDescent="0.25">
      <c r="A34" s="17" t="s">
        <v>37</v>
      </c>
      <c r="B34" s="3"/>
      <c r="C34" s="3">
        <v>9000</v>
      </c>
      <c r="D34" s="3"/>
      <c r="E34" s="3"/>
      <c r="F34" s="17" t="s">
        <v>37</v>
      </c>
      <c r="G34" s="3"/>
      <c r="H34" s="3">
        <v>9000</v>
      </c>
      <c r="I34" s="3"/>
      <c r="J34" s="3"/>
    </row>
    <row r="35" spans="1:10" x14ac:dyDescent="0.25">
      <c r="A35" s="18" t="s">
        <v>60</v>
      </c>
      <c r="B35" s="3"/>
      <c r="C35" s="3">
        <v>7000</v>
      </c>
      <c r="D35" s="3"/>
      <c r="E35" s="3"/>
      <c r="F35" s="18" t="s">
        <v>60</v>
      </c>
      <c r="G35" s="3"/>
      <c r="H35" s="3">
        <v>7000</v>
      </c>
      <c r="I35" s="3"/>
      <c r="J35" s="3"/>
    </row>
    <row r="36" spans="1:10" x14ac:dyDescent="0.25">
      <c r="A36" t="s">
        <v>61</v>
      </c>
      <c r="B36" s="13"/>
      <c r="C36" s="13">
        <v>450</v>
      </c>
      <c r="D36" s="13"/>
      <c r="E36" s="13"/>
      <c r="F36" t="s">
        <v>61</v>
      </c>
      <c r="G36" s="13"/>
      <c r="H36" s="13">
        <v>450</v>
      </c>
      <c r="I36" s="13"/>
      <c r="J36" s="13"/>
    </row>
    <row r="37" spans="1:10" x14ac:dyDescent="0.25">
      <c r="A37" s="19" t="s">
        <v>62</v>
      </c>
      <c r="B37" s="13"/>
      <c r="C37" s="13">
        <v>100</v>
      </c>
      <c r="D37" s="13"/>
      <c r="E37" s="13"/>
      <c r="F37" s="19" t="s">
        <v>62</v>
      </c>
      <c r="G37" s="13"/>
      <c r="H37" s="13">
        <v>100</v>
      </c>
      <c r="I37" s="13"/>
      <c r="J37" s="13"/>
    </row>
    <row r="38" spans="1:10" x14ac:dyDescent="0.25">
      <c r="A38" s="20" t="s">
        <v>63</v>
      </c>
      <c r="B38" s="13"/>
      <c r="C38" s="13">
        <v>400</v>
      </c>
      <c r="D38" s="13"/>
      <c r="E38" s="13"/>
      <c r="F38" s="20" t="s">
        <v>63</v>
      </c>
      <c r="G38" s="13"/>
      <c r="H38" s="13">
        <v>400</v>
      </c>
      <c r="I38" s="21"/>
      <c r="J38" s="21"/>
    </row>
    <row r="39" spans="1:10" x14ac:dyDescent="0.25">
      <c r="A39" s="18" t="s">
        <v>64</v>
      </c>
      <c r="B39" s="3"/>
      <c r="C39" s="21">
        <v>450</v>
      </c>
      <c r="D39" s="13"/>
      <c r="E39" s="13"/>
      <c r="F39" s="18" t="s">
        <v>64</v>
      </c>
      <c r="G39" s="3"/>
      <c r="H39" s="21">
        <v>450</v>
      </c>
      <c r="I39" s="21"/>
      <c r="J39" s="21"/>
    </row>
    <row r="40" spans="1:10" x14ac:dyDescent="0.25">
      <c r="A40" s="18" t="s">
        <v>65</v>
      </c>
      <c r="B40" s="3"/>
      <c r="C40" s="21">
        <v>136800</v>
      </c>
      <c r="D40" s="21"/>
      <c r="E40" s="13"/>
      <c r="F40" s="18" t="s">
        <v>65</v>
      </c>
      <c r="G40" s="3"/>
      <c r="H40" s="21">
        <v>136800</v>
      </c>
      <c r="I40" s="3"/>
      <c r="J40" s="3"/>
    </row>
    <row r="41" spans="1:10" x14ac:dyDescent="0.25">
      <c r="A41" s="24" t="s">
        <v>8</v>
      </c>
      <c r="B41" s="25">
        <f>B25+B26+B27+B28+B29+B30-C31</f>
        <v>154200</v>
      </c>
      <c r="C41" s="25">
        <f>SUM(C34:C40)</f>
        <v>154200</v>
      </c>
      <c r="D41" s="25"/>
      <c r="E41" s="25">
        <f>B41-C41</f>
        <v>0</v>
      </c>
      <c r="F41" s="24" t="s">
        <v>8</v>
      </c>
      <c r="G41" s="25">
        <f>G25+G26-H31</f>
        <v>135200</v>
      </c>
      <c r="H41" s="25">
        <f>SUM(H33:H40)</f>
        <v>156450</v>
      </c>
      <c r="I41" s="25">
        <f>G41-H41</f>
        <v>-21250</v>
      </c>
      <c r="J41" s="25"/>
    </row>
    <row r="43" spans="1:10" x14ac:dyDescent="0.25">
      <c r="A43" t="s">
        <v>20</v>
      </c>
      <c r="C43" t="s">
        <v>21</v>
      </c>
      <c r="I43" t="s">
        <v>22</v>
      </c>
    </row>
    <row r="45" spans="1:10" x14ac:dyDescent="0.25">
      <c r="A45" t="s">
        <v>34</v>
      </c>
      <c r="C45" t="s">
        <v>23</v>
      </c>
      <c r="I45" t="s">
        <v>28</v>
      </c>
    </row>
  </sheetData>
  <pageMargins left="0" right="0" top="0.75" bottom="0.2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4" workbookViewId="0">
      <selection activeCell="M24" sqref="M24"/>
    </sheetView>
  </sheetViews>
  <sheetFormatPr defaultRowHeight="15" x14ac:dyDescent="0.25"/>
  <cols>
    <col min="1" max="1" width="16.140625" customWidth="1"/>
    <col min="2" max="2" width="7.28515625" customWidth="1"/>
    <col min="3" max="3" width="7.5703125" customWidth="1"/>
    <col min="4" max="4" width="5" customWidth="1"/>
    <col min="5" max="5" width="6.42578125" customWidth="1"/>
    <col min="6" max="6" width="6.5703125" customWidth="1"/>
    <col min="7" max="7" width="8" customWidth="1"/>
  </cols>
  <sheetData>
    <row r="1" spans="1:12" x14ac:dyDescent="0.25">
      <c r="A1" s="1"/>
      <c r="B1" s="1" t="s">
        <v>33</v>
      </c>
      <c r="C1" s="1"/>
      <c r="D1" s="1"/>
      <c r="E1" s="1"/>
      <c r="F1" s="1"/>
      <c r="G1" s="1"/>
      <c r="H1" s="1"/>
      <c r="I1" s="1"/>
      <c r="J1" s="1"/>
      <c r="K1" s="1"/>
    </row>
    <row r="2" spans="1:12" x14ac:dyDescent="0.25">
      <c r="A2" s="1"/>
      <c r="B2" s="1" t="s">
        <v>0</v>
      </c>
      <c r="C2" s="1"/>
      <c r="D2" s="1"/>
      <c r="E2" s="1"/>
      <c r="F2" s="1"/>
      <c r="G2" s="1"/>
      <c r="H2" s="1"/>
      <c r="I2" s="1"/>
      <c r="J2" s="1"/>
      <c r="K2" s="1"/>
    </row>
    <row r="3" spans="1:12" x14ac:dyDescent="0.25">
      <c r="A3" s="1"/>
      <c r="B3" s="1" t="s">
        <v>68</v>
      </c>
      <c r="C3" s="1"/>
      <c r="D3" s="1"/>
      <c r="E3" s="1"/>
      <c r="F3" s="1"/>
      <c r="G3" s="1"/>
      <c r="H3" s="1"/>
      <c r="I3" s="1"/>
      <c r="J3" s="1"/>
      <c r="K3" s="1"/>
    </row>
    <row r="4" spans="1:12" x14ac:dyDescent="0.25">
      <c r="A4" s="2" t="s">
        <v>2</v>
      </c>
      <c r="B4" s="2" t="s">
        <v>51</v>
      </c>
      <c r="C4" s="2" t="s">
        <v>3</v>
      </c>
      <c r="D4" s="2" t="s">
        <v>27</v>
      </c>
      <c r="E4" s="2" t="s">
        <v>31</v>
      </c>
      <c r="F4" s="2" t="s">
        <v>50</v>
      </c>
      <c r="G4" s="2" t="s">
        <v>42</v>
      </c>
      <c r="H4" s="2" t="s">
        <v>43</v>
      </c>
      <c r="I4" s="2" t="s">
        <v>5</v>
      </c>
      <c r="J4" s="2" t="s">
        <v>6</v>
      </c>
      <c r="K4" s="2" t="s">
        <v>7</v>
      </c>
    </row>
    <row r="5" spans="1:12" x14ac:dyDescent="0.25">
      <c r="A5" s="3" t="s">
        <v>26</v>
      </c>
      <c r="B5">
        <v>14000</v>
      </c>
      <c r="C5" s="3">
        <f>'APRIL 20'!K5:K19</f>
        <v>9550</v>
      </c>
      <c r="D5" s="3"/>
      <c r="E5" s="3"/>
      <c r="F5" s="3">
        <v>1000</v>
      </c>
      <c r="G5" s="3">
        <v>250</v>
      </c>
      <c r="H5" s="3">
        <v>0</v>
      </c>
      <c r="I5" s="3">
        <f>B5+B17+C5+D5+E5+F5+G5+H5</f>
        <v>24800</v>
      </c>
      <c r="J5" s="3">
        <v>10800</v>
      </c>
      <c r="K5" s="3">
        <f>I5-J5</f>
        <v>14000</v>
      </c>
    </row>
    <row r="6" spans="1:12" x14ac:dyDescent="0.25">
      <c r="A6" s="3" t="s">
        <v>39</v>
      </c>
      <c r="B6" s="3">
        <v>14000</v>
      </c>
      <c r="C6" s="3">
        <f>'APRIL 20'!K6:K20</f>
        <v>700</v>
      </c>
      <c r="D6" s="3"/>
      <c r="E6" s="3"/>
      <c r="F6" s="3">
        <v>1000</v>
      </c>
      <c r="G6" s="3">
        <v>250</v>
      </c>
      <c r="H6" s="3">
        <v>600</v>
      </c>
      <c r="I6" s="3">
        <f t="shared" ref="I6:I17" si="0">B6+C6+D6+E6+F6+G6+H6</f>
        <v>16550</v>
      </c>
      <c r="J6" s="3">
        <v>14000</v>
      </c>
      <c r="K6" s="3">
        <f>I6-J6</f>
        <v>2550</v>
      </c>
    </row>
    <row r="7" spans="1:12" x14ac:dyDescent="0.25">
      <c r="A7" s="3" t="s">
        <v>35</v>
      </c>
      <c r="B7" s="3">
        <v>14000</v>
      </c>
      <c r="C7" s="3">
        <f>'APRIL 20'!K7:K21</f>
        <v>50</v>
      </c>
      <c r="D7" s="3"/>
      <c r="E7" s="3"/>
      <c r="F7" s="3">
        <v>1000</v>
      </c>
      <c r="G7" s="3">
        <v>250</v>
      </c>
      <c r="H7" s="3">
        <v>1350</v>
      </c>
      <c r="I7" s="3">
        <f>B7+C7+D7+E7+F7+G7+H7</f>
        <v>16650</v>
      </c>
      <c r="J7" s="3">
        <f>15000+1400</f>
        <v>16400</v>
      </c>
      <c r="K7" s="3">
        <f>I7-J7</f>
        <v>250</v>
      </c>
    </row>
    <row r="8" spans="1:12" x14ac:dyDescent="0.25">
      <c r="A8" s="3" t="s">
        <v>48</v>
      </c>
      <c r="B8" s="3">
        <v>14000</v>
      </c>
      <c r="C8" s="3">
        <f>'APRIL 20'!K8:K22</f>
        <v>0</v>
      </c>
      <c r="D8" s="3"/>
      <c r="E8" s="3"/>
      <c r="F8" s="3">
        <v>1000</v>
      </c>
      <c r="G8" s="3">
        <v>250</v>
      </c>
      <c r="H8" s="3">
        <v>450</v>
      </c>
      <c r="I8" s="3">
        <f t="shared" si="0"/>
        <v>15700</v>
      </c>
      <c r="J8" s="3">
        <f>14000</f>
        <v>14000</v>
      </c>
      <c r="K8" s="3">
        <f t="shared" ref="K8:K19" si="1">I8-J8</f>
        <v>1700</v>
      </c>
    </row>
    <row r="9" spans="1:12" x14ac:dyDescent="0.25">
      <c r="A9" s="3" t="s">
        <v>59</v>
      </c>
      <c r="B9" s="3">
        <v>9000</v>
      </c>
      <c r="C9" s="3">
        <f>'APRIL 20'!K9:K23</f>
        <v>3250</v>
      </c>
      <c r="D9" s="3"/>
      <c r="E9" s="3"/>
      <c r="F9" s="3">
        <v>1000</v>
      </c>
      <c r="G9" s="3">
        <v>250</v>
      </c>
      <c r="H9" s="3">
        <v>750</v>
      </c>
      <c r="I9" s="3">
        <f>B9+C9+D9+E9+F9+G9+H9</f>
        <v>14250</v>
      </c>
      <c r="J9" s="3">
        <f>12500+500</f>
        <v>13000</v>
      </c>
      <c r="K9" s="3">
        <f t="shared" si="1"/>
        <v>1250</v>
      </c>
    </row>
    <row r="10" spans="1:12" x14ac:dyDescent="0.25">
      <c r="A10" s="4" t="s">
        <v>25</v>
      </c>
      <c r="B10" s="3"/>
      <c r="C10" s="3">
        <f>'APRIL 20'!K10:K24</f>
        <v>6500</v>
      </c>
      <c r="D10" s="3"/>
      <c r="E10" s="3"/>
      <c r="F10" s="3"/>
      <c r="G10" s="3"/>
      <c r="H10" s="3"/>
      <c r="I10" s="3">
        <f t="shared" si="0"/>
        <v>6500</v>
      </c>
      <c r="J10" s="3"/>
      <c r="K10" s="3">
        <f>I10-J10</f>
        <v>6500</v>
      </c>
      <c r="L10" t="s">
        <v>93</v>
      </c>
    </row>
    <row r="11" spans="1:12" x14ac:dyDescent="0.25">
      <c r="A11" s="3" t="s">
        <v>32</v>
      </c>
      <c r="B11" s="3">
        <v>14000</v>
      </c>
      <c r="C11" s="3">
        <f>'APRIL 20'!K11:K25</f>
        <v>250</v>
      </c>
      <c r="D11" s="3"/>
      <c r="E11" s="3"/>
      <c r="F11" s="3">
        <v>1000</v>
      </c>
      <c r="G11" s="3">
        <v>250</v>
      </c>
      <c r="H11" s="3">
        <v>750</v>
      </c>
      <c r="I11" s="3">
        <f t="shared" si="0"/>
        <v>16250</v>
      </c>
      <c r="J11" s="3">
        <v>15850</v>
      </c>
      <c r="K11" s="3">
        <f t="shared" si="1"/>
        <v>400</v>
      </c>
    </row>
    <row r="12" spans="1:12" x14ac:dyDescent="0.25">
      <c r="A12" s="3" t="s">
        <v>30</v>
      </c>
      <c r="B12" s="3">
        <v>14000</v>
      </c>
      <c r="C12" s="3">
        <f>'APRIL 20'!K12:K26</f>
        <v>0</v>
      </c>
      <c r="D12" s="3"/>
      <c r="E12" s="3"/>
      <c r="F12" s="3">
        <v>1000</v>
      </c>
      <c r="G12" s="3">
        <v>250</v>
      </c>
      <c r="H12" s="3">
        <v>1500</v>
      </c>
      <c r="I12" s="3">
        <f t="shared" si="0"/>
        <v>16750</v>
      </c>
      <c r="J12" s="3">
        <v>16750</v>
      </c>
      <c r="K12" s="3">
        <f t="shared" si="1"/>
        <v>0</v>
      </c>
    </row>
    <row r="13" spans="1:12" x14ac:dyDescent="0.25">
      <c r="A13" s="3" t="s">
        <v>40</v>
      </c>
      <c r="B13" s="3">
        <v>14000</v>
      </c>
      <c r="C13" s="3">
        <f>'APRIL 20'!K13:K27</f>
        <v>450</v>
      </c>
      <c r="D13" s="3"/>
      <c r="E13" s="3"/>
      <c r="F13" s="3">
        <v>1000</v>
      </c>
      <c r="G13" s="3">
        <v>250</v>
      </c>
      <c r="H13" s="3">
        <v>600</v>
      </c>
      <c r="I13" s="3">
        <f t="shared" si="0"/>
        <v>16300</v>
      </c>
      <c r="J13" s="3">
        <v>15850</v>
      </c>
      <c r="K13" s="3">
        <f t="shared" si="1"/>
        <v>450</v>
      </c>
    </row>
    <row r="14" spans="1:12" x14ac:dyDescent="0.25">
      <c r="A14" s="3"/>
      <c r="B14" s="3"/>
      <c r="C14" s="3">
        <f>'APRIL 20'!K14:K28</f>
        <v>0</v>
      </c>
      <c r="D14" s="3"/>
      <c r="E14" s="3"/>
      <c r="F14" s="3"/>
      <c r="G14" s="3"/>
      <c r="H14" s="3"/>
      <c r="I14" s="3">
        <f t="shared" si="0"/>
        <v>0</v>
      </c>
      <c r="J14" s="3"/>
      <c r="K14" s="3">
        <f t="shared" si="1"/>
        <v>0</v>
      </c>
    </row>
    <row r="15" spans="1:12" x14ac:dyDescent="0.25">
      <c r="A15" s="3"/>
      <c r="B15" s="3"/>
      <c r="C15" s="3">
        <f>'APRIL 20'!K15:K29</f>
        <v>0</v>
      </c>
      <c r="D15" s="3"/>
      <c r="E15" s="3"/>
      <c r="F15" s="3"/>
      <c r="G15" s="3"/>
      <c r="H15" s="3"/>
      <c r="I15" s="3"/>
      <c r="J15" s="3"/>
      <c r="K15" s="3">
        <f t="shared" si="1"/>
        <v>0</v>
      </c>
    </row>
    <row r="16" spans="1:12" x14ac:dyDescent="0.25">
      <c r="A16" s="3" t="s">
        <v>36</v>
      </c>
      <c r="B16" s="3">
        <v>22000</v>
      </c>
      <c r="C16" s="3">
        <f>'APRIL 20'!K16:K30</f>
        <v>17500</v>
      </c>
      <c r="D16" s="3"/>
      <c r="E16" s="3"/>
      <c r="F16" s="3">
        <v>1000</v>
      </c>
      <c r="G16" s="3"/>
      <c r="H16" s="3"/>
      <c r="I16" s="3">
        <f>B16+C16+D16+E16+F16+G16+H16</f>
        <v>40500</v>
      </c>
      <c r="J16" s="3">
        <f>23000</f>
        <v>23000</v>
      </c>
      <c r="K16" s="3">
        <f>I16-J16</f>
        <v>17500</v>
      </c>
    </row>
    <row r="17" spans="1:13" x14ac:dyDescent="0.25">
      <c r="A17" s="3" t="s">
        <v>55</v>
      </c>
      <c r="B17" s="3"/>
      <c r="C17" s="3">
        <f>'APRIL 20'!K17:K31</f>
        <v>0</v>
      </c>
      <c r="D17" s="3"/>
      <c r="E17" s="3"/>
      <c r="F17" s="3"/>
      <c r="G17" s="3"/>
      <c r="H17" s="3">
        <v>1200</v>
      </c>
      <c r="I17" s="3">
        <f t="shared" si="0"/>
        <v>1200</v>
      </c>
      <c r="J17" s="3"/>
      <c r="K17" s="3">
        <f>I17-J17</f>
        <v>1200</v>
      </c>
    </row>
    <row r="18" spans="1:13" x14ac:dyDescent="0.25">
      <c r="A18" s="3"/>
      <c r="B18" s="3"/>
      <c r="C18" s="3">
        <f>'APRIL 20'!K18:K32</f>
        <v>0</v>
      </c>
      <c r="D18" s="3"/>
      <c r="E18" s="3"/>
      <c r="F18" s="3"/>
      <c r="G18" s="3"/>
      <c r="H18" s="3"/>
      <c r="I18" s="3">
        <f>B18+C18+D18+E18+F18+G18+H18</f>
        <v>0</v>
      </c>
      <c r="J18" s="3"/>
      <c r="K18" s="3">
        <f t="shared" si="1"/>
        <v>0</v>
      </c>
    </row>
    <row r="19" spans="1:13" x14ac:dyDescent="0.25">
      <c r="A19" s="3"/>
      <c r="B19" s="3"/>
      <c r="C19" s="3">
        <f>'MARCH 20'!K19:K33</f>
        <v>0</v>
      </c>
      <c r="D19" s="3"/>
      <c r="E19" s="3"/>
      <c r="F19" s="3"/>
      <c r="G19" s="3"/>
      <c r="H19" s="3"/>
      <c r="I19" s="3">
        <f>B19+C19+D19+E19+F19+G19+H19</f>
        <v>0</v>
      </c>
      <c r="J19" s="3"/>
      <c r="K19" s="3">
        <f t="shared" si="1"/>
        <v>0</v>
      </c>
    </row>
    <row r="20" spans="1:13" x14ac:dyDescent="0.25">
      <c r="A20" s="2"/>
      <c r="B20" s="2">
        <f t="shared" ref="B20:H20" si="2">SUM(B5:B19)</f>
        <v>129000</v>
      </c>
      <c r="C20" s="3">
        <f t="shared" si="2"/>
        <v>38250</v>
      </c>
      <c r="D20" s="2">
        <f t="shared" si="2"/>
        <v>0</v>
      </c>
      <c r="E20" s="2">
        <f t="shared" si="2"/>
        <v>0</v>
      </c>
      <c r="F20" s="2">
        <f t="shared" si="2"/>
        <v>9000</v>
      </c>
      <c r="G20" s="2">
        <f t="shared" si="2"/>
        <v>2000</v>
      </c>
      <c r="H20" s="2">
        <f t="shared" si="2"/>
        <v>7200</v>
      </c>
      <c r="I20" s="3">
        <f>B20+C20+D20+E20+F20+G20+H20</f>
        <v>185450</v>
      </c>
      <c r="J20" s="2">
        <f>SUM(J5:J19)</f>
        <v>139650</v>
      </c>
      <c r="K20" s="3">
        <f>SUM(K5:K19)</f>
        <v>45800</v>
      </c>
    </row>
    <row r="21" spans="1:13" x14ac:dyDescent="0.25">
      <c r="A21" s="6"/>
      <c r="B21" s="6"/>
      <c r="C21" s="6">
        <v>19000</v>
      </c>
      <c r="D21" s="6"/>
      <c r="E21" s="6" t="s">
        <v>9</v>
      </c>
      <c r="F21" s="6"/>
      <c r="G21" s="6"/>
      <c r="H21" s="6"/>
      <c r="I21" s="3"/>
      <c r="J21" s="6"/>
      <c r="K21" s="29">
        <f>K20-K16+500</f>
        <v>28800</v>
      </c>
    </row>
    <row r="22" spans="1:13" x14ac:dyDescent="0.25">
      <c r="A22" s="26" t="s">
        <v>10</v>
      </c>
      <c r="B22" s="7"/>
      <c r="C22" s="8"/>
      <c r="D22" s="8"/>
      <c r="E22" s="6"/>
      <c r="F22" s="6"/>
      <c r="G22" s="6"/>
      <c r="H22" s="6"/>
      <c r="I22" s="22"/>
      <c r="J22" s="10"/>
      <c r="K22" s="9">
        <f>K6+K7+K8+K9+K11+K13+K17+K5+500</f>
        <v>22300</v>
      </c>
    </row>
    <row r="23" spans="1:13" x14ac:dyDescent="0.25">
      <c r="A23" s="1" t="s">
        <v>11</v>
      </c>
      <c r="B23" s="1"/>
      <c r="C23" s="1"/>
      <c r="D23" s="1"/>
      <c r="E23" s="11"/>
      <c r="F23" s="1" t="s">
        <v>12</v>
      </c>
      <c r="G23" s="12"/>
      <c r="H23" s="12"/>
      <c r="I23" s="12"/>
      <c r="J23" s="12"/>
      <c r="M23">
        <f>J5-C5</f>
        <v>1250</v>
      </c>
    </row>
    <row r="24" spans="1:13" x14ac:dyDescent="0.25">
      <c r="A24" s="2" t="s">
        <v>13</v>
      </c>
      <c r="B24" s="2" t="s">
        <v>14</v>
      </c>
      <c r="C24" s="2" t="s">
        <v>15</v>
      </c>
      <c r="D24" s="2"/>
      <c r="E24" s="2" t="s">
        <v>16</v>
      </c>
      <c r="F24" s="2" t="s">
        <v>13</v>
      </c>
      <c r="G24" s="2" t="s">
        <v>14</v>
      </c>
      <c r="H24" s="2" t="s">
        <v>15</v>
      </c>
      <c r="I24" s="2" t="s">
        <v>16</v>
      </c>
      <c r="J24" s="2"/>
    </row>
    <row r="25" spans="1:13" x14ac:dyDescent="0.25">
      <c r="A25" s="13" t="s">
        <v>66</v>
      </c>
      <c r="B25" s="14">
        <f>B20</f>
        <v>129000</v>
      </c>
      <c r="C25" s="13"/>
      <c r="D25" s="13"/>
      <c r="E25" s="13"/>
      <c r="F25" s="13" t="s">
        <v>67</v>
      </c>
      <c r="G25" s="14">
        <f>J20</f>
        <v>139650</v>
      </c>
      <c r="H25" s="13"/>
      <c r="I25" s="13"/>
      <c r="J25" s="13"/>
    </row>
    <row r="26" spans="1:13" x14ac:dyDescent="0.25">
      <c r="A26" s="13" t="s">
        <v>3</v>
      </c>
      <c r="B26" s="14">
        <f>'APRIL 20'!E41</f>
        <v>0</v>
      </c>
      <c r="C26" s="13"/>
      <c r="D26" s="13"/>
      <c r="E26" s="13"/>
      <c r="F26" s="13" t="s">
        <v>3</v>
      </c>
      <c r="G26" s="14">
        <f>'APRIL 20'!I41</f>
        <v>-21250</v>
      </c>
      <c r="H26" s="13"/>
      <c r="I26" s="13"/>
      <c r="J26" s="13"/>
    </row>
    <row r="27" spans="1:13" x14ac:dyDescent="0.25">
      <c r="A27" s="13" t="s">
        <v>27</v>
      </c>
      <c r="B27" s="14">
        <f>D20</f>
        <v>0</v>
      </c>
      <c r="C27" s="13"/>
      <c r="D27" s="13"/>
      <c r="E27" s="13"/>
      <c r="F27" s="13"/>
      <c r="G27" s="14"/>
      <c r="H27" s="13"/>
      <c r="I27" s="13"/>
      <c r="J27" s="13"/>
    </row>
    <row r="28" spans="1:13" x14ac:dyDescent="0.25">
      <c r="A28" s="3" t="s">
        <v>31</v>
      </c>
      <c r="B28" s="3">
        <f>E20</f>
        <v>0</v>
      </c>
      <c r="C28" s="3"/>
      <c r="D28" s="3"/>
      <c r="E28" s="3"/>
      <c r="F28" s="3"/>
      <c r="G28" s="3"/>
      <c r="H28" s="3"/>
      <c r="I28" s="3"/>
      <c r="J28" s="3"/>
    </row>
    <row r="29" spans="1:13" x14ac:dyDescent="0.25">
      <c r="A29" s="3" t="s">
        <v>37</v>
      </c>
      <c r="B29" s="3">
        <f>F20</f>
        <v>9000</v>
      </c>
      <c r="C29" s="3"/>
      <c r="D29" s="3"/>
      <c r="E29" s="3"/>
      <c r="F29" s="3"/>
      <c r="G29" s="3"/>
      <c r="H29" s="3"/>
      <c r="I29" s="3"/>
      <c r="J29" s="3"/>
    </row>
    <row r="30" spans="1:13" x14ac:dyDescent="0.25">
      <c r="A30" s="3" t="s">
        <v>43</v>
      </c>
      <c r="B30" s="3">
        <f>H20</f>
        <v>7200</v>
      </c>
      <c r="C30" s="3"/>
      <c r="D30" s="3"/>
      <c r="E30" s="3"/>
      <c r="F30" s="3"/>
      <c r="G30" s="3"/>
      <c r="H30" s="3"/>
      <c r="I30" s="3"/>
      <c r="J30" s="3"/>
    </row>
    <row r="31" spans="1:13" x14ac:dyDescent="0.25">
      <c r="A31" s="13" t="s">
        <v>18</v>
      </c>
      <c r="B31" s="16">
        <v>0.05</v>
      </c>
      <c r="C31" s="14">
        <f>B31*B25</f>
        <v>6450</v>
      </c>
      <c r="D31" s="14"/>
      <c r="E31" s="13"/>
      <c r="F31" s="13" t="s">
        <v>18</v>
      </c>
      <c r="G31" s="16">
        <v>0.05</v>
      </c>
      <c r="H31" s="14">
        <f>G31*B25</f>
        <v>6450</v>
      </c>
      <c r="I31" s="14"/>
      <c r="J31" s="14"/>
    </row>
    <row r="32" spans="1:13" x14ac:dyDescent="0.25">
      <c r="A32" s="27" t="s">
        <v>19</v>
      </c>
      <c r="B32" s="13" t="s">
        <v>9</v>
      </c>
      <c r="C32" s="13"/>
      <c r="D32" s="13"/>
      <c r="E32" s="13"/>
      <c r="F32" s="27" t="s">
        <v>19</v>
      </c>
      <c r="G32" s="14"/>
      <c r="H32" s="13"/>
      <c r="I32" s="13"/>
      <c r="J32" s="13"/>
    </row>
    <row r="33" spans="1:12" x14ac:dyDescent="0.25">
      <c r="A33" s="27"/>
      <c r="B33" s="13"/>
      <c r="C33" s="13"/>
      <c r="D33" s="13"/>
      <c r="E33" s="13"/>
      <c r="F33" s="27" t="s">
        <v>42</v>
      </c>
      <c r="G33" s="14"/>
      <c r="H33" s="13">
        <f>G20</f>
        <v>2000</v>
      </c>
      <c r="I33" s="13"/>
      <c r="J33" s="13"/>
    </row>
    <row r="34" spans="1:12" x14ac:dyDescent="0.25">
      <c r="A34" s="17" t="s">
        <v>37</v>
      </c>
      <c r="B34" s="3"/>
      <c r="C34" s="3">
        <v>9000</v>
      </c>
      <c r="D34" s="3"/>
      <c r="E34" s="3"/>
      <c r="F34" s="17" t="s">
        <v>37</v>
      </c>
      <c r="G34" s="3"/>
      <c r="H34" s="3">
        <v>9000</v>
      </c>
      <c r="I34" s="3"/>
      <c r="J34" s="3"/>
    </row>
    <row r="35" spans="1:12" x14ac:dyDescent="0.25">
      <c r="A35" s="18" t="s">
        <v>60</v>
      </c>
      <c r="B35" s="3"/>
      <c r="C35" s="3">
        <v>7000</v>
      </c>
      <c r="D35" s="3"/>
      <c r="E35" s="3"/>
      <c r="F35" s="18" t="s">
        <v>60</v>
      </c>
      <c r="G35" s="3"/>
      <c r="H35" s="3">
        <v>7000</v>
      </c>
      <c r="I35" s="3"/>
      <c r="J35" s="3"/>
    </row>
    <row r="36" spans="1:12" x14ac:dyDescent="0.25">
      <c r="A36" t="s">
        <v>25</v>
      </c>
      <c r="B36" s="13"/>
      <c r="C36" s="13">
        <v>6500</v>
      </c>
      <c r="D36" s="13"/>
      <c r="E36" s="13"/>
      <c r="G36" s="13"/>
      <c r="H36" s="13"/>
      <c r="I36" s="13"/>
      <c r="J36" s="13"/>
      <c r="K36" s="15"/>
    </row>
    <row r="37" spans="1:12" x14ac:dyDescent="0.25">
      <c r="A37" s="19" t="s">
        <v>70</v>
      </c>
      <c r="B37" s="13"/>
      <c r="C37" s="13">
        <v>101950</v>
      </c>
      <c r="D37" s="13"/>
      <c r="E37" s="13"/>
      <c r="F37" s="19" t="s">
        <v>70</v>
      </c>
      <c r="G37" s="13"/>
      <c r="H37" s="13">
        <v>101950</v>
      </c>
      <c r="I37" s="13"/>
      <c r="J37" s="13"/>
      <c r="L37" s="15"/>
    </row>
    <row r="38" spans="1:12" x14ac:dyDescent="0.25">
      <c r="A38" s="20"/>
      <c r="B38" s="13"/>
      <c r="C38" s="13"/>
      <c r="D38" s="13"/>
      <c r="E38" s="13"/>
      <c r="F38" s="20"/>
      <c r="G38" s="13"/>
      <c r="H38" s="13"/>
      <c r="I38" s="21"/>
      <c r="J38" s="21"/>
    </row>
    <row r="39" spans="1:12" x14ac:dyDescent="0.25">
      <c r="A39" s="18"/>
      <c r="B39" s="3"/>
      <c r="C39" s="21"/>
      <c r="D39" s="13"/>
      <c r="E39" s="13"/>
      <c r="F39" s="18"/>
      <c r="G39" s="3"/>
      <c r="H39" s="21"/>
      <c r="I39" s="21"/>
      <c r="J39" s="21"/>
    </row>
    <row r="40" spans="1:12" x14ac:dyDescent="0.25">
      <c r="A40" s="18"/>
      <c r="B40" s="3"/>
      <c r="C40" s="21"/>
      <c r="D40" s="21"/>
      <c r="E40" s="13"/>
      <c r="F40" s="18"/>
      <c r="G40" s="3"/>
      <c r="H40" s="21"/>
      <c r="I40" s="3"/>
      <c r="J40" s="3"/>
    </row>
    <row r="41" spans="1:12" x14ac:dyDescent="0.25">
      <c r="A41" s="24" t="s">
        <v>8</v>
      </c>
      <c r="B41" s="25">
        <f>B25+B26+B27+B28+B29+B30-C31</f>
        <v>138750</v>
      </c>
      <c r="C41" s="25">
        <f>SUM(C34:C40)</f>
        <v>124450</v>
      </c>
      <c r="D41" s="25"/>
      <c r="E41" s="25">
        <f>B41-C41</f>
        <v>14300</v>
      </c>
      <c r="F41" s="24" t="s">
        <v>8</v>
      </c>
      <c r="G41" s="25">
        <f>G25+G26-H31</f>
        <v>111950</v>
      </c>
      <c r="H41" s="25">
        <f>SUM(H33:H40)</f>
        <v>119950</v>
      </c>
      <c r="I41" s="25">
        <f>G41-H41</f>
        <v>-8000</v>
      </c>
      <c r="J41" s="25"/>
    </row>
    <row r="43" spans="1:12" x14ac:dyDescent="0.25">
      <c r="A43" t="s">
        <v>20</v>
      </c>
      <c r="C43" t="s">
        <v>21</v>
      </c>
      <c r="I43" t="s">
        <v>22</v>
      </c>
      <c r="K43" s="15"/>
    </row>
    <row r="45" spans="1:12" x14ac:dyDescent="0.25">
      <c r="A45" t="s">
        <v>34</v>
      </c>
      <c r="C45" t="s">
        <v>23</v>
      </c>
      <c r="I45" t="s">
        <v>28</v>
      </c>
    </row>
  </sheetData>
  <pageMargins left="0" right="0" top="0" bottom="0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7" workbookViewId="0">
      <selection activeCell="I6" sqref="I6"/>
    </sheetView>
  </sheetViews>
  <sheetFormatPr defaultRowHeight="15" x14ac:dyDescent="0.25"/>
  <cols>
    <col min="1" max="1" width="18.42578125" bestFit="1" customWidth="1"/>
    <col min="2" max="2" width="7.5703125" customWidth="1"/>
    <col min="3" max="3" width="7.42578125" customWidth="1"/>
    <col min="4" max="4" width="7.85546875" customWidth="1"/>
    <col min="8" max="8" width="7.7109375" customWidth="1"/>
  </cols>
  <sheetData>
    <row r="1" spans="1:11" x14ac:dyDescent="0.25">
      <c r="A1" s="1"/>
      <c r="D1" s="1" t="s">
        <v>33</v>
      </c>
      <c r="E1" s="1"/>
      <c r="F1" s="1"/>
      <c r="G1" s="1"/>
      <c r="H1" s="1"/>
      <c r="I1" s="1"/>
      <c r="J1" s="1"/>
      <c r="K1" s="1"/>
    </row>
    <row r="2" spans="1:11" x14ac:dyDescent="0.25">
      <c r="A2" s="1"/>
      <c r="D2" s="1" t="s">
        <v>0</v>
      </c>
      <c r="E2" s="1"/>
      <c r="F2" s="1"/>
      <c r="G2" s="1"/>
      <c r="H2" s="1"/>
      <c r="I2" s="1"/>
      <c r="J2" s="1"/>
      <c r="K2" s="1"/>
    </row>
    <row r="3" spans="1:11" x14ac:dyDescent="0.25">
      <c r="A3" s="1"/>
      <c r="D3" s="1" t="s">
        <v>72</v>
      </c>
      <c r="E3" s="1"/>
      <c r="F3" s="1"/>
      <c r="G3" s="1"/>
      <c r="H3" s="1"/>
      <c r="I3" s="1"/>
      <c r="J3" s="1"/>
      <c r="K3" s="1"/>
    </row>
    <row r="4" spans="1:11" x14ac:dyDescent="0.25">
      <c r="A4" s="2" t="s">
        <v>2</v>
      </c>
      <c r="B4" s="2" t="s">
        <v>51</v>
      </c>
      <c r="C4" s="2" t="s">
        <v>3</v>
      </c>
      <c r="D4" s="2" t="s">
        <v>27</v>
      </c>
      <c r="E4" s="2" t="s">
        <v>31</v>
      </c>
      <c r="F4" s="2" t="s">
        <v>50</v>
      </c>
      <c r="G4" s="2" t="s">
        <v>42</v>
      </c>
      <c r="H4" s="2" t="s">
        <v>43</v>
      </c>
      <c r="I4" s="2" t="s">
        <v>5</v>
      </c>
      <c r="J4" s="2" t="s">
        <v>6</v>
      </c>
      <c r="K4" s="2" t="s">
        <v>7</v>
      </c>
    </row>
    <row r="5" spans="1:11" x14ac:dyDescent="0.25">
      <c r="A5" s="3" t="s">
        <v>26</v>
      </c>
      <c r="B5">
        <v>14000</v>
      </c>
      <c r="C5" s="3">
        <f>'MAY 20'!K5:K19</f>
        <v>14000</v>
      </c>
      <c r="D5" s="3"/>
      <c r="E5" s="3"/>
      <c r="F5" s="3">
        <v>1000</v>
      </c>
      <c r="G5" s="3"/>
      <c r="H5" s="3">
        <v>0</v>
      </c>
      <c r="I5" s="3">
        <f>B5+B17+C5+D5+E5+F5+G5+H5</f>
        <v>29000</v>
      </c>
      <c r="J5" s="3"/>
      <c r="K5" s="3">
        <f>I5-J5</f>
        <v>29000</v>
      </c>
    </row>
    <row r="6" spans="1:11" x14ac:dyDescent="0.25">
      <c r="A6" s="3" t="s">
        <v>39</v>
      </c>
      <c r="B6" s="3">
        <v>14000</v>
      </c>
      <c r="C6" s="3">
        <f>'MAY 20'!K6:K20</f>
        <v>2550</v>
      </c>
      <c r="D6" s="3"/>
      <c r="E6" s="3"/>
      <c r="F6" s="3">
        <v>1000</v>
      </c>
      <c r="G6" s="3">
        <v>250</v>
      </c>
      <c r="H6" s="3">
        <v>750</v>
      </c>
      <c r="I6" s="3">
        <f t="shared" ref="I6:I17" si="0">B6+C6+D6+E6+F6+G6+H6</f>
        <v>18550</v>
      </c>
      <c r="J6" s="3">
        <f>14000+2000</f>
        <v>16000</v>
      </c>
      <c r="K6" s="3">
        <f>I6-J6</f>
        <v>2550</v>
      </c>
    </row>
    <row r="7" spans="1:11" x14ac:dyDescent="0.25">
      <c r="A7" s="3" t="s">
        <v>35</v>
      </c>
      <c r="B7" s="3">
        <v>14000</v>
      </c>
      <c r="C7" s="3">
        <f>'MAY 20'!K7:K21</f>
        <v>250</v>
      </c>
      <c r="D7" s="3"/>
      <c r="E7" s="3"/>
      <c r="F7" s="3">
        <v>1000</v>
      </c>
      <c r="G7" s="3">
        <v>250</v>
      </c>
      <c r="H7" s="3">
        <v>1500</v>
      </c>
      <c r="I7" s="3">
        <f>B7+C7+D7+E7+F7+G7+H7</f>
        <v>17000</v>
      </c>
      <c r="J7" s="3">
        <f>15000+1500</f>
        <v>16500</v>
      </c>
      <c r="K7" s="3">
        <f>I7-J7</f>
        <v>500</v>
      </c>
    </row>
    <row r="8" spans="1:11" x14ac:dyDescent="0.25">
      <c r="A8" s="3" t="s">
        <v>48</v>
      </c>
      <c r="B8" s="3">
        <v>14000</v>
      </c>
      <c r="C8" s="3">
        <f>'MAY 20'!K8:K22</f>
        <v>1700</v>
      </c>
      <c r="D8" s="3"/>
      <c r="E8" s="3"/>
      <c r="F8" s="3">
        <v>1000</v>
      </c>
      <c r="G8" s="3">
        <v>250</v>
      </c>
      <c r="H8" s="3">
        <v>300</v>
      </c>
      <c r="I8" s="3">
        <f t="shared" si="0"/>
        <v>17250</v>
      </c>
      <c r="J8" s="3">
        <f>3100+11000+3150</f>
        <v>17250</v>
      </c>
      <c r="K8" s="3">
        <f t="shared" ref="K8:K19" si="1">I8-J8</f>
        <v>0</v>
      </c>
    </row>
    <row r="9" spans="1:11" x14ac:dyDescent="0.25">
      <c r="A9" s="3" t="s">
        <v>59</v>
      </c>
      <c r="B9" s="3">
        <v>9000</v>
      </c>
      <c r="C9" s="3">
        <f>'MAY 20'!K9:K23</f>
        <v>1250</v>
      </c>
      <c r="D9" s="3"/>
      <c r="E9" s="3"/>
      <c r="F9" s="3">
        <v>1000</v>
      </c>
      <c r="G9" s="3">
        <v>250</v>
      </c>
      <c r="H9" s="3">
        <v>750</v>
      </c>
      <c r="I9" s="3">
        <f>B9+C9+D9+E9+F9+G9+H9</f>
        <v>12250</v>
      </c>
      <c r="J9" s="3">
        <f>10000+1000</f>
        <v>11000</v>
      </c>
      <c r="K9" s="3">
        <f t="shared" si="1"/>
        <v>1250</v>
      </c>
    </row>
    <row r="10" spans="1:11" x14ac:dyDescent="0.25">
      <c r="A10" s="4"/>
      <c r="B10" s="3"/>
      <c r="C10" s="3">
        <f>'MAY 20'!K10:K24</f>
        <v>6500</v>
      </c>
      <c r="D10" s="3"/>
      <c r="E10" s="3"/>
      <c r="F10" s="3"/>
      <c r="G10" s="3"/>
      <c r="H10" s="3"/>
      <c r="I10" s="3">
        <f t="shared" si="0"/>
        <v>6500</v>
      </c>
      <c r="J10" s="3"/>
      <c r="K10" s="3">
        <f>I10-J10</f>
        <v>6500</v>
      </c>
    </row>
    <row r="11" spans="1:11" x14ac:dyDescent="0.25">
      <c r="A11" s="3" t="s">
        <v>32</v>
      </c>
      <c r="B11" s="3">
        <v>14000</v>
      </c>
      <c r="C11" s="3">
        <f>'MAY 20'!K11:K25</f>
        <v>400</v>
      </c>
      <c r="D11" s="3"/>
      <c r="E11" s="3"/>
      <c r="F11" s="3">
        <v>1000</v>
      </c>
      <c r="G11" s="3">
        <v>250</v>
      </c>
      <c r="H11" s="3">
        <v>900</v>
      </c>
      <c r="I11" s="3">
        <f t="shared" si="0"/>
        <v>16550</v>
      </c>
      <c r="J11" s="3">
        <v>15900</v>
      </c>
      <c r="K11" s="3">
        <f t="shared" si="1"/>
        <v>650</v>
      </c>
    </row>
    <row r="12" spans="1:11" x14ac:dyDescent="0.25">
      <c r="A12" s="3" t="s">
        <v>30</v>
      </c>
      <c r="B12" s="3">
        <v>14000</v>
      </c>
      <c r="C12" s="3">
        <f>'MAY 20'!K12:K26</f>
        <v>0</v>
      </c>
      <c r="D12" s="3"/>
      <c r="E12" s="3"/>
      <c r="F12" s="3">
        <v>1000</v>
      </c>
      <c r="G12" s="3">
        <v>250</v>
      </c>
      <c r="H12" s="3">
        <v>1950</v>
      </c>
      <c r="I12" s="3">
        <f t="shared" si="0"/>
        <v>17200</v>
      </c>
      <c r="J12" s="3">
        <v>17200</v>
      </c>
      <c r="K12" s="3">
        <f t="shared" si="1"/>
        <v>0</v>
      </c>
    </row>
    <row r="13" spans="1:11" x14ac:dyDescent="0.25">
      <c r="A13" s="3" t="s">
        <v>40</v>
      </c>
      <c r="B13" s="3">
        <v>14000</v>
      </c>
      <c r="C13" s="3">
        <f>'MAY 20'!K13:K27</f>
        <v>450</v>
      </c>
      <c r="D13" s="3"/>
      <c r="E13" s="3"/>
      <c r="F13" s="3">
        <v>1000</v>
      </c>
      <c r="G13" s="3">
        <v>250</v>
      </c>
      <c r="H13" s="3">
        <v>300</v>
      </c>
      <c r="I13" s="3">
        <f t="shared" si="0"/>
        <v>16000</v>
      </c>
      <c r="J13" s="3">
        <v>16000</v>
      </c>
      <c r="K13" s="3">
        <f t="shared" si="1"/>
        <v>0</v>
      </c>
    </row>
    <row r="14" spans="1:11" x14ac:dyDescent="0.25">
      <c r="A14" s="3"/>
      <c r="B14" s="3"/>
      <c r="C14" s="3">
        <f>'MAY 20'!K14:K28</f>
        <v>0</v>
      </c>
      <c r="D14" s="3"/>
      <c r="E14" s="3"/>
      <c r="F14" s="3"/>
      <c r="G14" s="3"/>
      <c r="H14" s="3"/>
      <c r="I14" s="3">
        <f t="shared" si="0"/>
        <v>0</v>
      </c>
      <c r="J14" s="3"/>
      <c r="K14" s="3">
        <f t="shared" si="1"/>
        <v>0</v>
      </c>
    </row>
    <row r="15" spans="1:11" x14ac:dyDescent="0.25">
      <c r="A15" s="3" t="s">
        <v>71</v>
      </c>
      <c r="B15" s="3">
        <v>15000</v>
      </c>
      <c r="C15" s="3">
        <f>'MAY 20'!K15:K29</f>
        <v>0</v>
      </c>
      <c r="D15" s="3">
        <v>15000</v>
      </c>
      <c r="E15" s="3">
        <v>1000</v>
      </c>
      <c r="F15" s="3">
        <v>1000</v>
      </c>
      <c r="G15" s="3"/>
      <c r="H15" s="3"/>
      <c r="I15" s="3">
        <f t="shared" si="0"/>
        <v>32000</v>
      </c>
      <c r="J15" s="3">
        <f>16000+15000</f>
        <v>31000</v>
      </c>
      <c r="K15" s="3">
        <f t="shared" si="1"/>
        <v>1000</v>
      </c>
    </row>
    <row r="16" spans="1:11" x14ac:dyDescent="0.25">
      <c r="A16" s="3" t="s">
        <v>36</v>
      </c>
      <c r="B16" s="3">
        <v>22000</v>
      </c>
      <c r="C16" s="3">
        <f>'MAY 20'!K16:K30</f>
        <v>17500</v>
      </c>
      <c r="D16" s="3"/>
      <c r="E16" s="3"/>
      <c r="F16" s="3">
        <v>1000</v>
      </c>
      <c r="G16" s="3"/>
      <c r="H16" s="3"/>
      <c r="I16" s="3">
        <f>B16+C16+D16+E16+F16+G16+H16</f>
        <v>40500</v>
      </c>
      <c r="J16" s="3">
        <v>23000</v>
      </c>
      <c r="K16" s="3">
        <f>I16-J16</f>
        <v>17500</v>
      </c>
    </row>
    <row r="17" spans="1:13" x14ac:dyDescent="0.25">
      <c r="A17" s="3" t="s">
        <v>74</v>
      </c>
      <c r="B17" s="3"/>
      <c r="C17" s="3">
        <f>'MAY 20'!K17:K31</f>
        <v>1200</v>
      </c>
      <c r="D17" s="3"/>
      <c r="E17" s="3"/>
      <c r="F17" s="3"/>
      <c r="G17" s="3"/>
      <c r="H17" s="3">
        <v>1350</v>
      </c>
      <c r="I17" s="3">
        <f t="shared" si="0"/>
        <v>2550</v>
      </c>
      <c r="J17" s="3">
        <v>2550</v>
      </c>
      <c r="K17" s="3">
        <f>I17-J17</f>
        <v>0</v>
      </c>
    </row>
    <row r="18" spans="1:13" x14ac:dyDescent="0.25">
      <c r="A18" s="3"/>
      <c r="B18" s="3"/>
      <c r="C18" s="3">
        <f>'MAY 20'!K18:K32</f>
        <v>0</v>
      </c>
      <c r="D18" s="3"/>
      <c r="E18" s="3"/>
      <c r="F18" s="3"/>
      <c r="G18" s="3"/>
      <c r="H18" s="3"/>
      <c r="I18" s="3">
        <f>B18+C18+D18+E18+F18+G18+H18</f>
        <v>0</v>
      </c>
      <c r="J18" s="3"/>
      <c r="K18" s="3">
        <f t="shared" si="1"/>
        <v>0</v>
      </c>
    </row>
    <row r="19" spans="1:13" x14ac:dyDescent="0.25">
      <c r="A19" s="3"/>
      <c r="B19" s="3"/>
      <c r="C19" s="3">
        <f>'MAY 20'!K19:K33</f>
        <v>0</v>
      </c>
      <c r="D19" s="3"/>
      <c r="E19" s="3"/>
      <c r="F19" s="3"/>
      <c r="G19" s="3"/>
      <c r="H19" s="3"/>
      <c r="I19" s="3">
        <f>B19+C19+D19+E19+F19+G19+H19</f>
        <v>0</v>
      </c>
      <c r="J19" s="3"/>
      <c r="K19" s="3">
        <f t="shared" si="1"/>
        <v>0</v>
      </c>
    </row>
    <row r="20" spans="1:13" x14ac:dyDescent="0.25">
      <c r="A20" s="2"/>
      <c r="B20" s="2">
        <f t="shared" ref="B20:G20" si="2">SUM(B5:B19)</f>
        <v>144000</v>
      </c>
      <c r="C20" s="3">
        <f t="shared" si="2"/>
        <v>45800</v>
      </c>
      <c r="D20" s="2">
        <f t="shared" si="2"/>
        <v>15000</v>
      </c>
      <c r="E20" s="2">
        <f t="shared" si="2"/>
        <v>1000</v>
      </c>
      <c r="F20" s="2">
        <f t="shared" si="2"/>
        <v>10000</v>
      </c>
      <c r="G20" s="2">
        <f t="shared" si="2"/>
        <v>1750</v>
      </c>
      <c r="H20" s="2">
        <f>SUM(H5:H19)</f>
        <v>7800</v>
      </c>
      <c r="I20" s="3">
        <f>B20+C20+D20+E20+F20+G20+H20</f>
        <v>225350</v>
      </c>
      <c r="J20" s="2">
        <f>SUM(J5:J19)</f>
        <v>166400</v>
      </c>
      <c r="K20" s="3">
        <f>SUM(K5:K19)</f>
        <v>58950</v>
      </c>
      <c r="M20">
        <f>1200-750</f>
        <v>450</v>
      </c>
    </row>
    <row r="21" spans="1:13" x14ac:dyDescent="0.25">
      <c r="A21" s="6"/>
      <c r="B21" s="6"/>
      <c r="C21" s="6"/>
      <c r="D21" s="6"/>
      <c r="E21" s="6" t="s">
        <v>9</v>
      </c>
      <c r="F21" s="6"/>
      <c r="G21" s="6"/>
      <c r="H21" s="6"/>
      <c r="I21" s="3"/>
      <c r="J21" s="6"/>
      <c r="K21" s="29">
        <f>K15+K11+K8+K9+K7+K6+K5+500</f>
        <v>35450</v>
      </c>
      <c r="M21">
        <f>750-M20</f>
        <v>300</v>
      </c>
    </row>
    <row r="22" spans="1:13" x14ac:dyDescent="0.25">
      <c r="B22" s="7"/>
      <c r="C22" s="8"/>
      <c r="D22" s="8"/>
      <c r="E22" s="28" t="s">
        <v>10</v>
      </c>
      <c r="F22" s="6"/>
      <c r="G22" s="6"/>
      <c r="H22" s="6"/>
      <c r="I22" s="22"/>
      <c r="J22" s="10"/>
      <c r="K22" s="9"/>
    </row>
    <row r="23" spans="1:13" x14ac:dyDescent="0.25">
      <c r="A23" s="1" t="s">
        <v>11</v>
      </c>
      <c r="B23" s="1"/>
      <c r="C23" s="1"/>
      <c r="D23" s="1"/>
      <c r="E23" s="11"/>
      <c r="F23" s="1" t="s">
        <v>12</v>
      </c>
      <c r="G23" s="12"/>
      <c r="H23" s="12"/>
      <c r="I23" s="12"/>
      <c r="J23" s="12"/>
    </row>
    <row r="24" spans="1:13" x14ac:dyDescent="0.25">
      <c r="A24" s="2" t="s">
        <v>13</v>
      </c>
      <c r="B24" s="2" t="s">
        <v>14</v>
      </c>
      <c r="C24" s="2" t="s">
        <v>15</v>
      </c>
      <c r="D24" s="2"/>
      <c r="E24" s="2" t="s">
        <v>16</v>
      </c>
      <c r="F24" s="2" t="s">
        <v>13</v>
      </c>
      <c r="G24" s="2" t="s">
        <v>14</v>
      </c>
      <c r="H24" s="2" t="s">
        <v>15</v>
      </c>
      <c r="I24" s="2" t="s">
        <v>16</v>
      </c>
      <c r="J24" s="2"/>
    </row>
    <row r="25" spans="1:13" x14ac:dyDescent="0.25">
      <c r="A25" s="13" t="s">
        <v>73</v>
      </c>
      <c r="B25" s="14">
        <f>B20</f>
        <v>144000</v>
      </c>
      <c r="C25" s="13"/>
      <c r="D25" s="13"/>
      <c r="E25" s="13"/>
      <c r="F25" s="13" t="s">
        <v>73</v>
      </c>
      <c r="G25" s="14">
        <f>J20</f>
        <v>166400</v>
      </c>
      <c r="H25" s="13"/>
      <c r="I25" s="13"/>
      <c r="J25" s="13"/>
    </row>
    <row r="26" spans="1:13" x14ac:dyDescent="0.25">
      <c r="A26" s="13" t="s">
        <v>3</v>
      </c>
      <c r="B26" s="14">
        <f>'MAY 20'!E41</f>
        <v>14300</v>
      </c>
      <c r="C26" s="13"/>
      <c r="D26" s="13"/>
      <c r="E26" s="13"/>
      <c r="F26" s="13" t="s">
        <v>3</v>
      </c>
      <c r="G26" s="14">
        <f>'MAY 20'!I41</f>
        <v>-8000</v>
      </c>
      <c r="H26" s="13"/>
      <c r="I26" s="13"/>
      <c r="J26" s="13"/>
    </row>
    <row r="27" spans="1:13" x14ac:dyDescent="0.25">
      <c r="A27" s="13" t="s">
        <v>27</v>
      </c>
      <c r="B27" s="14">
        <f>D20</f>
        <v>15000</v>
      </c>
      <c r="C27" s="13"/>
      <c r="D27" s="13"/>
      <c r="E27" s="13"/>
      <c r="F27" s="13"/>
      <c r="G27" s="14"/>
      <c r="H27" s="13"/>
      <c r="I27" s="13"/>
      <c r="J27" s="13"/>
    </row>
    <row r="28" spans="1:13" x14ac:dyDescent="0.25">
      <c r="A28" s="3" t="s">
        <v>31</v>
      </c>
      <c r="B28" s="3">
        <f>E20</f>
        <v>1000</v>
      </c>
      <c r="C28" s="3"/>
      <c r="D28" s="3"/>
      <c r="E28" s="3"/>
      <c r="F28" s="3"/>
      <c r="G28" s="3"/>
      <c r="H28" s="3"/>
      <c r="I28" s="3"/>
      <c r="J28" s="3"/>
    </row>
    <row r="29" spans="1:13" x14ac:dyDescent="0.25">
      <c r="A29" s="3" t="s">
        <v>37</v>
      </c>
      <c r="B29" s="3">
        <f>F20</f>
        <v>10000</v>
      </c>
      <c r="C29" s="3"/>
      <c r="D29" s="3"/>
      <c r="E29" s="3"/>
      <c r="F29" s="3"/>
      <c r="G29" s="3"/>
      <c r="H29" s="3"/>
      <c r="I29" s="3"/>
      <c r="J29" s="3"/>
    </row>
    <row r="30" spans="1:13" x14ac:dyDescent="0.25">
      <c r="A30" s="3" t="s">
        <v>43</v>
      </c>
      <c r="B30" s="3">
        <f>H20</f>
        <v>7800</v>
      </c>
      <c r="C30" s="3"/>
      <c r="D30" s="3"/>
      <c r="E30" s="3"/>
      <c r="F30" s="3"/>
      <c r="G30" s="3"/>
      <c r="H30" s="3"/>
      <c r="I30" s="3"/>
      <c r="J30" s="3"/>
    </row>
    <row r="31" spans="1:13" x14ac:dyDescent="0.25">
      <c r="A31" s="13" t="s">
        <v>18</v>
      </c>
      <c r="B31" s="16">
        <v>0.05</v>
      </c>
      <c r="C31" s="14">
        <f>B31*B25</f>
        <v>7200</v>
      </c>
      <c r="D31" s="14"/>
      <c r="E31" s="13"/>
      <c r="F31" s="13" t="s">
        <v>18</v>
      </c>
      <c r="G31" s="16">
        <v>0.05</v>
      </c>
      <c r="H31" s="14">
        <f>G31*B25</f>
        <v>7200</v>
      </c>
      <c r="I31" s="14"/>
      <c r="J31" s="14"/>
      <c r="L31">
        <f>G31*B13</f>
        <v>700</v>
      </c>
    </row>
    <row r="32" spans="1:13" x14ac:dyDescent="0.25">
      <c r="A32" s="27" t="s">
        <v>19</v>
      </c>
      <c r="B32" s="13" t="s">
        <v>9</v>
      </c>
      <c r="C32" s="13"/>
      <c r="D32" s="13"/>
      <c r="E32" s="13"/>
      <c r="F32" s="27" t="s">
        <v>19</v>
      </c>
      <c r="G32" s="14"/>
      <c r="H32" s="13"/>
      <c r="I32" s="13"/>
      <c r="J32" s="13"/>
    </row>
    <row r="33" spans="1:10" x14ac:dyDescent="0.25">
      <c r="A33" s="27"/>
      <c r="B33" s="13"/>
      <c r="C33" s="13"/>
      <c r="D33" s="13"/>
      <c r="E33" s="13"/>
      <c r="F33" s="24" t="s">
        <v>42</v>
      </c>
      <c r="G33" s="14"/>
      <c r="H33" s="13">
        <f>G20</f>
        <v>1750</v>
      </c>
      <c r="I33" s="13"/>
      <c r="J33" s="13"/>
    </row>
    <row r="34" spans="1:10" x14ac:dyDescent="0.25">
      <c r="A34" s="17" t="s">
        <v>37</v>
      </c>
      <c r="B34" s="3"/>
      <c r="C34" s="3">
        <v>9000</v>
      </c>
      <c r="D34" s="3"/>
      <c r="E34" s="3"/>
      <c r="F34" s="17" t="s">
        <v>37</v>
      </c>
      <c r="G34" s="3"/>
      <c r="H34" s="3">
        <v>9000</v>
      </c>
      <c r="I34" s="3"/>
      <c r="J34" s="3"/>
    </row>
    <row r="35" spans="1:10" x14ac:dyDescent="0.25">
      <c r="A35" s="18" t="s">
        <v>60</v>
      </c>
      <c r="B35" s="3"/>
      <c r="C35" s="3">
        <v>7000</v>
      </c>
      <c r="D35" s="3"/>
      <c r="E35" s="3"/>
      <c r="F35" s="18" t="s">
        <v>60</v>
      </c>
      <c r="G35" s="3"/>
      <c r="H35" s="3">
        <v>7000</v>
      </c>
      <c r="I35" s="3"/>
      <c r="J35" s="3"/>
    </row>
    <row r="36" spans="1:10" x14ac:dyDescent="0.25">
      <c r="A36" t="s">
        <v>75</v>
      </c>
      <c r="B36" s="13"/>
      <c r="C36" s="13">
        <v>140300</v>
      </c>
      <c r="D36" s="13"/>
      <c r="E36" s="13"/>
      <c r="F36" t="s">
        <v>75</v>
      </c>
      <c r="G36" s="13"/>
      <c r="H36" s="13">
        <v>140300</v>
      </c>
      <c r="I36" s="13"/>
      <c r="J36" s="13"/>
    </row>
    <row r="37" spans="1:10" x14ac:dyDescent="0.25">
      <c r="A37" s="19" t="s">
        <v>61</v>
      </c>
      <c r="B37" s="13"/>
      <c r="C37" s="13">
        <v>450</v>
      </c>
      <c r="D37" s="13"/>
      <c r="E37" s="13"/>
      <c r="F37" s="19" t="s">
        <v>61</v>
      </c>
      <c r="G37" s="13"/>
      <c r="H37" s="13">
        <v>450</v>
      </c>
      <c r="I37" s="13"/>
      <c r="J37" s="13"/>
    </row>
    <row r="38" spans="1:10" x14ac:dyDescent="0.25">
      <c r="A38" s="20"/>
      <c r="B38" s="13"/>
      <c r="C38" s="13"/>
      <c r="D38" s="13"/>
      <c r="E38" s="13"/>
      <c r="F38" s="20"/>
      <c r="G38" s="13"/>
      <c r="H38" s="13"/>
      <c r="I38" s="21"/>
      <c r="J38" s="21"/>
    </row>
    <row r="39" spans="1:10" x14ac:dyDescent="0.25">
      <c r="A39" s="18"/>
      <c r="B39" s="3"/>
      <c r="C39" s="21"/>
      <c r="D39" s="13"/>
      <c r="E39" s="13"/>
      <c r="F39" s="18"/>
      <c r="G39" s="3"/>
      <c r="H39" s="21"/>
      <c r="I39" s="21"/>
      <c r="J39" s="21"/>
    </row>
    <row r="40" spans="1:10" x14ac:dyDescent="0.25">
      <c r="A40" s="18"/>
      <c r="B40" s="3"/>
      <c r="C40" s="21"/>
      <c r="D40" s="21"/>
      <c r="E40" s="13"/>
      <c r="F40" s="18"/>
      <c r="G40" s="3"/>
      <c r="H40" s="21"/>
      <c r="I40" s="3"/>
      <c r="J40" s="3"/>
    </row>
    <row r="41" spans="1:10" x14ac:dyDescent="0.25">
      <c r="A41" s="24" t="s">
        <v>8</v>
      </c>
      <c r="B41" s="25">
        <f>B25+B26+B27+B28+B29+B30-C31</f>
        <v>184900</v>
      </c>
      <c r="C41" s="25">
        <f>SUM(C34:C40)</f>
        <v>156750</v>
      </c>
      <c r="D41" s="25"/>
      <c r="E41" s="25">
        <f>B41-C41</f>
        <v>28150</v>
      </c>
      <c r="F41" s="24" t="s">
        <v>8</v>
      </c>
      <c r="G41" s="25">
        <f>G25+G26-H31</f>
        <v>151200</v>
      </c>
      <c r="H41" s="25">
        <f>SUM(H33:H40)</f>
        <v>158500</v>
      </c>
      <c r="I41" s="25">
        <f>G41-H41</f>
        <v>-7300</v>
      </c>
      <c r="J41" s="25"/>
    </row>
    <row r="43" spans="1:10" x14ac:dyDescent="0.25">
      <c r="A43" t="s">
        <v>20</v>
      </c>
      <c r="C43" t="s">
        <v>21</v>
      </c>
      <c r="I43" t="s">
        <v>22</v>
      </c>
    </row>
    <row r="45" spans="1:10" x14ac:dyDescent="0.25">
      <c r="A45" t="s">
        <v>34</v>
      </c>
      <c r="C45" t="s">
        <v>23</v>
      </c>
      <c r="I45" t="s">
        <v>28</v>
      </c>
    </row>
  </sheetData>
  <pageMargins left="0" right="0" top="0" bottom="0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7" workbookViewId="0">
      <selection activeCell="K40" sqref="K40"/>
    </sheetView>
  </sheetViews>
  <sheetFormatPr defaultRowHeight="15" x14ac:dyDescent="0.25"/>
  <cols>
    <col min="1" max="1" width="17.5703125" customWidth="1"/>
    <col min="2" max="2" width="8.140625" customWidth="1"/>
    <col min="3" max="3" width="7.5703125" customWidth="1"/>
    <col min="4" max="4" width="8" customWidth="1"/>
  </cols>
  <sheetData>
    <row r="1" spans="1:13" x14ac:dyDescent="0.25">
      <c r="D1" s="1" t="s">
        <v>94</v>
      </c>
      <c r="E1" s="1"/>
      <c r="F1" s="1"/>
      <c r="G1" s="1"/>
      <c r="H1" s="1"/>
      <c r="I1" s="1"/>
      <c r="J1" s="1"/>
      <c r="K1" s="1"/>
    </row>
    <row r="2" spans="1:13" x14ac:dyDescent="0.25">
      <c r="A2" s="1"/>
      <c r="D2" s="1" t="s">
        <v>0</v>
      </c>
      <c r="E2" s="1"/>
      <c r="F2" s="1"/>
      <c r="G2" s="1"/>
      <c r="H2" s="1"/>
      <c r="I2" s="1"/>
      <c r="J2" s="1"/>
      <c r="K2" s="1"/>
    </row>
    <row r="3" spans="1:13" x14ac:dyDescent="0.25">
      <c r="A3" s="1"/>
      <c r="D3" s="1" t="s">
        <v>77</v>
      </c>
      <c r="E3" s="1"/>
      <c r="F3" s="1"/>
      <c r="G3" s="1"/>
      <c r="H3" s="1"/>
      <c r="I3" s="1"/>
      <c r="J3" s="1"/>
      <c r="K3" s="1"/>
    </row>
    <row r="4" spans="1:13" x14ac:dyDescent="0.25">
      <c r="A4" s="2" t="s">
        <v>2</v>
      </c>
      <c r="B4" s="2" t="s">
        <v>51</v>
      </c>
      <c r="C4" s="2" t="s">
        <v>3</v>
      </c>
      <c r="D4" s="2" t="s">
        <v>27</v>
      </c>
      <c r="E4" s="2" t="s">
        <v>31</v>
      </c>
      <c r="F4" s="2" t="s">
        <v>50</v>
      </c>
      <c r="G4" s="2" t="s">
        <v>42</v>
      </c>
      <c r="H4" s="2" t="s">
        <v>43</v>
      </c>
      <c r="I4" s="2" t="s">
        <v>5</v>
      </c>
      <c r="J4" s="2" t="s">
        <v>6</v>
      </c>
      <c r="K4" s="2" t="s">
        <v>7</v>
      </c>
    </row>
    <row r="5" spans="1:13" x14ac:dyDescent="0.25">
      <c r="A5" s="3" t="s">
        <v>26</v>
      </c>
      <c r="C5" s="3">
        <f>'JUNE 20'!K5:K19</f>
        <v>29000</v>
      </c>
      <c r="D5" s="3"/>
      <c r="E5" s="3"/>
      <c r="F5" s="3"/>
      <c r="G5" s="3"/>
      <c r="H5" s="3"/>
      <c r="I5" s="3">
        <f>14000+C5+D5+E5+1000+G5+H5</f>
        <v>44000</v>
      </c>
      <c r="J5" s="3">
        <f>7800</f>
        <v>7800</v>
      </c>
      <c r="K5" s="3">
        <f>I5-J5</f>
        <v>36200</v>
      </c>
      <c r="M5">
        <f>43700+20000</f>
        <v>63700</v>
      </c>
    </row>
    <row r="6" spans="1:13" x14ac:dyDescent="0.25">
      <c r="A6" s="3" t="s">
        <v>39</v>
      </c>
      <c r="B6" s="3">
        <v>14000</v>
      </c>
      <c r="C6" s="3">
        <f>'JUNE 20'!K6:K20</f>
        <v>2550</v>
      </c>
      <c r="D6" s="3"/>
      <c r="E6" s="3"/>
      <c r="F6" s="3">
        <v>1000</v>
      </c>
      <c r="G6" s="3">
        <v>250</v>
      </c>
      <c r="H6" s="3">
        <v>900</v>
      </c>
      <c r="I6" s="3">
        <f t="shared" ref="I6:I17" si="0">B6+C6+D6+E6+F6+G6+H6</f>
        <v>18700</v>
      </c>
      <c r="J6" s="3">
        <f>16150</f>
        <v>16150</v>
      </c>
      <c r="K6" s="3">
        <f>I6-J6</f>
        <v>2550</v>
      </c>
    </row>
    <row r="7" spans="1:13" x14ac:dyDescent="0.25">
      <c r="A7" s="3" t="s">
        <v>35</v>
      </c>
      <c r="B7" s="3">
        <v>14000</v>
      </c>
      <c r="C7" s="3">
        <f>'JUNE 20'!K7:K21</f>
        <v>500</v>
      </c>
      <c r="D7" s="3"/>
      <c r="E7" s="3"/>
      <c r="F7" s="3">
        <v>1000</v>
      </c>
      <c r="G7" s="3">
        <v>250</v>
      </c>
      <c r="H7" s="3">
        <v>1200</v>
      </c>
      <c r="I7" s="3">
        <f>B7+C7+D7+E7+F7+G7+H7</f>
        <v>16950</v>
      </c>
      <c r="J7" s="3">
        <f>15000+1200+750</f>
        <v>16950</v>
      </c>
      <c r="K7" s="3">
        <f>I7-J7</f>
        <v>0</v>
      </c>
      <c r="M7">
        <f>5000*4</f>
        <v>20000</v>
      </c>
    </row>
    <row r="8" spans="1:13" x14ac:dyDescent="0.25">
      <c r="A8" s="3" t="s">
        <v>48</v>
      </c>
      <c r="B8" s="3">
        <v>14000</v>
      </c>
      <c r="C8" s="3">
        <f>'JUNE 20'!K8:K22</f>
        <v>0</v>
      </c>
      <c r="D8" s="3"/>
      <c r="E8" s="3"/>
      <c r="F8" s="3">
        <v>1000</v>
      </c>
      <c r="G8" s="3">
        <v>250</v>
      </c>
      <c r="H8" s="3">
        <v>450</v>
      </c>
      <c r="I8" s="3">
        <f t="shared" si="0"/>
        <v>15700</v>
      </c>
      <c r="J8" s="3">
        <v>15700</v>
      </c>
      <c r="K8" s="3">
        <f t="shared" ref="K8:K19" si="1">I8-J8</f>
        <v>0</v>
      </c>
    </row>
    <row r="9" spans="1:13" x14ac:dyDescent="0.25">
      <c r="A9" s="3" t="s">
        <v>59</v>
      </c>
      <c r="B9" s="3">
        <v>9000</v>
      </c>
      <c r="C9" s="3">
        <f>'JUNE 20'!K9:K23</f>
        <v>1250</v>
      </c>
      <c r="D9" s="3"/>
      <c r="E9" s="3"/>
      <c r="F9" s="3">
        <v>1000</v>
      </c>
      <c r="G9" s="3">
        <v>250</v>
      </c>
      <c r="H9" s="3">
        <v>600</v>
      </c>
      <c r="I9" s="3">
        <f>B9+C9+D9+E9+F9+G9+H9</f>
        <v>12100</v>
      </c>
      <c r="J9" s="3">
        <v>12000</v>
      </c>
      <c r="K9" s="3">
        <f t="shared" si="1"/>
        <v>100</v>
      </c>
    </row>
    <row r="10" spans="1:13" x14ac:dyDescent="0.25">
      <c r="A10" s="4" t="s">
        <v>78</v>
      </c>
      <c r="B10" s="3">
        <v>14000</v>
      </c>
      <c r="C10" s="3"/>
      <c r="D10" s="3">
        <v>14000</v>
      </c>
      <c r="E10" s="3">
        <v>1000</v>
      </c>
      <c r="F10" s="3">
        <v>1000</v>
      </c>
      <c r="G10" s="3">
        <v>250</v>
      </c>
      <c r="H10" s="3"/>
      <c r="I10" s="3">
        <f t="shared" si="0"/>
        <v>30250</v>
      </c>
      <c r="J10" s="3">
        <f>10000+14000</f>
        <v>24000</v>
      </c>
      <c r="K10" s="3">
        <f>I10-J10</f>
        <v>6250</v>
      </c>
    </row>
    <row r="11" spans="1:13" x14ac:dyDescent="0.25">
      <c r="A11" s="3" t="s">
        <v>32</v>
      </c>
      <c r="B11" s="3">
        <v>14000</v>
      </c>
      <c r="C11" s="3">
        <f>'JUNE 20'!K11:K25</f>
        <v>650</v>
      </c>
      <c r="D11" s="3"/>
      <c r="E11" s="3"/>
      <c r="F11" s="3">
        <v>1000</v>
      </c>
      <c r="G11" s="3">
        <v>250</v>
      </c>
      <c r="H11" s="3">
        <v>900</v>
      </c>
      <c r="I11" s="3">
        <f t="shared" si="0"/>
        <v>16800</v>
      </c>
      <c r="J11" s="3">
        <v>16000</v>
      </c>
      <c r="K11" s="3">
        <f t="shared" si="1"/>
        <v>800</v>
      </c>
    </row>
    <row r="12" spans="1:13" x14ac:dyDescent="0.25">
      <c r="A12" s="3" t="s">
        <v>30</v>
      </c>
      <c r="B12" s="3">
        <v>14000</v>
      </c>
      <c r="C12" s="3">
        <f>'JUNE 20'!K12:K26</f>
        <v>0</v>
      </c>
      <c r="D12" s="3"/>
      <c r="E12" s="3"/>
      <c r="F12" s="3">
        <v>1000</v>
      </c>
      <c r="G12" s="3">
        <v>250</v>
      </c>
      <c r="H12" s="3">
        <v>2100</v>
      </c>
      <c r="I12" s="3">
        <f t="shared" si="0"/>
        <v>17350</v>
      </c>
      <c r="J12" s="3">
        <v>16250</v>
      </c>
      <c r="K12" s="3">
        <f t="shared" si="1"/>
        <v>1100</v>
      </c>
    </row>
    <row r="13" spans="1:13" x14ac:dyDescent="0.25">
      <c r="A13" s="3" t="s">
        <v>40</v>
      </c>
      <c r="B13" s="3">
        <v>14000</v>
      </c>
      <c r="C13" s="3">
        <f>'JUNE 20'!K13:K27</f>
        <v>0</v>
      </c>
      <c r="D13" s="3"/>
      <c r="E13" s="3"/>
      <c r="F13" s="3">
        <v>1000</v>
      </c>
      <c r="G13" s="3">
        <v>250</v>
      </c>
      <c r="H13" s="3">
        <v>750</v>
      </c>
      <c r="I13" s="3">
        <f t="shared" si="0"/>
        <v>16000</v>
      </c>
      <c r="J13" s="3">
        <v>16000</v>
      </c>
      <c r="K13" s="3">
        <f t="shared" si="1"/>
        <v>0</v>
      </c>
    </row>
    <row r="14" spans="1:13" x14ac:dyDescent="0.25">
      <c r="A14" s="3"/>
      <c r="B14" s="3"/>
      <c r="C14" s="3">
        <f>'JUNE 20'!K14:K28</f>
        <v>0</v>
      </c>
      <c r="D14" s="3"/>
      <c r="E14" s="3"/>
      <c r="F14" s="3"/>
      <c r="G14" s="3"/>
      <c r="H14" s="3"/>
      <c r="I14" s="3">
        <f t="shared" si="0"/>
        <v>0</v>
      </c>
      <c r="J14" s="3"/>
      <c r="K14" s="3">
        <f t="shared" si="1"/>
        <v>0</v>
      </c>
    </row>
    <row r="15" spans="1:13" x14ac:dyDescent="0.25">
      <c r="A15" s="3" t="s">
        <v>71</v>
      </c>
      <c r="B15" s="3">
        <v>15000</v>
      </c>
      <c r="C15" s="3">
        <f>'JUNE 20'!K15:K29</f>
        <v>1000</v>
      </c>
      <c r="D15" s="3"/>
      <c r="E15" s="3"/>
      <c r="F15" s="3">
        <v>1000</v>
      </c>
      <c r="G15" s="3"/>
      <c r="H15" s="3"/>
      <c r="I15" s="3">
        <f t="shared" si="0"/>
        <v>17000</v>
      </c>
      <c r="J15" s="3">
        <f>15000</f>
        <v>15000</v>
      </c>
      <c r="K15" s="3">
        <f t="shared" si="1"/>
        <v>2000</v>
      </c>
    </row>
    <row r="16" spans="1:13" x14ac:dyDescent="0.25">
      <c r="A16" s="3" t="s">
        <v>36</v>
      </c>
      <c r="B16" s="3">
        <v>22000</v>
      </c>
      <c r="C16" s="3">
        <f>'JUNE 20'!K16:K30</f>
        <v>17500</v>
      </c>
      <c r="D16" s="3"/>
      <c r="E16" s="3"/>
      <c r="F16" s="3">
        <v>1000</v>
      </c>
      <c r="G16" s="3"/>
      <c r="H16" s="3"/>
      <c r="I16" s="3">
        <f>B16+C16+D16+E16+F16+G16+H16</f>
        <v>40500</v>
      </c>
      <c r="J16" s="3">
        <v>23000</v>
      </c>
      <c r="K16" s="3">
        <f>I16-J16</f>
        <v>17500</v>
      </c>
    </row>
    <row r="17" spans="1:11" x14ac:dyDescent="0.25">
      <c r="A17" s="3" t="s">
        <v>74</v>
      </c>
      <c r="B17" s="3"/>
      <c r="C17" s="3">
        <f>'JUNE 20'!K17:K31</f>
        <v>0</v>
      </c>
      <c r="D17" s="3"/>
      <c r="E17" s="3"/>
      <c r="F17" s="3"/>
      <c r="G17" s="3"/>
      <c r="H17" s="3">
        <v>1200</v>
      </c>
      <c r="I17" s="3">
        <f t="shared" si="0"/>
        <v>1200</v>
      </c>
      <c r="J17" s="3">
        <f>1200</f>
        <v>1200</v>
      </c>
      <c r="K17" s="3">
        <f>I17-J17</f>
        <v>0</v>
      </c>
    </row>
    <row r="18" spans="1:11" x14ac:dyDescent="0.25">
      <c r="A18" s="3"/>
      <c r="B18" s="3"/>
      <c r="C18" s="3">
        <f>'MAY 20'!K18:K32</f>
        <v>0</v>
      </c>
      <c r="D18" s="3"/>
      <c r="E18" s="3"/>
      <c r="F18" s="3"/>
      <c r="G18" s="3"/>
      <c r="H18" s="3"/>
      <c r="I18" s="3">
        <f>B18+C18+D18+E18+F18+G18+H18</f>
        <v>0</v>
      </c>
      <c r="J18" s="3"/>
      <c r="K18" s="3">
        <f t="shared" si="1"/>
        <v>0</v>
      </c>
    </row>
    <row r="19" spans="1:11" x14ac:dyDescent="0.25">
      <c r="A19" s="3"/>
      <c r="B19" s="3"/>
      <c r="C19" s="3">
        <f>'MAY 20'!K19:K33</f>
        <v>0</v>
      </c>
      <c r="D19" s="3"/>
      <c r="E19" s="3"/>
      <c r="F19" s="3"/>
      <c r="G19" s="3"/>
      <c r="H19" s="3"/>
      <c r="I19" s="3">
        <f>B19+C19+D19+E19+F19+G19+H19</f>
        <v>0</v>
      </c>
      <c r="J19" s="3"/>
      <c r="K19" s="3">
        <f t="shared" si="1"/>
        <v>0</v>
      </c>
    </row>
    <row r="20" spans="1:11" x14ac:dyDescent="0.25">
      <c r="A20" s="2"/>
      <c r="B20" s="2">
        <f>SUM(B5:B19)</f>
        <v>144000</v>
      </c>
      <c r="C20" s="3">
        <f>SUM(C5:C19)</f>
        <v>52450</v>
      </c>
      <c r="D20" s="2">
        <f t="shared" ref="D20:G20" si="2">SUM(D5:D19)</f>
        <v>14000</v>
      </c>
      <c r="E20" s="2">
        <f t="shared" si="2"/>
        <v>1000</v>
      </c>
      <c r="F20" s="2">
        <f t="shared" si="2"/>
        <v>10000</v>
      </c>
      <c r="G20" s="2">
        <f t="shared" si="2"/>
        <v>2000</v>
      </c>
      <c r="H20" s="2">
        <f>SUM(H5:H19)</f>
        <v>8100</v>
      </c>
      <c r="I20" s="3">
        <f>B20+C20+D20+E20+F20+G20+H20</f>
        <v>231550</v>
      </c>
      <c r="J20" s="2">
        <f>SUM(J5:J19)</f>
        <v>180050</v>
      </c>
      <c r="K20" s="3">
        <f>SUM(K5:K19)</f>
        <v>66500</v>
      </c>
    </row>
    <row r="21" spans="1:11" x14ac:dyDescent="0.25">
      <c r="A21" s="6"/>
      <c r="B21" s="6"/>
      <c r="C21" s="6"/>
      <c r="D21" s="6"/>
      <c r="E21" s="6" t="s">
        <v>9</v>
      </c>
      <c r="F21" s="6"/>
      <c r="G21" s="6"/>
      <c r="H21" s="6"/>
      <c r="I21" s="3"/>
      <c r="J21" s="6"/>
      <c r="K21" s="29">
        <f>K15+K11+K8+K9+K7+K6+K10+K12+500</f>
        <v>13300</v>
      </c>
    </row>
    <row r="22" spans="1:11" x14ac:dyDescent="0.25">
      <c r="B22" s="7"/>
      <c r="C22" s="8"/>
      <c r="D22" s="8"/>
      <c r="E22" s="28" t="s">
        <v>10</v>
      </c>
      <c r="F22" s="6"/>
      <c r="G22" s="6"/>
      <c r="H22" s="6"/>
      <c r="I22" s="22"/>
      <c r="J22" s="10"/>
      <c r="K22" s="9"/>
    </row>
    <row r="23" spans="1:11" x14ac:dyDescent="0.25">
      <c r="A23" s="1" t="s">
        <v>11</v>
      </c>
      <c r="B23" s="1"/>
      <c r="C23" s="1"/>
      <c r="D23" s="1"/>
      <c r="E23" s="11"/>
      <c r="F23" s="1" t="s">
        <v>12</v>
      </c>
      <c r="G23" s="12"/>
      <c r="H23" s="12"/>
      <c r="I23" s="12"/>
      <c r="J23" s="12"/>
    </row>
    <row r="24" spans="1:11" x14ac:dyDescent="0.25">
      <c r="A24" s="2" t="s">
        <v>13</v>
      </c>
      <c r="B24" s="2" t="s">
        <v>14</v>
      </c>
      <c r="C24" s="2" t="s">
        <v>15</v>
      </c>
      <c r="D24" s="2"/>
      <c r="E24" s="2" t="s">
        <v>16</v>
      </c>
      <c r="F24" s="2" t="s">
        <v>13</v>
      </c>
      <c r="G24" s="2" t="s">
        <v>14</v>
      </c>
      <c r="H24" s="2" t="s">
        <v>15</v>
      </c>
      <c r="I24" s="2" t="s">
        <v>16</v>
      </c>
      <c r="J24" s="2"/>
    </row>
    <row r="25" spans="1:11" x14ac:dyDescent="0.25">
      <c r="A25" s="13" t="s">
        <v>76</v>
      </c>
      <c r="B25" s="14">
        <f>B20</f>
        <v>144000</v>
      </c>
      <c r="C25" s="13"/>
      <c r="D25" s="13"/>
      <c r="E25" s="13"/>
      <c r="F25" s="13" t="s">
        <v>76</v>
      </c>
      <c r="G25" s="14">
        <f>J20</f>
        <v>180050</v>
      </c>
      <c r="H25" s="13"/>
      <c r="I25" s="13"/>
      <c r="J25" s="13"/>
    </row>
    <row r="26" spans="1:11" x14ac:dyDescent="0.25">
      <c r="A26" s="13" t="s">
        <v>3</v>
      </c>
      <c r="B26" s="14"/>
      <c r="C26" s="13"/>
      <c r="D26" s="13"/>
      <c r="E26" s="13"/>
      <c r="F26" s="13" t="s">
        <v>3</v>
      </c>
      <c r="G26" s="14">
        <f>'JUNE 20'!I41</f>
        <v>-7300</v>
      </c>
      <c r="H26" s="13"/>
      <c r="I26" s="13"/>
      <c r="J26" s="13"/>
    </row>
    <row r="27" spans="1:11" x14ac:dyDescent="0.25">
      <c r="A27" s="13" t="s">
        <v>27</v>
      </c>
      <c r="B27" s="14">
        <f>D20</f>
        <v>14000</v>
      </c>
      <c r="C27" s="13"/>
      <c r="D27" s="13"/>
      <c r="E27" s="13"/>
      <c r="F27" s="13"/>
      <c r="G27" s="14"/>
      <c r="H27" s="13"/>
      <c r="I27" s="13"/>
      <c r="J27" s="13"/>
    </row>
    <row r="28" spans="1:11" x14ac:dyDescent="0.25">
      <c r="A28" s="3" t="s">
        <v>31</v>
      </c>
      <c r="B28" s="3">
        <f>E20</f>
        <v>1000</v>
      </c>
      <c r="C28" s="3"/>
      <c r="D28" s="3"/>
      <c r="E28" s="3"/>
      <c r="F28" s="3"/>
      <c r="G28" s="3"/>
      <c r="H28" s="3"/>
      <c r="I28" s="3"/>
      <c r="J28" s="3"/>
    </row>
    <row r="29" spans="1:11" x14ac:dyDescent="0.25">
      <c r="A29" s="3" t="s">
        <v>37</v>
      </c>
      <c r="B29" s="3">
        <f>F20</f>
        <v>10000</v>
      </c>
      <c r="C29" s="3"/>
      <c r="D29" s="3"/>
      <c r="E29" s="3"/>
      <c r="F29" s="3"/>
      <c r="G29" s="3"/>
      <c r="H29" s="3"/>
      <c r="I29" s="3"/>
      <c r="J29" s="3"/>
    </row>
    <row r="30" spans="1:11" x14ac:dyDescent="0.25">
      <c r="A30" s="3" t="s">
        <v>43</v>
      </c>
      <c r="B30" s="3">
        <f>H20</f>
        <v>8100</v>
      </c>
      <c r="C30" s="3"/>
      <c r="D30" s="3"/>
      <c r="E30" s="3"/>
      <c r="F30" s="3"/>
      <c r="G30" s="3"/>
      <c r="H30" s="3"/>
      <c r="I30" s="3"/>
      <c r="J30" s="3"/>
    </row>
    <row r="31" spans="1:11" x14ac:dyDescent="0.25">
      <c r="A31" s="13" t="s">
        <v>18</v>
      </c>
      <c r="B31" s="16">
        <v>0.05</v>
      </c>
      <c r="C31" s="14">
        <f>B31*B25</f>
        <v>7200</v>
      </c>
      <c r="D31" s="14"/>
      <c r="E31" s="13"/>
      <c r="F31" s="13" t="s">
        <v>18</v>
      </c>
      <c r="G31" s="16">
        <v>0.05</v>
      </c>
      <c r="H31" s="14">
        <f>G31*B25</f>
        <v>7200</v>
      </c>
      <c r="I31" s="14"/>
      <c r="J31" s="14"/>
    </row>
    <row r="32" spans="1:11" x14ac:dyDescent="0.25">
      <c r="A32" s="27" t="s">
        <v>19</v>
      </c>
      <c r="B32" s="13" t="s">
        <v>9</v>
      </c>
      <c r="C32" s="13"/>
      <c r="D32" s="13"/>
      <c r="E32" s="13"/>
      <c r="F32" s="27" t="s">
        <v>19</v>
      </c>
      <c r="G32" s="14"/>
      <c r="H32" s="13"/>
      <c r="I32" s="13"/>
      <c r="J32" s="13"/>
    </row>
    <row r="33" spans="1:12" x14ac:dyDescent="0.25">
      <c r="A33" s="27"/>
      <c r="B33" s="13"/>
      <c r="C33" s="13"/>
      <c r="D33" s="13"/>
      <c r="E33" s="13"/>
      <c r="F33" s="24" t="s">
        <v>42</v>
      </c>
      <c r="G33" s="14"/>
      <c r="H33" s="13">
        <f>G20</f>
        <v>2000</v>
      </c>
      <c r="I33" s="13"/>
      <c r="J33" s="13"/>
    </row>
    <row r="34" spans="1:12" x14ac:dyDescent="0.25">
      <c r="A34" s="17" t="s">
        <v>37</v>
      </c>
      <c r="B34" s="3"/>
      <c r="C34" s="3">
        <v>9000</v>
      </c>
      <c r="D34" s="3"/>
      <c r="E34" s="3"/>
      <c r="F34" s="17" t="s">
        <v>37</v>
      </c>
      <c r="G34" s="3"/>
      <c r="H34" s="3">
        <v>9000</v>
      </c>
      <c r="I34" s="3"/>
      <c r="J34" s="3"/>
    </row>
    <row r="35" spans="1:12" x14ac:dyDescent="0.25">
      <c r="A35" s="18" t="s">
        <v>60</v>
      </c>
      <c r="B35" s="3"/>
      <c r="C35" s="3">
        <v>7000</v>
      </c>
      <c r="D35" s="3"/>
      <c r="E35" s="3"/>
      <c r="F35" s="18" t="s">
        <v>60</v>
      </c>
      <c r="G35" s="3"/>
      <c r="H35" s="3">
        <v>7000</v>
      </c>
      <c r="I35" s="3"/>
      <c r="J35" s="3"/>
    </row>
    <row r="36" spans="1:12" x14ac:dyDescent="0.25">
      <c r="B36" s="13"/>
      <c r="C36" s="13"/>
      <c r="D36" s="13"/>
      <c r="E36" s="13"/>
      <c r="G36" s="13"/>
      <c r="H36" s="13"/>
      <c r="I36" s="13"/>
      <c r="J36" s="13"/>
    </row>
    <row r="37" spans="1:12" x14ac:dyDescent="0.25">
      <c r="A37" s="19" t="s">
        <v>79</v>
      </c>
      <c r="B37" s="13"/>
      <c r="C37" s="13">
        <v>153900</v>
      </c>
      <c r="D37" s="13"/>
      <c r="E37" s="13"/>
      <c r="F37" s="19" t="s">
        <v>79</v>
      </c>
      <c r="G37" s="13"/>
      <c r="H37" s="13">
        <v>153900</v>
      </c>
      <c r="I37" s="13"/>
      <c r="J37" s="13"/>
    </row>
    <row r="38" spans="1:12" x14ac:dyDescent="0.25">
      <c r="A38" s="20" t="s">
        <v>80</v>
      </c>
      <c r="B38" s="13"/>
      <c r="C38" s="13">
        <f>1500+900</f>
        <v>2400</v>
      </c>
      <c r="D38" s="13"/>
      <c r="E38" s="13"/>
      <c r="F38" s="20" t="s">
        <v>81</v>
      </c>
      <c r="G38" s="13"/>
      <c r="H38" s="13">
        <f>1500+900</f>
        <v>2400</v>
      </c>
      <c r="I38" s="21"/>
      <c r="J38" s="21"/>
    </row>
    <row r="39" spans="1:12" x14ac:dyDescent="0.25">
      <c r="A39" s="18"/>
      <c r="B39" s="3"/>
      <c r="C39" s="21"/>
      <c r="D39" s="13"/>
      <c r="E39" s="13"/>
      <c r="F39" s="18"/>
      <c r="G39" s="3"/>
      <c r="H39" s="21"/>
      <c r="I39" s="21"/>
      <c r="J39" s="21"/>
    </row>
    <row r="40" spans="1:12" x14ac:dyDescent="0.25">
      <c r="A40" s="18"/>
      <c r="B40" s="3"/>
      <c r="C40" s="21"/>
      <c r="D40" s="21"/>
      <c r="E40" s="13"/>
      <c r="F40" s="18"/>
      <c r="G40" s="3"/>
      <c r="H40" s="21"/>
      <c r="I40" s="3"/>
      <c r="J40" s="3"/>
      <c r="K40" s="15"/>
      <c r="L40" s="15"/>
    </row>
    <row r="41" spans="1:12" x14ac:dyDescent="0.25">
      <c r="A41" s="24" t="s">
        <v>8</v>
      </c>
      <c r="B41" s="25">
        <f>B25+B26+B27+B28+B29+B30-C31</f>
        <v>169900</v>
      </c>
      <c r="C41" s="25">
        <f>SUM(C34:C40)</f>
        <v>172300</v>
      </c>
      <c r="D41" s="25"/>
      <c r="E41" s="25">
        <f>B41-C41</f>
        <v>-2400</v>
      </c>
      <c r="F41" s="24" t="s">
        <v>8</v>
      </c>
      <c r="G41" s="25">
        <f>G25+G26-H31</f>
        <v>165550</v>
      </c>
      <c r="H41" s="25">
        <f>SUM(H33:H40)</f>
        <v>174300</v>
      </c>
      <c r="I41" s="25">
        <f>G41-H41</f>
        <v>-8750</v>
      </c>
      <c r="J41" s="25"/>
    </row>
    <row r="42" spans="1:12" x14ac:dyDescent="0.25">
      <c r="K42" s="15"/>
    </row>
    <row r="43" spans="1:12" x14ac:dyDescent="0.25">
      <c r="A43" t="s">
        <v>20</v>
      </c>
      <c r="C43" t="s">
        <v>21</v>
      </c>
      <c r="I43" t="s">
        <v>22</v>
      </c>
    </row>
    <row r="44" spans="1:12" x14ac:dyDescent="0.25">
      <c r="A44" t="s">
        <v>34</v>
      </c>
      <c r="C44" t="s">
        <v>23</v>
      </c>
      <c r="I44" t="s">
        <v>95</v>
      </c>
    </row>
  </sheetData>
  <pageMargins left="0" right="0" top="0" bottom="0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10" workbookViewId="0">
      <selection activeCell="K22" sqref="K22"/>
    </sheetView>
  </sheetViews>
  <sheetFormatPr defaultRowHeight="15" x14ac:dyDescent="0.25"/>
  <cols>
    <col min="1" max="1" width="18.5703125" customWidth="1"/>
    <col min="2" max="2" width="8.42578125" customWidth="1"/>
    <col min="3" max="3" width="7.5703125" customWidth="1"/>
    <col min="4" max="4" width="7.28515625" customWidth="1"/>
  </cols>
  <sheetData>
    <row r="1" spans="1:11" x14ac:dyDescent="0.25">
      <c r="D1" s="1" t="s">
        <v>94</v>
      </c>
      <c r="E1" s="1"/>
      <c r="F1" s="1"/>
      <c r="G1" s="1"/>
      <c r="H1" s="1"/>
      <c r="I1" s="1"/>
      <c r="J1" s="1"/>
      <c r="K1" s="1"/>
    </row>
    <row r="2" spans="1:11" x14ac:dyDescent="0.25">
      <c r="A2" s="1"/>
      <c r="D2" s="1" t="s">
        <v>0</v>
      </c>
      <c r="E2" s="1"/>
      <c r="F2" s="1"/>
      <c r="G2" s="1"/>
      <c r="H2" s="1"/>
      <c r="I2" s="1"/>
      <c r="J2" s="1"/>
      <c r="K2" s="1"/>
    </row>
    <row r="3" spans="1:11" x14ac:dyDescent="0.25">
      <c r="A3" s="1"/>
      <c r="D3" s="1" t="s">
        <v>84</v>
      </c>
      <c r="E3" s="1"/>
      <c r="F3" s="1"/>
      <c r="G3" s="1"/>
      <c r="H3" s="1"/>
      <c r="I3" s="1"/>
      <c r="J3" s="1"/>
      <c r="K3" s="1"/>
    </row>
    <row r="4" spans="1:11" x14ac:dyDescent="0.25">
      <c r="A4" s="2" t="s">
        <v>2</v>
      </c>
      <c r="B4" s="2" t="s">
        <v>51</v>
      </c>
      <c r="C4" s="2" t="s">
        <v>3</v>
      </c>
      <c r="D4" s="2" t="s">
        <v>27</v>
      </c>
      <c r="E4" s="2" t="s">
        <v>31</v>
      </c>
      <c r="F4" s="2" t="s">
        <v>50</v>
      </c>
      <c r="G4" s="2" t="s">
        <v>42</v>
      </c>
      <c r="H4" s="2" t="s">
        <v>43</v>
      </c>
      <c r="I4" s="2" t="s">
        <v>5</v>
      </c>
      <c r="J4" s="2" t="s">
        <v>6</v>
      </c>
      <c r="K4" s="2" t="s">
        <v>7</v>
      </c>
    </row>
    <row r="5" spans="1:11" x14ac:dyDescent="0.25">
      <c r="A5" s="3" t="s">
        <v>82</v>
      </c>
      <c r="B5">
        <f>14000+4700</f>
        <v>18700</v>
      </c>
      <c r="C5" s="3"/>
      <c r="D5" s="3">
        <v>14000</v>
      </c>
      <c r="E5" s="3">
        <v>1000</v>
      </c>
      <c r="F5" s="3">
        <v>1000</v>
      </c>
      <c r="G5" s="3">
        <v>250</v>
      </c>
      <c r="H5" s="3">
        <v>600</v>
      </c>
      <c r="I5" s="3">
        <f>B5+B17+C5+D5+E5+F5+G5+H5</f>
        <v>35550</v>
      </c>
      <c r="J5" s="3">
        <f>14000+4700+15600</f>
        <v>34300</v>
      </c>
      <c r="K5" s="3">
        <f>I5-J5</f>
        <v>1250</v>
      </c>
    </row>
    <row r="6" spans="1:11" x14ac:dyDescent="0.25">
      <c r="A6" s="3" t="s">
        <v>39</v>
      </c>
      <c r="B6" s="3">
        <v>14000</v>
      </c>
      <c r="C6" s="3">
        <f>'JULY 20'!K6:K19</f>
        <v>2550</v>
      </c>
      <c r="D6" s="3"/>
      <c r="E6" s="3"/>
      <c r="F6" s="3">
        <v>1000</v>
      </c>
      <c r="G6" s="3">
        <v>250</v>
      </c>
      <c r="H6" s="3">
        <v>1050</v>
      </c>
      <c r="I6" s="3">
        <f t="shared" ref="I6:I17" si="0">B6+C6+D6+E6+F6+G6+H6</f>
        <v>18850</v>
      </c>
      <c r="J6" s="3">
        <f>16300</f>
        <v>16300</v>
      </c>
      <c r="K6" s="3">
        <f>I6-J6</f>
        <v>2550</v>
      </c>
    </row>
    <row r="7" spans="1:11" x14ac:dyDescent="0.25">
      <c r="A7" s="3" t="s">
        <v>35</v>
      </c>
      <c r="B7" s="3">
        <v>14000</v>
      </c>
      <c r="C7" s="3">
        <f>'JULY 20'!K7:K20</f>
        <v>0</v>
      </c>
      <c r="D7" s="3"/>
      <c r="E7" s="3"/>
      <c r="F7" s="3">
        <v>1000</v>
      </c>
      <c r="G7" s="3">
        <v>250</v>
      </c>
      <c r="H7" s="3">
        <v>1650</v>
      </c>
      <c r="I7" s="3">
        <f>B7+C7+D7+E7+F7+G7+H7</f>
        <v>16900</v>
      </c>
      <c r="J7" s="3">
        <f>15000+1900</f>
        <v>16900</v>
      </c>
      <c r="K7" s="3">
        <f>I7-J7</f>
        <v>0</v>
      </c>
    </row>
    <row r="8" spans="1:11" x14ac:dyDescent="0.25">
      <c r="A8" s="3" t="s">
        <v>48</v>
      </c>
      <c r="B8" s="3">
        <v>14000</v>
      </c>
      <c r="C8" s="3">
        <f>'JULY 20'!K8:K21</f>
        <v>0</v>
      </c>
      <c r="D8" s="3"/>
      <c r="E8" s="3"/>
      <c r="F8" s="3">
        <v>1000</v>
      </c>
      <c r="G8" s="3">
        <v>250</v>
      </c>
      <c r="H8" s="3">
        <v>300</v>
      </c>
      <c r="I8" s="3">
        <f t="shared" si="0"/>
        <v>15550</v>
      </c>
      <c r="J8" s="3">
        <f>14000</f>
        <v>14000</v>
      </c>
      <c r="K8" s="3">
        <f t="shared" ref="K8:K19" si="1">I8-J8</f>
        <v>1550</v>
      </c>
    </row>
    <row r="9" spans="1:11" x14ac:dyDescent="0.25">
      <c r="A9" s="3" t="s">
        <v>59</v>
      </c>
      <c r="B9" s="3">
        <v>9000</v>
      </c>
      <c r="C9" s="3">
        <f>'JULY 20'!K9:K22</f>
        <v>100</v>
      </c>
      <c r="D9" s="3"/>
      <c r="E9" s="3"/>
      <c r="F9" s="3">
        <v>1000</v>
      </c>
      <c r="G9" s="3">
        <v>250</v>
      </c>
      <c r="H9" s="3">
        <v>600</v>
      </c>
      <c r="I9" s="3">
        <f>B9+C9+D9+E9+F9+G9+H9</f>
        <v>10950</v>
      </c>
      <c r="J9" s="3">
        <f>10800</f>
        <v>10800</v>
      </c>
      <c r="K9" s="3">
        <f t="shared" si="1"/>
        <v>150</v>
      </c>
    </row>
    <row r="10" spans="1:11" x14ac:dyDescent="0.25">
      <c r="A10" s="4" t="s">
        <v>78</v>
      </c>
      <c r="B10" s="3">
        <v>14000</v>
      </c>
      <c r="C10" s="3">
        <f>'JULY 20'!K10:K23</f>
        <v>6250</v>
      </c>
      <c r="D10" s="3"/>
      <c r="E10" s="3"/>
      <c r="F10" s="3">
        <v>1000</v>
      </c>
      <c r="G10" s="3">
        <v>250</v>
      </c>
      <c r="H10" s="3">
        <v>750</v>
      </c>
      <c r="I10" s="3">
        <f t="shared" si="0"/>
        <v>22250</v>
      </c>
      <c r="J10" s="3"/>
      <c r="K10" s="3">
        <f>I10-J10</f>
        <v>22250</v>
      </c>
    </row>
    <row r="11" spans="1:11" x14ac:dyDescent="0.25">
      <c r="A11" s="3" t="s">
        <v>32</v>
      </c>
      <c r="B11" s="3">
        <v>14000</v>
      </c>
      <c r="C11" s="3">
        <f>'JULY 20'!K11:K24</f>
        <v>800</v>
      </c>
      <c r="D11" s="3"/>
      <c r="E11" s="3"/>
      <c r="F11" s="3">
        <v>1000</v>
      </c>
      <c r="G11" s="3">
        <v>250</v>
      </c>
      <c r="H11" s="3">
        <v>900</v>
      </c>
      <c r="I11" s="3">
        <f t="shared" si="0"/>
        <v>16950</v>
      </c>
      <c r="J11" s="3">
        <f>14000+1500</f>
        <v>15500</v>
      </c>
      <c r="K11" s="3">
        <f t="shared" si="1"/>
        <v>1450</v>
      </c>
    </row>
    <row r="12" spans="1:11" x14ac:dyDescent="0.25">
      <c r="A12" s="3" t="s">
        <v>30</v>
      </c>
      <c r="B12" s="3">
        <v>14000</v>
      </c>
      <c r="C12" s="3">
        <f>'JULY 20'!K12:K25</f>
        <v>1100</v>
      </c>
      <c r="D12" s="3"/>
      <c r="E12" s="3"/>
      <c r="F12" s="3">
        <v>1000</v>
      </c>
      <c r="G12" s="3">
        <v>250</v>
      </c>
      <c r="H12" s="3">
        <v>1950</v>
      </c>
      <c r="I12" s="3">
        <f t="shared" si="0"/>
        <v>18300</v>
      </c>
      <c r="J12" s="3">
        <f>16300+2000</f>
        <v>18300</v>
      </c>
      <c r="K12" s="3">
        <f t="shared" si="1"/>
        <v>0</v>
      </c>
    </row>
    <row r="13" spans="1:11" x14ac:dyDescent="0.25">
      <c r="A13" s="3" t="s">
        <v>40</v>
      </c>
      <c r="B13" s="3">
        <v>14000</v>
      </c>
      <c r="C13" s="3">
        <f>'JULY 20'!K13:K26</f>
        <v>0</v>
      </c>
      <c r="D13" s="3"/>
      <c r="E13" s="3"/>
      <c r="F13" s="3">
        <v>1000</v>
      </c>
      <c r="G13" s="3">
        <v>250</v>
      </c>
      <c r="H13" s="3">
        <v>600</v>
      </c>
      <c r="I13" s="3">
        <f t="shared" si="0"/>
        <v>15850</v>
      </c>
      <c r="J13" s="3">
        <f>14580+270</f>
        <v>14850</v>
      </c>
      <c r="K13" s="3">
        <f t="shared" si="1"/>
        <v>1000</v>
      </c>
    </row>
    <row r="14" spans="1:11" x14ac:dyDescent="0.25">
      <c r="A14" s="3"/>
      <c r="B14" s="3"/>
      <c r="C14" s="3">
        <f>'JULY 20'!K14:K27</f>
        <v>0</v>
      </c>
      <c r="D14" s="3"/>
      <c r="E14" s="3"/>
      <c r="F14" s="3"/>
      <c r="G14" s="3"/>
      <c r="H14" s="3"/>
      <c r="I14" s="3">
        <f t="shared" si="0"/>
        <v>0</v>
      </c>
      <c r="J14" s="3"/>
      <c r="K14" s="3">
        <f t="shared" si="1"/>
        <v>0</v>
      </c>
    </row>
    <row r="15" spans="1:11" x14ac:dyDescent="0.25">
      <c r="A15" s="3" t="s">
        <v>71</v>
      </c>
      <c r="B15" s="3">
        <v>15000</v>
      </c>
      <c r="C15" s="3">
        <f>'JULY 20'!K15:K28</f>
        <v>2000</v>
      </c>
      <c r="D15" s="3"/>
      <c r="E15" s="3"/>
      <c r="F15" s="3">
        <v>1000</v>
      </c>
      <c r="G15" s="3"/>
      <c r="H15" s="3"/>
      <c r="I15" s="3">
        <f t="shared" si="0"/>
        <v>18000</v>
      </c>
      <c r="J15" s="3">
        <f>15000</f>
        <v>15000</v>
      </c>
      <c r="K15" s="3">
        <f t="shared" si="1"/>
        <v>3000</v>
      </c>
    </row>
    <row r="16" spans="1:11" x14ac:dyDescent="0.25">
      <c r="A16" s="3" t="s">
        <v>36</v>
      </c>
      <c r="B16" s="3">
        <v>22000</v>
      </c>
      <c r="C16" s="3">
        <f>'JULY 20'!K16:K29</f>
        <v>17500</v>
      </c>
      <c r="D16" s="3"/>
      <c r="E16" s="3"/>
      <c r="F16" s="3">
        <v>1000</v>
      </c>
      <c r="G16" s="3"/>
      <c r="H16" s="3"/>
      <c r="I16" s="3">
        <f>B16+C16+D16+E16+F16+G16+H16</f>
        <v>40500</v>
      </c>
      <c r="J16" s="3">
        <f>7000+15000+1000</f>
        <v>23000</v>
      </c>
      <c r="K16" s="3">
        <f>I16-J16</f>
        <v>17500</v>
      </c>
    </row>
    <row r="17" spans="1:11" x14ac:dyDescent="0.25">
      <c r="A17" s="3" t="s">
        <v>74</v>
      </c>
      <c r="B17" s="3"/>
      <c r="C17" s="3">
        <f>'JULY 20'!K17:K30</f>
        <v>0</v>
      </c>
      <c r="D17" s="3"/>
      <c r="E17" s="3"/>
      <c r="F17" s="3"/>
      <c r="G17" s="3"/>
      <c r="H17" s="3">
        <v>1500</v>
      </c>
      <c r="I17" s="3">
        <f t="shared" si="0"/>
        <v>1500</v>
      </c>
      <c r="J17" s="3">
        <v>1500</v>
      </c>
      <c r="K17" s="3">
        <f>I17-J17</f>
        <v>0</v>
      </c>
    </row>
    <row r="18" spans="1:11" x14ac:dyDescent="0.25">
      <c r="A18" s="3"/>
      <c r="B18" s="3"/>
      <c r="C18" s="3">
        <f>'JULY 20'!K18:K31</f>
        <v>0</v>
      </c>
      <c r="D18" s="3"/>
      <c r="E18" s="3"/>
      <c r="F18" s="3"/>
      <c r="G18" s="3"/>
      <c r="H18" s="3"/>
      <c r="I18" s="3">
        <f>B18+C18+D18+E18+F18+G18+H18</f>
        <v>0</v>
      </c>
      <c r="J18" s="3"/>
      <c r="K18" s="3">
        <f t="shared" si="1"/>
        <v>0</v>
      </c>
    </row>
    <row r="19" spans="1:11" x14ac:dyDescent="0.25">
      <c r="A19" s="3"/>
      <c r="B19" s="3"/>
      <c r="C19" s="3">
        <f>'MAY 20'!K19:K33</f>
        <v>0</v>
      </c>
      <c r="D19" s="3"/>
      <c r="E19" s="3"/>
      <c r="F19" s="3"/>
      <c r="G19" s="3"/>
      <c r="H19" s="3"/>
      <c r="I19" s="3">
        <f>B19+C19+D19+E19+F19+G19+H19</f>
        <v>0</v>
      </c>
      <c r="J19" s="3"/>
      <c r="K19" s="3">
        <f t="shared" si="1"/>
        <v>0</v>
      </c>
    </row>
    <row r="20" spans="1:11" x14ac:dyDescent="0.25">
      <c r="A20" s="2"/>
      <c r="B20" s="2">
        <f>SUM(B5:B19)</f>
        <v>162700</v>
      </c>
      <c r="C20" s="3">
        <f>SUM(C5:C19)</f>
        <v>30300</v>
      </c>
      <c r="D20" s="2">
        <f t="shared" ref="D20:G20" si="2">SUM(D5:D19)</f>
        <v>14000</v>
      </c>
      <c r="E20" s="2">
        <f t="shared" si="2"/>
        <v>1000</v>
      </c>
      <c r="F20" s="2">
        <f t="shared" si="2"/>
        <v>11000</v>
      </c>
      <c r="G20" s="2">
        <f t="shared" si="2"/>
        <v>2250</v>
      </c>
      <c r="H20" s="2">
        <f>SUM(H5:H19)</f>
        <v>9900</v>
      </c>
      <c r="I20" s="3">
        <f>B20+C20+D20+E20+F20+G20+H20</f>
        <v>231150</v>
      </c>
      <c r="J20" s="2">
        <f>SUM(J5:J19)</f>
        <v>180450</v>
      </c>
      <c r="K20" s="3">
        <f>SUM(K5:K19)</f>
        <v>50700</v>
      </c>
    </row>
    <row r="21" spans="1:11" x14ac:dyDescent="0.25">
      <c r="A21" s="6"/>
      <c r="B21" s="6"/>
      <c r="C21" s="6"/>
      <c r="D21" s="6"/>
      <c r="E21" s="6" t="s">
        <v>9</v>
      </c>
      <c r="F21" s="6"/>
      <c r="G21" s="6"/>
      <c r="H21" s="6"/>
      <c r="I21" s="3"/>
      <c r="J21" s="6"/>
      <c r="K21" s="29">
        <f>K20-C16</f>
        <v>33200</v>
      </c>
    </row>
    <row r="22" spans="1:11" x14ac:dyDescent="0.25">
      <c r="B22" s="7"/>
      <c r="C22" s="8"/>
      <c r="D22" s="8"/>
      <c r="E22" s="28" t="s">
        <v>10</v>
      </c>
      <c r="F22" s="6"/>
      <c r="G22" s="6"/>
      <c r="H22" s="6"/>
      <c r="I22" s="22"/>
      <c r="J22" s="10"/>
      <c r="K22" s="9"/>
    </row>
    <row r="23" spans="1:11" x14ac:dyDescent="0.25">
      <c r="A23" s="1" t="s">
        <v>11</v>
      </c>
      <c r="B23" s="1"/>
      <c r="C23" s="1"/>
      <c r="D23" s="1"/>
      <c r="E23" s="11"/>
      <c r="F23" s="1" t="s">
        <v>12</v>
      </c>
      <c r="G23" s="12"/>
      <c r="H23" s="12"/>
      <c r="I23" s="12"/>
      <c r="J23" s="12"/>
    </row>
    <row r="24" spans="1:11" x14ac:dyDescent="0.25">
      <c r="A24" s="2" t="s">
        <v>13</v>
      </c>
      <c r="B24" s="2" t="s">
        <v>14</v>
      </c>
      <c r="C24" s="2" t="s">
        <v>15</v>
      </c>
      <c r="D24" s="2"/>
      <c r="E24" s="2" t="s">
        <v>16</v>
      </c>
      <c r="F24" s="2" t="s">
        <v>13</v>
      </c>
      <c r="G24" s="2" t="s">
        <v>14</v>
      </c>
      <c r="H24" s="2" t="s">
        <v>15</v>
      </c>
      <c r="I24" s="2" t="s">
        <v>16</v>
      </c>
      <c r="J24" s="2"/>
    </row>
    <row r="25" spans="1:11" x14ac:dyDescent="0.25">
      <c r="A25" s="13" t="s">
        <v>83</v>
      </c>
      <c r="B25" s="14">
        <f>B20</f>
        <v>162700</v>
      </c>
      <c r="C25" s="13"/>
      <c r="D25" s="13"/>
      <c r="E25" s="13"/>
      <c r="F25" s="13" t="s">
        <v>83</v>
      </c>
      <c r="G25" s="14">
        <f>J20</f>
        <v>180450</v>
      </c>
      <c r="H25" s="13"/>
      <c r="I25" s="13"/>
      <c r="J25" s="13"/>
    </row>
    <row r="26" spans="1:11" x14ac:dyDescent="0.25">
      <c r="A26" s="13" t="s">
        <v>3</v>
      </c>
      <c r="B26" s="14">
        <f>'JULY 20'!E41</f>
        <v>-2400</v>
      </c>
      <c r="C26" s="13"/>
      <c r="D26" s="13"/>
      <c r="E26" s="13"/>
      <c r="F26" s="13" t="s">
        <v>3</v>
      </c>
      <c r="G26" s="14">
        <f>'JULY 20'!I41</f>
        <v>-8750</v>
      </c>
      <c r="H26" s="13"/>
      <c r="I26" s="13"/>
      <c r="J26" s="13"/>
    </row>
    <row r="27" spans="1:11" x14ac:dyDescent="0.25">
      <c r="A27" s="13" t="s">
        <v>27</v>
      </c>
      <c r="B27" s="14">
        <f>D20</f>
        <v>14000</v>
      </c>
      <c r="C27" s="13"/>
      <c r="D27" s="13"/>
      <c r="E27" s="13"/>
      <c r="F27" s="13"/>
      <c r="G27" s="14"/>
      <c r="H27" s="13"/>
      <c r="I27" s="13"/>
      <c r="J27" s="13"/>
    </row>
    <row r="28" spans="1:11" x14ac:dyDescent="0.25">
      <c r="A28" s="3" t="s">
        <v>31</v>
      </c>
      <c r="B28" s="3">
        <f>E20</f>
        <v>1000</v>
      </c>
      <c r="C28" s="3"/>
      <c r="D28" s="3"/>
      <c r="E28" s="3"/>
      <c r="F28" s="3"/>
      <c r="G28" s="3"/>
      <c r="H28" s="3"/>
      <c r="I28" s="3"/>
      <c r="J28" s="3"/>
    </row>
    <row r="29" spans="1:11" x14ac:dyDescent="0.25">
      <c r="A29" s="3" t="s">
        <v>37</v>
      </c>
      <c r="B29" s="3">
        <f>F20</f>
        <v>11000</v>
      </c>
      <c r="C29" s="3"/>
      <c r="D29" s="3"/>
      <c r="E29" s="3"/>
      <c r="F29" s="3"/>
      <c r="G29" s="3"/>
      <c r="H29" s="3"/>
      <c r="I29" s="3"/>
      <c r="J29" s="3"/>
    </row>
    <row r="30" spans="1:11" x14ac:dyDescent="0.25">
      <c r="A30" s="3" t="s">
        <v>43</v>
      </c>
      <c r="B30" s="3">
        <f>H20</f>
        <v>9900</v>
      </c>
      <c r="C30" s="3"/>
      <c r="D30" s="3"/>
      <c r="E30" s="3"/>
      <c r="F30" s="3"/>
      <c r="G30" s="3"/>
      <c r="H30" s="3"/>
      <c r="I30" s="3"/>
      <c r="J30" s="3"/>
    </row>
    <row r="31" spans="1:11" x14ac:dyDescent="0.25">
      <c r="A31" s="13" t="s">
        <v>18</v>
      </c>
      <c r="B31" s="16">
        <v>0.05</v>
      </c>
      <c r="C31" s="14">
        <f>B31*B25</f>
        <v>8135</v>
      </c>
      <c r="D31" s="14"/>
      <c r="E31" s="13"/>
      <c r="F31" s="13" t="s">
        <v>18</v>
      </c>
      <c r="G31" s="16">
        <v>0.05</v>
      </c>
      <c r="H31" s="14">
        <f>G31*B25</f>
        <v>8135</v>
      </c>
      <c r="I31" s="14"/>
      <c r="J31" s="14"/>
    </row>
    <row r="32" spans="1:11" x14ac:dyDescent="0.25">
      <c r="A32" s="27" t="s">
        <v>19</v>
      </c>
      <c r="B32" s="13" t="s">
        <v>9</v>
      </c>
      <c r="C32" s="13"/>
      <c r="D32" s="13"/>
      <c r="E32" s="13"/>
      <c r="F32" s="27" t="s">
        <v>19</v>
      </c>
      <c r="G32" s="14"/>
      <c r="H32" s="13"/>
      <c r="I32" s="13"/>
      <c r="J32" s="13"/>
    </row>
    <row r="33" spans="1:11" x14ac:dyDescent="0.25">
      <c r="A33" s="27"/>
      <c r="B33" s="13"/>
      <c r="C33" s="13"/>
      <c r="D33" s="13"/>
      <c r="E33" s="13"/>
      <c r="F33" s="24" t="s">
        <v>42</v>
      </c>
      <c r="G33" s="14"/>
      <c r="H33" s="13">
        <f>G20</f>
        <v>2250</v>
      </c>
      <c r="I33" s="13"/>
      <c r="J33" s="13"/>
    </row>
    <row r="34" spans="1:11" x14ac:dyDescent="0.25">
      <c r="A34" s="17" t="s">
        <v>37</v>
      </c>
      <c r="B34" s="3"/>
      <c r="C34" s="3">
        <v>9000</v>
      </c>
      <c r="D34" s="3"/>
      <c r="E34" s="3"/>
      <c r="F34" s="17" t="s">
        <v>37</v>
      </c>
      <c r="G34" s="3"/>
      <c r="H34" s="3">
        <v>9000</v>
      </c>
      <c r="I34" s="3"/>
      <c r="J34" s="3"/>
    </row>
    <row r="35" spans="1:11" x14ac:dyDescent="0.25">
      <c r="A35" s="18" t="s">
        <v>60</v>
      </c>
      <c r="B35" s="3"/>
      <c r="C35" s="3">
        <v>7000</v>
      </c>
      <c r="D35" s="3"/>
      <c r="E35" s="3"/>
      <c r="F35" s="18" t="s">
        <v>60</v>
      </c>
      <c r="G35" s="3"/>
      <c r="H35" s="3">
        <v>7000</v>
      </c>
      <c r="I35" s="3"/>
      <c r="J35" s="3"/>
    </row>
    <row r="36" spans="1:11" x14ac:dyDescent="0.25">
      <c r="A36" t="s">
        <v>85</v>
      </c>
      <c r="B36" s="13"/>
      <c r="C36" s="13">
        <v>172065</v>
      </c>
      <c r="D36" s="13"/>
      <c r="E36" s="13"/>
      <c r="F36" t="s">
        <v>85</v>
      </c>
      <c r="G36" s="13"/>
      <c r="H36" s="13">
        <v>172065</v>
      </c>
      <c r="I36" s="13"/>
      <c r="J36" s="13"/>
    </row>
    <row r="37" spans="1:11" x14ac:dyDescent="0.25">
      <c r="A37" s="19"/>
      <c r="B37" s="13"/>
      <c r="C37" s="13"/>
      <c r="D37" s="13"/>
      <c r="E37" s="13"/>
      <c r="F37" s="19"/>
      <c r="G37" s="13"/>
      <c r="H37" s="13"/>
      <c r="I37" s="13"/>
      <c r="J37" s="13"/>
    </row>
    <row r="38" spans="1:11" x14ac:dyDescent="0.25">
      <c r="A38" s="20"/>
      <c r="B38" s="13"/>
      <c r="C38" s="13"/>
      <c r="D38" s="13"/>
      <c r="E38" s="13"/>
      <c r="F38" s="20"/>
      <c r="G38" s="13"/>
      <c r="H38" s="13"/>
      <c r="I38" s="21"/>
      <c r="J38" s="21"/>
    </row>
    <row r="39" spans="1:11" x14ac:dyDescent="0.25">
      <c r="A39" s="18"/>
      <c r="B39" s="3"/>
      <c r="C39" s="21"/>
      <c r="D39" s="13"/>
      <c r="E39" s="13"/>
      <c r="F39" s="18"/>
      <c r="G39" s="3"/>
      <c r="H39" s="21"/>
      <c r="I39" s="21"/>
      <c r="J39" s="21"/>
    </row>
    <row r="40" spans="1:11" x14ac:dyDescent="0.25">
      <c r="A40" s="18"/>
      <c r="B40" s="3"/>
      <c r="C40" s="21"/>
      <c r="D40" s="21"/>
      <c r="E40" s="13"/>
      <c r="F40" s="18"/>
      <c r="G40" s="3"/>
      <c r="H40" s="21"/>
      <c r="I40" s="3"/>
      <c r="J40" s="3"/>
      <c r="K40" s="15"/>
    </row>
    <row r="41" spans="1:11" x14ac:dyDescent="0.25">
      <c r="A41" s="24" t="s">
        <v>8</v>
      </c>
      <c r="B41" s="25">
        <f>B25+B26+B27+B28+B29+B30-C31</f>
        <v>188065</v>
      </c>
      <c r="C41" s="25">
        <f>SUM(C34:C40)</f>
        <v>188065</v>
      </c>
      <c r="D41" s="25"/>
      <c r="E41" s="25">
        <f>B41-C41</f>
        <v>0</v>
      </c>
      <c r="F41" s="24" t="s">
        <v>8</v>
      </c>
      <c r="G41" s="25">
        <f>G25+G26-H31</f>
        <v>163565</v>
      </c>
      <c r="H41" s="25">
        <f>SUM(H33:H40)</f>
        <v>190315</v>
      </c>
      <c r="I41" s="25">
        <f>G41-H41</f>
        <v>-26750</v>
      </c>
      <c r="J41" s="25"/>
    </row>
    <row r="43" spans="1:11" x14ac:dyDescent="0.25">
      <c r="A43" t="s">
        <v>20</v>
      </c>
      <c r="C43" t="s">
        <v>21</v>
      </c>
      <c r="I43" t="s">
        <v>22</v>
      </c>
    </row>
    <row r="44" spans="1:11" x14ac:dyDescent="0.25">
      <c r="K44" s="15"/>
    </row>
    <row r="45" spans="1:11" x14ac:dyDescent="0.25">
      <c r="A45" t="s">
        <v>34</v>
      </c>
      <c r="C45" t="s">
        <v>23</v>
      </c>
      <c r="I45" t="s">
        <v>95</v>
      </c>
    </row>
  </sheetData>
  <pageMargins left="0" right="0" top="0" bottom="0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10" workbookViewId="0">
      <selection activeCell="G26" sqref="G26"/>
    </sheetView>
  </sheetViews>
  <sheetFormatPr defaultRowHeight="15" x14ac:dyDescent="0.25"/>
  <cols>
    <col min="1" max="1" width="16.85546875" customWidth="1"/>
    <col min="2" max="2" width="7.42578125" customWidth="1"/>
    <col min="3" max="3" width="7.7109375" customWidth="1"/>
    <col min="4" max="4" width="7.5703125" customWidth="1"/>
    <col min="6" max="6" width="7.28515625" customWidth="1"/>
    <col min="7" max="8" width="7.7109375" customWidth="1"/>
    <col min="10" max="10" width="9.5703125" customWidth="1"/>
    <col min="11" max="11" width="9.85546875" customWidth="1"/>
  </cols>
  <sheetData>
    <row r="1" spans="1:12" x14ac:dyDescent="0.25">
      <c r="D1" s="1" t="s">
        <v>94</v>
      </c>
      <c r="E1" s="1"/>
      <c r="F1" s="1"/>
      <c r="G1" s="1"/>
      <c r="H1" s="1"/>
      <c r="I1" s="1"/>
      <c r="J1" s="1"/>
      <c r="K1" s="1"/>
    </row>
    <row r="2" spans="1:12" x14ac:dyDescent="0.25">
      <c r="A2" s="1"/>
      <c r="D2" s="1" t="s">
        <v>0</v>
      </c>
      <c r="E2" s="1"/>
      <c r="F2" s="1"/>
      <c r="G2" s="1"/>
      <c r="H2" s="1"/>
      <c r="I2" s="1"/>
      <c r="J2" s="1"/>
      <c r="K2" s="1"/>
    </row>
    <row r="3" spans="1:12" x14ac:dyDescent="0.25">
      <c r="A3" s="1"/>
      <c r="D3" s="1" t="s">
        <v>87</v>
      </c>
      <c r="E3" s="1"/>
      <c r="F3" s="1"/>
      <c r="G3" s="1"/>
      <c r="H3" s="1"/>
      <c r="I3" s="1"/>
      <c r="J3" s="1"/>
      <c r="K3" s="1"/>
    </row>
    <row r="4" spans="1:12" x14ac:dyDescent="0.25">
      <c r="A4" s="2" t="s">
        <v>2</v>
      </c>
      <c r="B4" s="2" t="s">
        <v>51</v>
      </c>
      <c r="C4" s="2" t="s">
        <v>3</v>
      </c>
      <c r="D4" s="2" t="s">
        <v>27</v>
      </c>
      <c r="E4" s="2" t="s">
        <v>31</v>
      </c>
      <c r="F4" s="2" t="s">
        <v>50</v>
      </c>
      <c r="G4" s="2" t="s">
        <v>42</v>
      </c>
      <c r="H4" s="2" t="s">
        <v>43</v>
      </c>
      <c r="I4" s="2" t="s">
        <v>5</v>
      </c>
      <c r="J4" s="2" t="s">
        <v>6</v>
      </c>
      <c r="K4" s="2" t="s">
        <v>7</v>
      </c>
    </row>
    <row r="5" spans="1:12" x14ac:dyDescent="0.25">
      <c r="A5" s="3" t="s">
        <v>82</v>
      </c>
      <c r="B5" s="3">
        <v>14000</v>
      </c>
      <c r="C5" s="3">
        <f>'AUGUST 20'!K5:K20</f>
        <v>1250</v>
      </c>
      <c r="D5" s="3"/>
      <c r="E5" s="3"/>
      <c r="F5" s="3">
        <v>1000</v>
      </c>
      <c r="G5" s="3">
        <v>250</v>
      </c>
      <c r="H5" s="3">
        <v>600</v>
      </c>
      <c r="I5" s="3">
        <f>B5+B17+C5+D5+E5+F5+G5+H5</f>
        <v>17100</v>
      </c>
      <c r="J5" s="3">
        <f>9000+3000</f>
        <v>12000</v>
      </c>
      <c r="K5" s="3">
        <f>I5-J5</f>
        <v>5100</v>
      </c>
    </row>
    <row r="6" spans="1:12" x14ac:dyDescent="0.25">
      <c r="A6" s="3" t="s">
        <v>39</v>
      </c>
      <c r="B6" s="3">
        <v>14000</v>
      </c>
      <c r="C6" s="3">
        <f>'AUGUST 20'!K6:K21</f>
        <v>2550</v>
      </c>
      <c r="D6" s="3"/>
      <c r="E6" s="3"/>
      <c r="F6" s="3">
        <v>1000</v>
      </c>
      <c r="G6" s="3">
        <v>250</v>
      </c>
      <c r="H6" s="3">
        <v>1200</v>
      </c>
      <c r="I6" s="3">
        <f t="shared" ref="I6:I17" si="0">B6+C6+D6+E6+F6+G6+H6</f>
        <v>19000</v>
      </c>
      <c r="J6" s="3">
        <f>16450+2550</f>
        <v>19000</v>
      </c>
      <c r="K6" s="3">
        <f>I6-J6</f>
        <v>0</v>
      </c>
    </row>
    <row r="7" spans="1:12" x14ac:dyDescent="0.25">
      <c r="A7" s="3" t="s">
        <v>35</v>
      </c>
      <c r="B7" s="3">
        <v>14000</v>
      </c>
      <c r="C7" s="3">
        <f>'AUGUST 20'!K7:K22</f>
        <v>0</v>
      </c>
      <c r="D7" s="3"/>
      <c r="E7" s="3"/>
      <c r="F7" s="3">
        <v>1000</v>
      </c>
      <c r="G7" s="3">
        <v>250</v>
      </c>
      <c r="H7" s="3">
        <v>1650</v>
      </c>
      <c r="I7" s="3">
        <f>B7+C7+D7+E7+F7+G7+H7</f>
        <v>16900</v>
      </c>
      <c r="J7" s="3">
        <f>14000+1650+1000</f>
        <v>16650</v>
      </c>
      <c r="K7" s="3">
        <f>I7-J7</f>
        <v>250</v>
      </c>
    </row>
    <row r="8" spans="1:12" x14ac:dyDescent="0.25">
      <c r="A8" s="3" t="s">
        <v>48</v>
      </c>
      <c r="B8" s="3">
        <v>14000</v>
      </c>
      <c r="C8" s="3">
        <f>'AUGUST 20'!K8:K23</f>
        <v>1550</v>
      </c>
      <c r="D8" s="3"/>
      <c r="E8" s="3"/>
      <c r="F8" s="3">
        <v>1000</v>
      </c>
      <c r="G8" s="3">
        <v>250</v>
      </c>
      <c r="H8" s="3">
        <v>150</v>
      </c>
      <c r="I8" s="3">
        <f t="shared" si="0"/>
        <v>16950</v>
      </c>
      <c r="J8" s="3">
        <f>15000</f>
        <v>15000</v>
      </c>
      <c r="K8" s="3">
        <f t="shared" ref="K8:K19" si="1">I8-J8</f>
        <v>1950</v>
      </c>
    </row>
    <row r="9" spans="1:12" x14ac:dyDescent="0.25">
      <c r="A9" s="3" t="s">
        <v>59</v>
      </c>
      <c r="B9" s="3">
        <v>9000</v>
      </c>
      <c r="C9" s="3">
        <f>'AUGUST 20'!K9:K24</f>
        <v>150</v>
      </c>
      <c r="D9" s="3"/>
      <c r="E9" s="3"/>
      <c r="F9" s="3">
        <v>1000</v>
      </c>
      <c r="G9" s="3">
        <v>250</v>
      </c>
      <c r="H9" s="3">
        <v>600</v>
      </c>
      <c r="I9" s="3">
        <f>B9+C9+D9+E9+F9+G9+H9</f>
        <v>11000</v>
      </c>
      <c r="J9" s="3">
        <v>10000</v>
      </c>
      <c r="K9" s="3">
        <f t="shared" si="1"/>
        <v>1000</v>
      </c>
    </row>
    <row r="10" spans="1:12" x14ac:dyDescent="0.25">
      <c r="A10" s="4" t="s">
        <v>78</v>
      </c>
      <c r="B10" s="3"/>
      <c r="C10" s="3">
        <f>'AUGUST 20'!K10:K25</f>
        <v>22250</v>
      </c>
      <c r="D10" s="3"/>
      <c r="E10" s="3"/>
      <c r="F10" s="3"/>
      <c r="G10" s="3"/>
      <c r="H10" s="3"/>
      <c r="I10" s="3">
        <f t="shared" si="0"/>
        <v>22250</v>
      </c>
      <c r="J10" s="3"/>
      <c r="K10" s="3">
        <f>I10-J10</f>
        <v>22250</v>
      </c>
      <c r="L10" t="s">
        <v>91</v>
      </c>
    </row>
    <row r="11" spans="1:12" x14ac:dyDescent="0.25">
      <c r="A11" s="3" t="s">
        <v>32</v>
      </c>
      <c r="B11" s="3">
        <v>14000</v>
      </c>
      <c r="C11" s="3">
        <f>'AUGUST 20'!K11:K26</f>
        <v>1450</v>
      </c>
      <c r="D11" s="3"/>
      <c r="E11" s="3"/>
      <c r="F11" s="3">
        <v>1000</v>
      </c>
      <c r="G11" s="3">
        <v>250</v>
      </c>
      <c r="H11" s="3">
        <v>600</v>
      </c>
      <c r="I11" s="3">
        <f t="shared" si="0"/>
        <v>17300</v>
      </c>
      <c r="J11" s="3">
        <f>15000+1000</f>
        <v>16000</v>
      </c>
      <c r="K11" s="3">
        <f t="shared" si="1"/>
        <v>1300</v>
      </c>
    </row>
    <row r="12" spans="1:12" x14ac:dyDescent="0.25">
      <c r="A12" s="3" t="s">
        <v>30</v>
      </c>
      <c r="B12" s="3">
        <v>14000</v>
      </c>
      <c r="C12" s="3">
        <f>'AUGUST 20'!K12:K27</f>
        <v>0</v>
      </c>
      <c r="D12" s="3"/>
      <c r="E12" s="3"/>
      <c r="F12" s="3">
        <v>1000</v>
      </c>
      <c r="G12" s="3">
        <v>250</v>
      </c>
      <c r="H12" s="3">
        <v>1650</v>
      </c>
      <c r="I12" s="3">
        <f t="shared" si="0"/>
        <v>16900</v>
      </c>
      <c r="J12" s="3">
        <f>16900</f>
        <v>16900</v>
      </c>
      <c r="K12" s="3">
        <f t="shared" si="1"/>
        <v>0</v>
      </c>
    </row>
    <row r="13" spans="1:12" x14ac:dyDescent="0.25">
      <c r="A13" s="3" t="s">
        <v>40</v>
      </c>
      <c r="B13" s="3">
        <v>14000</v>
      </c>
      <c r="C13" s="3">
        <f>'AUGUST 20'!K13:K28</f>
        <v>1000</v>
      </c>
      <c r="D13" s="3"/>
      <c r="E13" s="3"/>
      <c r="F13" s="3">
        <v>1000</v>
      </c>
      <c r="G13" s="3">
        <v>250</v>
      </c>
      <c r="H13" s="3">
        <v>750</v>
      </c>
      <c r="I13" s="3">
        <f t="shared" si="0"/>
        <v>17000</v>
      </c>
      <c r="J13" s="3">
        <v>16000</v>
      </c>
      <c r="K13" s="3">
        <f t="shared" si="1"/>
        <v>1000</v>
      </c>
    </row>
    <row r="14" spans="1:12" x14ac:dyDescent="0.25">
      <c r="A14" s="3" t="s">
        <v>96</v>
      </c>
      <c r="B14" s="3">
        <v>10000</v>
      </c>
      <c r="C14" s="3"/>
      <c r="D14" s="3">
        <v>10000</v>
      </c>
      <c r="E14" s="3">
        <v>1000</v>
      </c>
      <c r="F14" s="3">
        <v>1000</v>
      </c>
      <c r="G14" s="3">
        <v>250</v>
      </c>
      <c r="H14" s="3"/>
      <c r="I14" s="3">
        <f>B14+C14+D14+E14+F14+G14+H14</f>
        <v>22250</v>
      </c>
      <c r="J14" s="3">
        <f>10250+12000</f>
        <v>22250</v>
      </c>
      <c r="K14" s="3">
        <f>I14-J14</f>
        <v>0</v>
      </c>
      <c r="L14" t="s">
        <v>91</v>
      </c>
    </row>
    <row r="15" spans="1:12" x14ac:dyDescent="0.25">
      <c r="A15" s="3" t="s">
        <v>71</v>
      </c>
      <c r="B15" s="3">
        <v>15000</v>
      </c>
      <c r="C15" s="3">
        <f>'AUGUST 20'!K15:K30</f>
        <v>3000</v>
      </c>
      <c r="D15" s="3"/>
      <c r="E15" s="3"/>
      <c r="F15" s="3">
        <v>1000</v>
      </c>
      <c r="G15" s="3"/>
      <c r="H15" s="3"/>
      <c r="I15" s="3">
        <f>B15+C15+D15+E15+F15+G15+H15</f>
        <v>19000</v>
      </c>
      <c r="J15" s="3">
        <f>16450+1500</f>
        <v>17950</v>
      </c>
      <c r="K15" s="3">
        <f t="shared" si="1"/>
        <v>1050</v>
      </c>
    </row>
    <row r="16" spans="1:12" x14ac:dyDescent="0.25">
      <c r="A16" s="3" t="s">
        <v>36</v>
      </c>
      <c r="B16" s="3">
        <v>22000</v>
      </c>
      <c r="C16" s="3">
        <f>'AUGUST 20'!K16:K31</f>
        <v>17500</v>
      </c>
      <c r="D16" s="3"/>
      <c r="E16" s="3"/>
      <c r="F16" s="3">
        <v>1000</v>
      </c>
      <c r="G16" s="3"/>
      <c r="H16" s="3"/>
      <c r="I16" s="3">
        <f>B16+C16+D16+E16+F16+G16+H16</f>
        <v>40500</v>
      </c>
      <c r="J16" s="3">
        <v>23000</v>
      </c>
      <c r="K16" s="3">
        <f>I16-J16</f>
        <v>17500</v>
      </c>
    </row>
    <row r="17" spans="1:12" x14ac:dyDescent="0.25">
      <c r="A17" s="3" t="s">
        <v>74</v>
      </c>
      <c r="B17" s="3"/>
      <c r="C17" s="3">
        <f>'AUGUST 20'!K17:K32</f>
        <v>0</v>
      </c>
      <c r="D17" s="3"/>
      <c r="E17" s="3"/>
      <c r="F17" s="3"/>
      <c r="G17" s="3"/>
      <c r="H17" s="3">
        <v>1500</v>
      </c>
      <c r="I17" s="3">
        <f t="shared" si="0"/>
        <v>1500</v>
      </c>
      <c r="J17" s="3">
        <f>1500</f>
        <v>1500</v>
      </c>
      <c r="K17" s="3">
        <f>I17-J17</f>
        <v>0</v>
      </c>
    </row>
    <row r="18" spans="1:12" x14ac:dyDescent="0.25">
      <c r="A18" s="3"/>
      <c r="B18" s="3"/>
      <c r="C18" s="3">
        <f>'AUGUST 20'!K18:K33</f>
        <v>0</v>
      </c>
      <c r="D18" s="3"/>
      <c r="E18" s="3"/>
      <c r="F18" s="3"/>
      <c r="G18" s="3"/>
      <c r="H18" s="3"/>
      <c r="I18" s="3">
        <f>B18+C18+D18+E18+F18+G18+H18</f>
        <v>0</v>
      </c>
      <c r="J18" s="3"/>
      <c r="K18" s="3">
        <f t="shared" si="1"/>
        <v>0</v>
      </c>
    </row>
    <row r="19" spans="1:12" x14ac:dyDescent="0.25">
      <c r="A19" s="3"/>
      <c r="B19" s="3"/>
      <c r="C19" s="3">
        <f>'AUGUST 20'!K19:K34</f>
        <v>0</v>
      </c>
      <c r="D19" s="3"/>
      <c r="E19" s="3"/>
      <c r="F19" s="3"/>
      <c r="G19" s="3"/>
      <c r="H19" s="3"/>
      <c r="I19" s="3">
        <f>B19+C19+D19+E19+F19+G19+H19</f>
        <v>0</v>
      </c>
      <c r="J19" s="3"/>
      <c r="K19" s="3">
        <f t="shared" si="1"/>
        <v>0</v>
      </c>
    </row>
    <row r="20" spans="1:12" x14ac:dyDescent="0.25">
      <c r="A20" s="2"/>
      <c r="B20" s="2">
        <f>SUM(B5:B19)</f>
        <v>154000</v>
      </c>
      <c r="C20" s="3">
        <f>SUM(C5:C19)</f>
        <v>50700</v>
      </c>
      <c r="D20" s="2">
        <f t="shared" ref="D20:G20" si="2">SUM(D5:D19)</f>
        <v>10000</v>
      </c>
      <c r="E20" s="2">
        <f t="shared" si="2"/>
        <v>1000</v>
      </c>
      <c r="F20" s="2">
        <f t="shared" si="2"/>
        <v>11000</v>
      </c>
      <c r="G20" s="2">
        <f t="shared" si="2"/>
        <v>2250</v>
      </c>
      <c r="H20" s="2">
        <f>SUM(H5:H19)</f>
        <v>8700</v>
      </c>
      <c r="I20" s="3">
        <f>B20+C20+D20+E20+F20+G20+H20</f>
        <v>237650</v>
      </c>
      <c r="J20" s="2">
        <f>SUM(J5:J19)</f>
        <v>186250</v>
      </c>
      <c r="K20" s="3">
        <f>SUM(K5:K19)</f>
        <v>51400</v>
      </c>
    </row>
    <row r="21" spans="1:12" x14ac:dyDescent="0.25">
      <c r="A21" s="6"/>
      <c r="B21" s="6"/>
      <c r="C21" s="6"/>
      <c r="D21" s="6"/>
      <c r="E21" s="6" t="s">
        <v>9</v>
      </c>
      <c r="F21" s="6"/>
      <c r="G21" s="6"/>
      <c r="H21" s="6"/>
      <c r="I21" s="3"/>
      <c r="J21" s="6"/>
      <c r="K21" s="29">
        <f>K20-C16-C10</f>
        <v>11650</v>
      </c>
    </row>
    <row r="22" spans="1:12" x14ac:dyDescent="0.25">
      <c r="B22" s="7"/>
      <c r="C22" s="8"/>
      <c r="D22" s="8"/>
      <c r="E22" s="28" t="s">
        <v>10</v>
      </c>
      <c r="F22" s="6"/>
      <c r="G22" s="6"/>
      <c r="H22" s="6"/>
      <c r="I22" s="22"/>
      <c r="J22" s="10"/>
      <c r="K22" s="9">
        <f>K5+K7+K8+K9+K11+K13+K15</f>
        <v>11650</v>
      </c>
      <c r="L22">
        <f>K10-7000</f>
        <v>15250</v>
      </c>
    </row>
    <row r="23" spans="1:12" x14ac:dyDescent="0.25">
      <c r="A23" s="1" t="s">
        <v>11</v>
      </c>
      <c r="B23" s="1"/>
      <c r="C23" s="1"/>
      <c r="D23" s="1"/>
      <c r="E23" s="11"/>
      <c r="F23" s="1" t="s">
        <v>12</v>
      </c>
      <c r="G23" s="12"/>
      <c r="H23" s="12"/>
      <c r="I23" s="12"/>
      <c r="J23" s="12"/>
      <c r="K23" s="32">
        <f>K22+L22</f>
        <v>26900</v>
      </c>
    </row>
    <row r="24" spans="1:12" x14ac:dyDescent="0.25">
      <c r="A24" s="2" t="s">
        <v>13</v>
      </c>
      <c r="B24" s="2" t="s">
        <v>14</v>
      </c>
      <c r="C24" s="2" t="s">
        <v>15</v>
      </c>
      <c r="D24" s="2"/>
      <c r="E24" s="2" t="s">
        <v>16</v>
      </c>
      <c r="F24" s="2" t="s">
        <v>13</v>
      </c>
      <c r="G24" s="2" t="s">
        <v>14</v>
      </c>
      <c r="H24" s="2" t="s">
        <v>15</v>
      </c>
      <c r="I24" s="2" t="s">
        <v>16</v>
      </c>
      <c r="J24" s="2"/>
    </row>
    <row r="25" spans="1:12" x14ac:dyDescent="0.25">
      <c r="A25" s="13" t="s">
        <v>90</v>
      </c>
      <c r="B25" s="14">
        <f>B20</f>
        <v>154000</v>
      </c>
      <c r="C25" s="13"/>
      <c r="D25" s="13"/>
      <c r="E25" s="13"/>
      <c r="F25" s="13" t="s">
        <v>90</v>
      </c>
      <c r="G25" s="14">
        <f>J20</f>
        <v>186250</v>
      </c>
      <c r="H25" s="13"/>
      <c r="I25" s="13"/>
      <c r="J25" s="13"/>
    </row>
    <row r="26" spans="1:12" x14ac:dyDescent="0.25">
      <c r="A26" s="13" t="s">
        <v>3</v>
      </c>
      <c r="B26" s="14"/>
      <c r="C26" s="13"/>
      <c r="D26" s="13"/>
      <c r="E26" s="13"/>
      <c r="F26" s="13" t="s">
        <v>3</v>
      </c>
      <c r="G26" s="14">
        <f>'AUGUST 20'!I41</f>
        <v>-26750</v>
      </c>
      <c r="H26" s="13"/>
      <c r="I26" s="13"/>
      <c r="J26" s="13"/>
    </row>
    <row r="27" spans="1:12" x14ac:dyDescent="0.25">
      <c r="A27" s="13" t="s">
        <v>27</v>
      </c>
      <c r="B27" s="14">
        <f>D20</f>
        <v>10000</v>
      </c>
      <c r="C27" s="13"/>
      <c r="D27" s="13"/>
      <c r="E27" s="13"/>
      <c r="F27" s="13"/>
      <c r="G27" s="14"/>
      <c r="H27" s="13"/>
      <c r="I27" s="13"/>
      <c r="J27" s="13"/>
    </row>
    <row r="28" spans="1:12" x14ac:dyDescent="0.25">
      <c r="A28" s="3" t="s">
        <v>31</v>
      </c>
      <c r="B28" s="3">
        <f>E20</f>
        <v>1000</v>
      </c>
      <c r="C28" s="3"/>
      <c r="D28" s="3"/>
      <c r="E28" s="3"/>
      <c r="F28" s="3"/>
      <c r="G28" s="3"/>
      <c r="H28" s="3"/>
      <c r="I28" s="3"/>
      <c r="J28" s="3"/>
    </row>
    <row r="29" spans="1:12" x14ac:dyDescent="0.25">
      <c r="A29" s="3" t="s">
        <v>37</v>
      </c>
      <c r="B29" s="3">
        <f>F20</f>
        <v>11000</v>
      </c>
      <c r="C29" s="3"/>
      <c r="D29" s="3"/>
      <c r="E29" s="3"/>
      <c r="F29" s="3"/>
      <c r="G29" s="3"/>
      <c r="H29" s="3"/>
      <c r="I29" s="3"/>
      <c r="J29" s="3"/>
    </row>
    <row r="30" spans="1:12" x14ac:dyDescent="0.25">
      <c r="A30" s="3" t="s">
        <v>43</v>
      </c>
      <c r="B30" s="3">
        <f>H20</f>
        <v>8700</v>
      </c>
      <c r="C30" s="3"/>
      <c r="D30" s="3"/>
      <c r="E30" s="3"/>
      <c r="F30" s="3"/>
      <c r="G30" s="3"/>
      <c r="H30" s="3"/>
      <c r="I30" s="3"/>
      <c r="J30" s="3"/>
    </row>
    <row r="31" spans="1:12" x14ac:dyDescent="0.25">
      <c r="A31" s="13" t="s">
        <v>18</v>
      </c>
      <c r="B31" s="16">
        <v>0.05</v>
      </c>
      <c r="C31" s="14">
        <f>B31*B25</f>
        <v>7700</v>
      </c>
      <c r="D31" s="14"/>
      <c r="E31" s="13"/>
      <c r="F31" s="13" t="s">
        <v>18</v>
      </c>
      <c r="G31" s="16">
        <v>0.05</v>
      </c>
      <c r="H31" s="14">
        <f>G31*B25</f>
        <v>7700</v>
      </c>
      <c r="I31" s="14"/>
      <c r="J31" s="14"/>
    </row>
    <row r="32" spans="1:12" x14ac:dyDescent="0.25">
      <c r="A32" s="27" t="s">
        <v>19</v>
      </c>
      <c r="B32" s="13" t="s">
        <v>9</v>
      </c>
      <c r="C32" s="13"/>
      <c r="D32" s="13"/>
      <c r="E32" s="13"/>
      <c r="F32" s="27" t="s">
        <v>19</v>
      </c>
      <c r="G32" s="14"/>
      <c r="H32" s="13"/>
      <c r="I32" s="13"/>
      <c r="J32" s="13"/>
    </row>
    <row r="33" spans="1:11" x14ac:dyDescent="0.25">
      <c r="A33" s="27"/>
      <c r="B33" s="13"/>
      <c r="C33" s="13"/>
      <c r="D33" s="13"/>
      <c r="E33" s="13"/>
      <c r="F33" s="24" t="s">
        <v>42</v>
      </c>
      <c r="G33" s="14"/>
      <c r="H33" s="13">
        <f>G20</f>
        <v>2250</v>
      </c>
      <c r="I33" s="13"/>
      <c r="J33" s="13"/>
    </row>
    <row r="34" spans="1:11" x14ac:dyDescent="0.25">
      <c r="A34" s="17" t="s">
        <v>37</v>
      </c>
      <c r="B34" s="3"/>
      <c r="C34" s="3">
        <v>9000</v>
      </c>
      <c r="D34" s="3"/>
      <c r="E34" s="3"/>
      <c r="F34" s="17" t="s">
        <v>37</v>
      </c>
      <c r="G34" s="3"/>
      <c r="H34" s="3">
        <v>9000</v>
      </c>
      <c r="I34" s="3"/>
      <c r="J34" s="3"/>
    </row>
    <row r="35" spans="1:11" ht="18.75" customHeight="1" x14ac:dyDescent="0.25">
      <c r="A35" s="18" t="s">
        <v>60</v>
      </c>
      <c r="B35" s="3"/>
      <c r="C35" s="3">
        <v>7000</v>
      </c>
      <c r="D35" s="3"/>
      <c r="E35" s="3"/>
      <c r="F35" s="18" t="s">
        <v>60</v>
      </c>
      <c r="G35" s="3"/>
      <c r="H35" s="3">
        <v>7000</v>
      </c>
      <c r="I35" s="3"/>
      <c r="J35" s="3"/>
    </row>
    <row r="36" spans="1:11" x14ac:dyDescent="0.25">
      <c r="A36" t="s">
        <v>88</v>
      </c>
      <c r="B36" s="13"/>
      <c r="C36" s="13">
        <v>100</v>
      </c>
      <c r="D36" s="13"/>
      <c r="E36" s="13"/>
      <c r="F36" t="s">
        <v>88</v>
      </c>
      <c r="G36" s="13"/>
      <c r="H36" s="13">
        <v>100</v>
      </c>
      <c r="I36" s="13"/>
      <c r="J36" s="13"/>
    </row>
    <row r="37" spans="1:11" x14ac:dyDescent="0.25">
      <c r="A37" s="19" t="s">
        <v>89</v>
      </c>
      <c r="B37" s="13"/>
      <c r="C37" s="13">
        <v>7000</v>
      </c>
      <c r="D37" s="13"/>
      <c r="E37" s="13"/>
      <c r="F37" s="19"/>
      <c r="G37" s="13"/>
      <c r="H37" s="13"/>
      <c r="I37" s="13"/>
      <c r="J37" s="13"/>
    </row>
    <row r="38" spans="1:11" x14ac:dyDescent="0.25">
      <c r="A38" s="19" t="s">
        <v>86</v>
      </c>
      <c r="B38" s="13"/>
      <c r="C38" s="13">
        <v>4500</v>
      </c>
      <c r="D38" s="13"/>
      <c r="E38" s="13"/>
      <c r="F38" s="19" t="s">
        <v>86</v>
      </c>
      <c r="G38" s="13"/>
      <c r="H38" s="13">
        <v>4500</v>
      </c>
      <c r="I38" s="21"/>
      <c r="J38" s="21"/>
    </row>
    <row r="39" spans="1:11" x14ac:dyDescent="0.25">
      <c r="A39" s="20" t="s">
        <v>61</v>
      </c>
      <c r="B39" s="13"/>
      <c r="C39" s="13">
        <f>450+100</f>
        <v>550</v>
      </c>
      <c r="D39" s="13"/>
      <c r="E39" s="13"/>
      <c r="F39" s="20" t="s">
        <v>61</v>
      </c>
      <c r="G39" s="13"/>
      <c r="H39" s="13">
        <f>450+100</f>
        <v>550</v>
      </c>
      <c r="I39" s="21"/>
      <c r="J39" s="21"/>
    </row>
    <row r="40" spans="1:11" x14ac:dyDescent="0.25">
      <c r="A40" s="18" t="s">
        <v>92</v>
      </c>
      <c r="B40" s="3"/>
      <c r="C40" s="21">
        <v>148850</v>
      </c>
      <c r="D40" s="21"/>
      <c r="E40" s="13"/>
      <c r="F40" s="18" t="s">
        <v>92</v>
      </c>
      <c r="G40" s="3"/>
      <c r="H40" s="21">
        <v>148850</v>
      </c>
      <c r="I40" s="21"/>
      <c r="J40" s="21"/>
    </row>
    <row r="41" spans="1:11" x14ac:dyDescent="0.25">
      <c r="A41" s="18"/>
      <c r="B41" s="3"/>
      <c r="C41" s="21"/>
      <c r="D41" s="21"/>
      <c r="E41" s="13"/>
      <c r="F41" s="18"/>
      <c r="G41" s="3"/>
      <c r="H41" s="21"/>
      <c r="I41" s="3"/>
      <c r="J41" s="3"/>
      <c r="K41" s="15"/>
    </row>
    <row r="42" spans="1:11" x14ac:dyDescent="0.25">
      <c r="A42" s="24" t="s">
        <v>8</v>
      </c>
      <c r="B42" s="25">
        <f>B25+B26+B27+B28+B29+B30-C31</f>
        <v>177000</v>
      </c>
      <c r="C42" s="25">
        <f>SUM(C34:C41)</f>
        <v>177000</v>
      </c>
      <c r="D42" s="25"/>
      <c r="E42" s="25">
        <f>B42-C42</f>
        <v>0</v>
      </c>
      <c r="F42" s="24" t="s">
        <v>8</v>
      </c>
      <c r="G42" s="25">
        <f>G25+G26-H31</f>
        <v>151800</v>
      </c>
      <c r="H42" s="25">
        <f>SUM(H33:H41)</f>
        <v>172250</v>
      </c>
      <c r="I42" s="25">
        <f>G42-H42</f>
        <v>-20450</v>
      </c>
      <c r="J42" s="25"/>
    </row>
    <row r="44" spans="1:11" x14ac:dyDescent="0.25">
      <c r="A44" t="s">
        <v>20</v>
      </c>
      <c r="C44" t="s">
        <v>21</v>
      </c>
      <c r="I44" t="s">
        <v>22</v>
      </c>
    </row>
    <row r="45" spans="1:11" x14ac:dyDescent="0.25">
      <c r="K45" s="15"/>
    </row>
    <row r="46" spans="1:11" x14ac:dyDescent="0.25">
      <c r="A46" t="s">
        <v>34</v>
      </c>
      <c r="C46" t="s">
        <v>23</v>
      </c>
      <c r="I46" t="s">
        <v>95</v>
      </c>
    </row>
    <row r="48" spans="1:11" x14ac:dyDescent="0.25">
      <c r="F48" s="15"/>
    </row>
  </sheetData>
  <pageMargins left="0" right="0" top="0" bottom="0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JANUARY </vt:lpstr>
      <vt:lpstr>FEBRUARY 20</vt:lpstr>
      <vt:lpstr>MARCH 20</vt:lpstr>
      <vt:lpstr>APRIL 20</vt:lpstr>
      <vt:lpstr>MAY 20</vt:lpstr>
      <vt:lpstr>JUNE 20</vt:lpstr>
      <vt:lpstr>JULY 20</vt:lpstr>
      <vt:lpstr>AUGUST 20</vt:lpstr>
      <vt:lpstr>SEPTEMBER20</vt:lpstr>
      <vt:lpstr>OCTOBER 20</vt:lpstr>
      <vt:lpstr>NOVEMBER20</vt:lpstr>
      <vt:lpstr>DECEMBER 20</vt:lpstr>
      <vt:lpstr>JANUARY 21</vt:lpstr>
      <vt:lpstr>FEBRUARY21</vt:lpstr>
      <vt:lpstr>MARCH 21</vt:lpstr>
      <vt:lpstr>APRIL 21</vt:lpstr>
      <vt:lpstr>MAY 21</vt:lpstr>
      <vt:lpstr>JUNE 21</vt:lpstr>
      <vt:lpstr>JULY 21</vt:lpstr>
      <vt:lpstr>AUGUST 21</vt:lpstr>
      <vt:lpstr>SEPT 21</vt:lpstr>
      <vt:lpstr>OCTOBER 21</vt:lpstr>
      <vt:lpstr>NOVEMBER 21</vt:lpstr>
      <vt:lpstr>DECEMBER 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2021-12-08T08:29:14Z</dcterms:modified>
</cp:coreProperties>
</file>