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720" yWindow="405" windowWidth="17955" windowHeight="11490" firstSheet="13" activeTab="13"/>
  </bookViews>
  <sheets>
    <sheet name="NOVEMBER 20" sheetId="1" r:id="rId1"/>
    <sheet name="DECEMBER 20" sheetId="2" r:id="rId2"/>
    <sheet name="JANUARY 21" sheetId="3" r:id="rId3"/>
    <sheet name="FEBRUARY 21" sheetId="4" r:id="rId4"/>
    <sheet name="MARCH 21" sheetId="5" r:id="rId5"/>
    <sheet name="APRIL 21" sheetId="6" r:id="rId6"/>
    <sheet name="MAY 21" sheetId="7" r:id="rId7"/>
    <sheet name="JUNE 21" sheetId="8" r:id="rId8"/>
    <sheet name="JULY 21" sheetId="9" r:id="rId9"/>
    <sheet name="AUGUST 21" sheetId="10" r:id="rId10"/>
    <sheet name="SEPT 21" sheetId="11" r:id="rId11"/>
    <sheet name="OCTOBER 21" sheetId="12" r:id="rId12"/>
    <sheet name=" NOVEMBER 21" sheetId="13" r:id="rId13"/>
    <sheet name="DECEMBER 21" sheetId="14" r:id="rId14"/>
  </sheets>
  <externalReferences>
    <externalReference r:id="rId15"/>
  </externalReferences>
  <calcPr calcId="162913"/>
</workbook>
</file>

<file path=xl/calcChain.xml><?xml version="1.0" encoding="utf-8"?>
<calcChain xmlns="http://schemas.openxmlformats.org/spreadsheetml/2006/main">
  <c r="U32" i="13" l="1"/>
  <c r="Q74" i="13" l="1"/>
  <c r="P72" i="13" l="1"/>
  <c r="N73" i="13"/>
  <c r="O52" i="14" l="1"/>
  <c r="P40" i="14"/>
  <c r="X39" i="14"/>
  <c r="N49" i="14" s="1"/>
  <c r="W39" i="14"/>
  <c r="N46" i="14" s="1"/>
  <c r="S39" i="14"/>
  <c r="N47" i="14" s="1"/>
  <c r="Q39" i="14"/>
  <c r="N42" i="14" s="1"/>
  <c r="O39" i="14"/>
  <c r="N44" i="14" s="1"/>
  <c r="R34" i="14"/>
  <c r="R39" i="14" s="1"/>
  <c r="N45" i="14" s="1"/>
  <c r="I29" i="14"/>
  <c r="E29" i="14"/>
  <c r="D12" i="14"/>
  <c r="I11" i="14"/>
  <c r="H16" i="14" s="1"/>
  <c r="G11" i="14"/>
  <c r="C16" i="14" s="1"/>
  <c r="F11" i="14"/>
  <c r="C20" i="14" s="1"/>
  <c r="E11" i="14"/>
  <c r="C19" i="14" s="1"/>
  <c r="C11" i="14"/>
  <c r="U39" i="14"/>
  <c r="T42" i="14" s="1"/>
  <c r="Q40" i="14" l="1"/>
  <c r="U51" i="14" s="1"/>
  <c r="U59" i="14" s="1"/>
  <c r="U60" i="14" s="1"/>
  <c r="E21" i="14"/>
  <c r="T47" i="14"/>
  <c r="G11" i="13"/>
  <c r="O51" i="14" l="1"/>
  <c r="O59" i="14" s="1"/>
  <c r="U16" i="13"/>
  <c r="U12" i="13" l="1"/>
  <c r="U10" i="13" l="1"/>
  <c r="U33" i="13"/>
  <c r="U8" i="13" l="1"/>
  <c r="U15" i="13" l="1"/>
  <c r="R34" i="13" l="1"/>
  <c r="U14" i="12"/>
  <c r="U15" i="12"/>
  <c r="U13" i="12"/>
  <c r="O52" i="13" l="1"/>
  <c r="P40" i="13"/>
  <c r="X39" i="13"/>
  <c r="N49" i="13" s="1"/>
  <c r="W39" i="13"/>
  <c r="N46" i="13" s="1"/>
  <c r="S39" i="13"/>
  <c r="N47" i="13" s="1"/>
  <c r="Q39" i="13"/>
  <c r="N42" i="13" s="1"/>
  <c r="O39" i="13"/>
  <c r="N44" i="13" s="1"/>
  <c r="R39" i="13"/>
  <c r="N45" i="13" s="1"/>
  <c r="I29" i="13"/>
  <c r="E29" i="13"/>
  <c r="U39" i="13"/>
  <c r="T42" i="13" s="1"/>
  <c r="D12" i="13"/>
  <c r="I11" i="13"/>
  <c r="H16" i="13" s="1"/>
  <c r="C16" i="13"/>
  <c r="I21" i="13" s="1"/>
  <c r="F11" i="13"/>
  <c r="C20" i="13" s="1"/>
  <c r="E11" i="13"/>
  <c r="C19" i="13" s="1"/>
  <c r="C11" i="13"/>
  <c r="E21" i="13" l="1"/>
  <c r="Q40" i="13"/>
  <c r="T47" i="13"/>
  <c r="U32" i="12"/>
  <c r="U34" i="12"/>
  <c r="U51" i="13" l="1"/>
  <c r="U59" i="13" s="1"/>
  <c r="U60" i="13" s="1"/>
  <c r="O51" i="13"/>
  <c r="O59" i="13" s="1"/>
  <c r="U18" i="12"/>
  <c r="G45" i="11" l="1"/>
  <c r="Q39" i="11"/>
  <c r="W63" i="11" s="1"/>
  <c r="W65" i="11" s="1"/>
  <c r="W73" i="11"/>
  <c r="N69" i="10"/>
  <c r="O72" i="10" l="1"/>
  <c r="R69" i="10" s="1"/>
  <c r="W66" i="11"/>
  <c r="W67" i="11" s="1"/>
  <c r="U33" i="12"/>
  <c r="U27" i="10" l="1"/>
  <c r="R34" i="12" l="1"/>
  <c r="R39" i="12" s="1"/>
  <c r="N45" i="12" s="1"/>
  <c r="U32" i="11" l="1"/>
  <c r="D12" i="12" l="1"/>
  <c r="O52" i="12"/>
  <c r="P40" i="12"/>
  <c r="X39" i="12"/>
  <c r="N49" i="12" s="1"/>
  <c r="W39" i="12"/>
  <c r="N46" i="12" s="1"/>
  <c r="S39" i="12"/>
  <c r="N47" i="12" s="1"/>
  <c r="Q39" i="12"/>
  <c r="Q40" i="12" s="1"/>
  <c r="O51" i="12" s="1"/>
  <c r="O39" i="12"/>
  <c r="N44" i="12" s="1"/>
  <c r="I29" i="12"/>
  <c r="E29" i="12"/>
  <c r="T27" i="12"/>
  <c r="V27" i="12" s="1"/>
  <c r="P27" i="13" s="1"/>
  <c r="T27" i="13" s="1"/>
  <c r="V27" i="13" s="1"/>
  <c r="P27" i="14" s="1"/>
  <c r="T27" i="14" s="1"/>
  <c r="V27" i="14" s="1"/>
  <c r="T21" i="12"/>
  <c r="V21" i="12" s="1"/>
  <c r="P21" i="13" s="1"/>
  <c r="T21" i="13" s="1"/>
  <c r="V21" i="13" s="1"/>
  <c r="P21" i="14" s="1"/>
  <c r="T21" i="14" s="1"/>
  <c r="V21" i="14" s="1"/>
  <c r="T17" i="12"/>
  <c r="V17" i="12" s="1"/>
  <c r="P17" i="13" s="1"/>
  <c r="T17" i="13" s="1"/>
  <c r="V17" i="13" s="1"/>
  <c r="P17" i="14" s="1"/>
  <c r="T17" i="14" s="1"/>
  <c r="V17" i="14" s="1"/>
  <c r="I11" i="12"/>
  <c r="H16" i="12" s="1"/>
  <c r="G11" i="12"/>
  <c r="C16" i="12" s="1"/>
  <c r="F11" i="12"/>
  <c r="C20" i="12" s="1"/>
  <c r="E42" i="12" s="1"/>
  <c r="E11" i="12"/>
  <c r="C19" i="12" s="1"/>
  <c r="E41" i="12" s="1"/>
  <c r="C11" i="12"/>
  <c r="U39" i="12"/>
  <c r="T42" i="12" s="1"/>
  <c r="T47" i="12" l="1"/>
  <c r="E21" i="12"/>
  <c r="E40" i="12" s="1"/>
  <c r="E43" i="12" s="1"/>
  <c r="U51" i="12"/>
  <c r="U59" i="12" s="1"/>
  <c r="U60" i="12" s="1"/>
  <c r="O59" i="12"/>
  <c r="N42" i="12"/>
  <c r="U8" i="11"/>
  <c r="U16" i="11" l="1"/>
  <c r="U34" i="11"/>
  <c r="U27" i="11" l="1"/>
  <c r="U13" i="11" l="1"/>
  <c r="U31" i="11" l="1"/>
  <c r="U20" i="11" l="1"/>
  <c r="U38" i="11"/>
  <c r="U37" i="11" l="1"/>
  <c r="U29" i="11" l="1"/>
  <c r="U18" i="11" l="1"/>
  <c r="U24" i="11" l="1"/>
  <c r="U7" i="11" l="1"/>
  <c r="L76" i="11" l="1"/>
  <c r="N76" i="11"/>
  <c r="M78" i="11"/>
  <c r="U32" i="10" l="1"/>
  <c r="O52" i="11"/>
  <c r="P40" i="11"/>
  <c r="X39" i="11"/>
  <c r="T47" i="11" s="1"/>
  <c r="W39" i="11"/>
  <c r="N46" i="11" s="1"/>
  <c r="S39" i="11"/>
  <c r="N47" i="11" s="1"/>
  <c r="W69" i="11" s="1"/>
  <c r="N42" i="11"/>
  <c r="O39" i="11"/>
  <c r="N44" i="11" s="1"/>
  <c r="R34" i="11"/>
  <c r="R39" i="11" s="1"/>
  <c r="N45" i="11" s="1"/>
  <c r="W68" i="11" s="1"/>
  <c r="I29" i="11"/>
  <c r="E29" i="11"/>
  <c r="G11" i="11"/>
  <c r="C16" i="11" s="1"/>
  <c r="F11" i="11"/>
  <c r="C20" i="11" s="1"/>
  <c r="G43" i="11" s="1"/>
  <c r="E11" i="11"/>
  <c r="C19" i="11" s="1"/>
  <c r="G42" i="11" s="1"/>
  <c r="C11" i="11"/>
  <c r="I11" i="11"/>
  <c r="H16" i="11" s="1"/>
  <c r="U39" i="11"/>
  <c r="T42" i="11" s="1"/>
  <c r="I10" i="10"/>
  <c r="E21" i="11" l="1"/>
  <c r="G41" i="11" s="1"/>
  <c r="G44" i="11" s="1"/>
  <c r="G46" i="11" s="1"/>
  <c r="W70" i="11"/>
  <c r="W72" i="11" s="1"/>
  <c r="W74" i="11" s="1"/>
  <c r="W76" i="11" s="1"/>
  <c r="W78" i="11" s="1"/>
  <c r="Q40" i="11"/>
  <c r="N49" i="11"/>
  <c r="U14" i="10"/>
  <c r="O51" i="11" l="1"/>
  <c r="O59" i="11" s="1"/>
  <c r="U51" i="11"/>
  <c r="U59" i="11" s="1"/>
  <c r="C29" i="11"/>
  <c r="F29" i="11" s="1"/>
  <c r="G35" i="11" l="1"/>
  <c r="K27" i="11"/>
  <c r="C17" i="12"/>
  <c r="C29" i="12" s="1"/>
  <c r="F29" i="12" s="1"/>
  <c r="C17" i="13" s="1"/>
  <c r="C29" i="13" s="1"/>
  <c r="F29" i="13" s="1"/>
  <c r="I37" i="11"/>
  <c r="U60" i="11"/>
  <c r="C17" i="14" l="1"/>
  <c r="C29" i="14" s="1"/>
  <c r="F29" i="14" s="1"/>
  <c r="I37" i="12"/>
  <c r="G35" i="12"/>
  <c r="U13" i="10"/>
  <c r="U34" i="10"/>
  <c r="U15" i="10" l="1"/>
  <c r="U54" i="10" l="1"/>
  <c r="U7" i="10" l="1"/>
  <c r="U8" i="10" l="1"/>
  <c r="U9" i="9" l="1"/>
  <c r="P40" i="10" l="1"/>
  <c r="O52" i="10"/>
  <c r="Z40" i="10"/>
  <c r="X39" i="10"/>
  <c r="N49" i="10" s="1"/>
  <c r="W39" i="10"/>
  <c r="N46" i="10" s="1"/>
  <c r="S39" i="10"/>
  <c r="N47" i="10" s="1"/>
  <c r="R72" i="10" s="1"/>
  <c r="Q39" i="10"/>
  <c r="N42" i="10" s="1"/>
  <c r="O39" i="10"/>
  <c r="N44" i="10" s="1"/>
  <c r="R34" i="10"/>
  <c r="R39" i="10" s="1"/>
  <c r="N45" i="10" s="1"/>
  <c r="R71" i="10" s="1"/>
  <c r="I29" i="10"/>
  <c r="E29" i="10"/>
  <c r="T12" i="10"/>
  <c r="V12" i="10" s="1"/>
  <c r="P12" i="11" s="1"/>
  <c r="T12" i="11" s="1"/>
  <c r="V12" i="11" s="1"/>
  <c r="P12" i="12" s="1"/>
  <c r="T12" i="12" s="1"/>
  <c r="V12" i="12" s="1"/>
  <c r="P12" i="13" s="1"/>
  <c r="T12" i="13" s="1"/>
  <c r="V12" i="13" s="1"/>
  <c r="P12" i="14" s="1"/>
  <c r="T12" i="14" s="1"/>
  <c r="V12" i="14" s="1"/>
  <c r="G11" i="10"/>
  <c r="C16" i="10" s="1"/>
  <c r="E21" i="10" s="1"/>
  <c r="I21" i="10" s="1"/>
  <c r="F11" i="10"/>
  <c r="C20" i="10" s="1"/>
  <c r="E11" i="10"/>
  <c r="C19" i="10" s="1"/>
  <c r="C11" i="10"/>
  <c r="I11" i="10"/>
  <c r="H16" i="10" s="1"/>
  <c r="U39" i="10"/>
  <c r="T42" i="10" s="1"/>
  <c r="I10" i="9"/>
  <c r="K16" i="8"/>
  <c r="R73" i="10" l="1"/>
  <c r="R74" i="10" s="1"/>
  <c r="Q40" i="10"/>
  <c r="O51" i="10" s="1"/>
  <c r="P65" i="10" s="1"/>
  <c r="P66" i="10" s="1"/>
  <c r="T47" i="10"/>
  <c r="Q39" i="9"/>
  <c r="U51" i="10" l="1"/>
  <c r="U61" i="10" s="1"/>
  <c r="U62" i="10" s="1"/>
  <c r="O61" i="10"/>
  <c r="U8" i="9"/>
  <c r="U7" i="9"/>
  <c r="U13" i="9"/>
  <c r="U32" i="9"/>
  <c r="U17" i="9"/>
  <c r="U34" i="9" l="1"/>
  <c r="U38" i="9" l="1"/>
  <c r="U37" i="9" l="1"/>
  <c r="U18" i="9" l="1"/>
  <c r="U23" i="9" l="1"/>
  <c r="U19" i="9" l="1"/>
  <c r="U24" i="9" l="1"/>
  <c r="U29" i="9" l="1"/>
  <c r="U26" i="9" l="1"/>
  <c r="C18" i="9" l="1"/>
  <c r="U21" i="8" l="1"/>
  <c r="U8" i="8" l="1"/>
  <c r="U15" i="8" l="1"/>
  <c r="O52" i="9" l="1"/>
  <c r="Z40" i="9"/>
  <c r="X39" i="9"/>
  <c r="N49" i="9" s="1"/>
  <c r="W39" i="9"/>
  <c r="N46" i="9" s="1"/>
  <c r="S39" i="9"/>
  <c r="N47" i="9" s="1"/>
  <c r="N42" i="9"/>
  <c r="O39" i="9"/>
  <c r="N44" i="9" s="1"/>
  <c r="R34" i="9"/>
  <c r="R39" i="9" s="1"/>
  <c r="N45" i="9" s="1"/>
  <c r="I29" i="9"/>
  <c r="E29" i="9"/>
  <c r="T17" i="9"/>
  <c r="V17" i="9" s="1"/>
  <c r="P17" i="10" s="1"/>
  <c r="T17" i="10" s="1"/>
  <c r="V17" i="10" s="1"/>
  <c r="T16" i="9"/>
  <c r="V16" i="9" s="1"/>
  <c r="P16" i="10" s="1"/>
  <c r="T16" i="10" s="1"/>
  <c r="V16" i="10" s="1"/>
  <c r="T12" i="9"/>
  <c r="V12" i="9" s="1"/>
  <c r="G11" i="9"/>
  <c r="C16" i="9" s="1"/>
  <c r="F11" i="9"/>
  <c r="C20" i="9" s="1"/>
  <c r="E11" i="9"/>
  <c r="C19" i="9" s="1"/>
  <c r="C11" i="9"/>
  <c r="T9" i="9"/>
  <c r="V9" i="9" s="1"/>
  <c r="P15" i="10" s="1"/>
  <c r="T15" i="10" s="1"/>
  <c r="V15" i="10" s="1"/>
  <c r="P15" i="11" s="1"/>
  <c r="I11" i="9"/>
  <c r="H16" i="9" s="1"/>
  <c r="H8" i="9"/>
  <c r="J8" i="9" s="1"/>
  <c r="D8" i="10" s="1"/>
  <c r="H8" i="10" s="1"/>
  <c r="J8" i="10" s="1"/>
  <c r="D8" i="11" s="1"/>
  <c r="H8" i="11" s="1"/>
  <c r="J8" i="11" s="1"/>
  <c r="D8" i="12" s="1"/>
  <c r="H8" i="12" s="1"/>
  <c r="J8" i="12" s="1"/>
  <c r="D8" i="13" s="1"/>
  <c r="H8" i="13" s="1"/>
  <c r="J8" i="13" s="1"/>
  <c r="D8" i="14" s="1"/>
  <c r="H8" i="14" s="1"/>
  <c r="J8" i="14" s="1"/>
  <c r="R34" i="8"/>
  <c r="U34" i="8"/>
  <c r="R15" i="8"/>
  <c r="P17" i="11" l="1"/>
  <c r="T17" i="11" s="1"/>
  <c r="V17" i="11" s="1"/>
  <c r="P16" i="11"/>
  <c r="T16" i="11" s="1"/>
  <c r="V16" i="11" s="1"/>
  <c r="P16" i="12" s="1"/>
  <c r="T16" i="12" s="1"/>
  <c r="V16" i="12" s="1"/>
  <c r="P16" i="13" s="1"/>
  <c r="T16" i="13" s="1"/>
  <c r="V16" i="13" s="1"/>
  <c r="P16" i="14" s="1"/>
  <c r="T16" i="14" s="1"/>
  <c r="V16" i="14" s="1"/>
  <c r="T15" i="11"/>
  <c r="V15" i="11" s="1"/>
  <c r="P15" i="12" s="1"/>
  <c r="T9" i="10"/>
  <c r="T47" i="9"/>
  <c r="E21" i="9"/>
  <c r="I21" i="9" s="1"/>
  <c r="U39" i="9"/>
  <c r="T42" i="9" s="1"/>
  <c r="Q40" i="9"/>
  <c r="O51" i="9" s="1"/>
  <c r="U32" i="8"/>
  <c r="U32" i="7"/>
  <c r="T15" i="12" l="1"/>
  <c r="V9" i="10"/>
  <c r="U51" i="9"/>
  <c r="O58" i="9"/>
  <c r="U58" i="9" l="1"/>
  <c r="U59" i="9" s="1"/>
  <c r="P9" i="11"/>
  <c r="T9" i="11" s="1"/>
  <c r="V9" i="11" s="1"/>
  <c r="P9" i="12" s="1"/>
  <c r="T9" i="12" s="1"/>
  <c r="V9" i="12" s="1"/>
  <c r="P9" i="13" s="1"/>
  <c r="T9" i="13" s="1"/>
  <c r="V9" i="13" s="1"/>
  <c r="P9" i="14" s="1"/>
  <c r="T9" i="14" s="1"/>
  <c r="V9" i="14" s="1"/>
  <c r="V15" i="12"/>
  <c r="U14" i="8"/>
  <c r="P15" i="13" l="1"/>
  <c r="T15" i="13" s="1"/>
  <c r="V15" i="13" s="1"/>
  <c r="P15" i="14" s="1"/>
  <c r="T15" i="14" s="1"/>
  <c r="V15" i="14" s="1"/>
  <c r="C18" i="6"/>
  <c r="I9" i="8" l="1"/>
  <c r="R31" i="8" l="1"/>
  <c r="U31" i="8"/>
  <c r="U16" i="8"/>
  <c r="U7" i="8" l="1"/>
  <c r="U26" i="8" l="1"/>
  <c r="U29" i="8" l="1"/>
  <c r="U38" i="8" l="1"/>
  <c r="U37" i="8" l="1"/>
  <c r="U27" i="8" l="1"/>
  <c r="U23" i="8" l="1"/>
  <c r="U28" i="8" l="1"/>
  <c r="U18" i="8" l="1"/>
  <c r="U11" i="8" l="1"/>
  <c r="U12" i="8" l="1"/>
  <c r="U17" i="8" l="1"/>
  <c r="U22" i="8" l="1"/>
  <c r="U8" i="7" l="1"/>
  <c r="U14" i="7"/>
  <c r="U20" i="8" l="1"/>
  <c r="O52" i="8" l="1"/>
  <c r="Z40" i="8"/>
  <c r="X39" i="8"/>
  <c r="N49" i="8" s="1"/>
  <c r="W39" i="8"/>
  <c r="N46" i="8" s="1"/>
  <c r="S39" i="8"/>
  <c r="N47" i="8" s="1"/>
  <c r="R39" i="8"/>
  <c r="N45" i="8" s="1"/>
  <c r="Q39" i="8"/>
  <c r="N42" i="8" s="1"/>
  <c r="O39" i="8"/>
  <c r="N44" i="8" s="1"/>
  <c r="I29" i="8"/>
  <c r="E29" i="8"/>
  <c r="G11" i="8"/>
  <c r="C16" i="8" s="1"/>
  <c r="F11" i="8"/>
  <c r="C20" i="8" s="1"/>
  <c r="E11" i="8"/>
  <c r="C19" i="8" s="1"/>
  <c r="C11" i="8"/>
  <c r="I11" i="8"/>
  <c r="H16" i="8" s="1"/>
  <c r="U39" i="8"/>
  <c r="T42" i="8" s="1"/>
  <c r="C36" i="8" l="1"/>
  <c r="E21" i="8"/>
  <c r="I21" i="8" s="1"/>
  <c r="Q40" i="8"/>
  <c r="O51" i="8" s="1"/>
  <c r="T47" i="8"/>
  <c r="U13" i="7"/>
  <c r="C37" i="8" l="1"/>
  <c r="C38" i="8" s="1"/>
  <c r="U51" i="8"/>
  <c r="U56" i="8" s="1"/>
  <c r="U57" i="8" s="1"/>
  <c r="O56" i="8"/>
  <c r="U15" i="7"/>
  <c r="K15" i="6" l="1"/>
  <c r="I10" i="6"/>
  <c r="I7" i="6"/>
  <c r="E11" i="6"/>
  <c r="K16" i="6" l="1"/>
  <c r="U20" i="7"/>
  <c r="I8" i="7" l="1"/>
  <c r="U7" i="7" l="1"/>
  <c r="U12" i="7" l="1"/>
  <c r="U17" i="7"/>
  <c r="U16" i="7"/>
  <c r="U21" i="7"/>
  <c r="U18" i="7"/>
  <c r="U25" i="7"/>
  <c r="U27" i="7"/>
  <c r="U34" i="7"/>
  <c r="U19" i="7" l="1"/>
  <c r="L20" i="6" l="1"/>
  <c r="U29" i="7"/>
  <c r="U8" i="6" l="1"/>
  <c r="U13" i="6"/>
  <c r="U22" i="6"/>
  <c r="O52" i="7" l="1"/>
  <c r="Z40" i="7"/>
  <c r="X39" i="7"/>
  <c r="T47" i="7" s="1"/>
  <c r="W39" i="7"/>
  <c r="N46" i="7" s="1"/>
  <c r="S39" i="7"/>
  <c r="N47" i="7" s="1"/>
  <c r="R39" i="7"/>
  <c r="N45" i="7" s="1"/>
  <c r="Q39" i="7"/>
  <c r="N42" i="7" s="1"/>
  <c r="O39" i="7"/>
  <c r="N44" i="7" s="1"/>
  <c r="J35" i="7"/>
  <c r="E29" i="7"/>
  <c r="I29" i="7"/>
  <c r="G11" i="7"/>
  <c r="C16" i="7" s="1"/>
  <c r="F11" i="7"/>
  <c r="C20" i="7" s="1"/>
  <c r="E11" i="7"/>
  <c r="C19" i="7" s="1"/>
  <c r="C11" i="7"/>
  <c r="H8" i="7"/>
  <c r="J8" i="7" s="1"/>
  <c r="D8" i="8" s="1"/>
  <c r="H8" i="8" s="1"/>
  <c r="U39" i="7"/>
  <c r="T42" i="7" s="1"/>
  <c r="I11" i="7"/>
  <c r="H16" i="7" s="1"/>
  <c r="J8" i="8" l="1"/>
  <c r="C36" i="7"/>
  <c r="E21" i="7"/>
  <c r="I21" i="7" s="1"/>
  <c r="N49" i="7"/>
  <c r="Q40" i="7"/>
  <c r="C37" i="7" l="1"/>
  <c r="C38" i="7" s="1"/>
  <c r="O51" i="7"/>
  <c r="O56" i="7" s="1"/>
  <c r="U51" i="7"/>
  <c r="U56" i="7" s="1"/>
  <c r="U57" i="7" l="1"/>
  <c r="U32" i="6"/>
  <c r="I8" i="6"/>
  <c r="U15" i="6"/>
  <c r="N68" i="6" l="1"/>
  <c r="N69" i="6" s="1"/>
  <c r="I10" i="3" l="1"/>
  <c r="I9" i="6"/>
  <c r="I23" i="6"/>
  <c r="U34" i="6" l="1"/>
  <c r="U16" i="6" l="1"/>
  <c r="U12" i="6" l="1"/>
  <c r="O53" i="6" l="1"/>
  <c r="U7" i="6"/>
  <c r="U30" i="6" l="1"/>
  <c r="U21" i="6" l="1"/>
  <c r="U24" i="6" l="1"/>
  <c r="U25" i="6" l="1"/>
  <c r="I10" i="5" l="1"/>
  <c r="O52" i="5" l="1"/>
  <c r="U15" i="5" l="1"/>
  <c r="O52" i="6" l="1"/>
  <c r="Z40" i="6"/>
  <c r="X39" i="6"/>
  <c r="N49" i="6" s="1"/>
  <c r="W39" i="6"/>
  <c r="N46" i="6" s="1"/>
  <c r="S39" i="6"/>
  <c r="N47" i="6" s="1"/>
  <c r="R39" i="6"/>
  <c r="N45" i="6" s="1"/>
  <c r="O39" i="6"/>
  <c r="N44" i="6" s="1"/>
  <c r="J35" i="6"/>
  <c r="I29" i="6"/>
  <c r="E29" i="6"/>
  <c r="T22" i="6"/>
  <c r="V22" i="6" s="1"/>
  <c r="P22" i="7" s="1"/>
  <c r="T22" i="7" s="1"/>
  <c r="Q39" i="6"/>
  <c r="T12" i="6"/>
  <c r="V12" i="6" s="1"/>
  <c r="P12" i="7" s="1"/>
  <c r="T12" i="7" s="1"/>
  <c r="V12" i="7" s="1"/>
  <c r="P12" i="8" s="1"/>
  <c r="T12" i="8" s="1"/>
  <c r="V12" i="8" s="1"/>
  <c r="G11" i="6"/>
  <c r="C16" i="6" s="1"/>
  <c r="F11" i="6"/>
  <c r="C20" i="6" s="1"/>
  <c r="C19" i="6"/>
  <c r="C11" i="6"/>
  <c r="T9" i="6"/>
  <c r="V9" i="6" s="1"/>
  <c r="P9" i="7" s="1"/>
  <c r="T9" i="7" s="1"/>
  <c r="V9" i="7" s="1"/>
  <c r="P9" i="8" s="1"/>
  <c r="T9" i="8" s="1"/>
  <c r="V9" i="8" s="1"/>
  <c r="U39" i="6"/>
  <c r="T42" i="6" s="1"/>
  <c r="I11" i="6"/>
  <c r="H16" i="6" s="1"/>
  <c r="H7" i="7" l="1"/>
  <c r="J7" i="7" s="1"/>
  <c r="D7" i="8" s="1"/>
  <c r="H7" i="8" s="1"/>
  <c r="J7" i="8" s="1"/>
  <c r="D7" i="9" s="1"/>
  <c r="H7" i="9" s="1"/>
  <c r="J7" i="9" s="1"/>
  <c r="D7" i="10" s="1"/>
  <c r="H7" i="10" s="1"/>
  <c r="J7" i="10" s="1"/>
  <c r="D7" i="11" s="1"/>
  <c r="H7" i="11" s="1"/>
  <c r="J7" i="11" s="1"/>
  <c r="D7" i="12" s="1"/>
  <c r="H7" i="12" s="1"/>
  <c r="J7" i="12" s="1"/>
  <c r="D7" i="13" s="1"/>
  <c r="H7" i="13" s="1"/>
  <c r="J7" i="13" s="1"/>
  <c r="D7" i="14" s="1"/>
  <c r="V22" i="7"/>
  <c r="E21" i="6"/>
  <c r="I21" i="6" s="1"/>
  <c r="C36" i="6"/>
  <c r="N42" i="6"/>
  <c r="Q40" i="6"/>
  <c r="U51" i="6" s="1"/>
  <c r="U56" i="6" s="1"/>
  <c r="U57" i="6" s="1"/>
  <c r="T47" i="6"/>
  <c r="H7" i="14" l="1"/>
  <c r="J7" i="14" s="1"/>
  <c r="P22" i="8"/>
  <c r="T22" i="8" s="1"/>
  <c r="V22" i="8" s="1"/>
  <c r="P22" i="9" s="1"/>
  <c r="T22" i="9" s="1"/>
  <c r="V22" i="9" s="1"/>
  <c r="P22" i="10" s="1"/>
  <c r="T22" i="10" s="1"/>
  <c r="V22" i="10" s="1"/>
  <c r="O51" i="6"/>
  <c r="O56" i="6" s="1"/>
  <c r="C37" i="6"/>
  <c r="C38" i="6" s="1"/>
  <c r="U32" i="5"/>
  <c r="P22" i="11" l="1"/>
  <c r="T22" i="11" s="1"/>
  <c r="V22" i="11" s="1"/>
  <c r="P22" i="12" s="1"/>
  <c r="T22" i="12" s="1"/>
  <c r="V22" i="12" s="1"/>
  <c r="P22" i="13" s="1"/>
  <c r="T22" i="13" s="1"/>
  <c r="V22" i="13" s="1"/>
  <c r="P22" i="14" s="1"/>
  <c r="T22" i="14" s="1"/>
  <c r="V22" i="14" s="1"/>
  <c r="I7" i="5"/>
  <c r="U8" i="5" l="1"/>
  <c r="U11" i="5" l="1"/>
  <c r="U12" i="5"/>
  <c r="U13" i="5"/>
  <c r="Y24" i="5"/>
  <c r="Y23" i="5"/>
  <c r="Y20" i="5"/>
  <c r="Y19" i="5"/>
  <c r="Y21" i="5" l="1"/>
  <c r="Z22" i="5"/>
  <c r="I9" i="5" l="1"/>
  <c r="U21" i="5" l="1"/>
  <c r="U7" i="5" l="1"/>
  <c r="U20" i="5" l="1"/>
  <c r="L45" i="5" l="1"/>
  <c r="L46" i="5" s="1"/>
  <c r="U19" i="5" l="1"/>
  <c r="U25" i="5" l="1"/>
  <c r="Q30" i="5" l="1"/>
  <c r="Q19" i="5"/>
  <c r="Z36" i="4"/>
  <c r="U8" i="4"/>
  <c r="O55" i="4"/>
  <c r="Z40" i="5" l="1"/>
  <c r="K40" i="5"/>
  <c r="X39" i="5"/>
  <c r="W39" i="5"/>
  <c r="N46" i="5" s="1"/>
  <c r="U39" i="5"/>
  <c r="S39" i="5"/>
  <c r="N47" i="5" s="1"/>
  <c r="R39" i="5"/>
  <c r="N45" i="5" s="1"/>
  <c r="Q39" i="5"/>
  <c r="O39" i="5"/>
  <c r="L35" i="5"/>
  <c r="J35" i="5"/>
  <c r="I29" i="5"/>
  <c r="E29" i="5"/>
  <c r="T22" i="5"/>
  <c r="V22" i="5" s="1"/>
  <c r="T12" i="5"/>
  <c r="I11" i="5"/>
  <c r="H16" i="5" s="1"/>
  <c r="G11" i="5"/>
  <c r="C16" i="5" s="1"/>
  <c r="E21" i="5" s="1"/>
  <c r="I21" i="5" s="1"/>
  <c r="F11" i="5"/>
  <c r="C20" i="5" s="1"/>
  <c r="E11" i="5"/>
  <c r="C19" i="5" s="1"/>
  <c r="C11" i="5"/>
  <c r="N44" i="5" l="1"/>
  <c r="U52" i="5"/>
  <c r="T42" i="5"/>
  <c r="V12" i="5"/>
  <c r="N49" i="5"/>
  <c r="T47" i="5"/>
  <c r="Q40" i="5"/>
  <c r="N42" i="5"/>
  <c r="U17" i="4"/>
  <c r="O51" i="5" l="1"/>
  <c r="O56" i="5" s="1"/>
  <c r="U51" i="5"/>
  <c r="U56" i="5" s="1"/>
  <c r="U57" i="5" s="1"/>
  <c r="U9" i="4"/>
  <c r="O68" i="3"/>
  <c r="I34" i="4" l="1"/>
  <c r="J35" i="4" s="1"/>
  <c r="O51" i="4"/>
  <c r="U15" i="4"/>
  <c r="U32" i="4"/>
  <c r="Y37" i="4" s="1"/>
  <c r="Y36" i="4" s="1"/>
  <c r="U33" i="4" l="1"/>
  <c r="U37" i="4" l="1"/>
  <c r="U16" i="4" l="1"/>
  <c r="U31" i="4" l="1"/>
  <c r="P31" i="3"/>
  <c r="I7" i="4" l="1"/>
  <c r="U34" i="4" l="1"/>
  <c r="U38" i="4"/>
  <c r="U24" i="4"/>
  <c r="U27" i="4"/>
  <c r="U28" i="4" l="1"/>
  <c r="U21" i="4" l="1"/>
  <c r="U20" i="4" l="1"/>
  <c r="C11" i="4" l="1"/>
  <c r="U29" i="4" l="1"/>
  <c r="U11" i="4" l="1"/>
  <c r="U22" i="4" l="1"/>
  <c r="U32" i="3" l="1"/>
  <c r="Z40" i="4" l="1"/>
  <c r="U12" i="4" l="1"/>
  <c r="U15" i="3" l="1"/>
  <c r="F39" i="3"/>
  <c r="F40" i="3" s="1"/>
  <c r="I43" i="3"/>
  <c r="I44" i="3" s="1"/>
  <c r="W25" i="3" l="1"/>
  <c r="U25" i="3"/>
  <c r="K40" i="4" l="1"/>
  <c r="X39" i="4"/>
  <c r="N49" i="4" s="1"/>
  <c r="S39" i="4"/>
  <c r="N47" i="4" s="1"/>
  <c r="R39" i="4"/>
  <c r="N45" i="4" s="1"/>
  <c r="Q39" i="4"/>
  <c r="O56" i="4" s="1"/>
  <c r="O39" i="4"/>
  <c r="N44" i="4" s="1"/>
  <c r="L35" i="4"/>
  <c r="I29" i="4"/>
  <c r="E29" i="4"/>
  <c r="W39" i="4"/>
  <c r="N46" i="4" s="1"/>
  <c r="T14" i="4"/>
  <c r="V14" i="4" s="1"/>
  <c r="P14" i="5" s="1"/>
  <c r="T14" i="5" s="1"/>
  <c r="V14" i="5" s="1"/>
  <c r="P14" i="6" s="1"/>
  <c r="T14" i="6" s="1"/>
  <c r="V14" i="6" s="1"/>
  <c r="P14" i="7" s="1"/>
  <c r="T14" i="7" s="1"/>
  <c r="V14" i="7" s="1"/>
  <c r="P14" i="8" s="1"/>
  <c r="T14" i="8" s="1"/>
  <c r="V14" i="8" s="1"/>
  <c r="T13" i="4"/>
  <c r="V13" i="4" s="1"/>
  <c r="P13" i="5" s="1"/>
  <c r="T13" i="5" s="1"/>
  <c r="V13" i="5" s="1"/>
  <c r="P13" i="6" s="1"/>
  <c r="T13" i="6" s="1"/>
  <c r="V13" i="6" s="1"/>
  <c r="P13" i="7" s="1"/>
  <c r="T13" i="7" s="1"/>
  <c r="V13" i="7" s="1"/>
  <c r="P13" i="8" s="1"/>
  <c r="T13" i="8" s="1"/>
  <c r="V13" i="8" s="1"/>
  <c r="P13" i="9" s="1"/>
  <c r="T13" i="9" s="1"/>
  <c r="V13" i="9" s="1"/>
  <c r="P13" i="10" s="1"/>
  <c r="T13" i="10" s="1"/>
  <c r="V13" i="10" s="1"/>
  <c r="G11" i="4"/>
  <c r="C16" i="4" s="1"/>
  <c r="F11" i="4"/>
  <c r="C20" i="4" s="1"/>
  <c r="E11" i="4"/>
  <c r="C19" i="4" s="1"/>
  <c r="T10" i="4"/>
  <c r="V10" i="4" s="1"/>
  <c r="P10" i="5" s="1"/>
  <c r="T10" i="5" s="1"/>
  <c r="V10" i="5" s="1"/>
  <c r="P10" i="6" s="1"/>
  <c r="T10" i="6" s="1"/>
  <c r="V10" i="6" s="1"/>
  <c r="P10" i="7" s="1"/>
  <c r="T10" i="7" s="1"/>
  <c r="V10" i="7" s="1"/>
  <c r="P10" i="8" s="1"/>
  <c r="T10" i="8" s="1"/>
  <c r="V10" i="8" s="1"/>
  <c r="P10" i="9" s="1"/>
  <c r="T10" i="9" s="1"/>
  <c r="V10" i="9" s="1"/>
  <c r="P10" i="10" s="1"/>
  <c r="T10" i="10" s="1"/>
  <c r="V10" i="10" s="1"/>
  <c r="U39" i="4"/>
  <c r="T42" i="4" s="1"/>
  <c r="T7" i="4"/>
  <c r="V7" i="4" s="1"/>
  <c r="P7" i="5" s="1"/>
  <c r="T7" i="5" s="1"/>
  <c r="V7" i="5" s="1"/>
  <c r="P7" i="6" s="1"/>
  <c r="T7" i="6" s="1"/>
  <c r="V7" i="6" s="1"/>
  <c r="P7" i="7" s="1"/>
  <c r="T7" i="7" s="1"/>
  <c r="V7" i="7" s="1"/>
  <c r="P7" i="8" s="1"/>
  <c r="T7" i="8" s="1"/>
  <c r="V7" i="8" s="1"/>
  <c r="P7" i="9" s="1"/>
  <c r="T7" i="9" s="1"/>
  <c r="V7" i="9" s="1"/>
  <c r="P7" i="10" s="1"/>
  <c r="T7" i="10" s="1"/>
  <c r="V7" i="10" s="1"/>
  <c r="I11" i="4"/>
  <c r="H16" i="4" s="1"/>
  <c r="P7" i="11" l="1"/>
  <c r="T7" i="11" s="1"/>
  <c r="V7" i="11" s="1"/>
  <c r="P7" i="12" s="1"/>
  <c r="T7" i="12" s="1"/>
  <c r="V7" i="12" s="1"/>
  <c r="P7" i="13" s="1"/>
  <c r="T7" i="13" s="1"/>
  <c r="V7" i="13" s="1"/>
  <c r="P7" i="14" s="1"/>
  <c r="T7" i="14" s="1"/>
  <c r="V7" i="14" s="1"/>
  <c r="P14" i="9"/>
  <c r="T14" i="9" s="1"/>
  <c r="V14" i="9" s="1"/>
  <c r="P14" i="10" s="1"/>
  <c r="T14" i="10" s="1"/>
  <c r="V14" i="10" s="1"/>
  <c r="P10" i="11"/>
  <c r="T10" i="11" s="1"/>
  <c r="V10" i="11" s="1"/>
  <c r="P10" i="12" s="1"/>
  <c r="T10" i="12" s="1"/>
  <c r="V10" i="12" s="1"/>
  <c r="P10" i="13" s="1"/>
  <c r="T10" i="13" s="1"/>
  <c r="V10" i="13" s="1"/>
  <c r="P10" i="14" s="1"/>
  <c r="T10" i="14" s="1"/>
  <c r="V10" i="14" s="1"/>
  <c r="P13" i="11"/>
  <c r="T13" i="11" s="1"/>
  <c r="V13" i="11" s="1"/>
  <c r="P13" i="12" s="1"/>
  <c r="T13" i="12" s="1"/>
  <c r="V13" i="12" s="1"/>
  <c r="P13" i="13" s="1"/>
  <c r="T13" i="13" s="1"/>
  <c r="V13" i="13" s="1"/>
  <c r="P13" i="14" s="1"/>
  <c r="T13" i="14" s="1"/>
  <c r="V13" i="14" s="1"/>
  <c r="E21" i="4"/>
  <c r="I21" i="4" s="1"/>
  <c r="N42" i="4"/>
  <c r="U51" i="4"/>
  <c r="U56" i="4" s="1"/>
  <c r="U57" i="4" s="1"/>
  <c r="W15" i="3"/>
  <c r="P14" i="11" l="1"/>
  <c r="T14" i="11" s="1"/>
  <c r="V14" i="11" s="1"/>
  <c r="P14" i="12" s="1"/>
  <c r="T14" i="12" s="1"/>
  <c r="V14" i="12" s="1"/>
  <c r="P14" i="13" s="1"/>
  <c r="T14" i="13" s="1"/>
  <c r="V14" i="13" s="1"/>
  <c r="P14" i="14" s="1"/>
  <c r="T14" i="14" s="1"/>
  <c r="V14" i="14" s="1"/>
  <c r="U31" i="3" l="1"/>
  <c r="U17" i="3" l="1"/>
  <c r="U20" i="3" l="1"/>
  <c r="U33" i="3" l="1"/>
  <c r="F29" i="3" l="1"/>
  <c r="Q39" i="3" l="1"/>
  <c r="W39" i="3"/>
  <c r="U34" i="3" l="1"/>
  <c r="T38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6" i="3"/>
  <c r="T39" i="3" l="1"/>
  <c r="U9" i="3" l="1"/>
  <c r="U7" i="3" l="1"/>
  <c r="K40" i="3" l="1"/>
  <c r="I7" i="3" l="1"/>
  <c r="I11" i="3" s="1"/>
  <c r="I16" i="3" s="1"/>
  <c r="U16" i="3" l="1"/>
  <c r="U28" i="3" l="1"/>
  <c r="L35" i="3" l="1"/>
  <c r="V33" i="3" l="1"/>
  <c r="P33" i="4" s="1"/>
  <c r="T33" i="4" s="1"/>
  <c r="V33" i="4" s="1"/>
  <c r="P33" i="5" s="1"/>
  <c r="T33" i="5" s="1"/>
  <c r="V33" i="5" s="1"/>
  <c r="P33" i="6" s="1"/>
  <c r="T33" i="6" s="1"/>
  <c r="V33" i="6" s="1"/>
  <c r="P33" i="7" s="1"/>
  <c r="T33" i="7" s="1"/>
  <c r="V33" i="7" s="1"/>
  <c r="P33" i="8" s="1"/>
  <c r="T33" i="8" s="1"/>
  <c r="V33" i="8" s="1"/>
  <c r="P33" i="9" s="1"/>
  <c r="T33" i="9" s="1"/>
  <c r="V33" i="9" s="1"/>
  <c r="P33" i="10" s="1"/>
  <c r="T33" i="10" s="1"/>
  <c r="V33" i="10" s="1"/>
  <c r="V34" i="3"/>
  <c r="P34" i="4" s="1"/>
  <c r="T34" i="4" s="1"/>
  <c r="V34" i="4" s="1"/>
  <c r="P34" i="5" s="1"/>
  <c r="T34" i="5" s="1"/>
  <c r="V34" i="5" s="1"/>
  <c r="P34" i="6" s="1"/>
  <c r="T34" i="6" s="1"/>
  <c r="V34" i="6" s="1"/>
  <c r="P34" i="7" s="1"/>
  <c r="T34" i="7" s="1"/>
  <c r="V34" i="7" s="1"/>
  <c r="P34" i="8" s="1"/>
  <c r="T34" i="8" s="1"/>
  <c r="V34" i="8" s="1"/>
  <c r="P34" i="9" s="1"/>
  <c r="T34" i="9" s="1"/>
  <c r="V34" i="9" s="1"/>
  <c r="P34" i="10" s="1"/>
  <c r="T34" i="10" s="1"/>
  <c r="V34" i="10" s="1"/>
  <c r="V35" i="3"/>
  <c r="P35" i="4" s="1"/>
  <c r="T35" i="4" s="1"/>
  <c r="V35" i="4" s="1"/>
  <c r="P35" i="5" s="1"/>
  <c r="T35" i="5" s="1"/>
  <c r="V35" i="5" s="1"/>
  <c r="P35" i="6" s="1"/>
  <c r="T35" i="6" s="1"/>
  <c r="V35" i="6" s="1"/>
  <c r="P35" i="7" s="1"/>
  <c r="T35" i="7" s="1"/>
  <c r="V35" i="7" s="1"/>
  <c r="P35" i="8" s="1"/>
  <c r="T35" i="8" s="1"/>
  <c r="V35" i="8" s="1"/>
  <c r="P35" i="9" s="1"/>
  <c r="T35" i="9" s="1"/>
  <c r="V35" i="9" s="1"/>
  <c r="P35" i="10" s="1"/>
  <c r="T35" i="10" s="1"/>
  <c r="V35" i="10" s="1"/>
  <c r="V36" i="3"/>
  <c r="P36" i="4" s="1"/>
  <c r="T36" i="4" s="1"/>
  <c r="V36" i="4" s="1"/>
  <c r="P36" i="5" s="1"/>
  <c r="T36" i="5" s="1"/>
  <c r="V36" i="5" s="1"/>
  <c r="P36" i="6" s="1"/>
  <c r="T36" i="6" s="1"/>
  <c r="V36" i="6" s="1"/>
  <c r="P36" i="7" s="1"/>
  <c r="T36" i="7" s="1"/>
  <c r="V36" i="7" s="1"/>
  <c r="P36" i="8" s="1"/>
  <c r="T36" i="8" s="1"/>
  <c r="V36" i="8" s="1"/>
  <c r="P36" i="9" s="1"/>
  <c r="T36" i="9" s="1"/>
  <c r="V36" i="9" s="1"/>
  <c r="P36" i="10" s="1"/>
  <c r="T36" i="10" s="1"/>
  <c r="V36" i="10" s="1"/>
  <c r="V37" i="3"/>
  <c r="P37" i="4" s="1"/>
  <c r="T37" i="4" s="1"/>
  <c r="V37" i="4" s="1"/>
  <c r="P37" i="5" s="1"/>
  <c r="T37" i="5" s="1"/>
  <c r="V37" i="5" s="1"/>
  <c r="P37" i="6" s="1"/>
  <c r="T37" i="6" s="1"/>
  <c r="V37" i="6" s="1"/>
  <c r="P37" i="7" s="1"/>
  <c r="T37" i="7" s="1"/>
  <c r="V37" i="7" s="1"/>
  <c r="P37" i="8" s="1"/>
  <c r="T37" i="8" s="1"/>
  <c r="V37" i="8" s="1"/>
  <c r="P37" i="9" s="1"/>
  <c r="T37" i="9" s="1"/>
  <c r="V37" i="9" s="1"/>
  <c r="P37" i="10" s="1"/>
  <c r="T37" i="10" s="1"/>
  <c r="V37" i="10" s="1"/>
  <c r="P36" i="11" l="1"/>
  <c r="T36" i="11" s="1"/>
  <c r="V36" i="11" s="1"/>
  <c r="P36" i="12" s="1"/>
  <c r="T36" i="12" s="1"/>
  <c r="V36" i="12" s="1"/>
  <c r="P36" i="13" s="1"/>
  <c r="T36" i="13" s="1"/>
  <c r="V36" i="13" s="1"/>
  <c r="P36" i="14" s="1"/>
  <c r="T36" i="14" s="1"/>
  <c r="V36" i="14" s="1"/>
  <c r="P34" i="11"/>
  <c r="T34" i="11" s="1"/>
  <c r="V34" i="11" s="1"/>
  <c r="P34" i="12" s="1"/>
  <c r="T34" i="12" s="1"/>
  <c r="V34" i="12" s="1"/>
  <c r="P34" i="13" s="1"/>
  <c r="T34" i="13" s="1"/>
  <c r="V34" i="13" s="1"/>
  <c r="P34" i="14" s="1"/>
  <c r="T34" i="14" s="1"/>
  <c r="V34" i="14" s="1"/>
  <c r="P37" i="11"/>
  <c r="T37" i="11" s="1"/>
  <c r="V37" i="11" s="1"/>
  <c r="P37" i="12" s="1"/>
  <c r="T37" i="12" s="1"/>
  <c r="V37" i="12" s="1"/>
  <c r="P37" i="13" s="1"/>
  <c r="T37" i="13" s="1"/>
  <c r="V37" i="13" s="1"/>
  <c r="P37" i="14" s="1"/>
  <c r="T37" i="14" s="1"/>
  <c r="V37" i="14" s="1"/>
  <c r="P35" i="11"/>
  <c r="T35" i="11" s="1"/>
  <c r="V35" i="11" s="1"/>
  <c r="P35" i="12" s="1"/>
  <c r="T35" i="12" s="1"/>
  <c r="V35" i="12" s="1"/>
  <c r="P35" i="13" s="1"/>
  <c r="T35" i="13" s="1"/>
  <c r="V35" i="13" s="1"/>
  <c r="P35" i="14" s="1"/>
  <c r="T35" i="14" s="1"/>
  <c r="V35" i="14" s="1"/>
  <c r="P33" i="11"/>
  <c r="T33" i="11" s="1"/>
  <c r="V33" i="11" s="1"/>
  <c r="P33" i="12" s="1"/>
  <c r="T33" i="12" s="1"/>
  <c r="V33" i="12" s="1"/>
  <c r="P33" i="13" s="1"/>
  <c r="T33" i="13" s="1"/>
  <c r="V33" i="13" s="1"/>
  <c r="P33" i="14" s="1"/>
  <c r="T33" i="14" s="1"/>
  <c r="V33" i="14" s="1"/>
  <c r="I7" i="2"/>
  <c r="J29" i="3" l="1"/>
  <c r="T43" i="3"/>
  <c r="N43" i="3"/>
  <c r="X39" i="3"/>
  <c r="N49" i="3" s="1"/>
  <c r="N46" i="3"/>
  <c r="U39" i="3"/>
  <c r="T42" i="3" s="1"/>
  <c r="T56" i="3" s="1"/>
  <c r="S39" i="3"/>
  <c r="N47" i="3" s="1"/>
  <c r="R39" i="3"/>
  <c r="N45" i="3" s="1"/>
  <c r="O51" i="3"/>
  <c r="O56" i="3" s="1"/>
  <c r="P39" i="3"/>
  <c r="O39" i="3"/>
  <c r="N44" i="3" s="1"/>
  <c r="V38" i="3"/>
  <c r="P38" i="4" s="1"/>
  <c r="T38" i="4" s="1"/>
  <c r="V38" i="4" s="1"/>
  <c r="P38" i="5" s="1"/>
  <c r="T38" i="5" s="1"/>
  <c r="V38" i="5" s="1"/>
  <c r="P38" i="6" s="1"/>
  <c r="T38" i="6" s="1"/>
  <c r="V38" i="6" s="1"/>
  <c r="P38" i="7" s="1"/>
  <c r="T38" i="7" s="1"/>
  <c r="V38" i="7" s="1"/>
  <c r="P38" i="8" s="1"/>
  <c r="T38" i="8" s="1"/>
  <c r="V38" i="8" s="1"/>
  <c r="P38" i="9" s="1"/>
  <c r="T38" i="9" s="1"/>
  <c r="V38" i="9" s="1"/>
  <c r="P38" i="10" s="1"/>
  <c r="T38" i="10" s="1"/>
  <c r="V38" i="10" s="1"/>
  <c r="V32" i="3"/>
  <c r="P32" i="4" s="1"/>
  <c r="T32" i="4" s="1"/>
  <c r="V32" i="4" s="1"/>
  <c r="P32" i="5" s="1"/>
  <c r="T32" i="5" s="1"/>
  <c r="V32" i="5" s="1"/>
  <c r="P32" i="6" s="1"/>
  <c r="T32" i="6" s="1"/>
  <c r="V32" i="6" s="1"/>
  <c r="P32" i="7" s="1"/>
  <c r="T32" i="7" s="1"/>
  <c r="V32" i="7" s="1"/>
  <c r="P32" i="8" s="1"/>
  <c r="T32" i="8" s="1"/>
  <c r="V32" i="8" s="1"/>
  <c r="P32" i="9" s="1"/>
  <c r="T32" i="9" s="1"/>
  <c r="V32" i="9" s="1"/>
  <c r="P32" i="10" s="1"/>
  <c r="T32" i="10" s="1"/>
  <c r="V32" i="10" s="1"/>
  <c r="P32" i="11" s="1"/>
  <c r="T32" i="11" s="1"/>
  <c r="V32" i="11" s="1"/>
  <c r="P32" i="12" s="1"/>
  <c r="T32" i="12" s="1"/>
  <c r="V32" i="12" s="1"/>
  <c r="P32" i="13" s="1"/>
  <c r="T32" i="13" s="1"/>
  <c r="V32" i="13" s="1"/>
  <c r="P32" i="14" s="1"/>
  <c r="T32" i="14" s="1"/>
  <c r="V32" i="14" s="1"/>
  <c r="V31" i="3"/>
  <c r="P31" i="4" s="1"/>
  <c r="T31" i="4" s="1"/>
  <c r="V31" i="4" s="1"/>
  <c r="P31" i="5" s="1"/>
  <c r="T31" i="5" s="1"/>
  <c r="V31" i="5" s="1"/>
  <c r="P31" i="6" s="1"/>
  <c r="T31" i="6" s="1"/>
  <c r="V31" i="6" s="1"/>
  <c r="P31" i="7" s="1"/>
  <c r="T31" i="7" s="1"/>
  <c r="V31" i="7" s="1"/>
  <c r="P31" i="8" s="1"/>
  <c r="T31" i="8" s="1"/>
  <c r="V31" i="8" s="1"/>
  <c r="P31" i="9" s="1"/>
  <c r="T31" i="9" s="1"/>
  <c r="V31" i="9" s="1"/>
  <c r="P31" i="10" s="1"/>
  <c r="T31" i="10" s="1"/>
  <c r="V31" i="10" s="1"/>
  <c r="V30" i="3"/>
  <c r="P30" i="4" s="1"/>
  <c r="T30" i="4" s="1"/>
  <c r="V30" i="4" s="1"/>
  <c r="P30" i="5" s="1"/>
  <c r="T30" i="5" s="1"/>
  <c r="V30" i="5" s="1"/>
  <c r="P30" i="6" s="1"/>
  <c r="T30" i="6" s="1"/>
  <c r="V30" i="6" s="1"/>
  <c r="P30" i="7" s="1"/>
  <c r="T30" i="7" s="1"/>
  <c r="V30" i="7" s="1"/>
  <c r="P30" i="8" s="1"/>
  <c r="T30" i="8" s="1"/>
  <c r="V30" i="8" s="1"/>
  <c r="P30" i="9" s="1"/>
  <c r="T30" i="9" s="1"/>
  <c r="V30" i="9" s="1"/>
  <c r="P30" i="10" s="1"/>
  <c r="T30" i="10" s="1"/>
  <c r="V30" i="10" s="1"/>
  <c r="V29" i="3"/>
  <c r="P29" i="4" s="1"/>
  <c r="T29" i="4" s="1"/>
  <c r="V29" i="4" s="1"/>
  <c r="P29" i="5" s="1"/>
  <c r="T29" i="5" s="1"/>
  <c r="V29" i="5" s="1"/>
  <c r="P29" i="6" s="1"/>
  <c r="T29" i="6" s="1"/>
  <c r="V29" i="6" s="1"/>
  <c r="P29" i="7" s="1"/>
  <c r="T29" i="7" s="1"/>
  <c r="V29" i="7" s="1"/>
  <c r="P29" i="8" s="1"/>
  <c r="T29" i="8" s="1"/>
  <c r="V29" i="8" s="1"/>
  <c r="P29" i="9" s="1"/>
  <c r="T29" i="9" s="1"/>
  <c r="V29" i="9" s="1"/>
  <c r="P29" i="10" s="1"/>
  <c r="T29" i="10" s="1"/>
  <c r="V29" i="10" s="1"/>
  <c r="V28" i="3"/>
  <c r="P28" i="4" s="1"/>
  <c r="T28" i="4" s="1"/>
  <c r="V28" i="4" s="1"/>
  <c r="P28" i="5" s="1"/>
  <c r="T28" i="5" s="1"/>
  <c r="V28" i="5" s="1"/>
  <c r="P28" i="6" s="1"/>
  <c r="T28" i="6" s="1"/>
  <c r="V28" i="6" s="1"/>
  <c r="P28" i="7" s="1"/>
  <c r="T28" i="7" s="1"/>
  <c r="V28" i="7" s="1"/>
  <c r="P28" i="8" s="1"/>
  <c r="T28" i="8" s="1"/>
  <c r="V28" i="8" s="1"/>
  <c r="P28" i="9" s="1"/>
  <c r="T28" i="9" s="1"/>
  <c r="V28" i="9" s="1"/>
  <c r="P28" i="10" s="1"/>
  <c r="T28" i="10" s="1"/>
  <c r="V28" i="10" s="1"/>
  <c r="V27" i="3"/>
  <c r="P27" i="4" s="1"/>
  <c r="T27" i="4" s="1"/>
  <c r="V27" i="4" s="1"/>
  <c r="P27" i="5" s="1"/>
  <c r="T27" i="5" s="1"/>
  <c r="V27" i="5" s="1"/>
  <c r="P27" i="6" s="1"/>
  <c r="T27" i="6" s="1"/>
  <c r="V27" i="6" s="1"/>
  <c r="P27" i="7" s="1"/>
  <c r="T27" i="7" s="1"/>
  <c r="V27" i="7" s="1"/>
  <c r="P27" i="8" s="1"/>
  <c r="T27" i="8" s="1"/>
  <c r="V27" i="8" s="1"/>
  <c r="P27" i="9" s="1"/>
  <c r="T27" i="9" s="1"/>
  <c r="V27" i="9" s="1"/>
  <c r="P27" i="10" s="1"/>
  <c r="T27" i="10" s="1"/>
  <c r="V27" i="10" s="1"/>
  <c r="P27" i="11" s="1"/>
  <c r="T27" i="11" s="1"/>
  <c r="V27" i="11" s="1"/>
  <c r="V26" i="3"/>
  <c r="P26" i="4" s="1"/>
  <c r="T26" i="4" s="1"/>
  <c r="V26" i="4" s="1"/>
  <c r="P26" i="5" s="1"/>
  <c r="T26" i="5" s="1"/>
  <c r="V26" i="5" s="1"/>
  <c r="P26" i="6" s="1"/>
  <c r="T26" i="6" s="1"/>
  <c r="V26" i="6" s="1"/>
  <c r="P26" i="7" s="1"/>
  <c r="T26" i="7" s="1"/>
  <c r="V26" i="7" s="1"/>
  <c r="P26" i="8" s="1"/>
  <c r="T26" i="8" s="1"/>
  <c r="V26" i="8" s="1"/>
  <c r="P26" i="9" s="1"/>
  <c r="T26" i="9" s="1"/>
  <c r="V26" i="9" s="1"/>
  <c r="P26" i="10" s="1"/>
  <c r="T26" i="10" s="1"/>
  <c r="V26" i="10" s="1"/>
  <c r="V25" i="3"/>
  <c r="P25" i="4" s="1"/>
  <c r="V24" i="3"/>
  <c r="P24" i="4" s="1"/>
  <c r="T24" i="4" s="1"/>
  <c r="V24" i="4" s="1"/>
  <c r="P24" i="5" s="1"/>
  <c r="T24" i="5" s="1"/>
  <c r="V24" i="5" s="1"/>
  <c r="P24" i="6" s="1"/>
  <c r="T24" i="6" s="1"/>
  <c r="V24" i="6" s="1"/>
  <c r="P24" i="7" s="1"/>
  <c r="T24" i="7" s="1"/>
  <c r="V24" i="7" s="1"/>
  <c r="P24" i="8" s="1"/>
  <c r="T24" i="8" s="1"/>
  <c r="V24" i="8" s="1"/>
  <c r="P24" i="9" s="1"/>
  <c r="T24" i="9" s="1"/>
  <c r="V24" i="9" s="1"/>
  <c r="P24" i="10" s="1"/>
  <c r="T24" i="10" s="1"/>
  <c r="V24" i="10" s="1"/>
  <c r="V23" i="3"/>
  <c r="P23" i="4" s="1"/>
  <c r="T23" i="4" s="1"/>
  <c r="V23" i="4" s="1"/>
  <c r="P23" i="5" s="1"/>
  <c r="T23" i="5" s="1"/>
  <c r="V23" i="5" s="1"/>
  <c r="P23" i="6" s="1"/>
  <c r="T23" i="6" s="1"/>
  <c r="V23" i="6" s="1"/>
  <c r="P23" i="7" s="1"/>
  <c r="T23" i="7" s="1"/>
  <c r="V23" i="7" s="1"/>
  <c r="P23" i="8" s="1"/>
  <c r="T23" i="8" s="1"/>
  <c r="V23" i="8" s="1"/>
  <c r="P23" i="9" s="1"/>
  <c r="T23" i="9" s="1"/>
  <c r="V23" i="9" s="1"/>
  <c r="P23" i="10" s="1"/>
  <c r="T23" i="10" s="1"/>
  <c r="V23" i="10" s="1"/>
  <c r="V22" i="3"/>
  <c r="P22" i="4" s="1"/>
  <c r="T22" i="4" s="1"/>
  <c r="V22" i="4" s="1"/>
  <c r="V21" i="3"/>
  <c r="P21" i="4" s="1"/>
  <c r="T21" i="4" s="1"/>
  <c r="V21" i="4" s="1"/>
  <c r="P21" i="5" s="1"/>
  <c r="T21" i="5" s="1"/>
  <c r="V21" i="5" s="1"/>
  <c r="P21" i="6" s="1"/>
  <c r="T21" i="6" s="1"/>
  <c r="V21" i="6" s="1"/>
  <c r="P21" i="7" s="1"/>
  <c r="T21" i="7" s="1"/>
  <c r="V21" i="7" s="1"/>
  <c r="P21" i="8" s="1"/>
  <c r="T21" i="8" s="1"/>
  <c r="V21" i="8" s="1"/>
  <c r="V20" i="3"/>
  <c r="P20" i="4" s="1"/>
  <c r="T20" i="4" s="1"/>
  <c r="V20" i="4" s="1"/>
  <c r="P20" i="5" s="1"/>
  <c r="T20" i="5" s="1"/>
  <c r="V20" i="5" s="1"/>
  <c r="P20" i="6" s="1"/>
  <c r="T20" i="6" s="1"/>
  <c r="V20" i="6" s="1"/>
  <c r="P20" i="7" s="1"/>
  <c r="T20" i="7" s="1"/>
  <c r="V20" i="7" s="1"/>
  <c r="P20" i="8" s="1"/>
  <c r="T20" i="8" s="1"/>
  <c r="V20" i="8" s="1"/>
  <c r="P20" i="9" s="1"/>
  <c r="T20" i="9" s="1"/>
  <c r="V20" i="9" s="1"/>
  <c r="P20" i="10" s="1"/>
  <c r="T20" i="10" s="1"/>
  <c r="V20" i="10" s="1"/>
  <c r="V19" i="3"/>
  <c r="P19" i="4" s="1"/>
  <c r="T19" i="4" s="1"/>
  <c r="V19" i="4" s="1"/>
  <c r="P19" i="5" s="1"/>
  <c r="T19" i="5" s="1"/>
  <c r="V19" i="5" s="1"/>
  <c r="P19" i="6" s="1"/>
  <c r="T19" i="6" s="1"/>
  <c r="V19" i="6" s="1"/>
  <c r="P19" i="7" s="1"/>
  <c r="T19" i="7" s="1"/>
  <c r="V19" i="7" s="1"/>
  <c r="P19" i="8" s="1"/>
  <c r="T19" i="8" s="1"/>
  <c r="V19" i="8" s="1"/>
  <c r="P19" i="9" s="1"/>
  <c r="T19" i="9" s="1"/>
  <c r="V19" i="9" s="1"/>
  <c r="P19" i="10" s="1"/>
  <c r="T19" i="10" s="1"/>
  <c r="V19" i="10" s="1"/>
  <c r="V18" i="3"/>
  <c r="P18" i="4" s="1"/>
  <c r="T18" i="4" s="1"/>
  <c r="V18" i="4" s="1"/>
  <c r="P18" i="5" s="1"/>
  <c r="T18" i="5" s="1"/>
  <c r="V18" i="5" s="1"/>
  <c r="P18" i="6" s="1"/>
  <c r="T18" i="6" s="1"/>
  <c r="V18" i="6" s="1"/>
  <c r="P18" i="7" s="1"/>
  <c r="T18" i="7" s="1"/>
  <c r="V18" i="7" s="1"/>
  <c r="P18" i="8" s="1"/>
  <c r="T18" i="8" s="1"/>
  <c r="V18" i="8" s="1"/>
  <c r="P18" i="9" s="1"/>
  <c r="T18" i="9" s="1"/>
  <c r="V18" i="9" s="1"/>
  <c r="P18" i="10" s="1"/>
  <c r="T18" i="10" s="1"/>
  <c r="V18" i="10" s="1"/>
  <c r="V17" i="3"/>
  <c r="P17" i="4" s="1"/>
  <c r="T17" i="4" s="1"/>
  <c r="V17" i="4" s="1"/>
  <c r="P17" i="5" s="1"/>
  <c r="T17" i="5" s="1"/>
  <c r="V17" i="5" s="1"/>
  <c r="P17" i="6" s="1"/>
  <c r="T17" i="6" s="1"/>
  <c r="V17" i="6" s="1"/>
  <c r="P17" i="7" s="1"/>
  <c r="T17" i="7" s="1"/>
  <c r="V17" i="7" s="1"/>
  <c r="P17" i="8" s="1"/>
  <c r="T17" i="8" s="1"/>
  <c r="V17" i="8" s="1"/>
  <c r="V16" i="3"/>
  <c r="P16" i="4" s="1"/>
  <c r="T16" i="4" s="1"/>
  <c r="V16" i="4" s="1"/>
  <c r="P16" i="5" s="1"/>
  <c r="T16" i="5" s="1"/>
  <c r="V16" i="5" s="1"/>
  <c r="P16" i="6" s="1"/>
  <c r="T16" i="6" s="1"/>
  <c r="V16" i="6" s="1"/>
  <c r="P16" i="7" s="1"/>
  <c r="T16" i="7" s="1"/>
  <c r="V16" i="7" s="1"/>
  <c r="P16" i="8" s="1"/>
  <c r="T16" i="8" s="1"/>
  <c r="V16" i="8" s="1"/>
  <c r="V15" i="3"/>
  <c r="P15" i="4" s="1"/>
  <c r="T15" i="4" s="1"/>
  <c r="V15" i="4" s="1"/>
  <c r="P15" i="5" s="1"/>
  <c r="T15" i="5" s="1"/>
  <c r="V15" i="5" s="1"/>
  <c r="P15" i="6" s="1"/>
  <c r="T15" i="6" s="1"/>
  <c r="V15" i="6" s="1"/>
  <c r="V14" i="3"/>
  <c r="V13" i="3"/>
  <c r="V12" i="3"/>
  <c r="P12" i="4" s="1"/>
  <c r="T12" i="4" s="1"/>
  <c r="V12" i="4" s="1"/>
  <c r="V11" i="3"/>
  <c r="P11" i="4" s="1"/>
  <c r="T11" i="4" s="1"/>
  <c r="V11" i="4" s="1"/>
  <c r="P11" i="5" s="1"/>
  <c r="T11" i="5" s="1"/>
  <c r="V11" i="5" s="1"/>
  <c r="P11" i="6" s="1"/>
  <c r="T11" i="6" s="1"/>
  <c r="V11" i="6" s="1"/>
  <c r="P11" i="7" s="1"/>
  <c r="T11" i="7" s="1"/>
  <c r="V11" i="7" s="1"/>
  <c r="P11" i="8" s="1"/>
  <c r="T11" i="8" s="1"/>
  <c r="V11" i="8" s="1"/>
  <c r="P11" i="9" s="1"/>
  <c r="T11" i="9" s="1"/>
  <c r="V11" i="9" s="1"/>
  <c r="P11" i="10" s="1"/>
  <c r="T11" i="10" s="1"/>
  <c r="V11" i="10" s="1"/>
  <c r="V10" i="3"/>
  <c r="V9" i="3"/>
  <c r="P9" i="4" s="1"/>
  <c r="T9" i="4" s="1"/>
  <c r="V9" i="4" s="1"/>
  <c r="P9" i="5" s="1"/>
  <c r="T9" i="5" s="1"/>
  <c r="V9" i="5" s="1"/>
  <c r="V8" i="3"/>
  <c r="P8" i="4" s="1"/>
  <c r="T8" i="4" s="1"/>
  <c r="V8" i="4" s="1"/>
  <c r="P8" i="5" s="1"/>
  <c r="T8" i="5" s="1"/>
  <c r="V8" i="5" s="1"/>
  <c r="V7" i="3"/>
  <c r="G11" i="3"/>
  <c r="C16" i="3" s="1"/>
  <c r="F11" i="3"/>
  <c r="E11" i="3"/>
  <c r="C19" i="3" s="1"/>
  <c r="C11" i="3"/>
  <c r="P11" i="11" l="1"/>
  <c r="T11" i="11" s="1"/>
  <c r="V11" i="11" s="1"/>
  <c r="P11" i="12" s="1"/>
  <c r="T11" i="12" s="1"/>
  <c r="V11" i="12" s="1"/>
  <c r="P11" i="13" s="1"/>
  <c r="T11" i="13" s="1"/>
  <c r="V11" i="13" s="1"/>
  <c r="P11" i="14" s="1"/>
  <c r="T11" i="14" s="1"/>
  <c r="V11" i="14" s="1"/>
  <c r="P15" i="7"/>
  <c r="T15" i="7" s="1"/>
  <c r="V15" i="7" s="1"/>
  <c r="P15" i="8" s="1"/>
  <c r="T15" i="8" s="1"/>
  <c r="V15" i="8" s="1"/>
  <c r="P15" i="9" s="1"/>
  <c r="T15" i="9" s="1"/>
  <c r="V15" i="9" s="1"/>
  <c r="P19" i="11"/>
  <c r="T19" i="11" s="1"/>
  <c r="V19" i="11" s="1"/>
  <c r="P19" i="12" s="1"/>
  <c r="T19" i="12" s="1"/>
  <c r="V19" i="12" s="1"/>
  <c r="P19" i="13" s="1"/>
  <c r="T19" i="13" s="1"/>
  <c r="V19" i="13" s="1"/>
  <c r="P19" i="14" s="1"/>
  <c r="T19" i="14" s="1"/>
  <c r="V19" i="14" s="1"/>
  <c r="Y23" i="8"/>
  <c r="Y24" i="8" s="1"/>
  <c r="P21" i="9"/>
  <c r="T21" i="9" s="1"/>
  <c r="V21" i="9" s="1"/>
  <c r="P23" i="11"/>
  <c r="T23" i="11" s="1"/>
  <c r="V23" i="11" s="1"/>
  <c r="P23" i="12" s="1"/>
  <c r="T23" i="12" s="1"/>
  <c r="V23" i="12" s="1"/>
  <c r="P23" i="13" s="1"/>
  <c r="T23" i="13" s="1"/>
  <c r="V23" i="13" s="1"/>
  <c r="P23" i="14" s="1"/>
  <c r="T23" i="14" s="1"/>
  <c r="V23" i="14" s="1"/>
  <c r="P29" i="11"/>
  <c r="T29" i="11" s="1"/>
  <c r="V29" i="11" s="1"/>
  <c r="P29" i="12" s="1"/>
  <c r="T29" i="12" s="1"/>
  <c r="V29" i="12" s="1"/>
  <c r="P29" i="13" s="1"/>
  <c r="T29" i="13" s="1"/>
  <c r="V29" i="13" s="1"/>
  <c r="P29" i="14" s="1"/>
  <c r="T29" i="14" s="1"/>
  <c r="V29" i="14" s="1"/>
  <c r="P31" i="11"/>
  <c r="T31" i="11" s="1"/>
  <c r="V31" i="11" s="1"/>
  <c r="P31" i="12" s="1"/>
  <c r="T31" i="12" s="1"/>
  <c r="V31" i="12" s="1"/>
  <c r="P31" i="13" s="1"/>
  <c r="T31" i="13" s="1"/>
  <c r="V31" i="13" s="1"/>
  <c r="P31" i="14" s="1"/>
  <c r="T31" i="14" s="1"/>
  <c r="V31" i="14" s="1"/>
  <c r="P38" i="11"/>
  <c r="T38" i="11" s="1"/>
  <c r="V38" i="11" s="1"/>
  <c r="P38" i="12" s="1"/>
  <c r="T38" i="12" s="1"/>
  <c r="V38" i="12" s="1"/>
  <c r="P38" i="13" s="1"/>
  <c r="T38" i="13" s="1"/>
  <c r="V38" i="13" s="1"/>
  <c r="P38" i="14" s="1"/>
  <c r="T38" i="14" s="1"/>
  <c r="V38" i="14" s="1"/>
  <c r="P8" i="6"/>
  <c r="T8" i="6" s="1"/>
  <c r="V8" i="6" s="1"/>
  <c r="P8" i="7" s="1"/>
  <c r="T8" i="7" s="1"/>
  <c r="V8" i="7" s="1"/>
  <c r="P8" i="8" s="1"/>
  <c r="T8" i="8" s="1"/>
  <c r="V8" i="8" s="1"/>
  <c r="P8" i="9" s="1"/>
  <c r="T8" i="9" s="1"/>
  <c r="V8" i="9" s="1"/>
  <c r="P8" i="10" s="1"/>
  <c r="T8" i="10" s="1"/>
  <c r="V8" i="10" s="1"/>
  <c r="P18" i="11"/>
  <c r="T18" i="11" s="1"/>
  <c r="V18" i="11" s="1"/>
  <c r="P18" i="12" s="1"/>
  <c r="T18" i="12" s="1"/>
  <c r="V18" i="12" s="1"/>
  <c r="P18" i="13" s="1"/>
  <c r="T18" i="13" s="1"/>
  <c r="V18" i="13" s="1"/>
  <c r="P18" i="14" s="1"/>
  <c r="T18" i="14" s="1"/>
  <c r="V18" i="14" s="1"/>
  <c r="P20" i="11"/>
  <c r="T20" i="11" s="1"/>
  <c r="V20" i="11" s="1"/>
  <c r="P20" i="12" s="1"/>
  <c r="T20" i="12" s="1"/>
  <c r="V20" i="12" s="1"/>
  <c r="P20" i="13" s="1"/>
  <c r="T20" i="13" s="1"/>
  <c r="V20" i="13" s="1"/>
  <c r="P20" i="14" s="1"/>
  <c r="T20" i="14" s="1"/>
  <c r="V20" i="14" s="1"/>
  <c r="P24" i="11"/>
  <c r="T24" i="11" s="1"/>
  <c r="V24" i="11" s="1"/>
  <c r="P24" i="12" s="1"/>
  <c r="T24" i="12" s="1"/>
  <c r="V24" i="12" s="1"/>
  <c r="P24" i="13" s="1"/>
  <c r="T24" i="13" s="1"/>
  <c r="V24" i="13" s="1"/>
  <c r="P24" i="14" s="1"/>
  <c r="T24" i="14" s="1"/>
  <c r="V24" i="14" s="1"/>
  <c r="P26" i="11"/>
  <c r="T26" i="11" s="1"/>
  <c r="V26" i="11" s="1"/>
  <c r="P26" i="12" s="1"/>
  <c r="T26" i="12" s="1"/>
  <c r="V26" i="12" s="1"/>
  <c r="P26" i="13" s="1"/>
  <c r="T26" i="13" s="1"/>
  <c r="V26" i="13" s="1"/>
  <c r="P26" i="14" s="1"/>
  <c r="T26" i="14" s="1"/>
  <c r="V26" i="14" s="1"/>
  <c r="P28" i="11"/>
  <c r="T28" i="11" s="1"/>
  <c r="V28" i="11" s="1"/>
  <c r="P28" i="12" s="1"/>
  <c r="T28" i="12" s="1"/>
  <c r="V28" i="12" s="1"/>
  <c r="P28" i="13" s="1"/>
  <c r="T28" i="13" s="1"/>
  <c r="V28" i="13" s="1"/>
  <c r="P28" i="14" s="1"/>
  <c r="T28" i="14" s="1"/>
  <c r="V28" i="14" s="1"/>
  <c r="P30" i="11"/>
  <c r="T30" i="11" s="1"/>
  <c r="V30" i="11" s="1"/>
  <c r="P30" i="12" s="1"/>
  <c r="T30" i="12" s="1"/>
  <c r="V30" i="12" s="1"/>
  <c r="P30" i="13" s="1"/>
  <c r="T30" i="13" s="1"/>
  <c r="V30" i="13" s="1"/>
  <c r="P30" i="14" s="1"/>
  <c r="T30" i="14" s="1"/>
  <c r="V30" i="14" s="1"/>
  <c r="T25" i="4"/>
  <c r="C20" i="3"/>
  <c r="F21" i="3"/>
  <c r="J21" i="3" s="1"/>
  <c r="N42" i="3"/>
  <c r="U51" i="3"/>
  <c r="U56" i="3" s="1"/>
  <c r="U57" i="3" s="1"/>
  <c r="V6" i="3"/>
  <c r="S43" i="1"/>
  <c r="M43" i="1"/>
  <c r="W39" i="1"/>
  <c r="M49" i="1" s="1"/>
  <c r="V39" i="1"/>
  <c r="M46" i="1" s="1"/>
  <c r="T39" i="1"/>
  <c r="S42" i="1" s="1"/>
  <c r="S56" i="1" s="1"/>
  <c r="R39" i="1"/>
  <c r="M47" i="1" s="1"/>
  <c r="Q39" i="1"/>
  <c r="M45" i="1" s="1"/>
  <c r="P39" i="1"/>
  <c r="N51" i="1" s="1"/>
  <c r="N56" i="1" s="1"/>
  <c r="O39" i="1"/>
  <c r="N39" i="1"/>
  <c r="M44" i="1" s="1"/>
  <c r="S38" i="1"/>
  <c r="S32" i="1"/>
  <c r="U32" i="1" s="1"/>
  <c r="S31" i="1"/>
  <c r="U31" i="1" s="1"/>
  <c r="S30" i="1"/>
  <c r="U30" i="1" s="1"/>
  <c r="S29" i="1"/>
  <c r="S28" i="1"/>
  <c r="U28" i="1" s="1"/>
  <c r="S27" i="1"/>
  <c r="U27" i="1" s="1"/>
  <c r="S26" i="1"/>
  <c r="S25" i="1"/>
  <c r="S24" i="1"/>
  <c r="U24" i="1" s="1"/>
  <c r="S23" i="1"/>
  <c r="S22" i="1"/>
  <c r="U22" i="1" s="1"/>
  <c r="S21" i="1"/>
  <c r="U21" i="1" s="1"/>
  <c r="S20" i="1"/>
  <c r="S19" i="1"/>
  <c r="U19" i="1" s="1"/>
  <c r="S18" i="1"/>
  <c r="U18" i="1" s="1"/>
  <c r="S17" i="1"/>
  <c r="S16" i="1"/>
  <c r="U16" i="1" s="1"/>
  <c r="S15" i="1"/>
  <c r="U15" i="1" s="1"/>
  <c r="S14" i="1"/>
  <c r="S13" i="1"/>
  <c r="U13" i="1" s="1"/>
  <c r="S12" i="1"/>
  <c r="S11" i="1"/>
  <c r="U11" i="1" s="1"/>
  <c r="S10" i="1"/>
  <c r="S9" i="1"/>
  <c r="U9" i="1" s="1"/>
  <c r="S8" i="1"/>
  <c r="U8" i="1" s="1"/>
  <c r="S7" i="1"/>
  <c r="U7" i="1" s="1"/>
  <c r="S6" i="1"/>
  <c r="V39" i="3" l="1"/>
  <c r="P6" i="4"/>
  <c r="P21" i="10"/>
  <c r="T21" i="10" s="1"/>
  <c r="V21" i="10" s="1"/>
  <c r="P21" i="11" s="1"/>
  <c r="T21" i="11" s="1"/>
  <c r="V21" i="11" s="1"/>
  <c r="P8" i="11"/>
  <c r="T8" i="11" s="1"/>
  <c r="V8" i="11" s="1"/>
  <c r="P8" i="12" s="1"/>
  <c r="T8" i="12" s="1"/>
  <c r="V8" i="12" s="1"/>
  <c r="P8" i="13" s="1"/>
  <c r="T8" i="13" s="1"/>
  <c r="V8" i="13" s="1"/>
  <c r="P8" i="14" s="1"/>
  <c r="T8" i="14" s="1"/>
  <c r="V8" i="14" s="1"/>
  <c r="V25" i="4"/>
  <c r="N56" i="3"/>
  <c r="P56" i="3" s="1"/>
  <c r="N43" i="4" s="1"/>
  <c r="N56" i="4" s="1"/>
  <c r="P56" i="4" s="1"/>
  <c r="S39" i="1"/>
  <c r="V56" i="3"/>
  <c r="T43" i="4" s="1"/>
  <c r="T56" i="4" s="1"/>
  <c r="V56" i="4" s="1"/>
  <c r="T43" i="5" s="1"/>
  <c r="T56" i="5" s="1"/>
  <c r="V56" i="5" s="1"/>
  <c r="U6" i="1"/>
  <c r="U10" i="1"/>
  <c r="U12" i="1"/>
  <c r="U14" i="1"/>
  <c r="U17" i="1"/>
  <c r="U20" i="1"/>
  <c r="U23" i="1"/>
  <c r="U25" i="1"/>
  <c r="U26" i="1"/>
  <c r="U29" i="1"/>
  <c r="U38" i="1"/>
  <c r="M42" i="1"/>
  <c r="M56" i="1" s="1"/>
  <c r="O56" i="1" s="1"/>
  <c r="T51" i="1"/>
  <c r="T56" i="1" s="1"/>
  <c r="T57" i="1" s="1"/>
  <c r="P25" i="5" l="1"/>
  <c r="T25" i="5" s="1"/>
  <c r="V25" i="5" s="1"/>
  <c r="P25" i="6" s="1"/>
  <c r="T25" i="6" s="1"/>
  <c r="V25" i="6" s="1"/>
  <c r="P25" i="7" s="1"/>
  <c r="T25" i="7" s="1"/>
  <c r="V25" i="7" s="1"/>
  <c r="P25" i="8" s="1"/>
  <c r="T25" i="8" s="1"/>
  <c r="V25" i="8" s="1"/>
  <c r="P25" i="9" s="1"/>
  <c r="T25" i="9" s="1"/>
  <c r="V25" i="9" s="1"/>
  <c r="P25" i="10" s="1"/>
  <c r="T25" i="10" s="1"/>
  <c r="V25" i="10" s="1"/>
  <c r="T6" i="4"/>
  <c r="P39" i="4"/>
  <c r="N43" i="5"/>
  <c r="W61" i="4"/>
  <c r="T43" i="6"/>
  <c r="T56" i="6" s="1"/>
  <c r="V56" i="6" s="1"/>
  <c r="T43" i="7" s="1"/>
  <c r="T56" i="7" s="1"/>
  <c r="V56" i="7" s="1"/>
  <c r="T43" i="8" s="1"/>
  <c r="T56" i="8" s="1"/>
  <c r="V56" i="8" s="1"/>
  <c r="T43" i="9" s="1"/>
  <c r="T58" i="9" s="1"/>
  <c r="V58" i="9" s="1"/>
  <c r="T43" i="10" s="1"/>
  <c r="T61" i="10" s="1"/>
  <c r="V61" i="10" s="1"/>
  <c r="T43" i="11" s="1"/>
  <c r="T59" i="11" s="1"/>
  <c r="V59" i="11" s="1"/>
  <c r="T43" i="12" s="1"/>
  <c r="T59" i="12" s="1"/>
  <c r="V59" i="12" s="1"/>
  <c r="T43" i="13" s="1"/>
  <c r="T59" i="13" s="1"/>
  <c r="V59" i="13" s="1"/>
  <c r="T43" i="14" s="1"/>
  <c r="T59" i="14" s="1"/>
  <c r="V59" i="14" s="1"/>
  <c r="U39" i="1"/>
  <c r="U56" i="1"/>
  <c r="P25" i="11" l="1"/>
  <c r="T25" i="11" s="1"/>
  <c r="V25" i="11" s="1"/>
  <c r="P25" i="12" s="1"/>
  <c r="T25" i="12" s="1"/>
  <c r="V25" i="12" s="1"/>
  <c r="P25" i="13" s="1"/>
  <c r="T25" i="13" s="1"/>
  <c r="V25" i="13" s="1"/>
  <c r="P25" i="14" s="1"/>
  <c r="T25" i="14" s="1"/>
  <c r="V25" i="14" s="1"/>
  <c r="V6" i="4"/>
  <c r="T39" i="4"/>
  <c r="N56" i="5"/>
  <c r="P56" i="5" s="1"/>
  <c r="N43" i="6" s="1"/>
  <c r="N56" i="6" s="1"/>
  <c r="P56" i="6" s="1"/>
  <c r="N43" i="7" s="1"/>
  <c r="N56" i="7" s="1"/>
  <c r="P56" i="7" s="1"/>
  <c r="N43" i="8" s="1"/>
  <c r="N56" i="8" s="1"/>
  <c r="P56" i="8" s="1"/>
  <c r="N43" i="9" s="1"/>
  <c r="N58" i="9" s="1"/>
  <c r="P58" i="9" s="1"/>
  <c r="N43" i="10" s="1"/>
  <c r="F11" i="2"/>
  <c r="D20" i="2" s="1"/>
  <c r="E11" i="2"/>
  <c r="D19" i="2" s="1"/>
  <c r="H9" i="2"/>
  <c r="P6" i="5" l="1"/>
  <c r="V39" i="4"/>
  <c r="N61" i="10"/>
  <c r="P61" i="10" s="1"/>
  <c r="N43" i="11" s="1"/>
  <c r="N59" i="11" s="1"/>
  <c r="P59" i="11" s="1"/>
  <c r="N43" i="12" s="1"/>
  <c r="N59" i="12" s="1"/>
  <c r="P59" i="12" s="1"/>
  <c r="N43" i="13" s="1"/>
  <c r="N59" i="13" s="1"/>
  <c r="P59" i="13" s="1"/>
  <c r="R75" i="10"/>
  <c r="R76" i="10" s="1"/>
  <c r="K29" i="2"/>
  <c r="G29" i="2"/>
  <c r="G11" i="2"/>
  <c r="D16" i="2" s="1"/>
  <c r="C11" i="2"/>
  <c r="J9" i="2"/>
  <c r="D9" i="3" s="1"/>
  <c r="H9" i="3" s="1"/>
  <c r="J9" i="3" s="1"/>
  <c r="D9" i="4" s="1"/>
  <c r="H9" i="4" s="1"/>
  <c r="J9" i="4" s="1"/>
  <c r="D9" i="5" s="1"/>
  <c r="H9" i="5" s="1"/>
  <c r="J9" i="5" s="1"/>
  <c r="D9" i="6" s="1"/>
  <c r="H9" i="6" s="1"/>
  <c r="J9" i="6" s="1"/>
  <c r="D9" i="7" s="1"/>
  <c r="H9" i="7" s="1"/>
  <c r="J9" i="7" s="1"/>
  <c r="D9" i="8" s="1"/>
  <c r="H9" i="8" s="1"/>
  <c r="J9" i="8" s="1"/>
  <c r="D9" i="9" s="1"/>
  <c r="H9" i="9" s="1"/>
  <c r="J9" i="9" s="1"/>
  <c r="D9" i="10" s="1"/>
  <c r="H9" i="10" s="1"/>
  <c r="J9" i="10" s="1"/>
  <c r="D9" i="11" s="1"/>
  <c r="H9" i="11" s="1"/>
  <c r="J9" i="11" s="1"/>
  <c r="D9" i="12" s="1"/>
  <c r="H9" i="12" s="1"/>
  <c r="J9" i="12" s="1"/>
  <c r="D9" i="13" s="1"/>
  <c r="H9" i="13" s="1"/>
  <c r="J9" i="13" s="1"/>
  <c r="D9" i="14" s="1"/>
  <c r="H9" i="14" s="1"/>
  <c r="J9" i="14" s="1"/>
  <c r="I11" i="2"/>
  <c r="J16" i="2" s="1"/>
  <c r="H42" i="13" l="1"/>
  <c r="N43" i="14"/>
  <c r="N59" i="14" s="1"/>
  <c r="P59" i="14" s="1"/>
  <c r="H42" i="14" s="1"/>
  <c r="T6" i="5"/>
  <c r="P39" i="5"/>
  <c r="G21" i="2"/>
  <c r="K21" i="2" s="1"/>
  <c r="I23" i="1"/>
  <c r="E23" i="1"/>
  <c r="V6" i="5" l="1"/>
  <c r="T39" i="5"/>
  <c r="G7" i="1"/>
  <c r="P6" i="6" l="1"/>
  <c r="V39" i="5"/>
  <c r="G8" i="1"/>
  <c r="T6" i="6" l="1"/>
  <c r="P39" i="6"/>
  <c r="E11" i="1"/>
  <c r="D16" i="1" s="1"/>
  <c r="I27" i="1"/>
  <c r="E27" i="1"/>
  <c r="G11" i="1"/>
  <c r="H16" i="1" s="1"/>
  <c r="C11" i="1"/>
  <c r="F10" i="1"/>
  <c r="H10" i="1" s="1"/>
  <c r="F9" i="1"/>
  <c r="F8" i="1"/>
  <c r="F7" i="1"/>
  <c r="H7" i="1" s="1"/>
  <c r="F6" i="1"/>
  <c r="H6" i="1" s="1"/>
  <c r="F5" i="1"/>
  <c r="H5" i="1" s="1"/>
  <c r="V6" i="6" l="1"/>
  <c r="T39" i="6"/>
  <c r="D5" i="2"/>
  <c r="D6" i="2"/>
  <c r="H6" i="2" s="1"/>
  <c r="J6" i="2" s="1"/>
  <c r="D6" i="3" s="1"/>
  <c r="H6" i="3" s="1"/>
  <c r="J6" i="3" s="1"/>
  <c r="D6" i="4" s="1"/>
  <c r="H6" i="4" s="1"/>
  <c r="J6" i="4" s="1"/>
  <c r="D6" i="5" s="1"/>
  <c r="H6" i="5" s="1"/>
  <c r="J6" i="5" s="1"/>
  <c r="D6" i="6" s="1"/>
  <c r="H6" i="6" s="1"/>
  <c r="J6" i="6" s="1"/>
  <c r="D6" i="7" s="1"/>
  <c r="H6" i="7" s="1"/>
  <c r="J6" i="7" s="1"/>
  <c r="D6" i="8" s="1"/>
  <c r="H6" i="8" s="1"/>
  <c r="J6" i="8" s="1"/>
  <c r="D6" i="9" s="1"/>
  <c r="H6" i="9" s="1"/>
  <c r="J6" i="9" s="1"/>
  <c r="D6" i="10" s="1"/>
  <c r="H6" i="10" s="1"/>
  <c r="J6" i="10" s="1"/>
  <c r="D6" i="11" s="1"/>
  <c r="H6" i="11" s="1"/>
  <c r="J6" i="11" s="1"/>
  <c r="D6" i="12" s="1"/>
  <c r="H6" i="12" s="1"/>
  <c r="J6" i="12" s="1"/>
  <c r="D6" i="13" s="1"/>
  <c r="H6" i="13" s="1"/>
  <c r="J6" i="13" s="1"/>
  <c r="D6" i="14" s="1"/>
  <c r="H6" i="14" s="1"/>
  <c r="J6" i="14" s="1"/>
  <c r="D10" i="2"/>
  <c r="H10" i="2" s="1"/>
  <c r="J10" i="2" s="1"/>
  <c r="D10" i="3" s="1"/>
  <c r="H10" i="3" s="1"/>
  <c r="J10" i="3" s="1"/>
  <c r="D10" i="4" s="1"/>
  <c r="D7" i="2"/>
  <c r="H7" i="2" s="1"/>
  <c r="J7" i="2" s="1"/>
  <c r="D7" i="3" s="1"/>
  <c r="H7" i="3" s="1"/>
  <c r="J7" i="3" s="1"/>
  <c r="D7" i="4" s="1"/>
  <c r="H7" i="4" s="1"/>
  <c r="J7" i="4" s="1"/>
  <c r="D7" i="5" s="1"/>
  <c r="H7" i="5" s="1"/>
  <c r="J7" i="5" s="1"/>
  <c r="D7" i="6" s="1"/>
  <c r="H7" i="6" s="1"/>
  <c r="J7" i="6" s="1"/>
  <c r="H5" i="2"/>
  <c r="H8" i="1"/>
  <c r="H11" i="1" s="1"/>
  <c r="F11" i="1"/>
  <c r="E19" i="1"/>
  <c r="I19" i="1" s="1"/>
  <c r="P6" i="7" l="1"/>
  <c r="T6" i="7" s="1"/>
  <c r="V39" i="6"/>
  <c r="P39" i="7" s="1"/>
  <c r="H10" i="4"/>
  <c r="J10" i="4" s="1"/>
  <c r="D10" i="5" s="1"/>
  <c r="D8" i="2"/>
  <c r="H8" i="2" s="1"/>
  <c r="H8" i="3" s="1"/>
  <c r="J8" i="3" s="1"/>
  <c r="D8" i="4" s="1"/>
  <c r="H8" i="4" s="1"/>
  <c r="J8" i="4" s="1"/>
  <c r="D8" i="5" s="1"/>
  <c r="H8" i="5" s="1"/>
  <c r="J8" i="5" s="1"/>
  <c r="D8" i="6" s="1"/>
  <c r="H8" i="6" s="1"/>
  <c r="J8" i="6" s="1"/>
  <c r="J5" i="2"/>
  <c r="D11" i="2"/>
  <c r="H27" i="1"/>
  <c r="J27" i="1" s="1"/>
  <c r="J17" i="2" s="1"/>
  <c r="J29" i="2" s="1"/>
  <c r="L29" i="2" s="1"/>
  <c r="I17" i="3" s="1"/>
  <c r="I29" i="3" s="1"/>
  <c r="K29" i="3" s="1"/>
  <c r="H17" i="4" s="1"/>
  <c r="H29" i="4" s="1"/>
  <c r="J29" i="4" s="1"/>
  <c r="H17" i="5" s="1"/>
  <c r="H29" i="5" s="1"/>
  <c r="J29" i="5" s="1"/>
  <c r="H17" i="6" s="1"/>
  <c r="H29" i="6" s="1"/>
  <c r="J29" i="6" s="1"/>
  <c r="H17" i="7" s="1"/>
  <c r="H29" i="7" s="1"/>
  <c r="J29" i="7" s="1"/>
  <c r="H17" i="8" s="1"/>
  <c r="H29" i="8" s="1"/>
  <c r="J29" i="8" s="1"/>
  <c r="H17" i="9" s="1"/>
  <c r="H29" i="9" s="1"/>
  <c r="J29" i="9" s="1"/>
  <c r="H17" i="10" s="1"/>
  <c r="H29" i="10" s="1"/>
  <c r="J29" i="10" s="1"/>
  <c r="H17" i="11" s="1"/>
  <c r="D27" i="1"/>
  <c r="F27" i="1" s="1"/>
  <c r="D17" i="2" s="1"/>
  <c r="D29" i="2" s="1"/>
  <c r="H29" i="2" s="1"/>
  <c r="C17" i="3" s="1"/>
  <c r="C29" i="3" s="1"/>
  <c r="H29" i="11" l="1"/>
  <c r="J29" i="11" s="1"/>
  <c r="H17" i="12" s="1"/>
  <c r="K30" i="11"/>
  <c r="V6" i="7"/>
  <c r="T39" i="7"/>
  <c r="H10" i="5"/>
  <c r="J11" i="2"/>
  <c r="D5" i="3"/>
  <c r="H11" i="2"/>
  <c r="G29" i="3"/>
  <c r="C17" i="4" s="1"/>
  <c r="C29" i="4" s="1"/>
  <c r="F29" i="4" s="1"/>
  <c r="P6" i="8" l="1"/>
  <c r="T6" i="8" s="1"/>
  <c r="V39" i="7"/>
  <c r="P39" i="8" s="1"/>
  <c r="H29" i="12"/>
  <c r="J29" i="12" s="1"/>
  <c r="H17" i="13" s="1"/>
  <c r="K30" i="13" s="1"/>
  <c r="K30" i="12"/>
  <c r="C17" i="5"/>
  <c r="C29" i="5" s="1"/>
  <c r="F29" i="5" s="1"/>
  <c r="C17" i="6" s="1"/>
  <c r="C29" i="6" s="1"/>
  <c r="F29" i="6" s="1"/>
  <c r="C17" i="7" s="1"/>
  <c r="C29" i="7" s="1"/>
  <c r="F29" i="7" s="1"/>
  <c r="C17" i="8" s="1"/>
  <c r="C29" i="8" s="1"/>
  <c r="F29" i="8" s="1"/>
  <c r="C17" i="9" s="1"/>
  <c r="C29" i="9" s="1"/>
  <c r="F29" i="9" s="1"/>
  <c r="C17" i="10" s="1"/>
  <c r="C29" i="10" s="1"/>
  <c r="F29" i="10" s="1"/>
  <c r="K27" i="4"/>
  <c r="J10" i="5"/>
  <c r="D11" i="3"/>
  <c r="H5" i="3"/>
  <c r="K30" i="10" l="1"/>
  <c r="I37" i="10"/>
  <c r="H29" i="13"/>
  <c r="J29" i="13" s="1"/>
  <c r="H17" i="14" s="1"/>
  <c r="V6" i="8"/>
  <c r="T39" i="8"/>
  <c r="D10" i="6"/>
  <c r="J5" i="3"/>
  <c r="H11" i="3"/>
  <c r="H29" i="14" l="1"/>
  <c r="J29" i="14" s="1"/>
  <c r="K30" i="14"/>
  <c r="J11" i="3"/>
  <c r="D5" i="4"/>
  <c r="P6" i="9"/>
  <c r="V39" i="8"/>
  <c r="H10" i="6"/>
  <c r="H5" i="4" l="1"/>
  <c r="D11" i="4"/>
  <c r="P39" i="9"/>
  <c r="T6" i="9"/>
  <c r="J10" i="6"/>
  <c r="V6" i="9" l="1"/>
  <c r="T39" i="9"/>
  <c r="J5" i="4"/>
  <c r="H11" i="4"/>
  <c r="D10" i="7"/>
  <c r="H10" i="7" s="1"/>
  <c r="D5" i="5" l="1"/>
  <c r="J11" i="4"/>
  <c r="P6" i="10"/>
  <c r="V39" i="9"/>
  <c r="J10" i="7"/>
  <c r="T6" i="10" l="1"/>
  <c r="P39" i="10"/>
  <c r="H5" i="5"/>
  <c r="D11" i="5"/>
  <c r="D10" i="8"/>
  <c r="H10" i="8" s="1"/>
  <c r="J5" i="5" l="1"/>
  <c r="H11" i="5"/>
  <c r="V6" i="10"/>
  <c r="T39" i="10"/>
  <c r="J10" i="8"/>
  <c r="P6" i="11" l="1"/>
  <c r="P39" i="11" s="1"/>
  <c r="V39" i="10"/>
  <c r="D5" i="6"/>
  <c r="J11" i="5"/>
  <c r="T6" i="11" l="1"/>
  <c r="H5" i="6"/>
  <c r="D11" i="6"/>
  <c r="J5" i="6" l="1"/>
  <c r="H11" i="6"/>
  <c r="V6" i="11"/>
  <c r="T39" i="11"/>
  <c r="P6" i="12" l="1"/>
  <c r="V39" i="11"/>
  <c r="D5" i="7"/>
  <c r="J11" i="6"/>
  <c r="H5" i="7" l="1"/>
  <c r="D11" i="7"/>
  <c r="T6" i="12"/>
  <c r="P39" i="12"/>
  <c r="V6" i="12" l="1"/>
  <c r="P6" i="14" s="1"/>
  <c r="T39" i="12"/>
  <c r="J5" i="7"/>
  <c r="H11" i="7"/>
  <c r="P39" i="14" l="1"/>
  <c r="T6" i="14"/>
  <c r="D5" i="8"/>
  <c r="H5" i="8" s="1"/>
  <c r="J11" i="7"/>
  <c r="P6" i="13"/>
  <c r="V39" i="12"/>
  <c r="T39" i="14" l="1"/>
  <c r="V6" i="14"/>
  <c r="V39" i="14" s="1"/>
  <c r="D11" i="8"/>
  <c r="D11" i="9"/>
  <c r="P39" i="13"/>
  <c r="T6" i="13"/>
  <c r="J5" i="8"/>
  <c r="H11" i="8"/>
  <c r="V6" i="13" l="1"/>
  <c r="V39" i="13" s="1"/>
  <c r="T39" i="13"/>
  <c r="D5" i="9"/>
  <c r="J11" i="8"/>
  <c r="H5" i="9" l="1"/>
  <c r="D10" i="9"/>
  <c r="H10" i="9" s="1"/>
  <c r="J10" i="9" s="1"/>
  <c r="D10" i="10" s="1"/>
  <c r="H10" i="10" s="1"/>
  <c r="J10" i="10" s="1"/>
  <c r="D10" i="11" s="1"/>
  <c r="H10" i="11" s="1"/>
  <c r="J10" i="11" s="1"/>
  <c r="D10" i="12" s="1"/>
  <c r="H10" i="12" s="1"/>
  <c r="J10" i="12" s="1"/>
  <c r="D10" i="13" s="1"/>
  <c r="H10" i="13" s="1"/>
  <c r="J10" i="13" s="1"/>
  <c r="D10" i="14" s="1"/>
  <c r="H10" i="14" s="1"/>
  <c r="J10" i="14" s="1"/>
  <c r="J5" i="9" l="1"/>
  <c r="J11" i="9" s="1"/>
  <c r="H11" i="9"/>
  <c r="D5" i="10" l="1"/>
  <c r="D11" i="10" l="1"/>
  <c r="H5" i="10"/>
  <c r="J5" i="10" l="1"/>
  <c r="H11" i="10"/>
  <c r="D5" i="11" l="1"/>
  <c r="J11" i="10"/>
  <c r="D11" i="11" l="1"/>
  <c r="H5" i="11"/>
  <c r="J5" i="11" l="1"/>
  <c r="H11" i="11"/>
  <c r="J11" i="11" l="1"/>
  <c r="D11" i="12" s="1"/>
  <c r="D5" i="12"/>
  <c r="H5" i="12" s="1"/>
  <c r="H11" i="12" l="1"/>
  <c r="J5" i="12"/>
  <c r="J11" i="12" l="1"/>
  <c r="D5" i="13"/>
  <c r="D11" i="13" l="1"/>
  <c r="H5" i="13"/>
  <c r="H11" i="13" s="1"/>
  <c r="J5" i="13" l="1"/>
  <c r="J11" i="13" l="1"/>
  <c r="D5" i="14"/>
  <c r="H5" i="14" l="1"/>
  <c r="D11" i="14"/>
  <c r="J5" i="14" l="1"/>
  <c r="J11" i="14" s="1"/>
  <c r="H11" i="14"/>
</calcChain>
</file>

<file path=xl/sharedStrings.xml><?xml version="1.0" encoding="utf-8"?>
<sst xmlns="http://schemas.openxmlformats.org/spreadsheetml/2006/main" count="1889" uniqueCount="202">
  <si>
    <t xml:space="preserve">RENT STATEMENT </t>
  </si>
  <si>
    <t>FOR THE MONTH OF NOVEMBER 2020</t>
  </si>
  <si>
    <t xml:space="preserve">NO. </t>
  </si>
  <si>
    <t>NAME</t>
  </si>
  <si>
    <t>DEPOSIT</t>
  </si>
  <si>
    <t>BF</t>
  </si>
  <si>
    <t>RENT</t>
  </si>
  <si>
    <t>TOTAL DUE</t>
  </si>
  <si>
    <t>PAID</t>
  </si>
  <si>
    <t>BAL</t>
  </si>
  <si>
    <t xml:space="preserve"> </t>
  </si>
  <si>
    <t>SUMMARY</t>
  </si>
  <si>
    <t>EXPECTED</t>
  </si>
  <si>
    <t xml:space="preserve">DETAILS </t>
  </si>
  <si>
    <t xml:space="preserve">CR </t>
  </si>
  <si>
    <t>DR</t>
  </si>
  <si>
    <t>BL</t>
  </si>
  <si>
    <t>NOVEMBER</t>
  </si>
  <si>
    <t>COMM</t>
  </si>
  <si>
    <t>PAYMENTS</t>
  </si>
  <si>
    <t>TOTAL</t>
  </si>
  <si>
    <t xml:space="preserve">PREPARED BY </t>
  </si>
  <si>
    <t>APPROVED BY</t>
  </si>
  <si>
    <t xml:space="preserve">RECEIVED BY </t>
  </si>
  <si>
    <t>FLORENCE</t>
  </si>
  <si>
    <t>GRACE</t>
  </si>
  <si>
    <t>LL</t>
  </si>
  <si>
    <t>BENARD ACTOLA</t>
  </si>
  <si>
    <t>ELIZABETH NGUMBI</t>
  </si>
  <si>
    <t>MARGARET KANGETHE</t>
  </si>
  <si>
    <t>RENT TRIBUNAL</t>
  </si>
  <si>
    <t>LAWRENCE THIONGO</t>
  </si>
  <si>
    <t>PETERSON MOSE</t>
  </si>
  <si>
    <t>PAID ON 16/11</t>
  </si>
  <si>
    <t>MARGARET</t>
  </si>
  <si>
    <t>PAID ON 17/11</t>
  </si>
  <si>
    <t>DECEMBER</t>
  </si>
  <si>
    <t>FOR THE MONTH OF DECEMBER 2020</t>
  </si>
  <si>
    <t>VACCATED</t>
  </si>
  <si>
    <t>BENARD  VACCATED</t>
  </si>
  <si>
    <t>VACCANT</t>
  </si>
  <si>
    <t>WATER</t>
  </si>
  <si>
    <t>GARBAGE</t>
  </si>
  <si>
    <t>PETERSON</t>
  </si>
  <si>
    <t>PAID ON 10/12</t>
  </si>
  <si>
    <t>NO</t>
  </si>
  <si>
    <t>DEP BAL</t>
  </si>
  <si>
    <t>B/F</t>
  </si>
  <si>
    <t>DUE BILL</t>
  </si>
  <si>
    <t>ARREARS PAID</t>
  </si>
  <si>
    <t xml:space="preserve">WATER DEPOSIT </t>
  </si>
  <si>
    <t xml:space="preserve">TOTAL </t>
  </si>
  <si>
    <t>CR</t>
  </si>
  <si>
    <t>ARREARS</t>
  </si>
  <si>
    <t>WATER DEPOSIT</t>
  </si>
  <si>
    <t>COMMISION</t>
  </si>
  <si>
    <t>PREPARED BY</t>
  </si>
  <si>
    <t xml:space="preserve">RECEIVED  BY </t>
  </si>
  <si>
    <t>MARGARET KANGETHE PLOT2</t>
  </si>
  <si>
    <t>KITIPA KIRPA</t>
  </si>
  <si>
    <t>MARY WANJIRU</t>
  </si>
  <si>
    <t>BRIAN OMONDI</t>
  </si>
  <si>
    <t>TENANT</t>
  </si>
  <si>
    <t>MARTHA KERUBO</t>
  </si>
  <si>
    <t>SIMON MUSOBA</t>
  </si>
  <si>
    <t>SIMON MUSOBA 3</t>
  </si>
  <si>
    <t>GODEC MOMANYI</t>
  </si>
  <si>
    <t>MOSES CALEB</t>
  </si>
  <si>
    <t>MIRIAM MUTHONI</t>
  </si>
  <si>
    <t>SOSTINE WANJALA</t>
  </si>
  <si>
    <t>NELSON NYAAGA</t>
  </si>
  <si>
    <t>JAMES CHIRA</t>
  </si>
  <si>
    <t>ANN MURIUKI</t>
  </si>
  <si>
    <t>JOSEPH NJOROGE</t>
  </si>
  <si>
    <t>JULIA ATIENO</t>
  </si>
  <si>
    <t>STORE</t>
  </si>
  <si>
    <t>NAOMI SEREM</t>
  </si>
  <si>
    <t>MONICA NKUI</t>
  </si>
  <si>
    <t>PURITY KENDI</t>
  </si>
  <si>
    <t>VIVIAN NDUARA</t>
  </si>
  <si>
    <t>JAQULINE ABWAO</t>
  </si>
  <si>
    <t>WILLIES MAYAKA</t>
  </si>
  <si>
    <t>ALICE MURIUKI</t>
  </si>
  <si>
    <t>PETER KIRATU CHEGE</t>
  </si>
  <si>
    <t>MOSES NYAKUNDI</t>
  </si>
  <si>
    <t>PETER OCHINGWA</t>
  </si>
  <si>
    <t>shop1</t>
  </si>
  <si>
    <t xml:space="preserve">shop2 </t>
  </si>
  <si>
    <t>shop 3</t>
  </si>
  <si>
    <t>JANUARY</t>
  </si>
  <si>
    <t>FOR THE MONTH OF JANUARY 2021</t>
  </si>
  <si>
    <t>PAUL KIHARA</t>
  </si>
  <si>
    <t>FESTUS MWENDA</t>
  </si>
  <si>
    <t>DORIS MARANGU</t>
  </si>
  <si>
    <t>JOAN MBOONE</t>
  </si>
  <si>
    <t>SAMUEL KAMAU</t>
  </si>
  <si>
    <t>PETERSON PAID LL</t>
  </si>
  <si>
    <t>PAID ON 11/1</t>
  </si>
  <si>
    <t>PAID ON 14/1</t>
  </si>
  <si>
    <t>BENTA ACHIENG</t>
  </si>
  <si>
    <t>PAID ON 16/1</t>
  </si>
  <si>
    <t>PAUL MACHARIA</t>
  </si>
  <si>
    <t>LL3400</t>
  </si>
  <si>
    <t>FEBRUARY</t>
  </si>
  <si>
    <t>DEPOSIT ELIZABETH</t>
  </si>
  <si>
    <t>PAID ON 1/2</t>
  </si>
  <si>
    <t>PAID ON 2/2</t>
  </si>
  <si>
    <t>FOR THE MONTH OF FEBRUARY 2021</t>
  </si>
  <si>
    <t>SIMONVACCATED</t>
  </si>
  <si>
    <t>PAID ON 11/2</t>
  </si>
  <si>
    <t>PAID ON 26/2</t>
  </si>
  <si>
    <t>FOR THE MONTH OF MARCH 2021</t>
  </si>
  <si>
    <t>MARCH</t>
  </si>
  <si>
    <t>SIMON NO.7 VACCATED</t>
  </si>
  <si>
    <t>CYRUS MANYONGE</t>
  </si>
  <si>
    <t>PETRONELLA KAVINGA</t>
  </si>
  <si>
    <t>=</t>
  </si>
  <si>
    <t>PAID ON  7/3</t>
  </si>
  <si>
    <t>PAID ON 4/3</t>
  </si>
  <si>
    <t>PAID ON 10/3</t>
  </si>
  <si>
    <t>BF(due to musoba who vaccated)</t>
  </si>
  <si>
    <t>DENNIS KAKA</t>
  </si>
  <si>
    <t>KIPKIRUI GIDEON</t>
  </si>
  <si>
    <t>ELECT DEP</t>
  </si>
  <si>
    <t>KELVIN OMONDI</t>
  </si>
  <si>
    <t>OSCAR JUSA</t>
  </si>
  <si>
    <t>ELECTRICITY DEP</t>
  </si>
  <si>
    <t>PAID ON 18/3</t>
  </si>
  <si>
    <t>LETTING FEE</t>
  </si>
  <si>
    <t>APRIL</t>
  </si>
  <si>
    <t>FOR THE MONTH OF APRIL 2021</t>
  </si>
  <si>
    <t>OBED MAUTI</t>
  </si>
  <si>
    <t>PAID ON 31/3</t>
  </si>
  <si>
    <t>PAID ON 9/4</t>
  </si>
  <si>
    <t>MULAVI</t>
  </si>
  <si>
    <t>PAID ON 13/4</t>
  </si>
  <si>
    <t>PAID ON 17/4</t>
  </si>
  <si>
    <t>FOR THE MONTH OF MAY 2021</t>
  </si>
  <si>
    <t>MAY</t>
  </si>
  <si>
    <t>DEPOSITB4,B6</t>
  </si>
  <si>
    <t>IRENE</t>
  </si>
  <si>
    <t>LAWRENCE VACATED</t>
  </si>
  <si>
    <t>PAID ON 12/5</t>
  </si>
  <si>
    <t>PAID ON 17/5</t>
  </si>
  <si>
    <t>FOR THE MONTH OF JUNE 2021</t>
  </si>
  <si>
    <t>JUNE</t>
  </si>
  <si>
    <t>PAID ON 11/6</t>
  </si>
  <si>
    <t>mulavi vaccated</t>
  </si>
  <si>
    <t>JULY</t>
  </si>
  <si>
    <t>FOR THE MONTH OF JULY 2021</t>
  </si>
  <si>
    <t>DEPOSIT,B6</t>
  </si>
  <si>
    <t>PAID ON 1/7</t>
  </si>
  <si>
    <t>PAID ON 5/7</t>
  </si>
  <si>
    <t>MIRIAM VACCATED</t>
  </si>
  <si>
    <t>EVALINE</t>
  </si>
  <si>
    <t>PHILLIPH MWAURA</t>
  </si>
  <si>
    <t>PAID ON 10/7</t>
  </si>
  <si>
    <t>PAID ON 14/7</t>
  </si>
  <si>
    <t>FOR THE MONTH OF AUGUST 2021</t>
  </si>
  <si>
    <t>AUGUST</t>
  </si>
  <si>
    <t>BONIFACE KIOGORA</t>
  </si>
  <si>
    <t>PAID ON 12/8</t>
  </si>
  <si>
    <t>PAID ON 13/8</t>
  </si>
  <si>
    <t>DEPOSIT REFUND MAINA</t>
  </si>
  <si>
    <t>DEPOSIT REFUND EVALNE NO28</t>
  </si>
  <si>
    <t>PAID ON 18/8</t>
  </si>
  <si>
    <t>BONIFACE PAID JOHN</t>
  </si>
  <si>
    <t>SEPTEMBER</t>
  </si>
  <si>
    <t>FOR THE MONTH OF SEPTEMBER 2021</t>
  </si>
  <si>
    <t>GEORGE PAID ON 11/9</t>
  </si>
  <si>
    <t>HELLEN KANANU</t>
  </si>
  <si>
    <t>NANCY KWAMBOKA</t>
  </si>
  <si>
    <t>IRENE CHEPKORIL</t>
  </si>
  <si>
    <t>PAID ON 15/9</t>
  </si>
  <si>
    <t>FOR THE MONTH OF OCTOBER 2021</t>
  </si>
  <si>
    <t>OCTOBER</t>
  </si>
  <si>
    <t>STELLAMARIS MINOO MUTUA</t>
  </si>
  <si>
    <t>PAID ON 29/9</t>
  </si>
  <si>
    <t>SOSTINE NO.12 VACCATED</t>
  </si>
  <si>
    <t>JOSEPH VACCATED</t>
  </si>
  <si>
    <t>HELLEN OCHUODHO</t>
  </si>
  <si>
    <t>STELLAMRIS</t>
  </si>
  <si>
    <t>LYDIA</t>
  </si>
  <si>
    <t>JANE KAGWE</t>
  </si>
  <si>
    <t>VIVIAN NO.22 VACCATED</t>
  </si>
  <si>
    <t>PAID ON 13/10</t>
  </si>
  <si>
    <t>CAROLINE KAMBA</t>
  </si>
  <si>
    <t>EDWARD SAMBO ONDIEKI</t>
  </si>
  <si>
    <t>PAID ON 19/10</t>
  </si>
  <si>
    <t>PAID ON 23/10</t>
  </si>
  <si>
    <t>FOR THE MONTH OF NOVEMBER 2021</t>
  </si>
  <si>
    <t>NOV</t>
  </si>
  <si>
    <t xml:space="preserve">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</si>
  <si>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</t>
  </si>
  <si>
    <t xml:space="preserve">                                                                                        </t>
  </si>
  <si>
    <t>OSCAR KIPTOO</t>
  </si>
  <si>
    <t>PAID ON 18/11</t>
  </si>
  <si>
    <t>WAMBUGU</t>
  </si>
  <si>
    <t>FOR THE MONTH OF DECEMBER 2021</t>
  </si>
  <si>
    <t>PAID ON 26/11</t>
  </si>
  <si>
    <t>JOYCE KARIKU</t>
  </si>
  <si>
    <t>FOR THE MONTH OFDECEMBER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</si>
</sst>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;\-#,##0.00"/>
    <numFmt numFmtId="165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b/>
      <sz val="8"/>
      <name val="Times New Roman"/>
      <family val="1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2" xfId="0" applyFill="1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0" fontId="5" fillId="0" borderId="0" xfId="0" applyFont="1"/>
    <xf numFmtId="0" fontId="5" fillId="0" borderId="3" xfId="0" applyFont="1" applyBorder="1"/>
    <xf numFmtId="0" fontId="5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0" fontId="3" fillId="0" borderId="0" xfId="0" applyFont="1" applyFill="1" applyBorder="1"/>
    <xf numFmtId="9" fontId="3" fillId="0" borderId="1" xfId="0" applyNumberFormat="1" applyFont="1" applyBorder="1"/>
    <xf numFmtId="3" fontId="5" fillId="0" borderId="1" xfId="0" applyNumberFormat="1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0" fontId="3" fillId="0" borderId="1" xfId="0" applyFont="1" applyFill="1" applyBorder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/>
    <xf numFmtId="0" fontId="3" fillId="0" borderId="1" xfId="0" applyFont="1" applyBorder="1" applyAlignment="1">
      <alignment horizontal="center"/>
    </xf>
    <xf numFmtId="0" fontId="13" fillId="0" borderId="4" xfId="0" applyFont="1" applyBorder="1"/>
    <xf numFmtId="0" fontId="13" fillId="0" borderId="1" xfId="0" applyFont="1" applyBorder="1" applyAlignment="1">
      <alignment horizontal="right"/>
    </xf>
    <xf numFmtId="165" fontId="13" fillId="0" borderId="1" xfId="1" applyNumberFormat="1" applyFont="1" applyBorder="1" applyAlignment="1">
      <alignment horizontal="right"/>
    </xf>
    <xf numFmtId="165" fontId="13" fillId="0" borderId="4" xfId="1" applyNumberFormat="1" applyFont="1" applyBorder="1" applyAlignment="1">
      <alignment horizontal="right"/>
    </xf>
    <xf numFmtId="0" fontId="12" fillId="0" borderId="1" xfId="0" applyFont="1" applyFill="1" applyBorder="1"/>
    <xf numFmtId="165" fontId="14" fillId="0" borderId="1" xfId="1" applyNumberFormat="1" applyFont="1" applyBorder="1" applyAlignment="1">
      <alignment horizontal="right"/>
    </xf>
    <xf numFmtId="165" fontId="14" fillId="0" borderId="4" xfId="1" applyNumberFormat="1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5" fillId="0" borderId="4" xfId="0" applyFont="1" applyBorder="1"/>
    <xf numFmtId="0" fontId="12" fillId="0" borderId="2" xfId="0" applyFont="1" applyFill="1" applyBorder="1"/>
    <xf numFmtId="43" fontId="12" fillId="0" borderId="1" xfId="1" applyFont="1" applyBorder="1" applyAlignment="1">
      <alignment horizontal="left"/>
    </xf>
    <xf numFmtId="0" fontId="16" fillId="0" borderId="1" xfId="0" applyFont="1" applyBorder="1"/>
    <xf numFmtId="0" fontId="17" fillId="0" borderId="1" xfId="0" applyFont="1" applyBorder="1"/>
    <xf numFmtId="165" fontId="18" fillId="0" borderId="4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165" fontId="18" fillId="0" borderId="5" xfId="0" applyNumberFormat="1" applyFont="1" applyBorder="1" applyAlignment="1">
      <alignment horizontal="right"/>
    </xf>
    <xf numFmtId="165" fontId="13" fillId="0" borderId="6" xfId="1" applyNumberFormat="1" applyFont="1" applyBorder="1" applyAlignment="1">
      <alignment horizontal="right"/>
    </xf>
    <xf numFmtId="0" fontId="19" fillId="0" borderId="1" xfId="0" applyFont="1" applyBorder="1"/>
    <xf numFmtId="165" fontId="3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14" fontId="5" fillId="0" borderId="1" xfId="0" applyNumberFormat="1" applyFont="1" applyBorder="1"/>
    <xf numFmtId="9" fontId="3" fillId="0" borderId="0" xfId="0" applyNumberFormat="1" applyFont="1"/>
    <xf numFmtId="165" fontId="6" fillId="0" borderId="1" xfId="0" applyNumberFormat="1" applyFont="1" applyBorder="1"/>
    <xf numFmtId="165" fontId="3" fillId="0" borderId="0" xfId="0" applyNumberFormat="1" applyFont="1"/>
    <xf numFmtId="3" fontId="19" fillId="0" borderId="1" xfId="0" applyNumberFormat="1" applyFont="1" applyBorder="1"/>
    <xf numFmtId="3" fontId="3" fillId="0" borderId="0" xfId="0" applyNumberFormat="1" applyFont="1"/>
    <xf numFmtId="43" fontId="13" fillId="0" borderId="0" xfId="1" applyFont="1" applyFill="1" applyBorder="1"/>
    <xf numFmtId="0" fontId="13" fillId="0" borderId="0" xfId="0" applyFont="1" applyBorder="1"/>
    <xf numFmtId="165" fontId="13" fillId="0" borderId="0" xfId="0" applyNumberFormat="1" applyFont="1" applyBorder="1"/>
    <xf numFmtId="0" fontId="20" fillId="0" borderId="0" xfId="0" applyFont="1"/>
    <xf numFmtId="0" fontId="8" fillId="0" borderId="0" xfId="0" applyFont="1"/>
    <xf numFmtId="0" fontId="21" fillId="0" borderId="0" xfId="0" applyFont="1"/>
    <xf numFmtId="0" fontId="22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right"/>
    </xf>
    <xf numFmtId="165" fontId="8" fillId="0" borderId="1" xfId="1" applyNumberFormat="1" applyFont="1" applyBorder="1" applyAlignment="1">
      <alignment horizontal="right"/>
    </xf>
    <xf numFmtId="165" fontId="8" fillId="0" borderId="4" xfId="1" applyNumberFormat="1" applyFont="1" applyBorder="1" applyAlignment="1">
      <alignment horizontal="right"/>
    </xf>
    <xf numFmtId="0" fontId="8" fillId="0" borderId="1" xfId="0" applyFont="1" applyFill="1" applyBorder="1"/>
    <xf numFmtId="165" fontId="24" fillId="0" borderId="1" xfId="1" applyNumberFormat="1" applyFont="1" applyBorder="1" applyAlignment="1">
      <alignment horizontal="right"/>
    </xf>
    <xf numFmtId="0" fontId="25" fillId="0" borderId="4" xfId="0" applyFont="1" applyBorder="1"/>
    <xf numFmtId="0" fontId="8" fillId="0" borderId="2" xfId="0" applyFont="1" applyFill="1" applyBorder="1"/>
    <xf numFmtId="43" fontId="8" fillId="0" borderId="1" xfId="1" applyFont="1" applyBorder="1" applyAlignment="1">
      <alignment horizontal="left"/>
    </xf>
    <xf numFmtId="165" fontId="20" fillId="0" borderId="0" xfId="0" applyNumberFormat="1" applyFont="1"/>
    <xf numFmtId="0" fontId="25" fillId="0" borderId="1" xfId="0" applyFont="1" applyBorder="1"/>
    <xf numFmtId="165" fontId="24" fillId="0" borderId="4" xfId="1" applyNumberFormat="1" applyFont="1" applyBorder="1" applyAlignment="1">
      <alignment horizontal="right"/>
    </xf>
    <xf numFmtId="0" fontId="7" fillId="0" borderId="1" xfId="0" applyFont="1" applyBorder="1"/>
    <xf numFmtId="165" fontId="7" fillId="0" borderId="4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0" fontId="7" fillId="0" borderId="0" xfId="0" applyFont="1"/>
    <xf numFmtId="0" fontId="7" fillId="0" borderId="3" xfId="0" applyFont="1" applyBorder="1"/>
    <xf numFmtId="0" fontId="7" fillId="0" borderId="0" xfId="0" applyFont="1" applyBorder="1"/>
    <xf numFmtId="0" fontId="26" fillId="0" borderId="1" xfId="0" applyFont="1" applyBorder="1"/>
    <xf numFmtId="3" fontId="8" fillId="0" borderId="1" xfId="0" applyNumberFormat="1" applyFont="1" applyBorder="1"/>
    <xf numFmtId="165" fontId="8" fillId="0" borderId="1" xfId="0" applyNumberFormat="1" applyFont="1" applyBorder="1"/>
    <xf numFmtId="0" fontId="21" fillId="0" borderId="1" xfId="0" applyFont="1" applyBorder="1"/>
    <xf numFmtId="3" fontId="21" fillId="0" borderId="1" xfId="0" applyNumberFormat="1" applyFont="1" applyBorder="1"/>
    <xf numFmtId="16" fontId="8" fillId="0" borderId="1" xfId="0" applyNumberFormat="1" applyFont="1" applyBorder="1"/>
    <xf numFmtId="9" fontId="8" fillId="0" borderId="1" xfId="0" applyNumberFormat="1" applyFont="1" applyBorder="1"/>
    <xf numFmtId="14" fontId="7" fillId="0" borderId="1" xfId="0" applyNumberFormat="1" applyFont="1" applyBorder="1"/>
    <xf numFmtId="9" fontId="8" fillId="0" borderId="0" xfId="0" applyNumberFormat="1" applyFont="1"/>
    <xf numFmtId="165" fontId="21" fillId="0" borderId="1" xfId="0" applyNumberFormat="1" applyFont="1" applyBorder="1"/>
    <xf numFmtId="165" fontId="8" fillId="0" borderId="0" xfId="0" applyNumberFormat="1" applyFont="1"/>
    <xf numFmtId="14" fontId="8" fillId="0" borderId="1" xfId="0" applyNumberFormat="1" applyFont="1" applyBorder="1"/>
    <xf numFmtId="3" fontId="7" fillId="0" borderId="1" xfId="0" applyNumberFormat="1" applyFont="1" applyBorder="1"/>
    <xf numFmtId="3" fontId="26" fillId="0" borderId="1" xfId="0" applyNumberFormat="1" applyFont="1" applyBorder="1"/>
    <xf numFmtId="3" fontId="8" fillId="0" borderId="0" xfId="0" applyNumberFormat="1" applyFont="1"/>
    <xf numFmtId="43" fontId="8" fillId="0" borderId="0" xfId="1" applyFont="1" applyFill="1" applyBorder="1"/>
    <xf numFmtId="0" fontId="8" fillId="0" borderId="0" xfId="0" applyFont="1" applyBorder="1"/>
    <xf numFmtId="165" fontId="8" fillId="0" borderId="0" xfId="0" applyNumberFormat="1" applyFont="1" applyBorder="1"/>
    <xf numFmtId="3" fontId="20" fillId="0" borderId="0" xfId="0" applyNumberFormat="1" applyFont="1"/>
    <xf numFmtId="0" fontId="25" fillId="0" borderId="1" xfId="0" applyFont="1" applyFill="1" applyBorder="1"/>
    <xf numFmtId="43" fontId="25" fillId="0" borderId="1" xfId="1" applyFont="1" applyBorder="1" applyAlignment="1">
      <alignment horizontal="left"/>
    </xf>
    <xf numFmtId="165" fontId="7" fillId="0" borderId="0" xfId="0" applyNumberFormat="1" applyFont="1" applyBorder="1"/>
    <xf numFmtId="3" fontId="0" fillId="0" borderId="0" xfId="0" applyNumberFormat="1"/>
    <xf numFmtId="165" fontId="0" fillId="0" borderId="0" xfId="0" applyNumberFormat="1"/>
    <xf numFmtId="0" fontId="20" fillId="0" borderId="1" xfId="0" applyFont="1" applyFill="1" applyBorder="1"/>
    <xf numFmtId="0" fontId="20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right"/>
    </xf>
    <xf numFmtId="3" fontId="0" fillId="0" borderId="1" xfId="0" applyNumberFormat="1" applyBorder="1"/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5" fillId="0" borderId="8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9" fontId="0" fillId="0" borderId="0" xfId="0" applyNumberFormat="1"/>
    <xf numFmtId="0" fontId="25" fillId="0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TFLOW-PC\Users\Assetflow\Desktop\EDWARD%20MWIRIGI%20JAN%20STAT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 20"/>
      <sheetName val="JANUARY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I35" sqref="I35"/>
    </sheetView>
  </sheetViews>
  <sheetFormatPr defaultRowHeight="15" x14ac:dyDescent="0.25"/>
  <cols>
    <col min="1" max="2" width="7.7109375" customWidth="1"/>
    <col min="12" max="12" width="17" customWidth="1"/>
  </cols>
  <sheetData>
    <row r="1" spans="1:23" x14ac:dyDescent="0.25">
      <c r="A1" s="1"/>
      <c r="B1" s="1"/>
      <c r="C1" s="1"/>
      <c r="D1" s="1" t="s">
        <v>29</v>
      </c>
      <c r="E1" s="1"/>
      <c r="F1" s="1"/>
      <c r="G1" s="1"/>
      <c r="H1" s="1"/>
      <c r="N1" s="26"/>
      <c r="O1" s="26"/>
      <c r="P1" s="26"/>
      <c r="Q1" s="26"/>
      <c r="R1" s="26"/>
      <c r="T1" s="26"/>
      <c r="U1" s="26"/>
      <c r="V1" s="26"/>
      <c r="W1" s="26"/>
    </row>
    <row r="2" spans="1:23" ht="15.75" x14ac:dyDescent="0.25">
      <c r="A2" s="1"/>
      <c r="B2" s="1"/>
      <c r="C2" s="1"/>
      <c r="D2" s="1" t="s">
        <v>0</v>
      </c>
      <c r="E2" s="1"/>
      <c r="F2" s="1"/>
      <c r="G2" s="1"/>
      <c r="H2" s="1"/>
      <c r="N2" s="27"/>
      <c r="O2" s="27"/>
      <c r="P2" s="27" t="s">
        <v>58</v>
      </c>
      <c r="Q2" s="8"/>
      <c r="R2" s="27"/>
      <c r="S2" s="28"/>
      <c r="T2" s="8"/>
      <c r="U2" s="8"/>
      <c r="V2" s="8"/>
      <c r="W2" s="8"/>
    </row>
    <row r="3" spans="1:23" ht="15.75" x14ac:dyDescent="0.25">
      <c r="A3" s="1"/>
      <c r="B3" s="1"/>
      <c r="C3" s="1"/>
      <c r="D3" s="1" t="s">
        <v>1</v>
      </c>
      <c r="E3" s="1"/>
      <c r="F3" s="1"/>
      <c r="G3" s="1"/>
      <c r="H3" s="1"/>
      <c r="L3" s="8"/>
      <c r="M3" s="27"/>
      <c r="N3" s="27"/>
      <c r="O3" s="27"/>
      <c r="P3" s="27" t="s">
        <v>0</v>
      </c>
      <c r="Q3" s="27"/>
      <c r="R3" s="26"/>
      <c r="S3" s="29"/>
      <c r="T3" s="8"/>
      <c r="U3" s="8"/>
      <c r="V3" s="8"/>
      <c r="W3" s="8"/>
    </row>
    <row r="4" spans="1:23" ht="18.75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L4" s="30"/>
      <c r="M4" s="8"/>
      <c r="O4" s="27" t="s">
        <v>37</v>
      </c>
      <c r="P4" s="27"/>
      <c r="R4" s="27"/>
      <c r="S4" s="31"/>
      <c r="T4" s="32"/>
      <c r="U4" s="32"/>
      <c r="V4" s="32"/>
      <c r="W4" s="32"/>
    </row>
    <row r="5" spans="1:23" x14ac:dyDescent="0.25">
      <c r="A5" s="3">
        <v>1</v>
      </c>
      <c r="B5" s="3" t="s">
        <v>26</v>
      </c>
      <c r="C5" s="3"/>
      <c r="D5" s="3"/>
      <c r="E5" s="3"/>
      <c r="F5" s="3">
        <f t="shared" ref="F5:F10" si="0">C5+D5+E5</f>
        <v>0</v>
      </c>
      <c r="G5" s="3"/>
      <c r="H5" s="3">
        <f>F5-G5</f>
        <v>0</v>
      </c>
      <c r="L5" s="33" t="s">
        <v>3</v>
      </c>
      <c r="M5" s="33" t="s">
        <v>45</v>
      </c>
      <c r="N5" s="33" t="s">
        <v>46</v>
      </c>
      <c r="O5" s="34" t="s">
        <v>47</v>
      </c>
      <c r="P5" s="33" t="s">
        <v>6</v>
      </c>
      <c r="Q5" s="35" t="s">
        <v>41</v>
      </c>
      <c r="R5" s="33" t="s">
        <v>42</v>
      </c>
      <c r="S5" s="36" t="s">
        <v>48</v>
      </c>
      <c r="T5" s="33" t="s">
        <v>8</v>
      </c>
      <c r="U5" s="33" t="s">
        <v>9</v>
      </c>
      <c r="V5" s="33" t="s">
        <v>49</v>
      </c>
      <c r="W5" s="33" t="s">
        <v>50</v>
      </c>
    </row>
    <row r="6" spans="1:23" x14ac:dyDescent="0.25">
      <c r="A6" s="3">
        <v>2</v>
      </c>
      <c r="B6" s="3" t="s">
        <v>26</v>
      </c>
      <c r="C6" s="3"/>
      <c r="D6" s="3"/>
      <c r="E6" s="3"/>
      <c r="F6" s="3">
        <f t="shared" si="0"/>
        <v>0</v>
      </c>
      <c r="G6" s="3"/>
      <c r="H6" s="3">
        <f>F6-G6</f>
        <v>0</v>
      </c>
      <c r="L6" s="37" t="s">
        <v>26</v>
      </c>
      <c r="M6" s="38">
        <v>1</v>
      </c>
      <c r="N6" s="39"/>
      <c r="O6" s="40"/>
      <c r="P6" s="41"/>
      <c r="Q6" s="42"/>
      <c r="R6" s="41">
        <v>200</v>
      </c>
      <c r="S6" s="41">
        <f>O6+P6+Q6+R6</f>
        <v>200</v>
      </c>
      <c r="T6" s="41"/>
      <c r="U6" s="41">
        <f>S6-T6</f>
        <v>200</v>
      </c>
      <c r="V6" s="41"/>
      <c r="W6" s="41"/>
    </row>
    <row r="7" spans="1:23" x14ac:dyDescent="0.25">
      <c r="A7" s="3">
        <v>3</v>
      </c>
      <c r="B7" s="3" t="s">
        <v>31</v>
      </c>
      <c r="C7" s="3"/>
      <c r="D7" s="3"/>
      <c r="E7" s="3">
        <v>8000</v>
      </c>
      <c r="F7" s="3">
        <f t="shared" si="0"/>
        <v>8000</v>
      </c>
      <c r="G7" s="3">
        <f>5000+3000</f>
        <v>8000</v>
      </c>
      <c r="H7" s="3">
        <f>F7-G7</f>
        <v>0</v>
      </c>
      <c r="L7" s="43" t="s">
        <v>59</v>
      </c>
      <c r="M7" s="38">
        <v>2</v>
      </c>
      <c r="N7" s="39"/>
      <c r="O7" s="40"/>
      <c r="P7" s="44">
        <v>2500</v>
      </c>
      <c r="Q7" s="45"/>
      <c r="R7" s="44">
        <v>200</v>
      </c>
      <c r="S7" s="41">
        <f t="shared" ref="S7:S38" si="1">O7+P7+Q7+R7</f>
        <v>2700</v>
      </c>
      <c r="T7" s="41"/>
      <c r="U7" s="41">
        <f>S7-T7</f>
        <v>2700</v>
      </c>
      <c r="V7" s="41"/>
      <c r="W7" s="41"/>
    </row>
    <row r="8" spans="1:23" x14ac:dyDescent="0.25">
      <c r="A8" s="3">
        <v>4</v>
      </c>
      <c r="B8" s="3" t="s">
        <v>32</v>
      </c>
      <c r="C8" s="3"/>
      <c r="D8" s="3"/>
      <c r="E8" s="3">
        <v>8000</v>
      </c>
      <c r="F8" s="3">
        <f t="shared" si="0"/>
        <v>8000</v>
      </c>
      <c r="G8" s="3">
        <f>5000+3000</f>
        <v>8000</v>
      </c>
      <c r="H8" s="3">
        <f>F8-G8</f>
        <v>0</v>
      </c>
      <c r="L8" s="43" t="s">
        <v>60</v>
      </c>
      <c r="M8" s="38">
        <v>3</v>
      </c>
      <c r="N8" s="39"/>
      <c r="O8" s="40"/>
      <c r="P8" s="44">
        <v>2500</v>
      </c>
      <c r="Q8" s="45"/>
      <c r="R8" s="44"/>
      <c r="S8" s="41">
        <f t="shared" si="1"/>
        <v>2500</v>
      </c>
      <c r="T8" s="41"/>
      <c r="U8" s="41">
        <f>S8-T8</f>
        <v>2500</v>
      </c>
      <c r="V8" s="41"/>
      <c r="W8" s="41"/>
    </row>
    <row r="9" spans="1:23" x14ac:dyDescent="0.25">
      <c r="A9" s="3">
        <v>5</v>
      </c>
      <c r="B9" s="3" t="s">
        <v>27</v>
      </c>
      <c r="C9" s="3"/>
      <c r="D9" s="3"/>
      <c r="E9" s="3">
        <v>8000</v>
      </c>
      <c r="F9" s="3">
        <f t="shared" si="0"/>
        <v>8000</v>
      </c>
      <c r="G9" s="3"/>
      <c r="H9" s="3"/>
      <c r="I9" t="s">
        <v>38</v>
      </c>
      <c r="L9" s="17" t="s">
        <v>61</v>
      </c>
      <c r="M9" s="38">
        <v>4</v>
      </c>
      <c r="N9" s="39"/>
      <c r="O9" s="40"/>
      <c r="P9" s="44">
        <v>2500</v>
      </c>
      <c r="Q9" s="46"/>
      <c r="R9" s="44"/>
      <c r="S9" s="41">
        <f t="shared" si="1"/>
        <v>2500</v>
      </c>
      <c r="T9" s="41"/>
      <c r="U9" s="41">
        <f>S9-T9</f>
        <v>2500</v>
      </c>
      <c r="V9" s="41"/>
      <c r="W9" s="41"/>
    </row>
    <row r="10" spans="1:23" x14ac:dyDescent="0.25">
      <c r="A10" s="3">
        <v>6</v>
      </c>
      <c r="B10" s="4" t="s">
        <v>28</v>
      </c>
      <c r="C10" s="4"/>
      <c r="D10" s="3"/>
      <c r="E10" s="3">
        <v>8000</v>
      </c>
      <c r="F10" s="3">
        <f t="shared" si="0"/>
        <v>8000</v>
      </c>
      <c r="G10" s="3">
        <v>8000</v>
      </c>
      <c r="H10" s="3">
        <f>F10-G10</f>
        <v>0</v>
      </c>
      <c r="L10" s="43" t="s">
        <v>62</v>
      </c>
      <c r="M10" s="38">
        <v>5</v>
      </c>
      <c r="N10" s="47"/>
      <c r="O10" s="40"/>
      <c r="P10" s="44">
        <v>2500</v>
      </c>
      <c r="Q10" s="45"/>
      <c r="R10" s="44">
        <v>200</v>
      </c>
      <c r="S10" s="41">
        <f t="shared" si="1"/>
        <v>2700</v>
      </c>
      <c r="T10" s="41"/>
      <c r="U10" s="41">
        <f>S10-T10</f>
        <v>2700</v>
      </c>
      <c r="V10" s="41"/>
      <c r="W10" s="41"/>
    </row>
    <row r="11" spans="1:23" x14ac:dyDescent="0.25">
      <c r="A11" s="3"/>
      <c r="B11" s="2" t="s">
        <v>10</v>
      </c>
      <c r="C11" s="2">
        <f>SUM(C5:C10)</f>
        <v>0</v>
      </c>
      <c r="D11" s="3"/>
      <c r="E11" s="2">
        <f>SUM(E5:E10)</f>
        <v>32000</v>
      </c>
      <c r="F11" s="3">
        <f>SUM(F5:F10)</f>
        <v>32000</v>
      </c>
      <c r="G11" s="2">
        <f>SUM(G5:G10)</f>
        <v>24000</v>
      </c>
      <c r="H11" s="2">
        <f>SUM(H5:H10)</f>
        <v>0</v>
      </c>
      <c r="L11" s="48" t="s">
        <v>63</v>
      </c>
      <c r="M11" s="38">
        <v>6</v>
      </c>
      <c r="N11" s="39"/>
      <c r="O11" s="40"/>
      <c r="P11" s="44">
        <v>2500</v>
      </c>
      <c r="Q11" s="45"/>
      <c r="R11" s="44">
        <v>200</v>
      </c>
      <c r="S11" s="41">
        <f t="shared" si="1"/>
        <v>2700</v>
      </c>
      <c r="T11" s="41"/>
      <c r="U11" s="41">
        <f t="shared" ref="U11:U32" si="2">S11-T11</f>
        <v>2700</v>
      </c>
      <c r="V11" s="41"/>
      <c r="W11" s="41"/>
    </row>
    <row r="12" spans="1:23" x14ac:dyDescent="0.25">
      <c r="A12" s="5"/>
      <c r="B12" s="6"/>
      <c r="C12" s="6"/>
      <c r="D12" s="3"/>
      <c r="E12" s="6" t="s">
        <v>10</v>
      </c>
      <c r="F12" s="6"/>
      <c r="G12" s="6"/>
      <c r="H12" s="7"/>
      <c r="L12" s="37" t="s">
        <v>64</v>
      </c>
      <c r="M12" s="38">
        <v>7</v>
      </c>
      <c r="N12" s="39"/>
      <c r="O12" s="40"/>
      <c r="P12" s="44">
        <v>2500</v>
      </c>
      <c r="Q12" s="45"/>
      <c r="R12" s="44">
        <v>200</v>
      </c>
      <c r="S12" s="41">
        <f t="shared" si="1"/>
        <v>2700</v>
      </c>
      <c r="T12" s="41"/>
      <c r="U12" s="41">
        <f t="shared" si="2"/>
        <v>2700</v>
      </c>
      <c r="V12" s="41"/>
      <c r="W12" s="41"/>
    </row>
    <row r="13" spans="1:23" x14ac:dyDescent="0.25">
      <c r="B13" s="8" t="s">
        <v>11</v>
      </c>
      <c r="C13" s="8"/>
      <c r="D13" s="9"/>
      <c r="E13" s="10"/>
      <c r="F13" s="11"/>
      <c r="G13" s="12"/>
      <c r="H13" s="13"/>
      <c r="I13" s="12"/>
      <c r="J13" s="8"/>
      <c r="L13" s="49" t="s">
        <v>65</v>
      </c>
      <c r="M13" s="38">
        <v>8</v>
      </c>
      <c r="N13" s="39"/>
      <c r="O13" s="40"/>
      <c r="P13" s="44">
        <v>2500</v>
      </c>
      <c r="Q13" s="45"/>
      <c r="R13" s="44">
        <v>200</v>
      </c>
      <c r="S13" s="41">
        <f t="shared" si="1"/>
        <v>2700</v>
      </c>
      <c r="T13" s="41"/>
      <c r="U13" s="41">
        <f t="shared" si="2"/>
        <v>2700</v>
      </c>
      <c r="V13" s="41"/>
      <c r="W13" s="41"/>
    </row>
    <row r="14" spans="1:23" x14ac:dyDescent="0.25">
      <c r="B14" s="14" t="s">
        <v>12</v>
      </c>
      <c r="C14" s="14"/>
      <c r="D14" s="14"/>
      <c r="E14" s="14"/>
      <c r="F14" s="15"/>
      <c r="G14" s="14" t="s">
        <v>8</v>
      </c>
      <c r="H14" s="8"/>
      <c r="I14" s="8"/>
      <c r="J14" s="8"/>
      <c r="L14" s="37" t="s">
        <v>66</v>
      </c>
      <c r="M14" s="38">
        <v>9</v>
      </c>
      <c r="N14" s="39"/>
      <c r="O14" s="40"/>
      <c r="P14" s="44">
        <v>2500</v>
      </c>
      <c r="Q14" s="45"/>
      <c r="R14" s="44">
        <v>200</v>
      </c>
      <c r="S14" s="41">
        <f t="shared" si="1"/>
        <v>2700</v>
      </c>
      <c r="T14" s="41"/>
      <c r="U14" s="41">
        <f>S14-T14</f>
        <v>2700</v>
      </c>
      <c r="V14" s="41"/>
      <c r="W14" s="41"/>
    </row>
    <row r="15" spans="1:23" x14ac:dyDescent="0.25">
      <c r="B15" s="16" t="s">
        <v>13</v>
      </c>
      <c r="C15" s="16"/>
      <c r="D15" s="16" t="s">
        <v>14</v>
      </c>
      <c r="E15" s="16" t="s">
        <v>15</v>
      </c>
      <c r="F15" s="16" t="s">
        <v>16</v>
      </c>
      <c r="G15" s="16" t="s">
        <v>13</v>
      </c>
      <c r="H15" s="16" t="s">
        <v>14</v>
      </c>
      <c r="I15" s="16" t="s">
        <v>15</v>
      </c>
      <c r="J15" s="16" t="s">
        <v>16</v>
      </c>
      <c r="L15" s="43" t="s">
        <v>67</v>
      </c>
      <c r="M15" s="38">
        <v>10</v>
      </c>
      <c r="N15" s="39"/>
      <c r="O15" s="40"/>
      <c r="P15" s="44">
        <v>2500</v>
      </c>
      <c r="Q15" s="45"/>
      <c r="R15" s="44">
        <v>200</v>
      </c>
      <c r="S15" s="41">
        <f t="shared" si="1"/>
        <v>2700</v>
      </c>
      <c r="T15" s="41"/>
      <c r="U15" s="41">
        <f>S15-T15</f>
        <v>2700</v>
      </c>
      <c r="V15" s="41"/>
      <c r="W15" s="41"/>
    </row>
    <row r="16" spans="1:23" x14ac:dyDescent="0.25">
      <c r="B16" s="17" t="s">
        <v>17</v>
      </c>
      <c r="C16" s="17"/>
      <c r="D16" s="18">
        <f>E11</f>
        <v>32000</v>
      </c>
      <c r="E16" s="17"/>
      <c r="F16" s="17"/>
      <c r="G16" s="17" t="s">
        <v>17</v>
      </c>
      <c r="H16" s="18">
        <f>G11</f>
        <v>24000</v>
      </c>
      <c r="I16" s="17"/>
      <c r="J16" s="17"/>
      <c r="L16" s="17" t="s">
        <v>68</v>
      </c>
      <c r="M16" s="38">
        <v>11</v>
      </c>
      <c r="N16" s="39"/>
      <c r="O16" s="40"/>
      <c r="P16" s="44">
        <v>2500</v>
      </c>
      <c r="Q16" s="45"/>
      <c r="R16" s="44">
        <v>200</v>
      </c>
      <c r="S16" s="41">
        <f t="shared" si="1"/>
        <v>2700</v>
      </c>
      <c r="T16" s="41"/>
      <c r="U16" s="41">
        <f>S16-T16</f>
        <v>2700</v>
      </c>
      <c r="V16" s="41"/>
      <c r="W16" s="41"/>
    </row>
    <row r="17" spans="2:23" x14ac:dyDescent="0.25">
      <c r="B17" s="17" t="s">
        <v>5</v>
      </c>
      <c r="C17" s="17"/>
      <c r="D17" s="18"/>
      <c r="E17" s="17"/>
      <c r="F17" s="17"/>
      <c r="G17" s="17" t="s">
        <v>5</v>
      </c>
      <c r="H17" s="18"/>
      <c r="I17" s="17"/>
      <c r="J17" s="17"/>
      <c r="L17" s="43" t="s">
        <v>69</v>
      </c>
      <c r="M17" s="38">
        <v>12</v>
      </c>
      <c r="N17" s="39"/>
      <c r="O17" s="40"/>
      <c r="P17" s="44">
        <v>2500</v>
      </c>
      <c r="Q17" s="45"/>
      <c r="R17" s="44">
        <v>200</v>
      </c>
      <c r="S17" s="41">
        <f t="shared" si="1"/>
        <v>2700</v>
      </c>
      <c r="T17" s="41"/>
      <c r="U17" s="41">
        <f t="shared" si="2"/>
        <v>2700</v>
      </c>
      <c r="V17" s="41"/>
      <c r="W17" s="41"/>
    </row>
    <row r="18" spans="2:23" x14ac:dyDescent="0.25">
      <c r="B18" s="19" t="s">
        <v>4</v>
      </c>
      <c r="I18" s="17"/>
      <c r="J18" s="17"/>
      <c r="L18" s="37" t="s">
        <v>70</v>
      </c>
      <c r="M18" s="38">
        <v>13</v>
      </c>
      <c r="N18" s="39"/>
      <c r="O18" s="40"/>
      <c r="P18" s="44">
        <v>2500</v>
      </c>
      <c r="Q18" s="45"/>
      <c r="R18" s="44">
        <v>200</v>
      </c>
      <c r="S18" s="41">
        <f t="shared" si="1"/>
        <v>2700</v>
      </c>
      <c r="T18" s="41"/>
      <c r="U18" s="41">
        <f t="shared" si="2"/>
        <v>2700</v>
      </c>
      <c r="V18" s="41"/>
      <c r="W18" s="41"/>
    </row>
    <row r="19" spans="2:23" x14ac:dyDescent="0.25">
      <c r="B19" s="17" t="s">
        <v>18</v>
      </c>
      <c r="C19" s="17"/>
      <c r="D19" s="20">
        <v>7.0000000000000007E-2</v>
      </c>
      <c r="E19" s="18">
        <f>D16*D19</f>
        <v>2240</v>
      </c>
      <c r="F19" s="17"/>
      <c r="G19" s="17" t="s">
        <v>18</v>
      </c>
      <c r="H19" s="20">
        <v>7.0000000000000007E-2</v>
      </c>
      <c r="I19" s="18">
        <f>E19</f>
        <v>2240</v>
      </c>
      <c r="J19" s="17"/>
      <c r="L19" s="17" t="s">
        <v>71</v>
      </c>
      <c r="M19" s="38">
        <v>14</v>
      </c>
      <c r="N19" s="39"/>
      <c r="O19" s="40"/>
      <c r="P19" s="44">
        <v>2500</v>
      </c>
      <c r="Q19" s="45"/>
      <c r="R19" s="44">
        <v>200</v>
      </c>
      <c r="S19" s="41">
        <f t="shared" si="1"/>
        <v>2700</v>
      </c>
      <c r="T19" s="41"/>
      <c r="U19" s="41">
        <f t="shared" si="2"/>
        <v>2700</v>
      </c>
      <c r="V19" s="41"/>
      <c r="W19" s="41"/>
    </row>
    <row r="20" spans="2:23" x14ac:dyDescent="0.25">
      <c r="B20" s="16" t="s">
        <v>19</v>
      </c>
      <c r="D20" s="18"/>
      <c r="E20" s="16"/>
      <c r="F20" s="16"/>
      <c r="G20" s="16" t="s">
        <v>19</v>
      </c>
      <c r="H20" s="21"/>
      <c r="I20" s="16"/>
      <c r="J20" s="16"/>
      <c r="L20" s="43" t="s">
        <v>72</v>
      </c>
      <c r="M20" s="38">
        <v>15</v>
      </c>
      <c r="N20" s="39"/>
      <c r="O20" s="40"/>
      <c r="P20" s="44">
        <v>2500</v>
      </c>
      <c r="Q20" s="45"/>
      <c r="R20" s="44">
        <v>200</v>
      </c>
      <c r="S20" s="41">
        <f t="shared" si="1"/>
        <v>2700</v>
      </c>
      <c r="T20" s="41"/>
      <c r="U20" s="41">
        <f t="shared" si="2"/>
        <v>2700</v>
      </c>
      <c r="V20" s="41"/>
      <c r="W20" s="41"/>
    </row>
    <row r="21" spans="2:23" x14ac:dyDescent="0.25">
      <c r="B21" s="22" t="s">
        <v>30</v>
      </c>
      <c r="C21" s="20"/>
      <c r="D21" s="17"/>
      <c r="E21" s="17">
        <v>1143</v>
      </c>
      <c r="F21" s="17"/>
      <c r="G21" s="22" t="s">
        <v>30</v>
      </c>
      <c r="H21" s="20"/>
      <c r="I21" s="17">
        <v>1143</v>
      </c>
      <c r="J21" s="17"/>
      <c r="L21" s="37" t="s">
        <v>73</v>
      </c>
      <c r="M21" s="38">
        <v>16</v>
      </c>
      <c r="N21" s="39"/>
      <c r="O21" s="40"/>
      <c r="P21" s="44">
        <v>2500</v>
      </c>
      <c r="Q21" s="45"/>
      <c r="R21" s="44"/>
      <c r="S21" s="41">
        <f t="shared" si="1"/>
        <v>2500</v>
      </c>
      <c r="T21" s="41"/>
      <c r="U21" s="41">
        <f t="shared" si="2"/>
        <v>2500</v>
      </c>
      <c r="V21" s="41"/>
      <c r="W21" s="41"/>
    </row>
    <row r="22" spans="2:23" x14ac:dyDescent="0.25">
      <c r="B22" s="23" t="s">
        <v>33</v>
      </c>
      <c r="C22" s="23"/>
      <c r="D22" s="17"/>
      <c r="E22" s="17">
        <v>9620</v>
      </c>
      <c r="F22" s="17"/>
      <c r="G22" s="23" t="s">
        <v>33</v>
      </c>
      <c r="H22" s="23"/>
      <c r="I22" s="17">
        <v>9620</v>
      </c>
      <c r="J22" s="17"/>
      <c r="L22" s="37" t="s">
        <v>74</v>
      </c>
      <c r="M22" s="38">
        <v>17</v>
      </c>
      <c r="N22" s="39"/>
      <c r="O22" s="40"/>
      <c r="P22" s="44">
        <v>2500</v>
      </c>
      <c r="Q22" s="45"/>
      <c r="R22" s="44">
        <v>200</v>
      </c>
      <c r="S22" s="41">
        <f t="shared" si="1"/>
        <v>2700</v>
      </c>
      <c r="T22" s="41"/>
      <c r="U22" s="41">
        <f t="shared" si="2"/>
        <v>2700</v>
      </c>
      <c r="V22" s="41"/>
      <c r="W22" s="41"/>
    </row>
    <row r="23" spans="2:23" x14ac:dyDescent="0.25">
      <c r="B23" s="23" t="s">
        <v>35</v>
      </c>
      <c r="C23" s="23"/>
      <c r="D23" s="17"/>
      <c r="E23" s="17">
        <f>8000+3000</f>
        <v>11000</v>
      </c>
      <c r="F23" s="17"/>
      <c r="G23" s="23" t="s">
        <v>35</v>
      </c>
      <c r="H23" s="23"/>
      <c r="I23" s="17">
        <f>8000+3000</f>
        <v>11000</v>
      </c>
      <c r="J23" s="17"/>
      <c r="L23" s="43" t="s">
        <v>75</v>
      </c>
      <c r="M23" s="38">
        <v>18</v>
      </c>
      <c r="N23" s="39"/>
      <c r="O23" s="40"/>
      <c r="P23" s="44">
        <v>2500</v>
      </c>
      <c r="Q23" s="45"/>
      <c r="R23" s="44">
        <v>200</v>
      </c>
      <c r="S23" s="41">
        <f t="shared" si="1"/>
        <v>2700</v>
      </c>
      <c r="T23" s="41"/>
      <c r="U23" s="41">
        <f t="shared" si="2"/>
        <v>2700</v>
      </c>
      <c r="V23" s="41"/>
      <c r="W23" s="41"/>
    </row>
    <row r="24" spans="2:23" x14ac:dyDescent="0.25">
      <c r="B24" s="23" t="s">
        <v>39</v>
      </c>
      <c r="C24" s="23"/>
      <c r="D24" s="17"/>
      <c r="E24" s="17">
        <v>8000</v>
      </c>
      <c r="F24" s="17"/>
      <c r="G24" s="23"/>
      <c r="H24" s="23"/>
      <c r="I24" s="17"/>
      <c r="J24" s="17"/>
      <c r="L24" s="37" t="s">
        <v>76</v>
      </c>
      <c r="M24" s="38">
        <v>19</v>
      </c>
      <c r="N24" s="39"/>
      <c r="O24" s="40"/>
      <c r="P24" s="44">
        <v>2500</v>
      </c>
      <c r="Q24" s="45"/>
      <c r="R24" s="44">
        <v>200</v>
      </c>
      <c r="S24" s="41">
        <f t="shared" si="1"/>
        <v>2700</v>
      </c>
      <c r="T24" s="41"/>
      <c r="U24" s="41">
        <f>S24-T24</f>
        <v>2700</v>
      </c>
      <c r="V24" s="41"/>
      <c r="W24" s="41"/>
    </row>
    <row r="25" spans="2:23" x14ac:dyDescent="0.25">
      <c r="B25" s="24"/>
      <c r="C25" s="24"/>
      <c r="D25" s="17"/>
      <c r="E25" s="17"/>
      <c r="F25" s="17"/>
      <c r="H25" s="23"/>
      <c r="I25" s="25"/>
      <c r="J25" s="17"/>
      <c r="L25" s="37" t="s">
        <v>77</v>
      </c>
      <c r="M25" s="38">
        <v>20</v>
      </c>
      <c r="N25" s="39"/>
      <c r="O25" s="40"/>
      <c r="P25" s="44">
        <v>2500</v>
      </c>
      <c r="Q25" s="45"/>
      <c r="R25" s="44">
        <v>200</v>
      </c>
      <c r="S25" s="41">
        <f t="shared" si="1"/>
        <v>2700</v>
      </c>
      <c r="T25" s="41"/>
      <c r="U25" s="41">
        <f t="shared" si="2"/>
        <v>2700</v>
      </c>
      <c r="V25" s="41"/>
      <c r="W25" s="41"/>
    </row>
    <row r="26" spans="2:23" x14ac:dyDescent="0.25">
      <c r="B26" s="23"/>
      <c r="C26" s="23"/>
      <c r="D26" s="17"/>
      <c r="E26" s="25"/>
      <c r="F26" s="17"/>
      <c r="G26" s="17"/>
      <c r="H26" s="17"/>
      <c r="I26" s="17"/>
      <c r="J26" s="17"/>
      <c r="L26" s="37" t="s">
        <v>78</v>
      </c>
      <c r="M26" s="38">
        <v>21</v>
      </c>
      <c r="N26" s="39"/>
      <c r="O26" s="40"/>
      <c r="P26" s="44">
        <v>2500</v>
      </c>
      <c r="Q26" s="45"/>
      <c r="R26" s="44">
        <v>200</v>
      </c>
      <c r="S26" s="41">
        <f t="shared" si="1"/>
        <v>2700</v>
      </c>
      <c r="T26" s="41"/>
      <c r="U26" s="41">
        <f t="shared" si="2"/>
        <v>2700</v>
      </c>
      <c r="V26" s="41"/>
      <c r="W26" s="41"/>
    </row>
    <row r="27" spans="2:23" x14ac:dyDescent="0.25">
      <c r="B27" s="16" t="s">
        <v>20</v>
      </c>
      <c r="C27" s="16"/>
      <c r="D27" s="21">
        <f>D16+D17+D18-E19</f>
        <v>29760</v>
      </c>
      <c r="E27" s="21">
        <f>SUM(E21:E26)</f>
        <v>29763</v>
      </c>
      <c r="F27" s="21">
        <f>D27-E27</f>
        <v>-3</v>
      </c>
      <c r="G27" s="16" t="s">
        <v>20</v>
      </c>
      <c r="H27" s="21">
        <f>H16+H17-I19</f>
        <v>21760</v>
      </c>
      <c r="I27" s="21">
        <f>SUM(I21:I26)</f>
        <v>21763</v>
      </c>
      <c r="J27" s="21">
        <f>H27-I27</f>
        <v>-3</v>
      </c>
      <c r="L27" s="50" t="s">
        <v>79</v>
      </c>
      <c r="M27" s="38">
        <v>22</v>
      </c>
      <c r="N27" s="39"/>
      <c r="O27" s="40"/>
      <c r="P27" s="44">
        <v>2500</v>
      </c>
      <c r="Q27" s="45"/>
      <c r="R27" s="44"/>
      <c r="S27" s="41">
        <f t="shared" si="1"/>
        <v>2500</v>
      </c>
      <c r="T27" s="41"/>
      <c r="U27" s="41">
        <f>S27-T27</f>
        <v>2500</v>
      </c>
      <c r="V27" s="41"/>
      <c r="W27" s="41"/>
    </row>
    <row r="28" spans="2:23" x14ac:dyDescent="0.25">
      <c r="L28" s="37" t="s">
        <v>80</v>
      </c>
      <c r="M28" s="38">
        <v>23</v>
      </c>
      <c r="N28" s="39"/>
      <c r="O28" s="40"/>
      <c r="P28" s="44">
        <v>2500</v>
      </c>
      <c r="Q28" s="45"/>
      <c r="R28" s="44">
        <v>200</v>
      </c>
      <c r="S28" s="41">
        <f t="shared" si="1"/>
        <v>2700</v>
      </c>
      <c r="T28" s="41"/>
      <c r="U28" s="41">
        <f t="shared" si="2"/>
        <v>2700</v>
      </c>
      <c r="V28" s="41"/>
      <c r="W28" s="41"/>
    </row>
    <row r="29" spans="2:23" x14ac:dyDescent="0.25">
      <c r="B29" t="s">
        <v>21</v>
      </c>
      <c r="E29" t="s">
        <v>22</v>
      </c>
      <c r="H29" t="s">
        <v>23</v>
      </c>
      <c r="L29" s="37" t="s">
        <v>81</v>
      </c>
      <c r="M29" s="38">
        <v>24</v>
      </c>
      <c r="N29" s="39"/>
      <c r="O29" s="40"/>
      <c r="P29" s="44">
        <v>2500</v>
      </c>
      <c r="Q29" s="45"/>
      <c r="R29" s="44">
        <v>200</v>
      </c>
      <c r="S29" s="41">
        <f t="shared" si="1"/>
        <v>2700</v>
      </c>
      <c r="T29" s="41"/>
      <c r="U29" s="41">
        <f t="shared" si="2"/>
        <v>2700</v>
      </c>
      <c r="V29" s="41"/>
      <c r="W29" s="41"/>
    </row>
    <row r="30" spans="2:23" x14ac:dyDescent="0.25">
      <c r="L30" s="37" t="s">
        <v>82</v>
      </c>
      <c r="M30" s="38">
        <v>25</v>
      </c>
      <c r="N30" s="39"/>
      <c r="O30" s="40"/>
      <c r="P30" s="44">
        <v>2500</v>
      </c>
      <c r="Q30" s="45"/>
      <c r="R30" s="44">
        <v>200</v>
      </c>
      <c r="S30" s="41">
        <f t="shared" si="1"/>
        <v>2700</v>
      </c>
      <c r="T30" s="41"/>
      <c r="U30" s="41">
        <f t="shared" si="2"/>
        <v>2700</v>
      </c>
      <c r="V30" s="41"/>
      <c r="W30" s="41"/>
    </row>
    <row r="31" spans="2:23" x14ac:dyDescent="0.25">
      <c r="B31" t="s">
        <v>24</v>
      </c>
      <c r="E31" t="s">
        <v>25</v>
      </c>
      <c r="H31" t="s">
        <v>34</v>
      </c>
      <c r="L31" s="37" t="s">
        <v>83</v>
      </c>
      <c r="M31" s="38">
        <v>26</v>
      </c>
      <c r="N31" s="39"/>
      <c r="O31" s="40"/>
      <c r="P31" s="44">
        <v>2500</v>
      </c>
      <c r="Q31" s="45"/>
      <c r="R31" s="44">
        <v>200</v>
      </c>
      <c r="S31" s="41">
        <f t="shared" si="1"/>
        <v>2700</v>
      </c>
      <c r="T31" s="41"/>
      <c r="U31" s="41">
        <f t="shared" si="2"/>
        <v>2700</v>
      </c>
      <c r="V31" s="41"/>
      <c r="W31" s="41"/>
    </row>
    <row r="32" spans="2:23" x14ac:dyDescent="0.25">
      <c r="L32" s="37" t="s">
        <v>84</v>
      </c>
      <c r="M32" s="38">
        <v>27</v>
      </c>
      <c r="N32" s="39"/>
      <c r="O32" s="40"/>
      <c r="P32" s="44">
        <v>2500</v>
      </c>
      <c r="Q32" s="45"/>
      <c r="R32" s="44">
        <v>200</v>
      </c>
      <c r="S32" s="41">
        <f t="shared" si="1"/>
        <v>2700</v>
      </c>
      <c r="T32" s="41"/>
      <c r="U32" s="41">
        <f t="shared" si="2"/>
        <v>2700</v>
      </c>
      <c r="V32" s="41"/>
      <c r="W32" s="41"/>
    </row>
    <row r="33" spans="12:23" x14ac:dyDescent="0.25">
      <c r="L33" s="37"/>
      <c r="M33" s="38">
        <v>28</v>
      </c>
      <c r="N33" s="39"/>
      <c r="O33" s="40"/>
      <c r="P33" s="44"/>
      <c r="Q33" s="45"/>
      <c r="R33" s="44"/>
      <c r="S33" s="41"/>
      <c r="T33" s="41"/>
      <c r="U33" s="41"/>
      <c r="V33" s="41"/>
      <c r="W33" s="41"/>
    </row>
    <row r="34" spans="12:23" x14ac:dyDescent="0.25">
      <c r="L34" s="37" t="s">
        <v>85</v>
      </c>
      <c r="M34" s="38">
        <v>29</v>
      </c>
      <c r="N34" s="39"/>
      <c r="O34" s="40"/>
      <c r="P34" s="44">
        <v>5000</v>
      </c>
      <c r="Q34" s="45"/>
      <c r="R34" s="44"/>
      <c r="S34" s="41"/>
      <c r="T34" s="41"/>
      <c r="U34" s="41"/>
      <c r="V34" s="41"/>
      <c r="W34" s="41"/>
    </row>
    <row r="35" spans="12:23" x14ac:dyDescent="0.25">
      <c r="L35" s="37"/>
      <c r="M35" s="38">
        <v>30</v>
      </c>
      <c r="N35" s="39"/>
      <c r="O35" s="40"/>
      <c r="P35" s="44"/>
      <c r="Q35" s="45"/>
      <c r="R35" s="44"/>
      <c r="S35" s="41"/>
      <c r="T35" s="41"/>
      <c r="U35" s="41"/>
      <c r="V35" s="41"/>
      <c r="W35" s="41"/>
    </row>
    <row r="36" spans="12:23" x14ac:dyDescent="0.25">
      <c r="L36" s="37"/>
      <c r="M36" s="38" t="s">
        <v>86</v>
      </c>
      <c r="N36" s="39"/>
      <c r="O36" s="40"/>
      <c r="P36" s="44"/>
      <c r="Q36" s="45"/>
      <c r="R36" s="44"/>
      <c r="S36" s="41"/>
      <c r="T36" s="41"/>
      <c r="U36" s="41"/>
      <c r="V36" s="41"/>
      <c r="W36" s="41"/>
    </row>
    <row r="37" spans="12:23" x14ac:dyDescent="0.25">
      <c r="L37" s="37"/>
      <c r="M37" s="38" t="s">
        <v>87</v>
      </c>
      <c r="N37" s="39"/>
      <c r="O37" s="40"/>
      <c r="P37" s="44"/>
      <c r="Q37" s="45"/>
      <c r="R37" s="44"/>
      <c r="S37" s="41"/>
      <c r="T37" s="41"/>
      <c r="U37" s="41"/>
      <c r="V37" s="41"/>
      <c r="W37" s="41"/>
    </row>
    <row r="38" spans="12:23" x14ac:dyDescent="0.25">
      <c r="L38" s="37"/>
      <c r="M38" s="38" t="s">
        <v>88</v>
      </c>
      <c r="N38" s="39"/>
      <c r="O38" s="40"/>
      <c r="P38" s="44"/>
      <c r="Q38" s="45"/>
      <c r="R38" s="44">
        <v>200</v>
      </c>
      <c r="S38" s="41">
        <f t="shared" si="1"/>
        <v>200</v>
      </c>
      <c r="T38" s="41"/>
      <c r="U38" s="41">
        <f>S38-T38</f>
        <v>200</v>
      </c>
      <c r="V38" s="41"/>
      <c r="W38" s="41"/>
    </row>
    <row r="39" spans="12:23" x14ac:dyDescent="0.25">
      <c r="L39" s="51" t="s">
        <v>51</v>
      </c>
      <c r="M39" s="17"/>
      <c r="N39" s="39">
        <f t="shared" ref="N39:W39" si="3">SUM(N6:N38)</f>
        <v>0</v>
      </c>
      <c r="O39" s="40">
        <f t="shared" si="3"/>
        <v>0</v>
      </c>
      <c r="P39" s="52">
        <f t="shared" si="3"/>
        <v>70000</v>
      </c>
      <c r="Q39" s="53">
        <f t="shared" si="3"/>
        <v>0</v>
      </c>
      <c r="R39" s="54">
        <f t="shared" si="3"/>
        <v>4800</v>
      </c>
      <c r="S39" s="41">
        <f t="shared" si="3"/>
        <v>69800</v>
      </c>
      <c r="T39" s="55">
        <f t="shared" si="3"/>
        <v>0</v>
      </c>
      <c r="U39" s="55">
        <f t="shared" si="3"/>
        <v>69800</v>
      </c>
      <c r="V39" s="55">
        <f t="shared" si="3"/>
        <v>0</v>
      </c>
      <c r="W39" s="55">
        <f t="shared" si="3"/>
        <v>0</v>
      </c>
    </row>
    <row r="40" spans="12:23" x14ac:dyDescent="0.25">
      <c r="L40" s="14" t="s">
        <v>12</v>
      </c>
      <c r="M40" s="14"/>
      <c r="N40" s="14"/>
      <c r="O40" s="15"/>
      <c r="P40" s="11"/>
      <c r="Q40" s="14" t="s">
        <v>8</v>
      </c>
      <c r="R40" s="14"/>
      <c r="S40" s="14"/>
      <c r="T40" s="8"/>
      <c r="U40" s="8"/>
      <c r="V40" s="8"/>
      <c r="W40" s="26"/>
    </row>
    <row r="41" spans="12:23" x14ac:dyDescent="0.25">
      <c r="L41" s="16" t="s">
        <v>13</v>
      </c>
      <c r="M41" s="16" t="s">
        <v>14</v>
      </c>
      <c r="N41" s="16" t="s">
        <v>15</v>
      </c>
      <c r="O41" s="16" t="s">
        <v>16</v>
      </c>
      <c r="P41" s="16"/>
      <c r="Q41" s="16" t="s">
        <v>13</v>
      </c>
      <c r="R41" s="16"/>
      <c r="S41" s="16" t="s">
        <v>52</v>
      </c>
      <c r="T41" s="16" t="s">
        <v>15</v>
      </c>
      <c r="U41" s="16" t="s">
        <v>16</v>
      </c>
      <c r="V41" s="16"/>
      <c r="W41" s="56"/>
    </row>
    <row r="42" spans="12:23" x14ac:dyDescent="0.25">
      <c r="L42" s="17" t="s">
        <v>36</v>
      </c>
      <c r="M42" s="18">
        <f>P39</f>
        <v>70000</v>
      </c>
      <c r="N42" s="17"/>
      <c r="O42" s="17"/>
      <c r="P42" s="17"/>
      <c r="Q42" s="17" t="s">
        <v>36</v>
      </c>
      <c r="R42" s="17"/>
      <c r="S42" s="57">
        <f>T39</f>
        <v>0</v>
      </c>
      <c r="T42" s="17"/>
      <c r="U42" s="17"/>
      <c r="V42" s="17"/>
      <c r="W42" s="58"/>
    </row>
    <row r="43" spans="12:23" x14ac:dyDescent="0.25">
      <c r="L43" s="17" t="s">
        <v>5</v>
      </c>
      <c r="M43" s="18">
        <f>[1]NOVEMBER20!O72</f>
        <v>0</v>
      </c>
      <c r="N43" s="17"/>
      <c r="O43" s="17"/>
      <c r="P43" s="17"/>
      <c r="Q43" s="17" t="s">
        <v>5</v>
      </c>
      <c r="R43" s="17"/>
      <c r="S43" s="18">
        <f>[1]NOVEMBER20!U72</f>
        <v>0</v>
      </c>
      <c r="T43" s="17"/>
      <c r="U43" s="17"/>
      <c r="V43" s="17"/>
      <c r="W43" s="58"/>
    </row>
    <row r="44" spans="12:23" x14ac:dyDescent="0.25">
      <c r="L44" s="17" t="s">
        <v>4</v>
      </c>
      <c r="M44" s="18">
        <f>N39</f>
        <v>0</v>
      </c>
      <c r="N44" s="17"/>
      <c r="O44" s="17"/>
      <c r="P44" s="17"/>
      <c r="Q44" s="17"/>
      <c r="R44" s="17"/>
      <c r="S44" s="17"/>
      <c r="T44" s="17"/>
      <c r="U44" s="17"/>
      <c r="V44" s="17"/>
      <c r="W44" s="58"/>
    </row>
    <row r="45" spans="12:23" x14ac:dyDescent="0.25">
      <c r="L45" s="17" t="s">
        <v>41</v>
      </c>
      <c r="M45" s="18">
        <f>Q39</f>
        <v>0</v>
      </c>
      <c r="N45" s="17"/>
      <c r="O45" s="17"/>
      <c r="P45" s="17"/>
      <c r="Q45" s="17"/>
      <c r="R45" s="17"/>
      <c r="S45" s="17"/>
      <c r="T45" s="17"/>
      <c r="U45" s="17"/>
      <c r="V45" s="17"/>
      <c r="W45" s="58"/>
    </row>
    <row r="46" spans="12:23" x14ac:dyDescent="0.25">
      <c r="L46" s="17" t="s">
        <v>53</v>
      </c>
      <c r="M46" s="18">
        <f>V39</f>
        <v>0</v>
      </c>
      <c r="N46" s="17"/>
      <c r="O46" s="17"/>
      <c r="P46" s="17"/>
      <c r="Q46" s="17"/>
      <c r="R46" s="17"/>
      <c r="S46" s="17"/>
      <c r="T46" s="17"/>
      <c r="U46" s="17"/>
      <c r="V46" s="17"/>
      <c r="W46" s="58"/>
    </row>
    <row r="47" spans="12:23" x14ac:dyDescent="0.25">
      <c r="L47" s="17" t="s">
        <v>42</v>
      </c>
      <c r="M47" s="18">
        <f>R39</f>
        <v>4800</v>
      </c>
      <c r="N47" s="17"/>
      <c r="O47" s="17"/>
      <c r="P47" s="17"/>
      <c r="Q47" s="17" t="s">
        <v>54</v>
      </c>
      <c r="R47" s="17"/>
      <c r="S47" s="17"/>
      <c r="T47" s="17"/>
      <c r="U47" s="17"/>
      <c r="V47" s="17"/>
      <c r="W47" s="58"/>
    </row>
    <row r="48" spans="12:23" x14ac:dyDescent="0.25">
      <c r="L48" s="17"/>
      <c r="M48" s="18"/>
      <c r="N48" s="17"/>
      <c r="O48" s="17"/>
      <c r="P48" s="17"/>
      <c r="Q48" s="17"/>
      <c r="R48" s="18"/>
      <c r="U48" s="17"/>
      <c r="V48" s="17"/>
      <c r="W48" s="58"/>
    </row>
    <row r="49" spans="12:23" x14ac:dyDescent="0.25">
      <c r="L49" s="17" t="s">
        <v>54</v>
      </c>
      <c r="M49" s="57">
        <f>W39</f>
        <v>0</v>
      </c>
      <c r="N49" s="18"/>
      <c r="O49" s="17"/>
      <c r="P49" s="17"/>
      <c r="Q49" s="17"/>
      <c r="R49" s="17"/>
      <c r="S49" s="17"/>
      <c r="T49" s="18"/>
      <c r="U49" s="18"/>
      <c r="V49" s="18"/>
      <c r="W49" s="59"/>
    </row>
    <row r="50" spans="12:23" x14ac:dyDescent="0.25">
      <c r="L50" s="16" t="s">
        <v>19</v>
      </c>
      <c r="M50" s="17" t="s">
        <v>10</v>
      </c>
      <c r="N50" s="17"/>
      <c r="O50" s="17"/>
      <c r="P50" s="17"/>
      <c r="Q50" s="16" t="s">
        <v>19</v>
      </c>
      <c r="R50" s="16"/>
      <c r="S50" s="16"/>
      <c r="T50" s="17"/>
      <c r="U50" s="17"/>
      <c r="V50" s="17"/>
      <c r="W50" s="58"/>
    </row>
    <row r="51" spans="12:23" x14ac:dyDescent="0.25">
      <c r="L51" s="22" t="s">
        <v>55</v>
      </c>
      <c r="M51" s="20">
        <v>7.0000000000000007E-2</v>
      </c>
      <c r="N51" s="57">
        <f>M51*P39</f>
        <v>4900.0000000000009</v>
      </c>
      <c r="O51" s="17"/>
      <c r="P51" s="17"/>
      <c r="Q51" s="22" t="s">
        <v>55</v>
      </c>
      <c r="R51" s="22"/>
      <c r="S51" s="20">
        <v>7.0000000000000007E-2</v>
      </c>
      <c r="T51" s="57">
        <f>S51*P39</f>
        <v>4900.0000000000009</v>
      </c>
      <c r="U51" s="17"/>
      <c r="V51" s="17"/>
      <c r="W51" s="58"/>
    </row>
    <row r="52" spans="12:23" x14ac:dyDescent="0.25">
      <c r="L52" s="60"/>
      <c r="M52" s="61"/>
      <c r="O52" s="57"/>
      <c r="P52" s="57"/>
      <c r="Q52" s="60"/>
      <c r="R52" s="61"/>
      <c r="V52" s="57"/>
      <c r="W52" s="62"/>
    </row>
    <row r="53" spans="12:23" x14ac:dyDescent="0.25">
      <c r="L53" s="60"/>
      <c r="M53" s="20"/>
      <c r="N53" s="57"/>
      <c r="O53" s="17"/>
      <c r="P53" s="17"/>
      <c r="Q53" s="57"/>
      <c r="S53" s="20"/>
      <c r="T53" s="57"/>
      <c r="U53" s="17"/>
      <c r="V53" s="17"/>
      <c r="W53" s="58"/>
    </row>
    <row r="54" spans="12:23" x14ac:dyDescent="0.25">
      <c r="L54" s="17"/>
      <c r="M54" s="17"/>
      <c r="N54" s="63"/>
      <c r="O54" s="17"/>
      <c r="P54" s="17"/>
      <c r="Q54" s="63"/>
      <c r="R54" s="63"/>
      <c r="S54" s="17"/>
      <c r="T54" s="63"/>
      <c r="U54" s="17"/>
      <c r="V54" s="17"/>
      <c r="W54" s="58"/>
    </row>
    <row r="55" spans="12:23" x14ac:dyDescent="0.25">
      <c r="L55" s="23"/>
      <c r="M55" s="17"/>
      <c r="N55" s="57"/>
      <c r="O55" s="17"/>
      <c r="P55" s="17"/>
      <c r="Q55" s="17"/>
      <c r="R55" s="57"/>
      <c r="S55" s="22"/>
      <c r="T55" s="57"/>
      <c r="U55" s="57"/>
      <c r="V55" s="57"/>
      <c r="W55" s="62"/>
    </row>
    <row r="56" spans="12:23" x14ac:dyDescent="0.25">
      <c r="L56" s="16" t="s">
        <v>20</v>
      </c>
      <c r="M56" s="21">
        <f>M42+M43+M44+M45+M46+M47+M49+M48</f>
        <v>74800</v>
      </c>
      <c r="N56" s="21">
        <f>SUM(N51:N55)</f>
        <v>4900.0000000000009</v>
      </c>
      <c r="O56" s="21">
        <f>M56-N56</f>
        <v>69900</v>
      </c>
      <c r="P56" s="21"/>
      <c r="Q56" s="16"/>
      <c r="R56" s="16"/>
      <c r="S56" s="21">
        <f>S42+S43+S45+S47+S48</f>
        <v>0</v>
      </c>
      <c r="T56" s="21">
        <f>SUM(T51:T55)</f>
        <v>4900.0000000000009</v>
      </c>
      <c r="U56" s="21">
        <f>S56-T56</f>
        <v>-4900.0000000000009</v>
      </c>
      <c r="V56" s="21"/>
      <c r="W56" s="64"/>
    </row>
    <row r="57" spans="12:23" x14ac:dyDescent="0.25">
      <c r="L57" s="8"/>
      <c r="M57" s="8"/>
      <c r="N57" s="8"/>
      <c r="O57" s="8"/>
      <c r="P57" s="8"/>
      <c r="Q57" s="8"/>
      <c r="R57" s="8"/>
      <c r="S57" s="8"/>
      <c r="T57" s="65">
        <f>T56-T51</f>
        <v>0</v>
      </c>
      <c r="U57" s="8"/>
      <c r="V57" s="8"/>
      <c r="W57" s="26"/>
    </row>
    <row r="58" spans="12:23" x14ac:dyDescent="0.25">
      <c r="L58" s="66" t="s">
        <v>56</v>
      </c>
      <c r="M58" s="67"/>
      <c r="N58" s="67" t="s">
        <v>22</v>
      </c>
      <c r="O58" s="68"/>
      <c r="P58" s="68"/>
      <c r="Q58" s="66"/>
      <c r="R58" s="66"/>
      <c r="S58" s="66" t="s">
        <v>57</v>
      </c>
      <c r="T58" s="8"/>
      <c r="U58" s="8"/>
      <c r="V58" s="8"/>
      <c r="W58" s="26"/>
    </row>
    <row r="59" spans="12:23" x14ac:dyDescent="0.25">
      <c r="L59" s="8" t="s">
        <v>24</v>
      </c>
      <c r="M59" s="8"/>
      <c r="N59" s="8" t="s">
        <v>25</v>
      </c>
      <c r="O59" s="8"/>
      <c r="P59" s="8"/>
      <c r="Q59" s="8"/>
      <c r="R59" s="8"/>
      <c r="S59" s="8" t="s">
        <v>34</v>
      </c>
      <c r="T59" s="8"/>
      <c r="U59" s="8"/>
      <c r="V59" s="65"/>
      <c r="W59" s="26"/>
    </row>
  </sheetData>
  <pageMargins left="0.7" right="0.7" top="0.75" bottom="0.75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opLeftCell="J1" workbookViewId="0">
      <selection activeCell="V70" sqref="V70"/>
    </sheetView>
  </sheetViews>
  <sheetFormatPr defaultRowHeight="15" x14ac:dyDescent="0.25"/>
  <cols>
    <col min="1" max="1" width="12" customWidth="1"/>
    <col min="13" max="13" width="22.42578125" customWidth="1"/>
    <col min="16" max="16" width="10.28515625" bestFit="1" customWidth="1"/>
    <col min="19" max="19" width="12.42578125" customWidth="1"/>
    <col min="20" max="20" width="19.5703125" customWidth="1"/>
    <col min="22" max="22" width="11.85546875" customWidth="1"/>
    <col min="23" max="23" width="19.28515625" customWidth="1"/>
  </cols>
  <sheetData>
    <row r="1" spans="1:25" ht="15.75" x14ac:dyDescent="0.25">
      <c r="A1" s="1"/>
      <c r="B1" s="1"/>
      <c r="C1" s="1"/>
      <c r="D1" s="1" t="s">
        <v>29</v>
      </c>
      <c r="E1" s="1"/>
      <c r="F1" s="1"/>
      <c r="G1" s="1"/>
      <c r="H1" s="1"/>
      <c r="I1" s="1"/>
      <c r="J1" s="1"/>
      <c r="M1" s="69"/>
      <c r="N1" s="69"/>
      <c r="O1" s="71"/>
      <c r="P1" s="71"/>
      <c r="Q1" s="71"/>
      <c r="R1" s="71"/>
      <c r="S1" s="71"/>
      <c r="T1" s="69"/>
      <c r="U1" s="71"/>
      <c r="V1" s="71"/>
      <c r="W1" s="71"/>
      <c r="X1" s="71"/>
      <c r="Y1" s="69"/>
    </row>
    <row r="2" spans="1:25" ht="15.75" x14ac:dyDescent="0.25">
      <c r="A2" s="1"/>
      <c r="B2" s="1"/>
      <c r="C2" s="1"/>
      <c r="D2" s="1" t="s">
        <v>0</v>
      </c>
      <c r="E2" s="1"/>
      <c r="F2" s="1"/>
      <c r="G2" s="1"/>
      <c r="H2" s="1"/>
      <c r="I2" s="1"/>
      <c r="J2" s="1"/>
      <c r="M2" s="69"/>
      <c r="N2" s="69"/>
      <c r="O2" s="27"/>
      <c r="P2" s="69"/>
      <c r="Q2" s="27" t="s">
        <v>58</v>
      </c>
      <c r="R2" s="70"/>
      <c r="S2" s="27"/>
      <c r="T2" s="28"/>
      <c r="U2" s="70"/>
      <c r="V2" s="70"/>
      <c r="W2" s="70"/>
      <c r="X2" s="70"/>
      <c r="Y2" s="69"/>
    </row>
    <row r="3" spans="1:25" ht="15.75" x14ac:dyDescent="0.25">
      <c r="A3" s="1"/>
      <c r="B3" s="1"/>
      <c r="C3" s="1"/>
      <c r="D3" s="1" t="s">
        <v>158</v>
      </c>
      <c r="E3" s="1"/>
      <c r="F3" s="1"/>
      <c r="G3" s="1"/>
      <c r="H3" s="1"/>
      <c r="I3" s="1"/>
      <c r="J3" s="1"/>
      <c r="M3" s="70"/>
      <c r="N3" s="27"/>
      <c r="O3" s="27"/>
      <c r="P3" s="27"/>
      <c r="Q3" s="27" t="s">
        <v>0</v>
      </c>
      <c r="R3" s="27"/>
      <c r="S3" s="71"/>
      <c r="T3" s="29"/>
      <c r="U3" s="70"/>
      <c r="V3" s="70"/>
      <c r="W3" s="70"/>
      <c r="X3" s="70"/>
      <c r="Y3" s="69"/>
    </row>
    <row r="4" spans="1:25" ht="15.7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41</v>
      </c>
      <c r="F4" s="2" t="s">
        <v>42</v>
      </c>
      <c r="G4" s="2" t="s">
        <v>6</v>
      </c>
      <c r="H4" s="2" t="s">
        <v>7</v>
      </c>
      <c r="I4" s="2" t="s">
        <v>8</v>
      </c>
      <c r="J4" s="2" t="s">
        <v>9</v>
      </c>
      <c r="M4" s="27"/>
      <c r="N4" s="70"/>
      <c r="O4" s="69"/>
      <c r="P4" s="27" t="s">
        <v>158</v>
      </c>
      <c r="Q4" s="27"/>
      <c r="R4" s="69"/>
      <c r="S4" s="27"/>
      <c r="T4" s="31"/>
      <c r="U4" s="31"/>
      <c r="V4" s="31"/>
      <c r="W4" s="31"/>
      <c r="X4" s="31"/>
      <c r="Y4" s="69"/>
    </row>
    <row r="5" spans="1:25" ht="15.75" x14ac:dyDescent="0.25">
      <c r="A5" s="3">
        <v>1</v>
      </c>
      <c r="B5" s="3" t="s">
        <v>26</v>
      </c>
      <c r="C5" s="3"/>
      <c r="D5" s="3">
        <f>'JULY 21'!J5:J10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123</v>
      </c>
      <c r="Y5" s="69"/>
    </row>
    <row r="6" spans="1:25" ht="15.75" x14ac:dyDescent="0.25">
      <c r="A6" s="3">
        <v>2</v>
      </c>
      <c r="B6" s="3" t="s">
        <v>26</v>
      </c>
      <c r="C6" s="3"/>
      <c r="D6" s="3">
        <f>'JULY 21'!J6:J11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>
        <f>'JULY 21'!V6:V35</f>
        <v>0</v>
      </c>
      <c r="Q6" s="80"/>
      <c r="R6" s="81"/>
      <c r="S6" s="80"/>
      <c r="T6" s="80">
        <f>P6+Q6+R6+S6+O6</f>
        <v>0</v>
      </c>
      <c r="U6" s="80"/>
      <c r="V6" s="80">
        <f t="shared" ref="V6:V38" si="2">T6-U6</f>
        <v>0</v>
      </c>
      <c r="W6" s="80"/>
      <c r="X6" s="80"/>
      <c r="Y6" s="69"/>
    </row>
    <row r="7" spans="1:25" ht="15.75" x14ac:dyDescent="0.25">
      <c r="A7" s="3">
        <v>3</v>
      </c>
      <c r="B7" s="3" t="s">
        <v>155</v>
      </c>
      <c r="C7" s="3"/>
      <c r="D7" s="3">
        <f>'JULY 21'!J7:J12</f>
        <v>0</v>
      </c>
      <c r="E7" s="3">
        <v>450</v>
      </c>
      <c r="F7" s="3">
        <v>200</v>
      </c>
      <c r="G7" s="3">
        <v>8000</v>
      </c>
      <c r="H7" s="3">
        <f t="shared" si="0"/>
        <v>8650</v>
      </c>
      <c r="I7" s="3">
        <v>8650</v>
      </c>
      <c r="J7" s="3">
        <f t="shared" si="1"/>
        <v>0</v>
      </c>
      <c r="M7" s="82" t="s">
        <v>115</v>
      </c>
      <c r="N7" s="77">
        <v>2</v>
      </c>
      <c r="O7" s="78"/>
      <c r="P7" s="79">
        <f>'JULY 21'!V7:V36</f>
        <v>350</v>
      </c>
      <c r="Q7" s="83">
        <v>2500</v>
      </c>
      <c r="R7" s="81">
        <v>350</v>
      </c>
      <c r="S7" s="83">
        <v>200</v>
      </c>
      <c r="T7" s="80">
        <f t="shared" ref="T7:T37" si="3">P7+Q7+R7+S7+O7</f>
        <v>3400</v>
      </c>
      <c r="U7" s="80">
        <f>3050</f>
        <v>3050</v>
      </c>
      <c r="V7" s="80">
        <f t="shared" si="2"/>
        <v>350</v>
      </c>
      <c r="W7" s="80"/>
      <c r="X7" s="80"/>
      <c r="Y7" s="69"/>
    </row>
    <row r="8" spans="1:25" ht="15.75" x14ac:dyDescent="0.25">
      <c r="A8" s="3">
        <v>4</v>
      </c>
      <c r="B8" s="3"/>
      <c r="C8" s="3"/>
      <c r="D8" s="3">
        <f>'JULY 21'!J8:J13</f>
        <v>0</v>
      </c>
      <c r="E8" s="3"/>
      <c r="F8" s="3"/>
      <c r="G8" s="3"/>
      <c r="H8" s="3">
        <f t="shared" si="0"/>
        <v>0</v>
      </c>
      <c r="I8" s="3"/>
      <c r="J8" s="3">
        <f t="shared" si="1"/>
        <v>0</v>
      </c>
      <c r="M8" s="82" t="s">
        <v>60</v>
      </c>
      <c r="N8" s="77">
        <v>3</v>
      </c>
      <c r="O8" s="78"/>
      <c r="P8" s="79">
        <f>'JULY 21'!V8:V37</f>
        <v>510</v>
      </c>
      <c r="Q8" s="83">
        <v>2500</v>
      </c>
      <c r="R8" s="81">
        <v>350</v>
      </c>
      <c r="S8" s="83">
        <v>200</v>
      </c>
      <c r="T8" s="80">
        <f t="shared" si="3"/>
        <v>3560</v>
      </c>
      <c r="U8" s="80">
        <f>3050</f>
        <v>3050</v>
      </c>
      <c r="V8" s="80">
        <f t="shared" si="2"/>
        <v>510</v>
      </c>
      <c r="W8" s="80"/>
      <c r="X8" s="80"/>
      <c r="Y8" s="69"/>
    </row>
    <row r="9" spans="1:25" ht="15.75" x14ac:dyDescent="0.25">
      <c r="A9" s="3">
        <v>5</v>
      </c>
      <c r="B9" s="3" t="s">
        <v>95</v>
      </c>
      <c r="C9" s="3"/>
      <c r="D9" s="3">
        <f>'JULY 21'!J9:J14</f>
        <v>400</v>
      </c>
      <c r="E9" s="3">
        <v>150</v>
      </c>
      <c r="F9" s="3">
        <v>200</v>
      </c>
      <c r="G9" s="3">
        <v>8000</v>
      </c>
      <c r="H9" s="3">
        <f t="shared" si="0"/>
        <v>8750</v>
      </c>
      <c r="I9" s="3">
        <v>8350</v>
      </c>
      <c r="J9" s="3">
        <f t="shared" si="1"/>
        <v>400</v>
      </c>
      <c r="M9" s="88" t="s">
        <v>40</v>
      </c>
      <c r="N9" s="77">
        <v>4</v>
      </c>
      <c r="O9" s="78"/>
      <c r="P9" s="79"/>
      <c r="Q9" s="83"/>
      <c r="R9" s="81"/>
      <c r="S9" s="83"/>
      <c r="T9" s="80">
        <f t="shared" si="3"/>
        <v>0</v>
      </c>
      <c r="U9" s="80"/>
      <c r="V9" s="80">
        <f t="shared" si="2"/>
        <v>0</v>
      </c>
      <c r="W9" s="80"/>
      <c r="X9" s="80"/>
      <c r="Y9" s="69"/>
    </row>
    <row r="10" spans="1:25" ht="15.75" x14ac:dyDescent="0.25">
      <c r="A10" s="3">
        <v>6</v>
      </c>
      <c r="B10" s="4" t="s">
        <v>28</v>
      </c>
      <c r="C10" s="4"/>
      <c r="D10" s="3">
        <f>'JULY 21'!J10:J15</f>
        <v>250</v>
      </c>
      <c r="E10" s="3">
        <v>450</v>
      </c>
      <c r="F10" s="3">
        <v>200</v>
      </c>
      <c r="G10" s="3">
        <v>8000</v>
      </c>
      <c r="H10" s="3">
        <f t="shared" si="0"/>
        <v>8900</v>
      </c>
      <c r="I10" s="3">
        <f>8650</f>
        <v>8650</v>
      </c>
      <c r="J10" s="3">
        <f t="shared" si="1"/>
        <v>250</v>
      </c>
      <c r="M10" s="82" t="s">
        <v>160</v>
      </c>
      <c r="N10" s="77">
        <v>5</v>
      </c>
      <c r="O10" s="78"/>
      <c r="P10" s="79">
        <f>'JULY 21'!V10:V39</f>
        <v>0</v>
      </c>
      <c r="Q10" s="83">
        <v>2500</v>
      </c>
      <c r="R10" s="81">
        <v>350</v>
      </c>
      <c r="S10" s="83">
        <v>200</v>
      </c>
      <c r="T10" s="80">
        <f t="shared" si="3"/>
        <v>3050</v>
      </c>
      <c r="U10" s="80">
        <v>3050</v>
      </c>
      <c r="V10" s="80">
        <f t="shared" si="2"/>
        <v>0</v>
      </c>
      <c r="W10" s="80"/>
      <c r="X10" s="80"/>
      <c r="Y10" s="69"/>
    </row>
    <row r="11" spans="1:25" ht="15.75" x14ac:dyDescent="0.25">
      <c r="A11" s="3"/>
      <c r="B11" s="2" t="s">
        <v>10</v>
      </c>
      <c r="C11" s="2">
        <f t="shared" ref="C11:J11" si="4">SUM(C5:C10)</f>
        <v>0</v>
      </c>
      <c r="D11" s="3">
        <f t="shared" si="4"/>
        <v>650</v>
      </c>
      <c r="E11" s="3">
        <f t="shared" si="4"/>
        <v>1050</v>
      </c>
      <c r="F11" s="3">
        <f t="shared" si="4"/>
        <v>600</v>
      </c>
      <c r="G11" s="2">
        <f t="shared" si="4"/>
        <v>24000</v>
      </c>
      <c r="H11" s="3">
        <f t="shared" si="4"/>
        <v>26300</v>
      </c>
      <c r="I11" s="2">
        <f t="shared" si="4"/>
        <v>25650</v>
      </c>
      <c r="J11" s="2">
        <f t="shared" si="4"/>
        <v>650</v>
      </c>
      <c r="M11" s="85" t="s">
        <v>63</v>
      </c>
      <c r="N11" s="77">
        <v>6</v>
      </c>
      <c r="O11" s="78"/>
      <c r="P11" s="79">
        <f>'JULY 21'!V11:V40</f>
        <v>0</v>
      </c>
      <c r="Q11" s="83">
        <v>2500</v>
      </c>
      <c r="R11" s="81">
        <v>350</v>
      </c>
      <c r="S11" s="83">
        <v>200</v>
      </c>
      <c r="T11" s="80">
        <f t="shared" si="3"/>
        <v>3050</v>
      </c>
      <c r="U11" s="80">
        <v>3050</v>
      </c>
      <c r="V11" s="80">
        <f t="shared" si="2"/>
        <v>0</v>
      </c>
      <c r="W11" s="80"/>
      <c r="X11" s="80"/>
      <c r="Y11" s="69"/>
    </row>
    <row r="12" spans="1:25" ht="15.75" x14ac:dyDescent="0.25">
      <c r="A12" s="5"/>
      <c r="B12" s="6"/>
      <c r="C12" s="6"/>
      <c r="D12" s="3"/>
      <c r="E12" s="5"/>
      <c r="F12" s="5"/>
      <c r="G12" s="6" t="s">
        <v>10</v>
      </c>
      <c r="H12" s="6"/>
      <c r="I12" s="6"/>
      <c r="J12" s="7"/>
      <c r="M12" s="88" t="s">
        <v>40</v>
      </c>
      <c r="N12" s="77">
        <v>7</v>
      </c>
      <c r="O12" s="78"/>
      <c r="P12" s="79"/>
      <c r="Q12" s="83"/>
      <c r="R12" s="81"/>
      <c r="S12" s="83"/>
      <c r="T12" s="80">
        <f>P12+Q12+R12+S12+O12</f>
        <v>0</v>
      </c>
      <c r="U12" s="80"/>
      <c r="V12" s="80">
        <f t="shared" si="2"/>
        <v>0</v>
      </c>
      <c r="W12" s="80"/>
      <c r="X12" s="80"/>
      <c r="Y12" s="69"/>
    </row>
    <row r="13" spans="1:25" ht="15.75" x14ac:dyDescent="0.25">
      <c r="A13" s="8" t="s">
        <v>11</v>
      </c>
      <c r="B13" s="8"/>
      <c r="C13" s="9"/>
      <c r="D13" s="9"/>
      <c r="G13" s="10"/>
      <c r="H13" s="13"/>
      <c r="I13" s="12"/>
      <c r="J13" s="8"/>
      <c r="M13" s="86" t="s">
        <v>124</v>
      </c>
      <c r="N13" s="77">
        <v>8</v>
      </c>
      <c r="O13" s="78"/>
      <c r="P13" s="79">
        <f>'JULY 21'!V13:V42</f>
        <v>4450</v>
      </c>
      <c r="Q13" s="83">
        <v>2500</v>
      </c>
      <c r="R13" s="81">
        <v>350</v>
      </c>
      <c r="S13" s="83">
        <v>200</v>
      </c>
      <c r="T13" s="80">
        <f>P13+Q13+R13+S13+O13</f>
        <v>7500</v>
      </c>
      <c r="U13" s="80">
        <f>2000+2200</f>
        <v>4200</v>
      </c>
      <c r="V13" s="80">
        <f t="shared" si="2"/>
        <v>3300</v>
      </c>
      <c r="W13" s="80"/>
      <c r="X13" s="80"/>
      <c r="Y13" s="69"/>
    </row>
    <row r="14" spans="1:25" ht="15.75" x14ac:dyDescent="0.25">
      <c r="A14" s="14" t="s">
        <v>12</v>
      </c>
      <c r="B14" s="14"/>
      <c r="C14" s="14"/>
      <c r="D14" s="14"/>
      <c r="F14" s="14" t="s">
        <v>8</v>
      </c>
      <c r="I14" s="8"/>
      <c r="J14" s="8"/>
      <c r="M14" s="76" t="s">
        <v>122</v>
      </c>
      <c r="N14" s="77">
        <v>9</v>
      </c>
      <c r="O14" s="78"/>
      <c r="P14" s="79">
        <f>'JULY 21'!V14:V43</f>
        <v>0</v>
      </c>
      <c r="Q14" s="83">
        <v>2500</v>
      </c>
      <c r="R14" s="81">
        <v>350</v>
      </c>
      <c r="S14" s="83">
        <v>200</v>
      </c>
      <c r="T14" s="80">
        <f>P14+Q14+R14+S14+O14</f>
        <v>3050</v>
      </c>
      <c r="U14" s="80">
        <f>1500</f>
        <v>1500</v>
      </c>
      <c r="V14" s="80">
        <f t="shared" si="2"/>
        <v>1550</v>
      </c>
      <c r="W14" s="80"/>
      <c r="X14" s="80"/>
      <c r="Y14" s="69"/>
    </row>
    <row r="15" spans="1:25" ht="15.75" x14ac:dyDescent="0.25">
      <c r="A15" s="16" t="s">
        <v>13</v>
      </c>
      <c r="B15" s="16"/>
      <c r="C15" s="16" t="s">
        <v>14</v>
      </c>
      <c r="D15" s="16"/>
      <c r="E15" s="16" t="s">
        <v>15</v>
      </c>
      <c r="F15" s="16" t="s">
        <v>16</v>
      </c>
      <c r="G15" s="16" t="s">
        <v>13</v>
      </c>
      <c r="H15" s="16" t="s">
        <v>14</v>
      </c>
      <c r="I15" s="16" t="s">
        <v>15</v>
      </c>
      <c r="J15" s="16" t="s">
        <v>16</v>
      </c>
      <c r="M15" s="82" t="s">
        <v>134</v>
      </c>
      <c r="N15" s="77">
        <v>10</v>
      </c>
      <c r="O15" s="78"/>
      <c r="P15" s="79">
        <f>'JULY 21'!V9</f>
        <v>50</v>
      </c>
      <c r="Q15" s="83">
        <v>2500</v>
      </c>
      <c r="R15" s="81">
        <v>350</v>
      </c>
      <c r="S15" s="83">
        <v>200</v>
      </c>
      <c r="T15" s="80">
        <f t="shared" si="3"/>
        <v>3100</v>
      </c>
      <c r="U15" s="80">
        <f>3000</f>
        <v>3000</v>
      </c>
      <c r="V15" s="80">
        <f t="shared" si="2"/>
        <v>100</v>
      </c>
      <c r="W15" s="80"/>
      <c r="X15" s="80"/>
      <c r="Y15" s="69"/>
    </row>
    <row r="16" spans="1:25" ht="15.75" x14ac:dyDescent="0.25">
      <c r="A16" s="17" t="s">
        <v>159</v>
      </c>
      <c r="B16" s="17"/>
      <c r="C16" s="18">
        <f>G11</f>
        <v>24000</v>
      </c>
      <c r="D16" s="18"/>
      <c r="E16" s="17"/>
      <c r="F16" s="17"/>
      <c r="G16" s="17" t="s">
        <v>159</v>
      </c>
      <c r="H16" s="18">
        <f>I11</f>
        <v>25650</v>
      </c>
      <c r="I16" s="17"/>
      <c r="J16" s="17"/>
      <c r="M16" s="76" t="s">
        <v>61</v>
      </c>
      <c r="N16" s="77">
        <v>11</v>
      </c>
      <c r="O16" s="84"/>
      <c r="P16" s="79">
        <f>'JULY 21'!V16:V45</f>
        <v>400</v>
      </c>
      <c r="Q16" s="83">
        <v>4500</v>
      </c>
      <c r="R16" s="81">
        <v>350</v>
      </c>
      <c r="S16" s="83">
        <v>200</v>
      </c>
      <c r="T16" s="80">
        <f t="shared" si="3"/>
        <v>5450</v>
      </c>
      <c r="U16" s="80">
        <v>5050</v>
      </c>
      <c r="V16" s="80">
        <f t="shared" si="2"/>
        <v>400</v>
      </c>
      <c r="W16" s="80"/>
      <c r="X16" s="80"/>
      <c r="Y16" s="69"/>
    </row>
    <row r="17" spans="1:26" ht="15.75" x14ac:dyDescent="0.25">
      <c r="A17" s="17" t="s">
        <v>5</v>
      </c>
      <c r="B17" s="17"/>
      <c r="C17" s="18">
        <f>'JULY 21'!F29</f>
        <v>3</v>
      </c>
      <c r="D17" s="18"/>
      <c r="E17" s="17"/>
      <c r="F17" s="17"/>
      <c r="G17" s="17" t="s">
        <v>5</v>
      </c>
      <c r="H17" s="18">
        <f>'JULY 21'!J29</f>
        <v>-397</v>
      </c>
      <c r="I17" s="17"/>
      <c r="J17" s="17"/>
      <c r="M17" s="82" t="s">
        <v>69</v>
      </c>
      <c r="N17" s="77">
        <v>12</v>
      </c>
      <c r="O17" s="84"/>
      <c r="P17" s="79">
        <f>'JULY 21'!V17:V46</f>
        <v>650</v>
      </c>
      <c r="Q17" s="83">
        <v>2500</v>
      </c>
      <c r="R17" s="81">
        <v>350</v>
      </c>
      <c r="S17" s="83">
        <v>200</v>
      </c>
      <c r="T17" s="80">
        <f t="shared" si="3"/>
        <v>3700</v>
      </c>
      <c r="U17" s="80"/>
      <c r="V17" s="80">
        <f t="shared" si="2"/>
        <v>3700</v>
      </c>
      <c r="W17" s="80"/>
      <c r="X17" s="80"/>
      <c r="Y17" s="69"/>
      <c r="Z17" s="120"/>
    </row>
    <row r="18" spans="1:26" ht="15.75" x14ac:dyDescent="0.25">
      <c r="A18" s="25" t="s">
        <v>150</v>
      </c>
      <c r="B18" s="3"/>
      <c r="C18" s="3"/>
      <c r="D18" s="3"/>
      <c r="E18" s="3"/>
      <c r="F18" s="3"/>
      <c r="G18" s="3"/>
      <c r="I18" s="17"/>
      <c r="J18" s="17"/>
      <c r="M18" s="76" t="s">
        <v>131</v>
      </c>
      <c r="N18" s="77">
        <v>13</v>
      </c>
      <c r="O18" s="78"/>
      <c r="P18" s="79">
        <f>'JULY 21'!V18:V47</f>
        <v>1250</v>
      </c>
      <c r="Q18" s="83">
        <v>2500</v>
      </c>
      <c r="R18" s="81">
        <v>350</v>
      </c>
      <c r="S18" s="83">
        <v>200</v>
      </c>
      <c r="T18" s="80">
        <f t="shared" si="3"/>
        <v>4300</v>
      </c>
      <c r="U18" s="80">
        <v>3050</v>
      </c>
      <c r="V18" s="80">
        <f t="shared" si="2"/>
        <v>1250</v>
      </c>
      <c r="W18" s="80"/>
      <c r="X18" s="80"/>
      <c r="Y18" s="69"/>
    </row>
    <row r="19" spans="1:26" ht="15.75" x14ac:dyDescent="0.25">
      <c r="A19" s="25" t="s">
        <v>41</v>
      </c>
      <c r="B19" s="3"/>
      <c r="C19" s="3">
        <f>E11</f>
        <v>1050</v>
      </c>
      <c r="D19" s="3"/>
      <c r="E19" s="3"/>
      <c r="F19" s="3"/>
      <c r="G19" s="3"/>
      <c r="H19" s="14"/>
      <c r="I19" s="17"/>
      <c r="J19" s="17"/>
      <c r="M19" s="76" t="s">
        <v>71</v>
      </c>
      <c r="N19" s="77">
        <v>14</v>
      </c>
      <c r="O19" s="78"/>
      <c r="P19" s="79">
        <f>'JULY 21'!V19:V48</f>
        <v>0</v>
      </c>
      <c r="Q19" s="83">
        <v>2700</v>
      </c>
      <c r="R19" s="81">
        <v>320</v>
      </c>
      <c r="S19" s="83">
        <v>200</v>
      </c>
      <c r="T19" s="80">
        <f t="shared" si="3"/>
        <v>3220</v>
      </c>
      <c r="U19" s="80">
        <v>3220</v>
      </c>
      <c r="V19" s="80">
        <f t="shared" si="2"/>
        <v>0</v>
      </c>
      <c r="W19" s="80"/>
      <c r="X19" s="80"/>
      <c r="Y19" s="87"/>
    </row>
    <row r="20" spans="1:26" ht="15.75" x14ac:dyDescent="0.25">
      <c r="A20" s="25" t="s">
        <v>42</v>
      </c>
      <c r="B20" s="3"/>
      <c r="C20" s="3">
        <f>F11</f>
        <v>600</v>
      </c>
      <c r="D20" s="3"/>
      <c r="E20" s="3"/>
      <c r="F20" s="3"/>
      <c r="G20" s="3"/>
      <c r="H20" s="3"/>
      <c r="I20" s="17"/>
      <c r="J20" s="17"/>
      <c r="M20" s="82" t="s">
        <v>72</v>
      </c>
      <c r="N20" s="77">
        <v>15</v>
      </c>
      <c r="O20" s="78"/>
      <c r="P20" s="79">
        <f>'JULY 21'!V20:V49</f>
        <v>20</v>
      </c>
      <c r="Q20" s="83">
        <v>4500</v>
      </c>
      <c r="R20" s="81">
        <v>350</v>
      </c>
      <c r="S20" s="83">
        <v>200</v>
      </c>
      <c r="T20" s="80">
        <f t="shared" si="3"/>
        <v>5070</v>
      </c>
      <c r="U20" s="80">
        <v>5050</v>
      </c>
      <c r="V20" s="80">
        <f t="shared" si="2"/>
        <v>20</v>
      </c>
      <c r="W20" s="80"/>
      <c r="X20" s="80"/>
      <c r="Y20" s="69"/>
    </row>
    <row r="21" spans="1:26" ht="15.75" x14ac:dyDescent="0.25">
      <c r="A21" s="17" t="s">
        <v>18</v>
      </c>
      <c r="B21" s="17"/>
      <c r="C21" s="20">
        <v>7.0000000000000007E-2</v>
      </c>
      <c r="D21" s="20"/>
      <c r="E21" s="18">
        <f>C16*C21</f>
        <v>1680.0000000000002</v>
      </c>
      <c r="F21" s="17"/>
      <c r="G21" s="17" t="s">
        <v>18</v>
      </c>
      <c r="H21" s="20">
        <v>7.0000000000000007E-2</v>
      </c>
      <c r="I21" s="18">
        <f>E21</f>
        <v>1680.0000000000002</v>
      </c>
      <c r="J21" s="17"/>
      <c r="M21" s="88" t="s">
        <v>73</v>
      </c>
      <c r="N21" s="123">
        <v>16</v>
      </c>
      <c r="O21" s="84"/>
      <c r="P21" s="79">
        <f>'JULY 21'!V21:V50</f>
        <v>2700</v>
      </c>
      <c r="Q21" s="83"/>
      <c r="R21" s="81"/>
      <c r="S21" s="83"/>
      <c r="T21" s="80">
        <f t="shared" si="3"/>
        <v>2700</v>
      </c>
      <c r="U21" s="80"/>
      <c r="V21" s="80">
        <f t="shared" si="2"/>
        <v>2700</v>
      </c>
      <c r="W21" s="80"/>
      <c r="X21" s="80"/>
      <c r="Y21" s="69"/>
    </row>
    <row r="22" spans="1:26" ht="15.75" x14ac:dyDescent="0.25">
      <c r="A22" s="16" t="s">
        <v>19</v>
      </c>
      <c r="C22" s="18"/>
      <c r="D22" s="18"/>
      <c r="E22" s="16"/>
      <c r="F22" s="16"/>
      <c r="G22" s="16" t="s">
        <v>19</v>
      </c>
      <c r="H22" s="21"/>
      <c r="I22" s="16"/>
      <c r="J22" s="16"/>
      <c r="M22" s="88" t="s">
        <v>40</v>
      </c>
      <c r="N22" s="77">
        <v>17</v>
      </c>
      <c r="O22" s="78"/>
      <c r="P22" s="79">
        <f>'JULY 21'!V22:V51</f>
        <v>0</v>
      </c>
      <c r="Q22" s="83"/>
      <c r="R22" s="81"/>
      <c r="S22" s="83"/>
      <c r="T22" s="80">
        <f t="shared" si="3"/>
        <v>0</v>
      </c>
      <c r="U22" s="80"/>
      <c r="V22" s="80">
        <f t="shared" si="2"/>
        <v>0</v>
      </c>
      <c r="W22" s="80"/>
      <c r="X22" s="80"/>
      <c r="Y22" s="69"/>
    </row>
    <row r="23" spans="1:26" ht="15.75" x14ac:dyDescent="0.25">
      <c r="A23" s="22"/>
      <c r="B23" s="20"/>
      <c r="C23" s="17"/>
      <c r="D23" s="17"/>
      <c r="E23" s="17"/>
      <c r="F23" s="17"/>
      <c r="G23" s="22"/>
      <c r="H23" s="20"/>
      <c r="I23" s="17"/>
      <c r="J23" s="17"/>
      <c r="K23" s="17"/>
      <c r="M23" s="82" t="s">
        <v>114</v>
      </c>
      <c r="N23" s="77">
        <v>18</v>
      </c>
      <c r="O23" s="78"/>
      <c r="P23" s="79">
        <f>'JULY 21'!V23:V52</f>
        <v>0</v>
      </c>
      <c r="Q23" s="83">
        <v>4500</v>
      </c>
      <c r="R23" s="81">
        <v>350</v>
      </c>
      <c r="S23" s="83">
        <v>200</v>
      </c>
      <c r="T23" s="80">
        <f t="shared" si="3"/>
        <v>5050</v>
      </c>
      <c r="U23" s="80">
        <v>5050</v>
      </c>
      <c r="V23" s="80">
        <f t="shared" si="2"/>
        <v>0</v>
      </c>
      <c r="W23" s="80"/>
      <c r="X23" s="80"/>
      <c r="Y23" s="69"/>
    </row>
    <row r="24" spans="1:26" ht="15.75" x14ac:dyDescent="0.25">
      <c r="A24" s="23" t="s">
        <v>165</v>
      </c>
      <c r="B24" s="23"/>
      <c r="C24" s="17"/>
      <c r="D24" s="17"/>
      <c r="E24" s="17">
        <v>23573</v>
      </c>
      <c r="F24" s="17"/>
      <c r="G24" s="23" t="s">
        <v>165</v>
      </c>
      <c r="H24" s="23"/>
      <c r="I24" s="17">
        <v>23573</v>
      </c>
      <c r="J24" s="17"/>
      <c r="K24" s="17"/>
      <c r="M24" s="76" t="s">
        <v>76</v>
      </c>
      <c r="N24" s="77">
        <v>19</v>
      </c>
      <c r="O24" s="78"/>
      <c r="P24" s="79">
        <f>'JULY 21'!V24:V53</f>
        <v>0</v>
      </c>
      <c r="Q24" s="83">
        <v>2500</v>
      </c>
      <c r="R24" s="81">
        <v>320</v>
      </c>
      <c r="S24" s="83">
        <v>200</v>
      </c>
      <c r="T24" s="80">
        <f t="shared" si="3"/>
        <v>3020</v>
      </c>
      <c r="U24" s="80">
        <v>3020</v>
      </c>
      <c r="V24" s="80">
        <f t="shared" si="2"/>
        <v>0</v>
      </c>
      <c r="W24" s="80"/>
      <c r="X24" s="80"/>
      <c r="Y24" s="69"/>
    </row>
    <row r="25" spans="1:26" ht="15.75" x14ac:dyDescent="0.25">
      <c r="A25" s="23"/>
      <c r="B25" s="23"/>
      <c r="C25" s="17"/>
      <c r="D25" s="17"/>
      <c r="E25" s="17"/>
      <c r="F25" s="17"/>
      <c r="G25" s="23"/>
      <c r="H25" s="23"/>
      <c r="I25" s="17"/>
      <c r="J25" s="17"/>
      <c r="K25" s="17"/>
      <c r="M25" s="76" t="s">
        <v>81</v>
      </c>
      <c r="N25" s="77">
        <v>20</v>
      </c>
      <c r="O25" s="78"/>
      <c r="P25" s="79">
        <f>'JULY 21'!V25:V54</f>
        <v>0</v>
      </c>
      <c r="Q25" s="83">
        <v>2500</v>
      </c>
      <c r="R25" s="81">
        <v>320</v>
      </c>
      <c r="S25" s="83"/>
      <c r="T25" s="80">
        <f t="shared" si="3"/>
        <v>2820</v>
      </c>
      <c r="U25" s="80">
        <v>2820</v>
      </c>
      <c r="V25" s="80">
        <f t="shared" si="2"/>
        <v>0</v>
      </c>
      <c r="W25" s="80"/>
      <c r="X25" s="80"/>
      <c r="Y25" s="69"/>
    </row>
    <row r="26" spans="1:26" ht="15.75" x14ac:dyDescent="0.25">
      <c r="A26" s="23"/>
      <c r="B26" s="23"/>
      <c r="C26" s="17"/>
      <c r="D26" s="17"/>
      <c r="E26" s="17"/>
      <c r="F26" s="17"/>
      <c r="G26" s="23"/>
      <c r="H26" s="23"/>
      <c r="I26" s="17"/>
      <c r="J26" s="17"/>
      <c r="M26" s="76" t="s">
        <v>78</v>
      </c>
      <c r="N26" s="77">
        <v>21</v>
      </c>
      <c r="O26" s="78"/>
      <c r="P26" s="79">
        <f>'JULY 21'!V26:V55</f>
        <v>0</v>
      </c>
      <c r="Q26" s="83">
        <v>2500</v>
      </c>
      <c r="R26" s="81">
        <v>320</v>
      </c>
      <c r="S26" s="83">
        <v>200</v>
      </c>
      <c r="T26" s="80">
        <f t="shared" si="3"/>
        <v>3020</v>
      </c>
      <c r="U26" s="80">
        <v>3020</v>
      </c>
      <c r="V26" s="80">
        <f t="shared" si="2"/>
        <v>0</v>
      </c>
      <c r="W26" s="80"/>
      <c r="X26" s="80"/>
      <c r="Y26" s="87"/>
    </row>
    <row r="27" spans="1:26" ht="15.75" x14ac:dyDescent="0.25">
      <c r="A27" s="24"/>
      <c r="B27" s="24"/>
      <c r="C27" s="17"/>
      <c r="D27" s="17"/>
      <c r="E27" s="17"/>
      <c r="F27" s="17"/>
      <c r="H27" s="23"/>
      <c r="I27" s="25"/>
      <c r="J27" s="17"/>
      <c r="M27" s="76" t="s">
        <v>79</v>
      </c>
      <c r="N27" s="77">
        <v>22</v>
      </c>
      <c r="O27" s="78"/>
      <c r="P27" s="79">
        <f>'JULY 21'!V27:V56</f>
        <v>150</v>
      </c>
      <c r="Q27" s="83">
        <v>4500</v>
      </c>
      <c r="R27" s="81">
        <v>350</v>
      </c>
      <c r="S27" s="83">
        <v>200</v>
      </c>
      <c r="T27" s="80">
        <f t="shared" si="3"/>
        <v>5200</v>
      </c>
      <c r="U27" s="80">
        <f>3000+2050</f>
        <v>5050</v>
      </c>
      <c r="V27" s="80">
        <f t="shared" si="2"/>
        <v>150</v>
      </c>
      <c r="W27" s="80"/>
      <c r="X27" s="80"/>
      <c r="Y27" s="69"/>
    </row>
    <row r="28" spans="1:26" ht="15.75" x14ac:dyDescent="0.25">
      <c r="A28" s="23"/>
      <c r="B28" s="23"/>
      <c r="C28" s="17"/>
      <c r="D28" s="17"/>
      <c r="E28" s="25"/>
      <c r="F28" s="17"/>
      <c r="G28" s="17"/>
      <c r="H28" s="17"/>
      <c r="I28" s="17"/>
      <c r="J28" s="17"/>
      <c r="M28" s="88" t="s">
        <v>40</v>
      </c>
      <c r="N28" s="77">
        <v>23</v>
      </c>
      <c r="O28" s="78"/>
      <c r="P28" s="79">
        <f>'JULY 21'!V28:V57</f>
        <v>0</v>
      </c>
      <c r="Q28" s="83"/>
      <c r="R28" s="81"/>
      <c r="S28" s="83"/>
      <c r="T28" s="80">
        <f t="shared" si="3"/>
        <v>0</v>
      </c>
      <c r="U28" s="80"/>
      <c r="V28" s="80">
        <f t="shared" si="2"/>
        <v>0</v>
      </c>
      <c r="W28" s="80"/>
      <c r="X28" s="80"/>
      <c r="Y28" s="69"/>
    </row>
    <row r="29" spans="1:26" ht="15.75" x14ac:dyDescent="0.25">
      <c r="A29" s="16" t="s">
        <v>20</v>
      </c>
      <c r="B29" s="16"/>
      <c r="C29" s="21">
        <f>C16+C17+C18+C19+C20-E21</f>
        <v>23973</v>
      </c>
      <c r="D29" s="21"/>
      <c r="E29" s="21">
        <f>SUM(E23:E28)</f>
        <v>23573</v>
      </c>
      <c r="F29" s="21">
        <f>C29-E29</f>
        <v>400</v>
      </c>
      <c r="G29" s="16" t="s">
        <v>20</v>
      </c>
      <c r="H29" s="21">
        <f>H16+H17-I21</f>
        <v>23573</v>
      </c>
      <c r="I29" s="21">
        <f>SUM(I23:I28)</f>
        <v>23573</v>
      </c>
      <c r="J29" s="21">
        <f>H29-I29</f>
        <v>0</v>
      </c>
      <c r="M29" s="76" t="s">
        <v>80</v>
      </c>
      <c r="N29" s="77">
        <v>24</v>
      </c>
      <c r="O29" s="78"/>
      <c r="P29" s="79">
        <f>'JULY 21'!V29:V58</f>
        <v>0</v>
      </c>
      <c r="Q29" s="83">
        <v>2500</v>
      </c>
      <c r="R29" s="81">
        <v>350</v>
      </c>
      <c r="S29" s="83">
        <v>200</v>
      </c>
      <c r="T29" s="80">
        <f t="shared" si="3"/>
        <v>3050</v>
      </c>
      <c r="U29" s="80">
        <v>3050</v>
      </c>
      <c r="V29" s="80">
        <f t="shared" si="2"/>
        <v>0</v>
      </c>
      <c r="W29" s="80"/>
      <c r="X29" s="80"/>
      <c r="Y29" s="69"/>
    </row>
    <row r="30" spans="1:26" ht="15.75" x14ac:dyDescent="0.25">
      <c r="K30" s="119">
        <f>F29+H17</f>
        <v>3</v>
      </c>
      <c r="M30" s="76" t="s">
        <v>82</v>
      </c>
      <c r="N30" s="77">
        <v>25</v>
      </c>
      <c r="O30" s="78"/>
      <c r="P30" s="79">
        <f>'JULY 21'!V30:V59</f>
        <v>0</v>
      </c>
      <c r="Q30" s="83">
        <v>2700</v>
      </c>
      <c r="R30" s="81">
        <v>320</v>
      </c>
      <c r="S30" s="83">
        <v>200</v>
      </c>
      <c r="T30" s="80">
        <f t="shared" si="3"/>
        <v>3220</v>
      </c>
      <c r="U30" s="80">
        <v>3220</v>
      </c>
      <c r="V30" s="80">
        <f t="shared" si="2"/>
        <v>0</v>
      </c>
      <c r="W30" s="80"/>
      <c r="X30" s="80"/>
      <c r="Y30" s="69"/>
    </row>
    <row r="31" spans="1:26" ht="15.75" x14ac:dyDescent="0.25">
      <c r="A31" t="s">
        <v>21</v>
      </c>
      <c r="E31" t="s">
        <v>22</v>
      </c>
      <c r="H31" t="s">
        <v>23</v>
      </c>
      <c r="M31" s="76" t="s">
        <v>83</v>
      </c>
      <c r="N31" s="77">
        <v>26</v>
      </c>
      <c r="O31" s="78"/>
      <c r="P31" s="79">
        <f>'JULY 21'!V31:V60</f>
        <v>558</v>
      </c>
      <c r="Q31" s="83">
        <v>4500</v>
      </c>
      <c r="R31" s="81">
        <v>350</v>
      </c>
      <c r="S31" s="83">
        <v>200</v>
      </c>
      <c r="T31" s="80">
        <f t="shared" si="3"/>
        <v>5608</v>
      </c>
      <c r="U31" s="80">
        <v>5050</v>
      </c>
      <c r="V31" s="80">
        <f t="shared" si="2"/>
        <v>558</v>
      </c>
      <c r="W31" s="80"/>
      <c r="X31" s="80"/>
      <c r="Y31" s="69"/>
    </row>
    <row r="32" spans="1:26" ht="15.75" x14ac:dyDescent="0.25">
      <c r="M32" s="76" t="s">
        <v>84</v>
      </c>
      <c r="N32" s="77">
        <v>27</v>
      </c>
      <c r="O32" s="78"/>
      <c r="P32" s="79">
        <f>'JULY 21'!V32:V61</f>
        <v>3180</v>
      </c>
      <c r="Q32" s="83">
        <v>4500</v>
      </c>
      <c r="R32" s="81">
        <v>320</v>
      </c>
      <c r="S32" s="83">
        <v>200</v>
      </c>
      <c r="T32" s="80">
        <f t="shared" si="3"/>
        <v>8200</v>
      </c>
      <c r="U32" s="80">
        <f>3000+4000</f>
        <v>7000</v>
      </c>
      <c r="V32" s="80">
        <f t="shared" si="2"/>
        <v>1200</v>
      </c>
      <c r="W32" s="80"/>
      <c r="X32" s="69"/>
      <c r="Y32" s="69"/>
    </row>
    <row r="33" spans="1:26" ht="15.75" x14ac:dyDescent="0.25">
      <c r="A33" t="s">
        <v>24</v>
      </c>
      <c r="E33" t="s">
        <v>25</v>
      </c>
      <c r="H33" t="s">
        <v>34</v>
      </c>
      <c r="M33" s="88" t="s">
        <v>40</v>
      </c>
      <c r="N33" s="77">
        <v>28</v>
      </c>
      <c r="O33" s="78"/>
      <c r="P33" s="79">
        <f>'JULY 21'!V33:V62</f>
        <v>0</v>
      </c>
      <c r="Q33" s="83"/>
      <c r="R33" s="81"/>
      <c r="S33" s="83"/>
      <c r="T33" s="80">
        <f>P33+Q33+R33+S33+O33</f>
        <v>0</v>
      </c>
      <c r="U33" s="80"/>
      <c r="V33" s="80">
        <f t="shared" si="2"/>
        <v>0</v>
      </c>
      <c r="W33" s="80"/>
      <c r="X33" s="80"/>
      <c r="Y33" s="69"/>
    </row>
    <row r="34" spans="1:26" ht="15.75" x14ac:dyDescent="0.25">
      <c r="M34" s="76" t="s">
        <v>85</v>
      </c>
      <c r="N34" s="77">
        <v>29</v>
      </c>
      <c r="O34" s="78"/>
      <c r="P34" s="79">
        <f>'JULY 21'!V34:V63</f>
        <v>1020</v>
      </c>
      <c r="Q34" s="83">
        <v>4500</v>
      </c>
      <c r="R34" s="81">
        <f>350</f>
        <v>350</v>
      </c>
      <c r="S34" s="83">
        <v>200</v>
      </c>
      <c r="T34" s="80">
        <f t="shared" si="3"/>
        <v>6070</v>
      </c>
      <c r="U34" s="80">
        <f>3550</f>
        <v>3550</v>
      </c>
      <c r="V34" s="80">
        <f t="shared" si="2"/>
        <v>2520</v>
      </c>
      <c r="W34" s="80"/>
      <c r="X34" s="80"/>
      <c r="Y34" s="69"/>
    </row>
    <row r="35" spans="1:26" ht="15.75" x14ac:dyDescent="0.25">
      <c r="M35" s="76"/>
      <c r="N35" s="77"/>
      <c r="O35" s="78"/>
      <c r="P35" s="79">
        <f>'JULY 21'!V35:V64</f>
        <v>0</v>
      </c>
      <c r="Q35" s="83"/>
      <c r="R35" s="81"/>
      <c r="S35" s="83"/>
      <c r="T35" s="80">
        <f t="shared" si="3"/>
        <v>0</v>
      </c>
      <c r="U35" s="80"/>
      <c r="V35" s="80">
        <f t="shared" si="2"/>
        <v>0</v>
      </c>
      <c r="W35" s="80"/>
      <c r="X35" s="80"/>
      <c r="Y35" s="69"/>
    </row>
    <row r="36" spans="1:26" ht="15.75" x14ac:dyDescent="0.25">
      <c r="C36" s="119"/>
      <c r="E36" s="119"/>
      <c r="M36" s="76"/>
      <c r="N36" s="77" t="s">
        <v>86</v>
      </c>
      <c r="O36" s="78"/>
      <c r="P36" s="79">
        <f>'JULY 21'!V36:V65</f>
        <v>0</v>
      </c>
      <c r="Q36" s="83"/>
      <c r="R36" s="81"/>
      <c r="S36" s="83"/>
      <c r="T36" s="80">
        <f t="shared" si="3"/>
        <v>0</v>
      </c>
      <c r="U36" s="80"/>
      <c r="V36" s="80">
        <f t="shared" si="2"/>
        <v>0</v>
      </c>
      <c r="W36" s="80"/>
      <c r="X36" s="80"/>
      <c r="Y36" s="69"/>
    </row>
    <row r="37" spans="1:26" ht="15.75" x14ac:dyDescent="0.25">
      <c r="C37" s="119"/>
      <c r="E37" s="119"/>
      <c r="I37" s="119">
        <f>F29-400</f>
        <v>0</v>
      </c>
      <c r="M37" s="76" t="s">
        <v>93</v>
      </c>
      <c r="N37" s="77" t="s">
        <v>87</v>
      </c>
      <c r="O37" s="78"/>
      <c r="P37" s="79">
        <f>'JULY 21'!V37:V66</f>
        <v>0</v>
      </c>
      <c r="Q37" s="83">
        <v>7000</v>
      </c>
      <c r="R37" s="81"/>
      <c r="S37" s="83"/>
      <c r="T37" s="80">
        <f t="shared" si="3"/>
        <v>7000</v>
      </c>
      <c r="U37" s="80">
        <v>7000</v>
      </c>
      <c r="V37" s="80">
        <f t="shared" si="2"/>
        <v>0</v>
      </c>
      <c r="W37" s="80"/>
      <c r="X37" s="80"/>
      <c r="Y37" s="69"/>
    </row>
    <row r="38" spans="1:26" ht="15.75" x14ac:dyDescent="0.25">
      <c r="C38" s="119"/>
      <c r="E38" s="119"/>
      <c r="M38" s="76" t="s">
        <v>92</v>
      </c>
      <c r="N38" s="77" t="s">
        <v>88</v>
      </c>
      <c r="O38" s="78"/>
      <c r="P38" s="79">
        <f>'JULY 21'!V38:V67</f>
        <v>0</v>
      </c>
      <c r="Q38" s="83">
        <v>7000</v>
      </c>
      <c r="R38" s="81"/>
      <c r="S38" s="83"/>
      <c r="T38" s="80">
        <f>P38+Q38+R38+S38+O38</f>
        <v>7000</v>
      </c>
      <c r="U38" s="80">
        <v>7000</v>
      </c>
      <c r="V38" s="80">
        <f t="shared" si="2"/>
        <v>0</v>
      </c>
      <c r="W38" s="80"/>
      <c r="X38" s="80"/>
      <c r="Y38" s="69"/>
    </row>
    <row r="39" spans="1:26" ht="15.75" x14ac:dyDescent="0.25">
      <c r="M39" s="90" t="s">
        <v>51</v>
      </c>
      <c r="N39" s="76"/>
      <c r="O39" s="78">
        <f t="shared" ref="O39:X39" si="5">SUM(O6:O38)</f>
        <v>0</v>
      </c>
      <c r="P39" s="79">
        <f>SUM(P6:P38)</f>
        <v>15288</v>
      </c>
      <c r="Q39" s="91">
        <f>SUM(Q6:Q38)</f>
        <v>83400</v>
      </c>
      <c r="R39" s="92">
        <f t="shared" si="5"/>
        <v>7520</v>
      </c>
      <c r="S39" s="93">
        <f t="shared" si="5"/>
        <v>4200</v>
      </c>
      <c r="T39" s="80">
        <f>SUM(T6:T38)</f>
        <v>110408</v>
      </c>
      <c r="U39" s="80">
        <f>SUM(U6:U38)</f>
        <v>92100</v>
      </c>
      <c r="V39" s="80">
        <f t="shared" si="5"/>
        <v>18308</v>
      </c>
      <c r="W39" s="80">
        <f>SUM(W6:W38)</f>
        <v>0</v>
      </c>
      <c r="X39" s="80">
        <f t="shared" si="5"/>
        <v>0</v>
      </c>
      <c r="Y39" s="69"/>
    </row>
    <row r="40" spans="1:26" ht="15.75" x14ac:dyDescent="0.25">
      <c r="M40" s="94" t="s">
        <v>12</v>
      </c>
      <c r="N40" s="94"/>
      <c r="O40" s="94"/>
      <c r="P40" s="79">
        <f>'JULY 21'!V40:V69</f>
        <v>0</v>
      </c>
      <c r="Q40" s="118">
        <f>Q39-Q38-Q37</f>
        <v>69400</v>
      </c>
      <c r="R40" s="94" t="s">
        <v>8</v>
      </c>
      <c r="S40" s="94"/>
      <c r="T40" s="94"/>
      <c r="U40" s="70"/>
      <c r="V40" s="70"/>
      <c r="W40" s="70"/>
      <c r="X40" s="71"/>
      <c r="Y40" s="69"/>
      <c r="Z40">
        <f>AA37</f>
        <v>0</v>
      </c>
    </row>
    <row r="41" spans="1:26" ht="15.75" x14ac:dyDescent="0.25"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  <c r="Y41" s="69"/>
    </row>
    <row r="42" spans="1:26" ht="15.75" x14ac:dyDescent="0.25">
      <c r="M42" s="76" t="s">
        <v>159</v>
      </c>
      <c r="N42" s="98">
        <f>Q39</f>
        <v>83400</v>
      </c>
      <c r="O42" s="76"/>
      <c r="P42" s="76"/>
      <c r="Q42" s="76"/>
      <c r="R42" s="76" t="s">
        <v>159</v>
      </c>
      <c r="S42" s="76"/>
      <c r="T42" s="99">
        <f>U39</f>
        <v>92100</v>
      </c>
      <c r="U42" s="76"/>
      <c r="V42" s="76"/>
      <c r="W42" s="76"/>
      <c r="X42" s="100"/>
      <c r="Y42" s="69"/>
    </row>
    <row r="43" spans="1:26" ht="15.75" x14ac:dyDescent="0.25">
      <c r="I43" s="119"/>
      <c r="M43" s="76" t="s">
        <v>5</v>
      </c>
      <c r="N43" s="98">
        <f>'JULY 21'!P58</f>
        <v>1719.5</v>
      </c>
      <c r="O43" s="76"/>
      <c r="P43" s="76"/>
      <c r="Q43" s="76"/>
      <c r="R43" s="76" t="s">
        <v>5</v>
      </c>
      <c r="S43" s="76"/>
      <c r="T43" s="98">
        <f>'JULY 21'!V58</f>
        <v>-10190.5</v>
      </c>
      <c r="U43" s="76"/>
      <c r="V43" s="76"/>
      <c r="W43" s="76"/>
      <c r="X43" s="100"/>
      <c r="Y43" s="69"/>
    </row>
    <row r="44" spans="1:26" ht="15.75" x14ac:dyDescent="0.25">
      <c r="M44" s="76" t="s">
        <v>4</v>
      </c>
      <c r="N44" s="98">
        <f>O39</f>
        <v>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  <c r="Y44" s="69"/>
    </row>
    <row r="45" spans="1:26" ht="15.75" x14ac:dyDescent="0.25">
      <c r="M45" s="76" t="s">
        <v>41</v>
      </c>
      <c r="N45" s="98">
        <f>R39</f>
        <v>7520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  <c r="Y45" s="69"/>
    </row>
    <row r="46" spans="1:26" ht="15.75" x14ac:dyDescent="0.25">
      <c r="M46" s="76" t="s">
        <v>53</v>
      </c>
      <c r="N46" s="98">
        <f>W39</f>
        <v>0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  <c r="Y46" s="69"/>
    </row>
    <row r="47" spans="1:26" ht="15.75" x14ac:dyDescent="0.25">
      <c r="M47" s="76" t="s">
        <v>42</v>
      </c>
      <c r="N47" s="98">
        <f>S39</f>
        <v>4200</v>
      </c>
      <c r="O47" s="76"/>
      <c r="P47" s="76"/>
      <c r="Q47" s="76"/>
      <c r="R47" s="76" t="s">
        <v>126</v>
      </c>
      <c r="S47" s="76"/>
      <c r="T47" s="99">
        <f>X39</f>
        <v>0</v>
      </c>
      <c r="U47" s="76"/>
      <c r="V47" s="76"/>
      <c r="W47" s="76"/>
      <c r="X47" s="100"/>
      <c r="Y47" s="69"/>
    </row>
    <row r="48" spans="1:26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  <c r="Y48" s="69"/>
    </row>
    <row r="49" spans="13:25" ht="15.75" x14ac:dyDescent="0.25">
      <c r="M49" s="76" t="s">
        <v>126</v>
      </c>
      <c r="N49" s="99">
        <f>X39</f>
        <v>0</v>
      </c>
      <c r="O49" s="98"/>
      <c r="P49" s="76"/>
      <c r="Q49" s="76"/>
      <c r="R49" s="76"/>
      <c r="S49" s="76"/>
      <c r="T49" s="76"/>
      <c r="U49" s="98"/>
      <c r="V49" s="98"/>
      <c r="W49" s="98"/>
      <c r="X49" s="101"/>
      <c r="Y49" s="69"/>
    </row>
    <row r="50" spans="13:25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  <c r="Y50" s="69"/>
    </row>
    <row r="51" spans="13:25" ht="15.75" x14ac:dyDescent="0.25">
      <c r="M51" s="102" t="s">
        <v>55</v>
      </c>
      <c r="N51" s="103">
        <v>7.0000000000000007E-2</v>
      </c>
      <c r="O51" s="99">
        <f>N51*Q40</f>
        <v>4858.0000000000009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T51*Q40</f>
        <v>4858.0000000000009</v>
      </c>
      <c r="V51" s="76"/>
      <c r="W51" s="76"/>
      <c r="X51" s="100"/>
      <c r="Y51" s="69"/>
    </row>
    <row r="52" spans="13:25" ht="15.75" x14ac:dyDescent="0.25">
      <c r="M52" s="104" t="s">
        <v>128</v>
      </c>
      <c r="N52" s="105">
        <v>0.3</v>
      </c>
      <c r="O52" s="69">
        <f>N52*O7+(N52*O125)+(N52*O22)</f>
        <v>0</v>
      </c>
      <c r="P52" s="99"/>
      <c r="Q52" s="99"/>
      <c r="R52" s="104"/>
      <c r="S52" s="103"/>
      <c r="T52" s="122"/>
      <c r="U52" s="122"/>
      <c r="V52" s="122"/>
      <c r="W52" s="99"/>
      <c r="X52" s="106"/>
      <c r="Y52" s="87"/>
    </row>
    <row r="53" spans="13:25" ht="15.75" x14ac:dyDescent="0.25">
      <c r="M53" s="104" t="s">
        <v>161</v>
      </c>
      <c r="N53" s="103"/>
      <c r="O53" s="122">
        <v>15132</v>
      </c>
      <c r="P53" s="99"/>
      <c r="Q53" s="99"/>
      <c r="R53" s="104" t="s">
        <v>161</v>
      </c>
      <c r="S53" s="103"/>
      <c r="T53" s="122"/>
      <c r="U53" s="122">
        <v>15132</v>
      </c>
      <c r="V53" s="122"/>
      <c r="W53" s="99"/>
      <c r="X53" s="106"/>
      <c r="Y53" s="87"/>
    </row>
    <row r="54" spans="13:25" ht="15.75" x14ac:dyDescent="0.25">
      <c r="M54" s="104" t="s">
        <v>162</v>
      </c>
      <c r="N54" s="103"/>
      <c r="O54" s="122">
        <v>25205</v>
      </c>
      <c r="P54" s="99"/>
      <c r="Q54" s="99"/>
      <c r="R54" s="104" t="s">
        <v>162</v>
      </c>
      <c r="S54" s="103"/>
      <c r="T54" s="122"/>
      <c r="U54" s="122">
        <f>O54</f>
        <v>25205</v>
      </c>
      <c r="V54" s="122"/>
      <c r="W54" s="99"/>
      <c r="X54" s="106"/>
      <c r="Y54" s="87"/>
    </row>
    <row r="55" spans="13:25" ht="15.75" x14ac:dyDescent="0.25">
      <c r="M55" s="104" t="s">
        <v>163</v>
      </c>
      <c r="N55" s="103"/>
      <c r="O55" s="122">
        <v>4000</v>
      </c>
      <c r="P55" s="99"/>
      <c r="Q55" s="99"/>
      <c r="R55" s="104" t="s">
        <v>163</v>
      </c>
      <c r="S55" s="103"/>
      <c r="T55" s="122"/>
      <c r="U55" s="122">
        <v>4000</v>
      </c>
      <c r="V55" s="76"/>
      <c r="W55" s="76"/>
      <c r="X55" s="100"/>
      <c r="Y55" s="69"/>
    </row>
    <row r="56" spans="13:25" ht="15.75" x14ac:dyDescent="0.25">
      <c r="M56" s="104" t="s">
        <v>164</v>
      </c>
      <c r="N56" s="103"/>
      <c r="O56" s="99">
        <v>4500</v>
      </c>
      <c r="P56" s="76"/>
      <c r="Q56" s="76"/>
      <c r="R56" s="104" t="s">
        <v>164</v>
      </c>
      <c r="S56" s="103"/>
      <c r="T56" s="99"/>
      <c r="U56" s="99">
        <v>4500</v>
      </c>
      <c r="V56" s="76"/>
      <c r="W56" s="76"/>
      <c r="X56" s="100"/>
      <c r="Y56" s="87"/>
    </row>
    <row r="57" spans="13:25" ht="15.75" x14ac:dyDescent="0.25">
      <c r="M57" s="108" t="s">
        <v>165</v>
      </c>
      <c r="N57" s="76"/>
      <c r="O57" s="99">
        <v>43145</v>
      </c>
      <c r="P57" s="76"/>
      <c r="Q57" s="76"/>
      <c r="R57" s="108" t="s">
        <v>165</v>
      </c>
      <c r="S57" s="76"/>
      <c r="T57" s="99"/>
      <c r="U57" s="99">
        <v>43145</v>
      </c>
      <c r="V57" s="76"/>
      <c r="W57" s="76"/>
      <c r="X57" s="100"/>
      <c r="Y57" s="87"/>
    </row>
    <row r="58" spans="13:25" ht="15.75" x14ac:dyDescent="0.25">
      <c r="M58" s="108" t="s">
        <v>166</v>
      </c>
      <c r="N58" s="76"/>
      <c r="O58" s="99">
        <v>3050</v>
      </c>
      <c r="P58" s="76"/>
      <c r="Q58" s="76"/>
      <c r="R58" s="108" t="s">
        <v>166</v>
      </c>
      <c r="S58" s="76"/>
      <c r="T58" s="99"/>
      <c r="U58" s="99">
        <v>3050</v>
      </c>
      <c r="V58" s="76"/>
      <c r="W58" s="76"/>
      <c r="X58" s="100"/>
      <c r="Y58" s="87"/>
    </row>
    <row r="59" spans="13:25" ht="15.75" x14ac:dyDescent="0.25">
      <c r="M59" s="108"/>
      <c r="N59" s="76"/>
      <c r="O59" s="99"/>
      <c r="P59" s="76"/>
      <c r="Q59" s="76"/>
      <c r="R59" s="108"/>
      <c r="S59" s="76"/>
      <c r="T59" s="99"/>
      <c r="U59" s="99"/>
      <c r="V59" s="76"/>
      <c r="W59" s="76"/>
      <c r="X59" s="100"/>
      <c r="Y59" s="87"/>
    </row>
    <row r="60" spans="13:25" ht="15.75" x14ac:dyDescent="0.25">
      <c r="M60" s="108"/>
      <c r="N60" s="76"/>
      <c r="O60" s="99"/>
      <c r="P60" s="76"/>
      <c r="Q60" s="76"/>
      <c r="R60" s="108"/>
      <c r="S60" s="76"/>
      <c r="T60" s="99"/>
      <c r="U60" s="99"/>
      <c r="V60" s="99"/>
      <c r="W60" s="99"/>
      <c r="X60" s="106"/>
      <c r="Y60" s="87"/>
    </row>
    <row r="61" spans="13:25" ht="15.75" x14ac:dyDescent="0.25">
      <c r="M61" s="90" t="s">
        <v>20</v>
      </c>
      <c r="N61" s="109">
        <f>N42+N43+N44+N45+N46+N47+N49+N48</f>
        <v>96839.5</v>
      </c>
      <c r="O61" s="109">
        <f>SUM(O51:O60)</f>
        <v>99890</v>
      </c>
      <c r="P61" s="125">
        <f>N61-O61</f>
        <v>-3050.5</v>
      </c>
      <c r="Q61" s="109"/>
      <c r="R61" s="90"/>
      <c r="S61" s="90"/>
      <c r="T61" s="109">
        <f>T42+T43+T45+T47+T48</f>
        <v>81909.5</v>
      </c>
      <c r="U61" s="109">
        <f>SUM(U51:U60)</f>
        <v>99890</v>
      </c>
      <c r="V61" s="109">
        <f>T61-U61</f>
        <v>-17980.5</v>
      </c>
      <c r="W61" s="109"/>
      <c r="X61" s="110"/>
      <c r="Y61" s="69"/>
    </row>
    <row r="62" spans="13:25" ht="15.75" x14ac:dyDescent="0.25">
      <c r="M62" s="70"/>
      <c r="N62" s="70"/>
      <c r="O62" s="70"/>
      <c r="P62" s="70"/>
      <c r="Q62" s="70"/>
      <c r="R62" s="70"/>
      <c r="S62" s="70"/>
      <c r="T62" s="70"/>
      <c r="U62" s="111">
        <f>U61-U51</f>
        <v>95032</v>
      </c>
      <c r="V62" s="70"/>
      <c r="W62" s="70"/>
      <c r="X62" s="71"/>
      <c r="Y62" s="69"/>
    </row>
    <row r="63" spans="13:25" ht="15.75" x14ac:dyDescent="0.25">
      <c r="M63" s="112" t="s">
        <v>56</v>
      </c>
      <c r="N63" s="113"/>
      <c r="O63" s="113" t="s">
        <v>22</v>
      </c>
      <c r="P63" s="114"/>
      <c r="Q63" s="114"/>
      <c r="R63" s="112"/>
      <c r="S63" s="112"/>
      <c r="T63" s="112" t="s">
        <v>57</v>
      </c>
      <c r="U63" s="70"/>
      <c r="V63" s="70"/>
      <c r="W63" s="70"/>
      <c r="X63" s="71"/>
      <c r="Y63" s="69"/>
    </row>
    <row r="64" spans="13:25" ht="15.75" x14ac:dyDescent="0.25">
      <c r="M64" s="70" t="s">
        <v>24</v>
      </c>
      <c r="N64" s="70"/>
      <c r="O64" s="70" t="s">
        <v>25</v>
      </c>
      <c r="P64" s="70"/>
      <c r="Q64" s="70"/>
      <c r="R64" s="111"/>
      <c r="S64" s="70"/>
      <c r="T64" s="70" t="s">
        <v>34</v>
      </c>
      <c r="U64" s="70"/>
      <c r="V64" s="70"/>
      <c r="W64" s="111"/>
      <c r="X64" s="71"/>
      <c r="Y64" s="69"/>
    </row>
    <row r="65" spans="13:25" ht="15.75" x14ac:dyDescent="0.25">
      <c r="M65" s="69"/>
      <c r="N65" s="69"/>
      <c r="O65" s="69"/>
      <c r="P65" s="87">
        <f>N42-O51</f>
        <v>78542</v>
      </c>
      <c r="Q65" s="69"/>
      <c r="R65" s="69"/>
      <c r="S65" s="109"/>
      <c r="T65" s="69"/>
      <c r="U65" s="69"/>
      <c r="V65" s="69"/>
      <c r="W65" s="69"/>
      <c r="X65" s="69"/>
      <c r="Y65" s="69"/>
    </row>
    <row r="66" spans="13:25" ht="15.75" x14ac:dyDescent="0.25">
      <c r="M66" s="69"/>
      <c r="N66" s="69"/>
      <c r="O66" s="69"/>
      <c r="P66" s="87">
        <f>P65+N45+N47</f>
        <v>90262</v>
      </c>
      <c r="Q66" s="69"/>
      <c r="R66" s="115"/>
      <c r="T66" s="69"/>
      <c r="U66" s="69"/>
      <c r="V66" s="69"/>
      <c r="W66" s="69"/>
      <c r="X66" s="69"/>
      <c r="Y66" s="69"/>
    </row>
    <row r="67" spans="13:25" ht="15.75" x14ac:dyDescent="0.25">
      <c r="N67">
        <v>83400</v>
      </c>
      <c r="S67" s="69"/>
    </row>
    <row r="68" spans="13:25" x14ac:dyDescent="0.25">
      <c r="N68">
        <v>14000</v>
      </c>
    </row>
    <row r="69" spans="13:25" x14ac:dyDescent="0.25">
      <c r="N69">
        <f>N67-N68</f>
        <v>69400</v>
      </c>
      <c r="R69">
        <f>N69-O72</f>
        <v>64542</v>
      </c>
    </row>
    <row r="70" spans="13:25" x14ac:dyDescent="0.25">
      <c r="R70">
        <v>14000</v>
      </c>
      <c r="T70" s="135"/>
      <c r="V70" t="s">
        <v>193</v>
      </c>
    </row>
    <row r="71" spans="13:25" x14ac:dyDescent="0.25">
      <c r="R71" s="119">
        <f>N45</f>
        <v>7520</v>
      </c>
    </row>
    <row r="72" spans="13:25" x14ac:dyDescent="0.25">
      <c r="O72">
        <f>N69*N51</f>
        <v>4858.0000000000009</v>
      </c>
      <c r="R72" s="119">
        <f>N47</f>
        <v>4200</v>
      </c>
    </row>
    <row r="73" spans="13:25" x14ac:dyDescent="0.25">
      <c r="R73" s="119">
        <f>R69+R70+R71+R72</f>
        <v>90262</v>
      </c>
      <c r="U73" s="125"/>
    </row>
    <row r="74" spans="13:25" x14ac:dyDescent="0.25">
      <c r="R74" s="120">
        <f>R73-O53-O54-O55-O56</f>
        <v>41425</v>
      </c>
    </row>
    <row r="75" spans="13:25" x14ac:dyDescent="0.25">
      <c r="R75" s="119">
        <f>N43</f>
        <v>1719.5</v>
      </c>
    </row>
    <row r="76" spans="13:25" x14ac:dyDescent="0.25">
      <c r="R76" s="120">
        <f>R74+R75</f>
        <v>43144.5</v>
      </c>
      <c r="U76" s="125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G47" sqref="G47"/>
    </sheetView>
  </sheetViews>
  <sheetFormatPr defaultRowHeight="15" x14ac:dyDescent="0.25"/>
  <cols>
    <col min="1" max="1" width="11.140625" customWidth="1"/>
    <col min="2" max="2" width="18.5703125" customWidth="1"/>
    <col min="13" max="13" width="29.28515625" customWidth="1"/>
    <col min="19" max="20" width="11.5703125" customWidth="1"/>
    <col min="22" max="22" width="10.85546875" customWidth="1"/>
  </cols>
  <sheetData>
    <row r="1" spans="1:25" ht="15.75" x14ac:dyDescent="0.25">
      <c r="A1" s="1"/>
      <c r="B1" s="1"/>
      <c r="C1" s="1"/>
      <c r="D1" s="1" t="s">
        <v>29</v>
      </c>
      <c r="E1" s="1"/>
      <c r="F1" s="1"/>
      <c r="G1" s="1"/>
      <c r="H1" s="1"/>
      <c r="I1" s="1"/>
      <c r="J1" s="1"/>
      <c r="M1" s="69"/>
      <c r="N1" s="69"/>
      <c r="O1" s="71"/>
      <c r="P1" s="71"/>
      <c r="Q1" s="71"/>
      <c r="R1" s="71"/>
      <c r="S1" s="71"/>
      <c r="T1" s="69"/>
      <c r="U1" s="71"/>
      <c r="V1" s="71"/>
      <c r="W1" s="71"/>
      <c r="X1" s="71"/>
      <c r="Y1" s="69"/>
    </row>
    <row r="2" spans="1:25" ht="15.75" x14ac:dyDescent="0.25">
      <c r="A2" s="1"/>
      <c r="B2" s="1"/>
      <c r="C2" s="1"/>
      <c r="D2" s="1" t="s">
        <v>0</v>
      </c>
      <c r="E2" s="1"/>
      <c r="F2" s="1"/>
      <c r="G2" s="1"/>
      <c r="H2" s="1"/>
      <c r="I2" s="1"/>
      <c r="J2" s="1"/>
      <c r="M2" s="69"/>
      <c r="N2" s="69"/>
      <c r="O2" s="27"/>
      <c r="P2" s="69"/>
      <c r="Q2" s="27" t="s">
        <v>58</v>
      </c>
      <c r="R2" s="70"/>
      <c r="S2" s="27"/>
      <c r="T2" s="28"/>
      <c r="U2" s="70"/>
      <c r="V2" s="70"/>
      <c r="W2" s="70"/>
      <c r="X2" s="70"/>
      <c r="Y2" s="69"/>
    </row>
    <row r="3" spans="1:25" ht="15.75" x14ac:dyDescent="0.25">
      <c r="A3" s="1"/>
      <c r="B3" s="1"/>
      <c r="C3" s="1"/>
      <c r="D3" s="1" t="s">
        <v>168</v>
      </c>
      <c r="E3" s="1"/>
      <c r="F3" s="1"/>
      <c r="G3" s="1"/>
      <c r="H3" s="1"/>
      <c r="I3" s="1"/>
      <c r="J3" s="1"/>
      <c r="M3" s="70"/>
      <c r="N3" s="27"/>
      <c r="O3" s="27"/>
      <c r="P3" s="27"/>
      <c r="Q3" s="27" t="s">
        <v>0</v>
      </c>
      <c r="R3" s="27"/>
      <c r="S3" s="71"/>
      <c r="T3" s="29"/>
      <c r="U3" s="70"/>
      <c r="V3" s="70"/>
      <c r="W3" s="70"/>
      <c r="X3" s="70"/>
      <c r="Y3" s="69"/>
    </row>
    <row r="4" spans="1:25" ht="15.7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41</v>
      </c>
      <c r="F4" s="2" t="s">
        <v>42</v>
      </c>
      <c r="G4" s="2" t="s">
        <v>6</v>
      </c>
      <c r="H4" s="2" t="s">
        <v>7</v>
      </c>
      <c r="I4" s="2" t="s">
        <v>8</v>
      </c>
      <c r="J4" s="2" t="s">
        <v>9</v>
      </c>
      <c r="M4" s="27"/>
      <c r="N4" s="70"/>
      <c r="O4" s="69"/>
      <c r="P4" s="27" t="s">
        <v>168</v>
      </c>
      <c r="Q4" s="27"/>
      <c r="R4" s="69"/>
      <c r="S4" s="27"/>
      <c r="T4" s="31"/>
      <c r="U4" s="31"/>
      <c r="V4" s="31"/>
      <c r="W4" s="31"/>
      <c r="X4" s="31"/>
      <c r="Y4" s="69"/>
    </row>
    <row r="5" spans="1:25" ht="15.75" x14ac:dyDescent="0.25">
      <c r="A5" s="3">
        <v>1</v>
      </c>
      <c r="B5" s="3" t="s">
        <v>26</v>
      </c>
      <c r="C5" s="3"/>
      <c r="D5" s="3">
        <f>'AUGUST 21'!J5:J10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123</v>
      </c>
      <c r="Y5" s="69"/>
    </row>
    <row r="6" spans="1:25" ht="15.75" x14ac:dyDescent="0.25">
      <c r="A6" s="3">
        <v>2</v>
      </c>
      <c r="B6" s="3" t="s">
        <v>26</v>
      </c>
      <c r="C6" s="3"/>
      <c r="D6" s="3">
        <f>'AUGUST 21'!J6:J11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>
        <f>'AUGUST 21'!V6:V39</f>
        <v>0</v>
      </c>
      <c r="Q6" s="80"/>
      <c r="R6" s="81"/>
      <c r="S6" s="80"/>
      <c r="T6" s="80">
        <f>P6+Q6+R6+S6+O6</f>
        <v>0</v>
      </c>
      <c r="U6" s="80"/>
      <c r="V6" s="80">
        <f t="shared" ref="V6:V38" si="2">T6-U6</f>
        <v>0</v>
      </c>
      <c r="W6" s="80"/>
      <c r="X6" s="80"/>
      <c r="Y6" s="69"/>
    </row>
    <row r="7" spans="1:25" ht="15.75" x14ac:dyDescent="0.25">
      <c r="A7" s="3">
        <v>3</v>
      </c>
      <c r="B7" s="3" t="s">
        <v>155</v>
      </c>
      <c r="C7" s="3"/>
      <c r="D7" s="3">
        <f>'AUGUST 21'!J7:J12</f>
        <v>0</v>
      </c>
      <c r="E7" s="3">
        <v>450</v>
      </c>
      <c r="F7" s="3">
        <v>200</v>
      </c>
      <c r="G7" s="3">
        <v>8000</v>
      </c>
      <c r="H7" s="3">
        <f t="shared" si="0"/>
        <v>8650</v>
      </c>
      <c r="I7" s="3">
        <v>8650</v>
      </c>
      <c r="J7" s="3">
        <f t="shared" si="1"/>
        <v>0</v>
      </c>
      <c r="M7" s="82" t="s">
        <v>115</v>
      </c>
      <c r="N7" s="77">
        <v>2</v>
      </c>
      <c r="O7" s="78"/>
      <c r="P7" s="79">
        <f>'AUGUST 21'!V7:V40</f>
        <v>350</v>
      </c>
      <c r="Q7" s="83">
        <v>2500</v>
      </c>
      <c r="R7" s="81">
        <v>350</v>
      </c>
      <c r="S7" s="83">
        <v>200</v>
      </c>
      <c r="T7" s="80">
        <f t="shared" ref="T7:T37" si="3">P7+Q7+R7+S7+O7</f>
        <v>3400</v>
      </c>
      <c r="U7" s="80">
        <f>3050</f>
        <v>3050</v>
      </c>
      <c r="V7" s="80">
        <f t="shared" si="2"/>
        <v>350</v>
      </c>
      <c r="W7" s="80"/>
      <c r="X7" s="80"/>
      <c r="Y7" s="69"/>
    </row>
    <row r="8" spans="1:25" ht="15.75" x14ac:dyDescent="0.25">
      <c r="A8" s="3">
        <v>4</v>
      </c>
      <c r="B8" s="3"/>
      <c r="C8" s="3"/>
      <c r="D8" s="3">
        <f>'AUGUST 21'!J8:J13</f>
        <v>0</v>
      </c>
      <c r="E8" s="3"/>
      <c r="F8" s="3"/>
      <c r="G8" s="3"/>
      <c r="H8" s="3">
        <f t="shared" si="0"/>
        <v>0</v>
      </c>
      <c r="I8" s="3"/>
      <c r="J8" s="3">
        <f t="shared" si="1"/>
        <v>0</v>
      </c>
      <c r="M8" s="82" t="s">
        <v>60</v>
      </c>
      <c r="N8" s="77">
        <v>3</v>
      </c>
      <c r="O8" s="78"/>
      <c r="P8" s="79">
        <f>'AUGUST 21'!V8:V41</f>
        <v>510</v>
      </c>
      <c r="Q8" s="83">
        <v>2500</v>
      </c>
      <c r="R8" s="81">
        <v>350</v>
      </c>
      <c r="S8" s="83">
        <v>200</v>
      </c>
      <c r="T8" s="80">
        <f t="shared" si="3"/>
        <v>3560</v>
      </c>
      <c r="U8" s="80">
        <f>3050+500</f>
        <v>3550</v>
      </c>
      <c r="V8" s="80">
        <f t="shared" si="2"/>
        <v>10</v>
      </c>
      <c r="W8" s="80"/>
      <c r="X8" s="80"/>
      <c r="Y8" s="69"/>
    </row>
    <row r="9" spans="1:25" ht="15.75" x14ac:dyDescent="0.25">
      <c r="A9" s="3">
        <v>5</v>
      </c>
      <c r="B9" s="3" t="s">
        <v>95</v>
      </c>
      <c r="C9" s="3"/>
      <c r="D9" s="3">
        <f>'AUGUST 21'!J9:J14</f>
        <v>400</v>
      </c>
      <c r="E9" s="3">
        <v>150</v>
      </c>
      <c r="F9" s="3">
        <v>200</v>
      </c>
      <c r="G9" s="3">
        <v>8000</v>
      </c>
      <c r="H9" s="3">
        <f t="shared" si="0"/>
        <v>8750</v>
      </c>
      <c r="I9" s="3">
        <v>8500</v>
      </c>
      <c r="J9" s="3">
        <f t="shared" si="1"/>
        <v>250</v>
      </c>
      <c r="M9" s="76" t="s">
        <v>160</v>
      </c>
      <c r="N9" s="77">
        <v>4</v>
      </c>
      <c r="O9" s="78"/>
      <c r="P9" s="79">
        <f>'AUGUST 21'!V9:V42</f>
        <v>0</v>
      </c>
      <c r="Q9" s="83">
        <v>2500</v>
      </c>
      <c r="R9" s="81">
        <v>350</v>
      </c>
      <c r="S9" s="83">
        <v>200</v>
      </c>
      <c r="T9" s="80">
        <f t="shared" si="3"/>
        <v>3050</v>
      </c>
      <c r="U9" s="80"/>
      <c r="V9" s="80">
        <f t="shared" si="2"/>
        <v>3050</v>
      </c>
      <c r="W9" s="80"/>
      <c r="X9" s="80"/>
      <c r="Y9" s="69"/>
    </row>
    <row r="10" spans="1:25" ht="15.75" x14ac:dyDescent="0.25">
      <c r="A10" s="3">
        <v>6</v>
      </c>
      <c r="B10" s="4" t="s">
        <v>28</v>
      </c>
      <c r="C10" s="4"/>
      <c r="D10" s="3">
        <f>'AUGUST 21'!J10:J15</f>
        <v>250</v>
      </c>
      <c r="E10" s="3">
        <v>450</v>
      </c>
      <c r="F10" s="3">
        <v>200</v>
      </c>
      <c r="G10" s="3">
        <v>8000</v>
      </c>
      <c r="H10" s="3">
        <f t="shared" si="0"/>
        <v>8900</v>
      </c>
      <c r="I10" s="3">
        <v>8650</v>
      </c>
      <c r="J10" s="3">
        <f t="shared" si="1"/>
        <v>250</v>
      </c>
      <c r="M10" s="116" t="s">
        <v>40</v>
      </c>
      <c r="N10" s="77">
        <v>5</v>
      </c>
      <c r="O10" s="78"/>
      <c r="P10" s="79">
        <f>'AUGUST 21'!V10:V43</f>
        <v>0</v>
      </c>
      <c r="Q10" s="83"/>
      <c r="R10" s="81"/>
      <c r="S10" s="83"/>
      <c r="T10" s="80">
        <f t="shared" si="3"/>
        <v>0</v>
      </c>
      <c r="U10" s="80"/>
      <c r="V10" s="80">
        <f t="shared" si="2"/>
        <v>0</v>
      </c>
      <c r="W10" s="80"/>
      <c r="X10" s="80"/>
      <c r="Y10" s="69"/>
    </row>
    <row r="11" spans="1:25" ht="15.75" x14ac:dyDescent="0.25">
      <c r="A11" s="3"/>
      <c r="B11" s="2" t="s">
        <v>10</v>
      </c>
      <c r="C11" s="2">
        <f t="shared" ref="C11:J11" si="4">SUM(C5:C10)</f>
        <v>0</v>
      </c>
      <c r="D11" s="3">
        <f>SUM(D5:D10)</f>
        <v>650</v>
      </c>
      <c r="E11" s="3">
        <f t="shared" si="4"/>
        <v>1050</v>
      </c>
      <c r="F11" s="3">
        <f t="shared" si="4"/>
        <v>600</v>
      </c>
      <c r="G11" s="2">
        <f t="shared" si="4"/>
        <v>24000</v>
      </c>
      <c r="H11" s="3">
        <f t="shared" si="4"/>
        <v>26300</v>
      </c>
      <c r="I11" s="2">
        <f t="shared" si="4"/>
        <v>25800</v>
      </c>
      <c r="J11" s="2">
        <f t="shared" si="4"/>
        <v>500</v>
      </c>
      <c r="M11" s="85" t="s">
        <v>63</v>
      </c>
      <c r="N11" s="77">
        <v>6</v>
      </c>
      <c r="O11" s="78"/>
      <c r="P11" s="79">
        <f>'AUGUST 21'!V11:V44</f>
        <v>0</v>
      </c>
      <c r="Q11" s="83">
        <v>2500</v>
      </c>
      <c r="R11" s="81">
        <v>350</v>
      </c>
      <c r="S11" s="83">
        <v>200</v>
      </c>
      <c r="T11" s="80">
        <f t="shared" si="3"/>
        <v>3050</v>
      </c>
      <c r="U11" s="80">
        <v>3050</v>
      </c>
      <c r="V11" s="80">
        <f t="shared" si="2"/>
        <v>0</v>
      </c>
      <c r="W11" s="80"/>
      <c r="X11" s="80"/>
      <c r="Y11" s="69"/>
    </row>
    <row r="12" spans="1:25" ht="15.75" x14ac:dyDescent="0.25">
      <c r="A12" s="5"/>
      <c r="B12" s="6"/>
      <c r="C12" s="6"/>
      <c r="D12" s="3"/>
      <c r="E12" s="5"/>
      <c r="F12" s="5"/>
      <c r="G12" s="6" t="s">
        <v>10</v>
      </c>
      <c r="H12" s="6"/>
      <c r="I12" s="6"/>
      <c r="J12" s="7"/>
      <c r="M12" s="88" t="s">
        <v>176</v>
      </c>
      <c r="N12" s="77">
        <v>7</v>
      </c>
      <c r="O12" s="78"/>
      <c r="P12" s="79">
        <f>'AUGUST 21'!V12:V45</f>
        <v>0</v>
      </c>
      <c r="Q12" s="83">
        <v>600</v>
      </c>
      <c r="R12" s="81"/>
      <c r="S12" s="83"/>
      <c r="T12" s="80">
        <f>P12+Q12+R12+S12+O12</f>
        <v>600</v>
      </c>
      <c r="U12" s="80">
        <v>600</v>
      </c>
      <c r="V12" s="80">
        <f t="shared" si="2"/>
        <v>0</v>
      </c>
      <c r="W12" s="80"/>
      <c r="X12" s="80"/>
      <c r="Y12" s="69"/>
    </row>
    <row r="13" spans="1:25" ht="15.75" x14ac:dyDescent="0.25">
      <c r="A13" s="8" t="s">
        <v>11</v>
      </c>
      <c r="B13" s="8"/>
      <c r="C13" s="9"/>
      <c r="D13" s="9"/>
      <c r="G13" s="10"/>
      <c r="H13" s="13"/>
      <c r="I13" s="12"/>
      <c r="J13" s="8"/>
      <c r="M13" s="86" t="s">
        <v>124</v>
      </c>
      <c r="N13" s="77">
        <v>8</v>
      </c>
      <c r="O13" s="78"/>
      <c r="P13" s="79">
        <f>'AUGUST 21'!V13:V46</f>
        <v>3300</v>
      </c>
      <c r="Q13" s="83">
        <v>2500</v>
      </c>
      <c r="R13" s="81">
        <v>350</v>
      </c>
      <c r="S13" s="83">
        <v>200</v>
      </c>
      <c r="T13" s="80">
        <f>P13+Q13+R13+S13+O13</f>
        <v>6350</v>
      </c>
      <c r="U13" s="80">
        <f>2500</f>
        <v>2500</v>
      </c>
      <c r="V13" s="80">
        <f t="shared" si="2"/>
        <v>3850</v>
      </c>
      <c r="W13" s="80"/>
      <c r="X13" s="80"/>
      <c r="Y13" s="69"/>
    </row>
    <row r="14" spans="1:25" ht="15.75" x14ac:dyDescent="0.25">
      <c r="A14" s="14" t="s">
        <v>12</v>
      </c>
      <c r="B14" s="14"/>
      <c r="C14" s="14"/>
      <c r="D14" s="14"/>
      <c r="F14" s="14" t="s">
        <v>8</v>
      </c>
      <c r="I14" s="8"/>
      <c r="J14" s="8"/>
      <c r="M14" s="76" t="s">
        <v>122</v>
      </c>
      <c r="N14" s="77">
        <v>9</v>
      </c>
      <c r="O14" s="78"/>
      <c r="P14" s="79">
        <f>'AUGUST 21'!V14:V47</f>
        <v>1550</v>
      </c>
      <c r="Q14" s="83">
        <v>2500</v>
      </c>
      <c r="R14" s="81">
        <v>350</v>
      </c>
      <c r="S14" s="83">
        <v>200</v>
      </c>
      <c r="T14" s="80">
        <f>P14+Q14+R14+S14+O14</f>
        <v>4600</v>
      </c>
      <c r="U14" s="80"/>
      <c r="V14" s="80">
        <f t="shared" si="2"/>
        <v>4600</v>
      </c>
      <c r="W14" s="80"/>
      <c r="X14" s="80"/>
      <c r="Y14" s="69"/>
    </row>
    <row r="15" spans="1:25" ht="15.75" x14ac:dyDescent="0.25">
      <c r="A15" s="16" t="s">
        <v>13</v>
      </c>
      <c r="B15" s="16"/>
      <c r="C15" s="16" t="s">
        <v>14</v>
      </c>
      <c r="D15" s="16"/>
      <c r="E15" s="16" t="s">
        <v>15</v>
      </c>
      <c r="F15" s="16" t="s">
        <v>16</v>
      </c>
      <c r="G15" s="16" t="s">
        <v>13</v>
      </c>
      <c r="H15" s="16" t="s">
        <v>14</v>
      </c>
      <c r="I15" s="16" t="s">
        <v>15</v>
      </c>
      <c r="J15" s="16" t="s">
        <v>16</v>
      </c>
      <c r="M15" s="82" t="s">
        <v>134</v>
      </c>
      <c r="N15" s="77">
        <v>10</v>
      </c>
      <c r="O15" s="78"/>
      <c r="P15" s="79">
        <f>'AUGUST 21'!V15</f>
        <v>100</v>
      </c>
      <c r="Q15" s="83">
        <v>2500</v>
      </c>
      <c r="R15" s="81">
        <v>350</v>
      </c>
      <c r="S15" s="83">
        <v>200</v>
      </c>
      <c r="T15" s="80">
        <f t="shared" si="3"/>
        <v>3150</v>
      </c>
      <c r="U15" s="80">
        <v>3150</v>
      </c>
      <c r="V15" s="80">
        <f t="shared" si="2"/>
        <v>0</v>
      </c>
      <c r="W15" s="80"/>
      <c r="X15" s="80"/>
      <c r="Y15" s="69"/>
    </row>
    <row r="16" spans="1:25" ht="15.75" x14ac:dyDescent="0.25">
      <c r="A16" s="17" t="s">
        <v>167</v>
      </c>
      <c r="B16" s="17"/>
      <c r="C16" s="18">
        <f>G11</f>
        <v>24000</v>
      </c>
      <c r="D16" s="18"/>
      <c r="E16" s="17"/>
      <c r="F16" s="17"/>
      <c r="G16" s="17" t="s">
        <v>167</v>
      </c>
      <c r="H16" s="18">
        <f>I11</f>
        <v>25800</v>
      </c>
      <c r="I16" s="17"/>
      <c r="J16" s="17"/>
      <c r="M16" s="76" t="s">
        <v>61</v>
      </c>
      <c r="N16" s="77">
        <v>11</v>
      </c>
      <c r="O16" s="84"/>
      <c r="P16" s="79">
        <f>'AUGUST 21'!V16:V49</f>
        <v>400</v>
      </c>
      <c r="Q16" s="83">
        <v>4500</v>
      </c>
      <c r="R16" s="81">
        <v>350</v>
      </c>
      <c r="S16" s="83">
        <v>200</v>
      </c>
      <c r="T16" s="80">
        <f t="shared" si="3"/>
        <v>5450</v>
      </c>
      <c r="U16" s="80">
        <f>5050</f>
        <v>5050</v>
      </c>
      <c r="V16" s="80">
        <f t="shared" si="2"/>
        <v>400</v>
      </c>
      <c r="W16" s="80"/>
      <c r="X16" s="80"/>
      <c r="Y16" s="69"/>
    </row>
    <row r="17" spans="1:25" ht="15.75" x14ac:dyDescent="0.25">
      <c r="A17" s="17" t="s">
        <v>5</v>
      </c>
      <c r="B17" s="17"/>
      <c r="C17" s="18">
        <v>0</v>
      </c>
      <c r="D17" s="18"/>
      <c r="E17" s="17"/>
      <c r="F17" s="17"/>
      <c r="G17" s="17" t="s">
        <v>5</v>
      </c>
      <c r="H17" s="18">
        <f>'AUGUST 21'!J29</f>
        <v>0</v>
      </c>
      <c r="I17" s="17"/>
      <c r="J17" s="17"/>
      <c r="M17" s="82" t="s">
        <v>69</v>
      </c>
      <c r="N17" s="77">
        <v>12</v>
      </c>
      <c r="O17" s="84"/>
      <c r="P17" s="79">
        <f>'AUGUST 21'!V17:V50</f>
        <v>3700</v>
      </c>
      <c r="Q17" s="83">
        <v>2500</v>
      </c>
      <c r="R17" s="81">
        <v>350</v>
      </c>
      <c r="S17" s="83">
        <v>200</v>
      </c>
      <c r="T17" s="80">
        <f t="shared" si="3"/>
        <v>6750</v>
      </c>
      <c r="U17" s="80"/>
      <c r="V17" s="80">
        <f t="shared" si="2"/>
        <v>6750</v>
      </c>
      <c r="W17" s="80"/>
      <c r="X17" s="80"/>
      <c r="Y17" s="69"/>
    </row>
    <row r="18" spans="1:25" ht="15.75" x14ac:dyDescent="0.25">
      <c r="A18" s="25" t="s">
        <v>150</v>
      </c>
      <c r="B18" s="3"/>
      <c r="C18" s="3"/>
      <c r="D18" s="3"/>
      <c r="E18" s="3"/>
      <c r="F18" s="3"/>
      <c r="G18" s="3"/>
      <c r="I18" s="17"/>
      <c r="J18" s="17"/>
      <c r="M18" s="76" t="s">
        <v>131</v>
      </c>
      <c r="N18" s="77">
        <v>13</v>
      </c>
      <c r="O18" s="78"/>
      <c r="P18" s="79">
        <f>'AUGUST 21'!V18:V51</f>
        <v>1250</v>
      </c>
      <c r="Q18" s="83">
        <v>2500</v>
      </c>
      <c r="R18" s="81">
        <v>350</v>
      </c>
      <c r="S18" s="83">
        <v>200</v>
      </c>
      <c r="T18" s="80">
        <f t="shared" si="3"/>
        <v>4300</v>
      </c>
      <c r="U18" s="80">
        <f>3050</f>
        <v>3050</v>
      </c>
      <c r="V18" s="80">
        <f t="shared" si="2"/>
        <v>1250</v>
      </c>
      <c r="W18" s="80"/>
      <c r="X18" s="80"/>
      <c r="Y18" s="69"/>
    </row>
    <row r="19" spans="1:25" ht="15.75" x14ac:dyDescent="0.25">
      <c r="A19" s="25" t="s">
        <v>41</v>
      </c>
      <c r="B19" s="3"/>
      <c r="C19" s="3">
        <f>E11</f>
        <v>1050</v>
      </c>
      <c r="D19" s="3"/>
      <c r="E19" s="3"/>
      <c r="F19" s="3"/>
      <c r="G19" s="3"/>
      <c r="H19" s="14"/>
      <c r="I19" s="17"/>
      <c r="J19" s="17"/>
      <c r="M19" s="76" t="s">
        <v>71</v>
      </c>
      <c r="N19" s="77">
        <v>14</v>
      </c>
      <c r="O19" s="78"/>
      <c r="P19" s="79">
        <f>'AUGUST 21'!V19:V52</f>
        <v>0</v>
      </c>
      <c r="Q19" s="83">
        <v>2700</v>
      </c>
      <c r="R19" s="81">
        <v>320</v>
      </c>
      <c r="S19" s="83">
        <v>200</v>
      </c>
      <c r="T19" s="80">
        <f t="shared" si="3"/>
        <v>3220</v>
      </c>
      <c r="U19" s="80">
        <v>3220</v>
      </c>
      <c r="V19" s="80">
        <f t="shared" si="2"/>
        <v>0</v>
      </c>
      <c r="W19" s="80"/>
      <c r="X19" s="80">
        <v>180</v>
      </c>
      <c r="Y19" s="87"/>
    </row>
    <row r="20" spans="1:25" ht="15.75" x14ac:dyDescent="0.25">
      <c r="A20" s="25" t="s">
        <v>42</v>
      </c>
      <c r="B20" s="3"/>
      <c r="C20" s="3">
        <f>F11</f>
        <v>600</v>
      </c>
      <c r="D20" s="3"/>
      <c r="E20" s="3"/>
      <c r="F20" s="3"/>
      <c r="G20" s="3"/>
      <c r="H20" s="3"/>
      <c r="I20" s="17"/>
      <c r="J20" s="17"/>
      <c r="M20" s="82" t="s">
        <v>72</v>
      </c>
      <c r="N20" s="77">
        <v>15</v>
      </c>
      <c r="O20" s="78"/>
      <c r="P20" s="79">
        <f>'AUGUST 21'!V20:V53</f>
        <v>20</v>
      </c>
      <c r="Q20" s="83">
        <v>4500</v>
      </c>
      <c r="R20" s="81">
        <v>350</v>
      </c>
      <c r="S20" s="83">
        <v>200</v>
      </c>
      <c r="T20" s="80">
        <f t="shared" si="3"/>
        <v>5070</v>
      </c>
      <c r="U20" s="80">
        <f>5050</f>
        <v>5050</v>
      </c>
      <c r="V20" s="80">
        <f t="shared" si="2"/>
        <v>20</v>
      </c>
      <c r="W20" s="80"/>
      <c r="X20" s="80"/>
      <c r="Y20" s="69"/>
    </row>
    <row r="21" spans="1:25" ht="15.75" x14ac:dyDescent="0.25">
      <c r="A21" s="17" t="s">
        <v>18</v>
      </c>
      <c r="B21" s="17"/>
      <c r="C21" s="20">
        <v>7.0000000000000007E-2</v>
      </c>
      <c r="D21" s="20"/>
      <c r="E21" s="18">
        <f>C16*C21</f>
        <v>1680.0000000000002</v>
      </c>
      <c r="F21" s="17"/>
      <c r="G21" s="17" t="s">
        <v>18</v>
      </c>
      <c r="H21" s="20">
        <v>7.0000000000000007E-2</v>
      </c>
      <c r="I21" s="18">
        <v>1680</v>
      </c>
      <c r="J21" s="17"/>
      <c r="M21" s="88" t="s">
        <v>172</v>
      </c>
      <c r="N21" s="123">
        <v>16</v>
      </c>
      <c r="O21" s="84"/>
      <c r="P21" s="79">
        <f>'AUGUST 21'!V21:V54</f>
        <v>2700</v>
      </c>
      <c r="Q21" s="83"/>
      <c r="R21" s="81"/>
      <c r="S21" s="83"/>
      <c r="T21" s="80">
        <f t="shared" si="3"/>
        <v>2700</v>
      </c>
      <c r="U21" s="80"/>
      <c r="V21" s="80">
        <f t="shared" si="2"/>
        <v>2700</v>
      </c>
      <c r="W21" s="80"/>
      <c r="X21" s="80"/>
      <c r="Y21" s="69"/>
    </row>
    <row r="22" spans="1:25" ht="15.75" x14ac:dyDescent="0.25">
      <c r="A22" s="16" t="s">
        <v>19</v>
      </c>
      <c r="C22" s="18"/>
      <c r="D22" s="18"/>
      <c r="E22" s="16"/>
      <c r="F22" s="16"/>
      <c r="G22" s="16" t="s">
        <v>19</v>
      </c>
      <c r="H22" s="21"/>
      <c r="I22" s="16"/>
      <c r="J22" s="16"/>
      <c r="M22" s="88" t="s">
        <v>171</v>
      </c>
      <c r="N22" s="77">
        <v>17</v>
      </c>
      <c r="O22" s="78"/>
      <c r="P22" s="79">
        <f>'AUGUST 21'!V22:V55</f>
        <v>0</v>
      </c>
      <c r="Q22" s="83"/>
      <c r="R22" s="81"/>
      <c r="S22" s="83"/>
      <c r="T22" s="80">
        <f t="shared" si="3"/>
        <v>0</v>
      </c>
      <c r="U22" s="80"/>
      <c r="V22" s="80">
        <f t="shared" si="2"/>
        <v>0</v>
      </c>
      <c r="W22" s="80"/>
      <c r="X22" s="80"/>
      <c r="Y22" s="69"/>
    </row>
    <row r="23" spans="1:25" ht="15.75" x14ac:dyDescent="0.25">
      <c r="A23" s="22"/>
      <c r="B23" s="20"/>
      <c r="C23" s="17"/>
      <c r="D23" s="17"/>
      <c r="E23" s="17"/>
      <c r="F23" s="17"/>
      <c r="G23" s="22"/>
      <c r="H23" s="20"/>
      <c r="I23" s="17"/>
      <c r="J23" s="17"/>
      <c r="K23" s="17"/>
      <c r="M23" s="82" t="s">
        <v>114</v>
      </c>
      <c r="N23" s="77">
        <v>18</v>
      </c>
      <c r="O23" s="78"/>
      <c r="P23" s="79">
        <f>'AUGUST 21'!V23:V56</f>
        <v>0</v>
      </c>
      <c r="Q23" s="83">
        <v>4500</v>
      </c>
      <c r="R23" s="81">
        <v>350</v>
      </c>
      <c r="S23" s="83">
        <v>200</v>
      </c>
      <c r="T23" s="80">
        <f t="shared" si="3"/>
        <v>5050</v>
      </c>
      <c r="U23" s="80">
        <v>5050</v>
      </c>
      <c r="V23" s="80">
        <f t="shared" si="2"/>
        <v>0</v>
      </c>
      <c r="W23" s="80"/>
      <c r="X23" s="80"/>
      <c r="Y23" s="69"/>
    </row>
    <row r="24" spans="1:25" ht="15.75" x14ac:dyDescent="0.25">
      <c r="A24" s="104" t="s">
        <v>173</v>
      </c>
      <c r="B24" s="23"/>
      <c r="C24" s="17"/>
      <c r="D24" s="17"/>
      <c r="E24" s="17">
        <v>15470</v>
      </c>
      <c r="F24" s="17"/>
      <c r="G24" s="104" t="s">
        <v>173</v>
      </c>
      <c r="H24" s="23"/>
      <c r="I24" s="17">
        <v>15470</v>
      </c>
      <c r="J24" s="17"/>
      <c r="K24" s="17"/>
      <c r="M24" s="76" t="s">
        <v>76</v>
      </c>
      <c r="N24" s="77">
        <v>19</v>
      </c>
      <c r="O24" s="78"/>
      <c r="P24" s="79">
        <f>'AUGUST 21'!V24:V57</f>
        <v>0</v>
      </c>
      <c r="Q24" s="83">
        <v>2500</v>
      </c>
      <c r="R24" s="81">
        <v>320</v>
      </c>
      <c r="S24" s="83">
        <v>200</v>
      </c>
      <c r="T24" s="80">
        <f t="shared" si="3"/>
        <v>3020</v>
      </c>
      <c r="U24" s="80">
        <f>3020</f>
        <v>3020</v>
      </c>
      <c r="V24" s="80">
        <f t="shared" si="2"/>
        <v>0</v>
      </c>
      <c r="W24" s="80"/>
      <c r="X24" s="80"/>
      <c r="Y24" s="69"/>
    </row>
    <row r="25" spans="1:25" ht="15.75" x14ac:dyDescent="0.25">
      <c r="A25" s="23" t="s">
        <v>177</v>
      </c>
      <c r="B25" s="23"/>
      <c r="C25" s="17"/>
      <c r="D25" s="17"/>
      <c r="E25" s="17">
        <v>8500</v>
      </c>
      <c r="F25" s="17"/>
      <c r="G25" s="23" t="s">
        <v>177</v>
      </c>
      <c r="H25" s="23"/>
      <c r="I25" s="17">
        <v>8500</v>
      </c>
      <c r="J25" s="17"/>
      <c r="K25" s="17"/>
      <c r="M25" s="76" t="s">
        <v>81</v>
      </c>
      <c r="N25" s="77">
        <v>20</v>
      </c>
      <c r="O25" s="78"/>
      <c r="P25" s="79">
        <f>'AUGUST 21'!V25:V58</f>
        <v>0</v>
      </c>
      <c r="Q25" s="83">
        <v>2500</v>
      </c>
      <c r="R25" s="81">
        <v>320</v>
      </c>
      <c r="S25" s="83"/>
      <c r="T25" s="80">
        <f t="shared" si="3"/>
        <v>2820</v>
      </c>
      <c r="U25" s="80">
        <v>2800</v>
      </c>
      <c r="V25" s="80">
        <f t="shared" si="2"/>
        <v>20</v>
      </c>
      <c r="W25" s="80"/>
      <c r="X25" s="80">
        <v>500</v>
      </c>
      <c r="Y25" s="69"/>
    </row>
    <row r="26" spans="1:25" ht="15.75" x14ac:dyDescent="0.25">
      <c r="A26" s="23"/>
      <c r="B26" s="23"/>
      <c r="C26" s="17"/>
      <c r="D26" s="17"/>
      <c r="E26" s="17"/>
      <c r="F26" s="17"/>
      <c r="G26" s="23"/>
      <c r="H26" s="23"/>
      <c r="I26" s="17"/>
      <c r="J26" s="17"/>
      <c r="M26" s="76" t="s">
        <v>78</v>
      </c>
      <c r="N26" s="77">
        <v>21</v>
      </c>
      <c r="O26" s="78"/>
      <c r="P26" s="79">
        <f>'AUGUST 21'!V26:V59</f>
        <v>0</v>
      </c>
      <c r="Q26" s="83">
        <v>2500</v>
      </c>
      <c r="R26" s="81">
        <v>320</v>
      </c>
      <c r="S26" s="83">
        <v>200</v>
      </c>
      <c r="T26" s="80">
        <f t="shared" si="3"/>
        <v>3020</v>
      </c>
      <c r="U26" s="80">
        <v>3020</v>
      </c>
      <c r="V26" s="80">
        <f t="shared" si="2"/>
        <v>0</v>
      </c>
      <c r="W26" s="80"/>
      <c r="X26" s="80"/>
      <c r="Y26" s="87"/>
    </row>
    <row r="27" spans="1:25" ht="15.75" x14ac:dyDescent="0.25">
      <c r="A27" s="24"/>
      <c r="B27" s="24"/>
      <c r="C27" s="17"/>
      <c r="D27" s="17"/>
      <c r="E27" s="17"/>
      <c r="F27" s="17"/>
      <c r="H27" s="23"/>
      <c r="I27" s="25"/>
      <c r="J27" s="17"/>
      <c r="K27" s="119">
        <f>I24+F29</f>
        <v>15470</v>
      </c>
      <c r="M27" s="76" t="s">
        <v>79</v>
      </c>
      <c r="N27" s="77">
        <v>22</v>
      </c>
      <c r="O27" s="78"/>
      <c r="P27" s="79">
        <f>'AUGUST 21'!V27:V60</f>
        <v>150</v>
      </c>
      <c r="Q27" s="83">
        <v>4500</v>
      </c>
      <c r="R27" s="81">
        <v>350</v>
      </c>
      <c r="S27" s="83">
        <v>200</v>
      </c>
      <c r="T27" s="80">
        <f t="shared" si="3"/>
        <v>5200</v>
      </c>
      <c r="U27" s="80">
        <f>3500</f>
        <v>3500</v>
      </c>
      <c r="V27" s="80">
        <f t="shared" si="2"/>
        <v>1700</v>
      </c>
      <c r="W27" s="80"/>
      <c r="X27" s="80"/>
      <c r="Y27" s="69"/>
    </row>
    <row r="28" spans="1:25" ht="15.75" x14ac:dyDescent="0.25">
      <c r="A28" s="23"/>
      <c r="B28" s="23"/>
      <c r="C28" s="17"/>
      <c r="D28" s="17"/>
      <c r="E28" s="25"/>
      <c r="F28" s="17"/>
      <c r="G28" s="17"/>
      <c r="H28" s="17"/>
      <c r="I28" s="17"/>
      <c r="J28" s="17"/>
      <c r="M28" s="88" t="s">
        <v>40</v>
      </c>
      <c r="N28" s="77">
        <v>23</v>
      </c>
      <c r="O28" s="78"/>
      <c r="P28" s="79">
        <f>'AUGUST 21'!V28:V61</f>
        <v>0</v>
      </c>
      <c r="Q28" s="83"/>
      <c r="R28" s="81"/>
      <c r="S28" s="83"/>
      <c r="T28" s="80">
        <f t="shared" si="3"/>
        <v>0</v>
      </c>
      <c r="U28" s="80"/>
      <c r="V28" s="80">
        <f t="shared" si="2"/>
        <v>0</v>
      </c>
      <c r="W28" s="80"/>
      <c r="X28" s="80"/>
      <c r="Y28" s="69"/>
    </row>
    <row r="29" spans="1:25" ht="15.75" x14ac:dyDescent="0.25">
      <c r="A29" s="16" t="s">
        <v>20</v>
      </c>
      <c r="B29" s="16"/>
      <c r="C29" s="21">
        <f>C16+C17+C18+C19+C20-E21</f>
        <v>23970</v>
      </c>
      <c r="D29" s="21"/>
      <c r="E29" s="21">
        <f>SUM(E23:E28)</f>
        <v>23970</v>
      </c>
      <c r="F29" s="21">
        <f>C29-E29</f>
        <v>0</v>
      </c>
      <c r="G29" s="16" t="s">
        <v>20</v>
      </c>
      <c r="H29" s="21">
        <f>H16+H17-I21</f>
        <v>24120</v>
      </c>
      <c r="I29" s="21">
        <f>SUM(I23:I28)</f>
        <v>23970</v>
      </c>
      <c r="J29" s="21">
        <f>H29-I29</f>
        <v>150</v>
      </c>
      <c r="M29" s="76" t="s">
        <v>80</v>
      </c>
      <c r="N29" s="77">
        <v>24</v>
      </c>
      <c r="O29" s="78"/>
      <c r="P29" s="79">
        <f>'AUGUST 21'!V29:V62</f>
        <v>0</v>
      </c>
      <c r="Q29" s="83">
        <v>2500</v>
      </c>
      <c r="R29" s="81">
        <v>350</v>
      </c>
      <c r="S29" s="83">
        <v>200</v>
      </c>
      <c r="T29" s="80">
        <f t="shared" si="3"/>
        <v>3050</v>
      </c>
      <c r="U29" s="80">
        <f>3050</f>
        <v>3050</v>
      </c>
      <c r="V29" s="80">
        <f t="shared" si="2"/>
        <v>0</v>
      </c>
      <c r="W29" s="80"/>
      <c r="X29" s="80"/>
      <c r="Y29" s="69"/>
    </row>
    <row r="30" spans="1:25" ht="15.75" x14ac:dyDescent="0.25">
      <c r="K30" s="119">
        <f>F29+H17</f>
        <v>0</v>
      </c>
      <c r="M30" s="76" t="s">
        <v>82</v>
      </c>
      <c r="N30" s="77">
        <v>25</v>
      </c>
      <c r="O30" s="78"/>
      <c r="P30" s="79">
        <f>'AUGUST 21'!V30:V63</f>
        <v>0</v>
      </c>
      <c r="Q30" s="83">
        <v>2700</v>
      </c>
      <c r="R30" s="81">
        <v>320</v>
      </c>
      <c r="S30" s="83">
        <v>200</v>
      </c>
      <c r="T30" s="80">
        <f t="shared" si="3"/>
        <v>3220</v>
      </c>
      <c r="U30" s="80">
        <v>3220</v>
      </c>
      <c r="V30" s="80">
        <f t="shared" si="2"/>
        <v>0</v>
      </c>
      <c r="W30" s="80"/>
      <c r="X30" s="80"/>
      <c r="Y30" s="69"/>
    </row>
    <row r="31" spans="1:25" ht="15.75" x14ac:dyDescent="0.25">
      <c r="A31" t="s">
        <v>21</v>
      </c>
      <c r="E31" t="s">
        <v>22</v>
      </c>
      <c r="H31" t="s">
        <v>23</v>
      </c>
      <c r="M31" s="76" t="s">
        <v>83</v>
      </c>
      <c r="N31" s="77">
        <v>26</v>
      </c>
      <c r="O31" s="78"/>
      <c r="P31" s="79">
        <f>'AUGUST 21'!V31:V64</f>
        <v>558</v>
      </c>
      <c r="Q31" s="83">
        <v>4500</v>
      </c>
      <c r="R31" s="81">
        <v>350</v>
      </c>
      <c r="S31" s="83">
        <v>200</v>
      </c>
      <c r="T31" s="80">
        <f t="shared" si="3"/>
        <v>5608</v>
      </c>
      <c r="U31" s="80">
        <f>5050</f>
        <v>5050</v>
      </c>
      <c r="V31" s="80">
        <f t="shared" si="2"/>
        <v>558</v>
      </c>
      <c r="W31" s="80"/>
      <c r="X31" s="80"/>
      <c r="Y31" s="69"/>
    </row>
    <row r="32" spans="1:25" ht="15.75" x14ac:dyDescent="0.25">
      <c r="M32" s="76" t="s">
        <v>84</v>
      </c>
      <c r="N32" s="77">
        <v>27</v>
      </c>
      <c r="O32" s="78"/>
      <c r="P32" s="79">
        <f>'AUGUST 21'!V32:V65</f>
        <v>1200</v>
      </c>
      <c r="Q32" s="83">
        <v>4500</v>
      </c>
      <c r="R32" s="81">
        <v>320</v>
      </c>
      <c r="S32" s="83">
        <v>200</v>
      </c>
      <c r="T32" s="80">
        <f t="shared" si="3"/>
        <v>6220</v>
      </c>
      <c r="U32" s="80">
        <f>3000+2000</f>
        <v>5000</v>
      </c>
      <c r="V32" s="80">
        <f t="shared" si="2"/>
        <v>1220</v>
      </c>
      <c r="W32" s="80"/>
      <c r="X32" s="69"/>
      <c r="Y32" s="69"/>
    </row>
    <row r="33" spans="1:25" ht="15.75" x14ac:dyDescent="0.25">
      <c r="A33" t="s">
        <v>24</v>
      </c>
      <c r="E33" t="s">
        <v>25</v>
      </c>
      <c r="H33" t="s">
        <v>34</v>
      </c>
      <c r="M33" s="88" t="s">
        <v>170</v>
      </c>
      <c r="N33" s="77">
        <v>28</v>
      </c>
      <c r="O33" s="78"/>
      <c r="P33" s="79">
        <f>'AUGUST 21'!V33:V66</f>
        <v>0</v>
      </c>
      <c r="Q33" s="83"/>
      <c r="R33" s="81"/>
      <c r="S33" s="83"/>
      <c r="T33" s="80">
        <f>P33+Q33+R33+S33+O33</f>
        <v>0</v>
      </c>
      <c r="U33" s="80"/>
      <c r="V33" s="80">
        <f t="shared" si="2"/>
        <v>0</v>
      </c>
      <c r="W33" s="80"/>
      <c r="X33" s="80"/>
      <c r="Y33" s="69"/>
    </row>
    <row r="34" spans="1:25" ht="15.75" x14ac:dyDescent="0.25">
      <c r="M34" s="76" t="s">
        <v>85</v>
      </c>
      <c r="N34" s="77">
        <v>29</v>
      </c>
      <c r="O34" s="78"/>
      <c r="P34" s="79">
        <f>'AUGUST 21'!V34:V67</f>
        <v>2520</v>
      </c>
      <c r="Q34" s="83">
        <v>4500</v>
      </c>
      <c r="R34" s="81">
        <f>350</f>
        <v>350</v>
      </c>
      <c r="S34" s="83">
        <v>200</v>
      </c>
      <c r="T34" s="80">
        <f t="shared" si="3"/>
        <v>7570</v>
      </c>
      <c r="U34" s="80">
        <f>5050</f>
        <v>5050</v>
      </c>
      <c r="V34" s="80">
        <f t="shared" si="2"/>
        <v>2520</v>
      </c>
      <c r="W34" s="80"/>
      <c r="X34" s="80"/>
      <c r="Y34" s="69"/>
    </row>
    <row r="35" spans="1:25" ht="15.75" x14ac:dyDescent="0.25">
      <c r="G35" s="119">
        <f>F29-400</f>
        <v>-400</v>
      </c>
      <c r="M35" s="76"/>
      <c r="N35" s="77"/>
      <c r="O35" s="78"/>
      <c r="P35" s="79">
        <f>'AUGUST 21'!V35:V68</f>
        <v>0</v>
      </c>
      <c r="Q35" s="83"/>
      <c r="R35" s="81"/>
      <c r="S35" s="83"/>
      <c r="T35" s="80">
        <f t="shared" si="3"/>
        <v>0</v>
      </c>
      <c r="U35" s="80"/>
      <c r="V35" s="80">
        <f t="shared" si="2"/>
        <v>0</v>
      </c>
      <c r="W35" s="80"/>
      <c r="X35" s="80"/>
      <c r="Y35" s="69"/>
    </row>
    <row r="36" spans="1:25" ht="15.75" x14ac:dyDescent="0.25">
      <c r="C36" s="119"/>
      <c r="E36" s="119"/>
      <c r="M36" s="76"/>
      <c r="N36" s="77" t="s">
        <v>86</v>
      </c>
      <c r="O36" s="78"/>
      <c r="P36" s="79">
        <f>'AUGUST 21'!V36:V69</f>
        <v>0</v>
      </c>
      <c r="Q36" s="83"/>
      <c r="R36" s="81"/>
      <c r="S36" s="83"/>
      <c r="T36" s="80">
        <f t="shared" si="3"/>
        <v>0</v>
      </c>
      <c r="U36" s="80"/>
      <c r="V36" s="80">
        <f t="shared" si="2"/>
        <v>0</v>
      </c>
      <c r="W36" s="80"/>
      <c r="X36" s="80"/>
      <c r="Y36" s="69"/>
    </row>
    <row r="37" spans="1:25" ht="15.75" x14ac:dyDescent="0.25">
      <c r="C37" s="119"/>
      <c r="E37" s="119"/>
      <c r="I37" s="119">
        <f>F29-400</f>
        <v>-400</v>
      </c>
      <c r="M37" s="76" t="s">
        <v>93</v>
      </c>
      <c r="N37" s="77" t="s">
        <v>87</v>
      </c>
      <c r="O37" s="78"/>
      <c r="P37" s="79">
        <f>'AUGUST 21'!V37:V70</f>
        <v>0</v>
      </c>
      <c r="Q37" s="83">
        <v>7000</v>
      </c>
      <c r="R37" s="81"/>
      <c r="S37" s="83"/>
      <c r="T37" s="80">
        <f t="shared" si="3"/>
        <v>7000</v>
      </c>
      <c r="U37" s="80">
        <f>7000</f>
        <v>7000</v>
      </c>
      <c r="V37" s="80">
        <f t="shared" si="2"/>
        <v>0</v>
      </c>
      <c r="W37" s="80"/>
      <c r="X37" s="80"/>
      <c r="Y37" s="69"/>
    </row>
    <row r="38" spans="1:25" ht="15.75" x14ac:dyDescent="0.25">
      <c r="C38" s="119"/>
      <c r="E38" s="119"/>
      <c r="M38" s="76" t="s">
        <v>92</v>
      </c>
      <c r="N38" s="77" t="s">
        <v>88</v>
      </c>
      <c r="O38" s="78"/>
      <c r="P38" s="79">
        <f>'AUGUST 21'!V38:V71</f>
        <v>0</v>
      </c>
      <c r="Q38" s="83">
        <v>7000</v>
      </c>
      <c r="R38" s="81"/>
      <c r="S38" s="83"/>
      <c r="T38" s="80">
        <f>P38+Q38+R38+S38+O38</f>
        <v>7000</v>
      </c>
      <c r="U38" s="80">
        <f>7000</f>
        <v>7000</v>
      </c>
      <c r="V38" s="80">
        <f t="shared" si="2"/>
        <v>0</v>
      </c>
      <c r="W38" s="80"/>
      <c r="X38" s="80"/>
      <c r="Y38" s="69"/>
    </row>
    <row r="39" spans="1:25" ht="15.75" x14ac:dyDescent="0.25">
      <c r="M39" s="90" t="s">
        <v>51</v>
      </c>
      <c r="N39" s="76"/>
      <c r="O39" s="78">
        <f t="shared" ref="O39:X39" si="5">SUM(O6:O38)</f>
        <v>0</v>
      </c>
      <c r="P39" s="79">
        <f>SUM(P6:P38)</f>
        <v>18308</v>
      </c>
      <c r="Q39" s="91">
        <f>SUM(Q6:Q38)</f>
        <v>84000</v>
      </c>
      <c r="R39" s="92">
        <f t="shared" si="5"/>
        <v>7520</v>
      </c>
      <c r="S39" s="93">
        <f t="shared" si="5"/>
        <v>4200</v>
      </c>
      <c r="T39" s="80">
        <f>SUM(T6:T38)</f>
        <v>114028</v>
      </c>
      <c r="U39" s="80">
        <f>SUM(U6:U38)</f>
        <v>85030</v>
      </c>
      <c r="V39" s="80">
        <f t="shared" si="5"/>
        <v>28998</v>
      </c>
      <c r="W39" s="80">
        <f>SUM(W6:W38)</f>
        <v>0</v>
      </c>
      <c r="X39" s="80">
        <f t="shared" si="5"/>
        <v>680</v>
      </c>
      <c r="Y39" s="69"/>
    </row>
    <row r="40" spans="1:25" ht="15.75" x14ac:dyDescent="0.25">
      <c r="M40" s="94" t="s">
        <v>12</v>
      </c>
      <c r="N40" s="94"/>
      <c r="O40" s="94"/>
      <c r="P40" s="79">
        <f>'JULY 21'!V40:V69</f>
        <v>0</v>
      </c>
      <c r="Q40" s="118">
        <f>Q39-Q38-Q37</f>
        <v>70000</v>
      </c>
      <c r="R40" s="94" t="s">
        <v>8</v>
      </c>
      <c r="S40" s="94"/>
      <c r="T40" s="94"/>
      <c r="U40" s="70"/>
      <c r="V40" s="70"/>
      <c r="W40" s="70"/>
      <c r="X40" s="71"/>
      <c r="Y40" s="69"/>
    </row>
    <row r="41" spans="1:25" ht="15.75" x14ac:dyDescent="0.25">
      <c r="G41" s="119">
        <f>C16-E21</f>
        <v>22320</v>
      </c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  <c r="Y41" s="69"/>
    </row>
    <row r="42" spans="1:25" ht="15.75" x14ac:dyDescent="0.25">
      <c r="G42">
        <f>C19</f>
        <v>1050</v>
      </c>
      <c r="M42" s="76" t="s">
        <v>167</v>
      </c>
      <c r="N42" s="98">
        <f>Q39</f>
        <v>84000</v>
      </c>
      <c r="O42" s="76"/>
      <c r="P42" s="76"/>
      <c r="Q42" s="76"/>
      <c r="R42" s="76" t="s">
        <v>167</v>
      </c>
      <c r="S42" s="76"/>
      <c r="T42" s="99">
        <f>U39</f>
        <v>85030</v>
      </c>
      <c r="U42" s="76"/>
      <c r="V42" s="76"/>
      <c r="W42" s="76"/>
      <c r="X42" s="100"/>
      <c r="Y42" s="69"/>
    </row>
    <row r="43" spans="1:25" ht="15.75" x14ac:dyDescent="0.25">
      <c r="G43">
        <f>C20</f>
        <v>600</v>
      </c>
      <c r="I43" s="119"/>
      <c r="M43" s="76" t="s">
        <v>5</v>
      </c>
      <c r="N43" s="98">
        <f>'AUGUST 21'!P61</f>
        <v>-3050.5</v>
      </c>
      <c r="O43" s="76"/>
      <c r="P43" s="76"/>
      <c r="Q43" s="76"/>
      <c r="R43" s="76" t="s">
        <v>5</v>
      </c>
      <c r="S43" s="76"/>
      <c r="T43" s="98">
        <f>'AUGUST 21'!V61</f>
        <v>-17980.5</v>
      </c>
      <c r="U43" s="76"/>
      <c r="V43" s="76"/>
      <c r="W43" s="76"/>
      <c r="X43" s="100"/>
      <c r="Y43" s="69"/>
    </row>
    <row r="44" spans="1:25" ht="15.75" x14ac:dyDescent="0.25">
      <c r="G44" s="119">
        <f>G41+G42+G43</f>
        <v>23970</v>
      </c>
      <c r="M44" s="76" t="s">
        <v>4</v>
      </c>
      <c r="N44" s="98">
        <f>O39</f>
        <v>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  <c r="Y44" s="69"/>
    </row>
    <row r="45" spans="1:25" ht="15.75" x14ac:dyDescent="0.25">
      <c r="G45">
        <f>E24</f>
        <v>15470</v>
      </c>
      <c r="M45" s="76" t="s">
        <v>41</v>
      </c>
      <c r="N45" s="98">
        <f>R39</f>
        <v>7520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  <c r="Y45" s="69"/>
    </row>
    <row r="46" spans="1:25" ht="15.75" x14ac:dyDescent="0.25">
      <c r="G46" s="119">
        <f>G44-G45</f>
        <v>8500</v>
      </c>
      <c r="M46" s="76" t="s">
        <v>53</v>
      </c>
      <c r="N46" s="98">
        <f>W39</f>
        <v>0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  <c r="Y46" s="69"/>
    </row>
    <row r="47" spans="1:25" ht="15.75" x14ac:dyDescent="0.25">
      <c r="G47" t="s">
        <v>192</v>
      </c>
      <c r="M47" s="76" t="s">
        <v>42</v>
      </c>
      <c r="N47" s="98">
        <f>S39</f>
        <v>4200</v>
      </c>
      <c r="O47" s="76"/>
      <c r="P47" s="76"/>
      <c r="Q47" s="76"/>
      <c r="R47" s="76" t="s">
        <v>126</v>
      </c>
      <c r="S47" s="76"/>
      <c r="T47" s="99">
        <f>X39</f>
        <v>680</v>
      </c>
      <c r="U47" s="76"/>
      <c r="V47" s="76"/>
      <c r="W47" s="76"/>
      <c r="X47" s="100"/>
      <c r="Y47" s="69"/>
    </row>
    <row r="48" spans="1:25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  <c r="Y48" s="69"/>
    </row>
    <row r="49" spans="13:25" ht="15.75" x14ac:dyDescent="0.25">
      <c r="M49" s="76" t="s">
        <v>126</v>
      </c>
      <c r="N49" s="99">
        <f>X39</f>
        <v>680</v>
      </c>
      <c r="O49" s="98"/>
      <c r="P49" s="76"/>
      <c r="Q49" s="76"/>
      <c r="R49" s="76"/>
      <c r="S49" s="76"/>
      <c r="T49" s="76"/>
      <c r="U49" s="98"/>
      <c r="V49" s="98"/>
      <c r="W49" s="98"/>
      <c r="X49" s="101"/>
      <c r="Y49" s="69"/>
    </row>
    <row r="50" spans="13:25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  <c r="Y50" s="69"/>
    </row>
    <row r="51" spans="13:25" ht="15.75" x14ac:dyDescent="0.25">
      <c r="M51" s="102" t="s">
        <v>55</v>
      </c>
      <c r="N51" s="103">
        <v>7.0000000000000007E-2</v>
      </c>
      <c r="O51" s="99">
        <f>N51*Q40</f>
        <v>4900.0000000000009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T51*Q40</f>
        <v>4900.0000000000009</v>
      </c>
      <c r="V51" s="76"/>
      <c r="W51" s="76"/>
      <c r="X51" s="100"/>
      <c r="Y51" s="69"/>
    </row>
    <row r="52" spans="13:25" ht="15.75" x14ac:dyDescent="0.25">
      <c r="M52" s="104" t="s">
        <v>128</v>
      </c>
      <c r="N52" s="105">
        <v>0.3</v>
      </c>
      <c r="O52" s="69">
        <f>N52*O7+(N52*O123)+(N52*O22)</f>
        <v>0</v>
      </c>
      <c r="P52" s="99"/>
      <c r="Q52" s="99"/>
      <c r="R52" s="104"/>
      <c r="S52" s="103"/>
      <c r="T52" s="122"/>
      <c r="U52" s="122"/>
      <c r="V52" s="122"/>
      <c r="W52" s="99"/>
      <c r="X52" s="106"/>
      <c r="Y52" s="87"/>
    </row>
    <row r="53" spans="13:25" ht="15.75" x14ac:dyDescent="0.25">
      <c r="M53" s="104" t="s">
        <v>169</v>
      </c>
      <c r="N53" s="103"/>
      <c r="O53" s="122">
        <v>4555</v>
      </c>
      <c r="P53" s="99"/>
      <c r="Q53" s="99"/>
      <c r="R53" s="104" t="s">
        <v>169</v>
      </c>
      <c r="S53" s="103"/>
      <c r="T53" s="122"/>
      <c r="U53" s="122">
        <v>4555</v>
      </c>
      <c r="V53" s="122"/>
      <c r="W53" s="99"/>
      <c r="X53" s="106"/>
      <c r="Y53" s="87"/>
    </row>
    <row r="54" spans="13:25" ht="15.75" x14ac:dyDescent="0.25">
      <c r="M54" s="104" t="s">
        <v>173</v>
      </c>
      <c r="N54" s="103"/>
      <c r="O54" s="122">
        <v>81000</v>
      </c>
      <c r="P54" s="99"/>
      <c r="Q54" s="99"/>
      <c r="R54" s="104" t="s">
        <v>173</v>
      </c>
      <c r="S54" s="103"/>
      <c r="T54" s="122"/>
      <c r="U54" s="122">
        <v>81000</v>
      </c>
      <c r="V54" s="122"/>
      <c r="W54" s="99"/>
      <c r="X54" s="106"/>
      <c r="Y54" s="87"/>
    </row>
    <row r="55" spans="13:25" ht="15.75" x14ac:dyDescent="0.25">
      <c r="M55" s="104" t="s">
        <v>178</v>
      </c>
      <c r="N55" s="103"/>
      <c r="O55" s="122">
        <v>6690</v>
      </c>
      <c r="P55" s="99"/>
      <c r="Q55" s="99"/>
      <c r="R55" s="104"/>
      <c r="S55" s="103"/>
      <c r="T55" s="122"/>
      <c r="U55" s="122"/>
      <c r="V55" s="76"/>
      <c r="W55" s="76"/>
      <c r="X55" s="100"/>
      <c r="Y55" s="69"/>
    </row>
    <row r="56" spans="13:25" ht="15.75" x14ac:dyDescent="0.25">
      <c r="M56" s="23" t="s">
        <v>177</v>
      </c>
      <c r="N56" s="23"/>
      <c r="O56" s="99">
        <v>500</v>
      </c>
      <c r="P56" s="76"/>
      <c r="Q56" s="76"/>
      <c r="R56" s="23" t="s">
        <v>177</v>
      </c>
      <c r="S56" s="23"/>
      <c r="T56" s="99"/>
      <c r="U56" s="99">
        <v>500</v>
      </c>
      <c r="V56" s="76"/>
      <c r="W56" s="76"/>
      <c r="X56" s="100"/>
      <c r="Y56" s="87"/>
    </row>
    <row r="57" spans="13:25" ht="15.75" x14ac:dyDescent="0.25">
      <c r="M57" s="108" t="s">
        <v>184</v>
      </c>
      <c r="N57" s="76"/>
      <c r="O57" s="99">
        <v>1700</v>
      </c>
      <c r="P57" s="76"/>
      <c r="Q57" s="76"/>
      <c r="R57" s="108"/>
      <c r="S57" s="76"/>
      <c r="T57" s="99"/>
      <c r="U57" s="99"/>
      <c r="V57" s="76"/>
      <c r="W57" s="76"/>
      <c r="X57" s="100"/>
      <c r="Y57" s="87"/>
    </row>
    <row r="58" spans="13:25" ht="15.75" x14ac:dyDescent="0.25">
      <c r="M58" s="108"/>
      <c r="N58" s="76"/>
      <c r="O58" s="99"/>
      <c r="P58" s="76"/>
      <c r="Q58" s="76"/>
      <c r="R58" s="108"/>
      <c r="S58" s="76"/>
      <c r="T58" s="99"/>
      <c r="U58" s="99"/>
      <c r="V58" s="99"/>
      <c r="W58" s="99"/>
      <c r="X58" s="106"/>
      <c r="Y58" s="87"/>
    </row>
    <row r="59" spans="13:25" ht="15.75" x14ac:dyDescent="0.25">
      <c r="M59" s="90" t="s">
        <v>20</v>
      </c>
      <c r="N59" s="109">
        <f>N42+N43+N44+N45+N46+N47+N49+N48</f>
        <v>93349.5</v>
      </c>
      <c r="O59" s="109">
        <f>SUM(O51:O58)</f>
        <v>99345</v>
      </c>
      <c r="P59" s="125">
        <f>N59-O59</f>
        <v>-5995.5</v>
      </c>
      <c r="Q59" s="109"/>
      <c r="R59" s="90"/>
      <c r="S59" s="90"/>
      <c r="T59" s="109">
        <f>T42+T43+T45+T47+T48</f>
        <v>67729.5</v>
      </c>
      <c r="U59" s="109">
        <f>SUM(U51:U58)</f>
        <v>90955</v>
      </c>
      <c r="V59" s="109">
        <f>T59-U59</f>
        <v>-23225.5</v>
      </c>
      <c r="W59" s="109"/>
      <c r="X59" s="110"/>
      <c r="Y59" s="69"/>
    </row>
    <row r="60" spans="13:25" ht="15.75" x14ac:dyDescent="0.25">
      <c r="M60" s="70"/>
      <c r="N60" s="70"/>
      <c r="O60" s="70"/>
      <c r="P60" s="70"/>
      <c r="Q60" s="70"/>
      <c r="R60" s="70"/>
      <c r="S60" s="70"/>
      <c r="T60" s="70"/>
      <c r="U60" s="111">
        <f>U59-U51</f>
        <v>86055</v>
      </c>
      <c r="V60" s="70"/>
      <c r="W60" s="70"/>
      <c r="X60" s="71"/>
      <c r="Y60" s="69"/>
    </row>
    <row r="61" spans="13:25" ht="15.75" x14ac:dyDescent="0.25">
      <c r="M61" s="112" t="s">
        <v>56</v>
      </c>
      <c r="N61" s="113"/>
      <c r="O61" s="113" t="s">
        <v>22</v>
      </c>
      <c r="P61" s="114"/>
      <c r="Q61" s="114"/>
      <c r="R61" s="112"/>
      <c r="S61" s="112"/>
      <c r="T61" s="112" t="s">
        <v>57</v>
      </c>
      <c r="U61" s="70"/>
      <c r="V61" s="70"/>
      <c r="W61" s="70"/>
      <c r="X61" s="71"/>
      <c r="Y61" s="69"/>
    </row>
    <row r="62" spans="13:25" ht="15.75" x14ac:dyDescent="0.25">
      <c r="M62" s="70" t="s">
        <v>24</v>
      </c>
      <c r="N62" s="70"/>
      <c r="O62" s="70" t="s">
        <v>25</v>
      </c>
      <c r="P62" s="70"/>
      <c r="Q62" s="70"/>
      <c r="R62" s="111"/>
      <c r="S62" s="70"/>
      <c r="T62" s="70" t="s">
        <v>34</v>
      </c>
      <c r="U62" s="70"/>
      <c r="V62" s="70"/>
      <c r="W62" s="111"/>
      <c r="X62" s="71"/>
      <c r="Y62" s="69"/>
    </row>
    <row r="63" spans="13:25" ht="15.75" x14ac:dyDescent="0.25">
      <c r="M63" s="69"/>
      <c r="N63" s="69"/>
      <c r="O63" s="69"/>
      <c r="P63" s="69"/>
      <c r="Q63" s="69"/>
      <c r="R63" s="69"/>
      <c r="S63" s="109"/>
      <c r="T63" s="69"/>
      <c r="U63" s="69"/>
      <c r="V63" s="69"/>
      <c r="W63" s="87">
        <f>Q39</f>
        <v>84000</v>
      </c>
      <c r="X63" s="69"/>
      <c r="Y63" s="69"/>
    </row>
    <row r="64" spans="13:25" ht="15.75" x14ac:dyDescent="0.25">
      <c r="M64" s="69"/>
      <c r="N64" s="69"/>
      <c r="O64" s="69"/>
      <c r="P64" s="69"/>
      <c r="Q64" s="69"/>
      <c r="R64" s="115"/>
      <c r="T64" s="69"/>
      <c r="U64" s="69"/>
      <c r="V64" s="69"/>
      <c r="W64" s="69">
        <v>14000</v>
      </c>
      <c r="X64" s="69"/>
      <c r="Y64" s="69"/>
    </row>
    <row r="65" spans="12:23" ht="15.75" x14ac:dyDescent="0.25">
      <c r="S65" s="69"/>
      <c r="W65" s="120">
        <f>W63-W64</f>
        <v>70000</v>
      </c>
    </row>
    <row r="66" spans="12:23" x14ac:dyDescent="0.25">
      <c r="W66">
        <f>N51*W65</f>
        <v>4900.0000000000009</v>
      </c>
    </row>
    <row r="67" spans="12:23" x14ac:dyDescent="0.25">
      <c r="W67" s="120">
        <f>W65-W66</f>
        <v>65100</v>
      </c>
    </row>
    <row r="68" spans="12:23" x14ac:dyDescent="0.25">
      <c r="W68" s="119">
        <f>N45</f>
        <v>7520</v>
      </c>
    </row>
    <row r="69" spans="12:23" x14ac:dyDescent="0.25">
      <c r="W69" s="119">
        <f>N47</f>
        <v>4200</v>
      </c>
    </row>
    <row r="70" spans="12:23" x14ac:dyDescent="0.25">
      <c r="W70" s="119">
        <f>W67+W68+W69</f>
        <v>76820</v>
      </c>
    </row>
    <row r="71" spans="12:23" x14ac:dyDescent="0.25">
      <c r="U71" s="125"/>
      <c r="W71">
        <v>3050</v>
      </c>
    </row>
    <row r="72" spans="12:23" x14ac:dyDescent="0.25">
      <c r="W72" s="119">
        <f>W70-W71</f>
        <v>73770</v>
      </c>
    </row>
    <row r="73" spans="12:23" x14ac:dyDescent="0.25">
      <c r="W73">
        <f>O53</f>
        <v>4555</v>
      </c>
    </row>
    <row r="74" spans="12:23" x14ac:dyDescent="0.25">
      <c r="W74" s="119">
        <f>W72-W73</f>
        <v>69215</v>
      </c>
    </row>
    <row r="75" spans="12:23" x14ac:dyDescent="0.25">
      <c r="W75">
        <v>14000</v>
      </c>
    </row>
    <row r="76" spans="12:23" x14ac:dyDescent="0.25">
      <c r="L76">
        <f>0.16*8000</f>
        <v>1280</v>
      </c>
      <c r="N76">
        <f>11600+600</f>
        <v>12200</v>
      </c>
      <c r="W76" s="119">
        <f>W74+W75</f>
        <v>83215</v>
      </c>
    </row>
    <row r="77" spans="12:23" x14ac:dyDescent="0.25">
      <c r="W77">
        <v>81000</v>
      </c>
    </row>
    <row r="78" spans="12:23" x14ac:dyDescent="0.25">
      <c r="M78">
        <f>20000+8000+3000+10000+1600+600</f>
        <v>43200</v>
      </c>
      <c r="W78" s="119">
        <f>W76-W77</f>
        <v>2215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workbookViewId="0">
      <selection activeCell="L26" sqref="L26"/>
    </sheetView>
  </sheetViews>
  <sheetFormatPr defaultRowHeight="15" x14ac:dyDescent="0.25"/>
  <cols>
    <col min="1" max="1" width="16.42578125" customWidth="1"/>
    <col min="6" max="6" width="13.85546875" customWidth="1"/>
    <col min="8" max="8" width="15.7109375" customWidth="1"/>
    <col min="13" max="13" width="23.42578125" customWidth="1"/>
    <col min="17" max="17" width="12.140625" customWidth="1"/>
    <col min="19" max="19" width="12.28515625" customWidth="1"/>
    <col min="20" max="20" width="11.85546875" customWidth="1"/>
    <col min="21" max="21" width="12.28515625" customWidth="1"/>
    <col min="22" max="22" width="12" customWidth="1"/>
    <col min="23" max="23" width="18.42578125" customWidth="1"/>
    <col min="24" max="24" width="15.7109375" customWidth="1"/>
  </cols>
  <sheetData>
    <row r="1" spans="1:24" ht="31.5" customHeight="1" x14ac:dyDescent="0.25">
      <c r="A1" s="1"/>
      <c r="B1" s="145" t="s">
        <v>29</v>
      </c>
      <c r="C1" s="145"/>
      <c r="D1" s="145"/>
      <c r="E1" s="145"/>
      <c r="F1" s="145"/>
      <c r="G1" s="145"/>
      <c r="H1" s="145"/>
      <c r="I1" s="1"/>
      <c r="J1" s="1"/>
      <c r="M1" s="69"/>
      <c r="N1" s="69"/>
      <c r="O1" s="71"/>
      <c r="P1" s="71"/>
      <c r="Q1" s="71"/>
      <c r="R1" s="71"/>
      <c r="S1" s="71"/>
      <c r="T1" s="69"/>
      <c r="U1" s="71"/>
      <c r="V1" s="71"/>
      <c r="W1" s="71"/>
      <c r="X1" s="71"/>
    </row>
    <row r="2" spans="1:24" ht="25.5" customHeight="1" x14ac:dyDescent="0.3">
      <c r="A2" s="1"/>
      <c r="B2" s="146" t="s">
        <v>0</v>
      </c>
      <c r="C2" s="146"/>
      <c r="D2" s="146"/>
      <c r="E2" s="146"/>
      <c r="F2" s="146"/>
      <c r="G2" s="146"/>
      <c r="H2" s="146"/>
      <c r="I2" s="1"/>
      <c r="J2" s="1"/>
      <c r="M2" s="69"/>
      <c r="N2" s="69"/>
      <c r="O2" s="27"/>
      <c r="P2" s="143" t="s">
        <v>58</v>
      </c>
      <c r="Q2" s="143"/>
      <c r="R2" s="143"/>
      <c r="S2" s="143"/>
      <c r="T2" s="28"/>
      <c r="U2" s="70"/>
      <c r="V2" s="70"/>
      <c r="W2" s="70"/>
      <c r="X2" s="70"/>
    </row>
    <row r="3" spans="1:24" ht="28.5" customHeight="1" x14ac:dyDescent="0.3">
      <c r="A3" s="1"/>
      <c r="B3" s="147" t="s">
        <v>174</v>
      </c>
      <c r="C3" s="147"/>
      <c r="D3" s="147"/>
      <c r="E3" s="147"/>
      <c r="F3" s="147"/>
      <c r="G3" s="147"/>
      <c r="H3" s="147"/>
      <c r="I3" s="1"/>
      <c r="J3" s="1"/>
      <c r="M3" s="70"/>
      <c r="N3" s="27"/>
      <c r="O3" s="27"/>
      <c r="P3" s="27"/>
      <c r="Q3" s="143" t="s">
        <v>0</v>
      </c>
      <c r="R3" s="143"/>
      <c r="S3" s="71"/>
      <c r="T3" s="29"/>
      <c r="U3" s="70"/>
      <c r="V3" s="70"/>
      <c r="W3" s="70"/>
      <c r="X3" s="70"/>
    </row>
    <row r="4" spans="1:24" ht="30.75" customHeight="1" x14ac:dyDescent="0.25">
      <c r="A4" s="126" t="s">
        <v>2</v>
      </c>
      <c r="B4" s="126" t="s">
        <v>3</v>
      </c>
      <c r="C4" s="126" t="s">
        <v>4</v>
      </c>
      <c r="D4" s="126" t="s">
        <v>5</v>
      </c>
      <c r="E4" s="126" t="s">
        <v>41</v>
      </c>
      <c r="F4" s="126" t="s">
        <v>42</v>
      </c>
      <c r="G4" s="126" t="s">
        <v>6</v>
      </c>
      <c r="H4" s="126" t="s">
        <v>7</v>
      </c>
      <c r="I4" s="126" t="s">
        <v>8</v>
      </c>
      <c r="J4" s="126" t="s">
        <v>9</v>
      </c>
      <c r="M4" s="27"/>
      <c r="N4" s="70"/>
      <c r="O4" s="144" t="s">
        <v>168</v>
      </c>
      <c r="P4" s="144"/>
      <c r="Q4" s="144"/>
      <c r="R4" s="144"/>
      <c r="S4" s="144"/>
      <c r="T4" s="144"/>
      <c r="U4" s="31"/>
      <c r="V4" s="31"/>
      <c r="W4" s="31"/>
      <c r="X4" s="31"/>
    </row>
    <row r="5" spans="1:24" ht="15.75" x14ac:dyDescent="0.25">
      <c r="A5" s="3">
        <v>1</v>
      </c>
      <c r="B5" s="3" t="s">
        <v>26</v>
      </c>
      <c r="C5" s="3"/>
      <c r="D5" s="3">
        <f>'SEPT 21'!J5:J11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123</v>
      </c>
    </row>
    <row r="6" spans="1:24" ht="15.75" x14ac:dyDescent="0.25">
      <c r="A6" s="3">
        <v>2</v>
      </c>
      <c r="B6" s="3" t="s">
        <v>26</v>
      </c>
      <c r="C6" s="3"/>
      <c r="D6" s="3">
        <f>'SEPT 21'!J6:J12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>
        <f>'SEPT 21'!V6:V39</f>
        <v>0</v>
      </c>
      <c r="Q6" s="80"/>
      <c r="R6" s="81"/>
      <c r="S6" s="80"/>
      <c r="T6" s="80">
        <f>P6+Q6+R6+S6+O6</f>
        <v>0</v>
      </c>
      <c r="U6" s="80"/>
      <c r="V6" s="80">
        <f>T6-U6</f>
        <v>0</v>
      </c>
      <c r="W6" s="80"/>
      <c r="X6" s="80"/>
    </row>
    <row r="7" spans="1:24" ht="45" x14ac:dyDescent="0.25">
      <c r="A7" s="3">
        <v>3</v>
      </c>
      <c r="B7" s="127" t="s">
        <v>155</v>
      </c>
      <c r="C7" s="3"/>
      <c r="D7" s="3">
        <f>'SEPT 21'!J7:J13</f>
        <v>0</v>
      </c>
      <c r="E7" s="3">
        <v>300</v>
      </c>
      <c r="F7" s="3">
        <v>200</v>
      </c>
      <c r="G7" s="3">
        <v>8000</v>
      </c>
      <c r="H7" s="3">
        <f t="shared" si="0"/>
        <v>8500</v>
      </c>
      <c r="I7" s="3">
        <v>8500</v>
      </c>
      <c r="J7" s="3">
        <f t="shared" si="1"/>
        <v>0</v>
      </c>
      <c r="M7" s="82" t="s">
        <v>115</v>
      </c>
      <c r="N7" s="77">
        <v>2</v>
      </c>
      <c r="O7" s="78"/>
      <c r="P7" s="79">
        <f>'SEPT 21'!V7:V40</f>
        <v>350</v>
      </c>
      <c r="Q7" s="83">
        <v>2500</v>
      </c>
      <c r="R7" s="81">
        <v>350</v>
      </c>
      <c r="S7" s="83">
        <v>200</v>
      </c>
      <c r="T7" s="80">
        <f t="shared" ref="T7:T37" si="2">P7+Q7+R7+S7+O7</f>
        <v>3400</v>
      </c>
      <c r="U7" s="80">
        <v>3400</v>
      </c>
      <c r="V7" s="80">
        <f t="shared" ref="V7:V38" si="3">T7-U7</f>
        <v>0</v>
      </c>
      <c r="W7" s="80"/>
      <c r="X7" s="80"/>
    </row>
    <row r="8" spans="1:24" ht="15.75" x14ac:dyDescent="0.25">
      <c r="A8" s="3">
        <v>4</v>
      </c>
      <c r="B8" s="3"/>
      <c r="C8" s="3"/>
      <c r="D8" s="3">
        <f>'SEPT 21'!J8:J14</f>
        <v>0</v>
      </c>
      <c r="E8" s="3"/>
      <c r="F8" s="3"/>
      <c r="G8" s="3"/>
      <c r="H8" s="3">
        <f t="shared" si="0"/>
        <v>0</v>
      </c>
      <c r="I8" s="3"/>
      <c r="J8" s="3">
        <f t="shared" si="1"/>
        <v>0</v>
      </c>
      <c r="M8" s="82" t="s">
        <v>60</v>
      </c>
      <c r="N8" s="77">
        <v>3</v>
      </c>
      <c r="O8" s="78"/>
      <c r="P8" s="79">
        <f>'SEPT 21'!V8:V41</f>
        <v>10</v>
      </c>
      <c r="Q8" s="83">
        <v>2500</v>
      </c>
      <c r="R8" s="81">
        <v>350</v>
      </c>
      <c r="S8" s="83">
        <v>200</v>
      </c>
      <c r="T8" s="80">
        <f t="shared" si="2"/>
        <v>3060</v>
      </c>
      <c r="U8" s="80">
        <v>3050</v>
      </c>
      <c r="V8" s="80">
        <f t="shared" si="3"/>
        <v>10</v>
      </c>
      <c r="W8" s="80"/>
      <c r="X8" s="80"/>
    </row>
    <row r="9" spans="1:24" ht="30" x14ac:dyDescent="0.25">
      <c r="A9" s="3">
        <v>5</v>
      </c>
      <c r="B9" s="127" t="s">
        <v>95</v>
      </c>
      <c r="C9" s="3"/>
      <c r="D9" s="3">
        <f>'SEPT 21'!J9:J15</f>
        <v>250</v>
      </c>
      <c r="E9" s="3">
        <v>150</v>
      </c>
      <c r="F9" s="3">
        <v>200</v>
      </c>
      <c r="G9" s="3">
        <v>8000</v>
      </c>
      <c r="H9" s="3">
        <f t="shared" si="0"/>
        <v>8600</v>
      </c>
      <c r="I9" s="3">
        <v>8350</v>
      </c>
      <c r="J9" s="3">
        <f t="shared" si="1"/>
        <v>250</v>
      </c>
      <c r="M9" s="76" t="s">
        <v>160</v>
      </c>
      <c r="N9" s="77">
        <v>4</v>
      </c>
      <c r="O9" s="78"/>
      <c r="P9" s="79">
        <f>'SEPT 21'!V9:V42</f>
        <v>3050</v>
      </c>
      <c r="Q9" s="83">
        <v>2500</v>
      </c>
      <c r="R9" s="81">
        <v>350</v>
      </c>
      <c r="S9" s="83">
        <v>200</v>
      </c>
      <c r="T9" s="80">
        <f t="shared" si="2"/>
        <v>6100</v>
      </c>
      <c r="U9" s="80">
        <v>4000</v>
      </c>
      <c r="V9" s="80">
        <f t="shared" si="3"/>
        <v>2100</v>
      </c>
      <c r="W9" s="80"/>
      <c r="X9" s="80"/>
    </row>
    <row r="10" spans="1:24" ht="45" x14ac:dyDescent="0.25">
      <c r="A10" s="3">
        <v>6</v>
      </c>
      <c r="B10" s="128" t="s">
        <v>28</v>
      </c>
      <c r="C10" s="4"/>
      <c r="D10" s="3">
        <f>'SEPT 21'!J10:J16</f>
        <v>250</v>
      </c>
      <c r="E10" s="3">
        <v>450</v>
      </c>
      <c r="F10" s="3">
        <v>200</v>
      </c>
      <c r="G10" s="3">
        <v>8000</v>
      </c>
      <c r="H10" s="3">
        <f t="shared" si="0"/>
        <v>8900</v>
      </c>
      <c r="I10" s="3">
        <v>8500</v>
      </c>
      <c r="J10" s="3">
        <f t="shared" si="1"/>
        <v>400</v>
      </c>
      <c r="M10" s="136" t="s">
        <v>187</v>
      </c>
      <c r="N10" s="77">
        <v>5</v>
      </c>
      <c r="O10" s="78">
        <v>3000</v>
      </c>
      <c r="P10" s="79">
        <f>'SEPT 21'!V10:V43</f>
        <v>0</v>
      </c>
      <c r="Q10" s="83">
        <v>1500</v>
      </c>
      <c r="R10" s="81"/>
      <c r="S10" s="83"/>
      <c r="T10" s="80">
        <f t="shared" si="2"/>
        <v>4500</v>
      </c>
      <c r="U10" s="80">
        <v>4500</v>
      </c>
      <c r="V10" s="80">
        <f t="shared" si="3"/>
        <v>0</v>
      </c>
      <c r="W10" s="80"/>
      <c r="X10" s="80"/>
    </row>
    <row r="11" spans="1:24" ht="15.75" x14ac:dyDescent="0.25">
      <c r="A11" s="3"/>
      <c r="B11" s="2" t="s">
        <v>10</v>
      </c>
      <c r="C11" s="2">
        <f t="shared" ref="C11:J11" si="4">SUM(C5:C10)</f>
        <v>0</v>
      </c>
      <c r="D11" s="3">
        <f>'SEPT 21'!J11:J17</f>
        <v>500</v>
      </c>
      <c r="E11" s="3">
        <f t="shared" si="4"/>
        <v>900</v>
      </c>
      <c r="F11" s="3">
        <f t="shared" si="4"/>
        <v>600</v>
      </c>
      <c r="G11" s="2">
        <f t="shared" si="4"/>
        <v>24000</v>
      </c>
      <c r="H11" s="3">
        <f t="shared" si="4"/>
        <v>26000</v>
      </c>
      <c r="I11" s="2">
        <f t="shared" si="4"/>
        <v>25350</v>
      </c>
      <c r="J11" s="2">
        <f t="shared" si="4"/>
        <v>650</v>
      </c>
      <c r="M11" s="85" t="s">
        <v>63</v>
      </c>
      <c r="N11" s="77">
        <v>6</v>
      </c>
      <c r="O11" s="78"/>
      <c r="P11" s="79">
        <f>'SEPT 21'!V11:V44</f>
        <v>0</v>
      </c>
      <c r="Q11" s="83">
        <v>2500</v>
      </c>
      <c r="R11" s="81">
        <v>350</v>
      </c>
      <c r="S11" s="83">
        <v>200</v>
      </c>
      <c r="T11" s="80">
        <f t="shared" si="2"/>
        <v>3050</v>
      </c>
      <c r="U11" s="80">
        <v>3050</v>
      </c>
      <c r="V11" s="80">
        <f t="shared" si="3"/>
        <v>0</v>
      </c>
      <c r="W11" s="80"/>
      <c r="X11" s="80"/>
    </row>
    <row r="12" spans="1:24" ht="15.75" x14ac:dyDescent="0.25">
      <c r="A12" s="5"/>
      <c r="B12" s="6"/>
      <c r="C12" s="6"/>
      <c r="D12" s="3">
        <f>'SEPT 21'!J12:J18</f>
        <v>0</v>
      </c>
      <c r="E12" s="5"/>
      <c r="F12" s="5"/>
      <c r="G12" s="6" t="s">
        <v>10</v>
      </c>
      <c r="H12" s="6"/>
      <c r="I12" s="6"/>
      <c r="J12" s="7"/>
      <c r="M12" s="88" t="s">
        <v>182</v>
      </c>
      <c r="N12" s="77">
        <v>7</v>
      </c>
      <c r="O12" s="78">
        <v>3000</v>
      </c>
      <c r="P12" s="79">
        <f>'SEPT 21'!V12:V45</f>
        <v>0</v>
      </c>
      <c r="Q12" s="83">
        <v>3000</v>
      </c>
      <c r="R12" s="81"/>
      <c r="S12" s="83"/>
      <c r="T12" s="80">
        <f>P12+Q12+R12+S12+O12</f>
        <v>6000</v>
      </c>
      <c r="U12" s="80">
        <v>5000</v>
      </c>
      <c r="V12" s="80">
        <f t="shared" si="3"/>
        <v>1000</v>
      </c>
      <c r="W12" s="80"/>
      <c r="X12" s="80"/>
    </row>
    <row r="13" spans="1:24" ht="23.25" customHeight="1" x14ac:dyDescent="0.25">
      <c r="A13" s="138" t="s">
        <v>11</v>
      </c>
      <c r="B13" s="138"/>
      <c r="C13" s="138"/>
      <c r="D13" s="138"/>
      <c r="E13" s="138"/>
      <c r="F13" s="138"/>
      <c r="G13" s="138"/>
      <c r="H13" s="138"/>
      <c r="I13" s="138"/>
      <c r="J13" s="138"/>
      <c r="M13" s="86" t="s">
        <v>124</v>
      </c>
      <c r="N13" s="77">
        <v>8</v>
      </c>
      <c r="O13" s="78"/>
      <c r="P13" s="79">
        <f>'SEPT 21'!V13:V46</f>
        <v>3850</v>
      </c>
      <c r="Q13" s="83">
        <v>2500</v>
      </c>
      <c r="R13" s="81">
        <v>350</v>
      </c>
      <c r="S13" s="83">
        <v>200</v>
      </c>
      <c r="T13" s="80">
        <f>P13+Q13+R13+S13+O13</f>
        <v>6900</v>
      </c>
      <c r="U13" s="80">
        <f>3500</f>
        <v>3500</v>
      </c>
      <c r="V13" s="80">
        <f t="shared" si="3"/>
        <v>3400</v>
      </c>
      <c r="W13" s="80"/>
      <c r="X13" s="80"/>
    </row>
    <row r="14" spans="1:24" ht="28.5" customHeight="1" x14ac:dyDescent="0.25">
      <c r="A14" s="141" t="s">
        <v>12</v>
      </c>
      <c r="B14" s="139"/>
      <c r="C14" s="139"/>
      <c r="D14" s="139"/>
      <c r="E14" s="139"/>
      <c r="F14" s="139" t="s">
        <v>8</v>
      </c>
      <c r="G14" s="139"/>
      <c r="H14" s="139"/>
      <c r="I14" s="139"/>
      <c r="J14" s="140"/>
      <c r="M14" s="76" t="s">
        <v>122</v>
      </c>
      <c r="N14" s="77">
        <v>9</v>
      </c>
      <c r="O14" s="78"/>
      <c r="P14" s="79">
        <f>'SEPT 21'!V14:V47</f>
        <v>4600</v>
      </c>
      <c r="Q14" s="83">
        <v>2500</v>
      </c>
      <c r="R14" s="81">
        <v>350</v>
      </c>
      <c r="S14" s="83">
        <v>200</v>
      </c>
      <c r="T14" s="80">
        <f>P14+Q14+R14+S14+O14</f>
        <v>7650</v>
      </c>
      <c r="U14" s="80">
        <f>4000+1000</f>
        <v>5000</v>
      </c>
      <c r="V14" s="80">
        <f t="shared" si="3"/>
        <v>2650</v>
      </c>
      <c r="W14" s="80"/>
      <c r="X14" s="80"/>
    </row>
    <row r="15" spans="1:24" ht="15.75" x14ac:dyDescent="0.25">
      <c r="A15" s="129" t="s">
        <v>13</v>
      </c>
      <c r="B15" s="129"/>
      <c r="C15" s="129" t="s">
        <v>14</v>
      </c>
      <c r="D15" s="129"/>
      <c r="E15" s="129" t="s">
        <v>15</v>
      </c>
      <c r="F15" s="129" t="s">
        <v>16</v>
      </c>
      <c r="G15" s="129" t="s">
        <v>13</v>
      </c>
      <c r="H15" s="129" t="s">
        <v>14</v>
      </c>
      <c r="I15" s="129" t="s">
        <v>15</v>
      </c>
      <c r="J15" s="129" t="s">
        <v>16</v>
      </c>
      <c r="M15" s="82" t="s">
        <v>134</v>
      </c>
      <c r="N15" s="77">
        <v>10</v>
      </c>
      <c r="O15" s="78"/>
      <c r="P15" s="79">
        <f>'SEPT 21'!V15:V48</f>
        <v>0</v>
      </c>
      <c r="Q15" s="83">
        <v>2500</v>
      </c>
      <c r="R15" s="81">
        <v>350</v>
      </c>
      <c r="S15" s="83">
        <v>200</v>
      </c>
      <c r="T15" s="80">
        <f t="shared" si="2"/>
        <v>3050</v>
      </c>
      <c r="U15" s="80">
        <f>3050</f>
        <v>3050</v>
      </c>
      <c r="V15" s="80">
        <f t="shared" si="3"/>
        <v>0</v>
      </c>
      <c r="W15" s="80"/>
      <c r="X15" s="80"/>
    </row>
    <row r="16" spans="1:24" ht="15.75" x14ac:dyDescent="0.25">
      <c r="A16" s="130" t="s">
        <v>175</v>
      </c>
      <c r="B16" s="17"/>
      <c r="C16" s="18">
        <f>G11</f>
        <v>24000</v>
      </c>
      <c r="D16" s="18"/>
      <c r="E16" s="17"/>
      <c r="F16" s="17"/>
      <c r="G16" s="17" t="s">
        <v>175</v>
      </c>
      <c r="H16" s="18">
        <f>I11</f>
        <v>25350</v>
      </c>
      <c r="I16" s="17"/>
      <c r="J16" s="17"/>
      <c r="M16" s="76" t="s">
        <v>61</v>
      </c>
      <c r="N16" s="77">
        <v>11</v>
      </c>
      <c r="O16" s="84"/>
      <c r="P16" s="79">
        <f>'SEPT 21'!V16:V49</f>
        <v>400</v>
      </c>
      <c r="Q16" s="83">
        <v>4500</v>
      </c>
      <c r="R16" s="81">
        <v>350</v>
      </c>
      <c r="S16" s="83">
        <v>200</v>
      </c>
      <c r="T16" s="80">
        <f t="shared" si="2"/>
        <v>5450</v>
      </c>
      <c r="U16" s="80">
        <v>5050</v>
      </c>
      <c r="V16" s="80">
        <f t="shared" si="3"/>
        <v>400</v>
      </c>
      <c r="W16" s="80"/>
      <c r="X16" s="80"/>
    </row>
    <row r="17" spans="1:24" ht="15.75" x14ac:dyDescent="0.25">
      <c r="A17" s="130" t="s">
        <v>5</v>
      </c>
      <c r="B17" s="17"/>
      <c r="C17" s="18">
        <f>'SEPT 21'!F29</f>
        <v>0</v>
      </c>
      <c r="D17" s="18"/>
      <c r="E17" s="17"/>
      <c r="F17" s="17"/>
      <c r="G17" s="17" t="s">
        <v>5</v>
      </c>
      <c r="H17" s="18">
        <f>'SEPT 21'!J29</f>
        <v>150</v>
      </c>
      <c r="I17" s="17"/>
      <c r="J17" s="17"/>
      <c r="M17" s="82" t="s">
        <v>186</v>
      </c>
      <c r="N17" s="77">
        <v>12</v>
      </c>
      <c r="O17" s="84">
        <v>2500</v>
      </c>
      <c r="P17" s="79">
        <v>0</v>
      </c>
      <c r="Q17" s="83">
        <v>1500</v>
      </c>
      <c r="R17" s="81"/>
      <c r="S17" s="83"/>
      <c r="T17" s="80">
        <f t="shared" si="2"/>
        <v>4000</v>
      </c>
      <c r="U17" s="80">
        <v>4000</v>
      </c>
      <c r="V17" s="80">
        <f t="shared" si="3"/>
        <v>0</v>
      </c>
      <c r="W17" s="80"/>
      <c r="X17" s="80"/>
    </row>
    <row r="18" spans="1:24" ht="15.75" x14ac:dyDescent="0.25">
      <c r="A18" s="131" t="s">
        <v>150</v>
      </c>
      <c r="B18" s="3"/>
      <c r="C18" s="3"/>
      <c r="D18" s="3"/>
      <c r="E18" s="3"/>
      <c r="F18" s="3"/>
      <c r="G18" s="3"/>
      <c r="I18" s="17"/>
      <c r="J18" s="17"/>
      <c r="M18" s="76" t="s">
        <v>131</v>
      </c>
      <c r="N18" s="77">
        <v>13</v>
      </c>
      <c r="O18" s="78"/>
      <c r="P18" s="79">
        <f>'SEPT 21'!V18:V51</f>
        <v>1250</v>
      </c>
      <c r="Q18" s="83">
        <v>2500</v>
      </c>
      <c r="R18" s="81">
        <v>350</v>
      </c>
      <c r="S18" s="83">
        <v>200</v>
      </c>
      <c r="T18" s="80">
        <f t="shared" si="2"/>
        <v>4300</v>
      </c>
      <c r="U18" s="80">
        <f>3050</f>
        <v>3050</v>
      </c>
      <c r="V18" s="80">
        <f t="shared" si="3"/>
        <v>1250</v>
      </c>
      <c r="W18" s="80"/>
      <c r="X18" s="80"/>
    </row>
    <row r="19" spans="1:24" ht="15.75" x14ac:dyDescent="0.25">
      <c r="A19" s="131" t="s">
        <v>41</v>
      </c>
      <c r="B19" s="3"/>
      <c r="C19" s="3">
        <f>E11</f>
        <v>900</v>
      </c>
      <c r="D19" s="3"/>
      <c r="E19" s="3"/>
      <c r="F19" s="3"/>
      <c r="G19" s="3"/>
      <c r="H19" s="14"/>
      <c r="I19" s="17"/>
      <c r="J19" s="17"/>
      <c r="M19" s="76" t="s">
        <v>71</v>
      </c>
      <c r="N19" s="77">
        <v>14</v>
      </c>
      <c r="O19" s="78"/>
      <c r="P19" s="79">
        <f>'SEPT 21'!V19:V52</f>
        <v>0</v>
      </c>
      <c r="Q19" s="83">
        <v>2700</v>
      </c>
      <c r="R19" s="81">
        <v>320</v>
      </c>
      <c r="S19" s="83">
        <v>200</v>
      </c>
      <c r="T19" s="80">
        <f t="shared" si="2"/>
        <v>3220</v>
      </c>
      <c r="U19" s="80">
        <v>3220</v>
      </c>
      <c r="V19" s="80">
        <f t="shared" si="3"/>
        <v>0</v>
      </c>
      <c r="W19" s="80"/>
      <c r="X19" s="80"/>
    </row>
    <row r="20" spans="1:24" ht="15.75" x14ac:dyDescent="0.25">
      <c r="A20" s="131" t="s">
        <v>42</v>
      </c>
      <c r="B20" s="3"/>
      <c r="C20" s="3">
        <f>F11</f>
        <v>600</v>
      </c>
      <c r="D20" s="3"/>
      <c r="E20" s="3"/>
      <c r="F20" s="3"/>
      <c r="G20" s="3"/>
      <c r="H20" s="3"/>
      <c r="I20" s="17"/>
      <c r="J20" s="17"/>
      <c r="M20" s="82" t="s">
        <v>72</v>
      </c>
      <c r="N20" s="77">
        <v>15</v>
      </c>
      <c r="O20" s="78"/>
      <c r="P20" s="79">
        <f>'SEPT 21'!V20:V53</f>
        <v>20</v>
      </c>
      <c r="Q20" s="83">
        <v>4500</v>
      </c>
      <c r="R20" s="81">
        <v>350</v>
      </c>
      <c r="S20" s="83">
        <v>200</v>
      </c>
      <c r="T20" s="80">
        <f t="shared" si="2"/>
        <v>5070</v>
      </c>
      <c r="U20" s="80">
        <v>5050</v>
      </c>
      <c r="V20" s="80">
        <f t="shared" si="3"/>
        <v>20</v>
      </c>
      <c r="W20" s="80"/>
      <c r="X20" s="80"/>
    </row>
    <row r="21" spans="1:24" ht="15.75" x14ac:dyDescent="0.25">
      <c r="A21" s="130" t="s">
        <v>18</v>
      </c>
      <c r="B21" s="17"/>
      <c r="C21" s="20">
        <v>7.0000000000000007E-2</v>
      </c>
      <c r="D21" s="20"/>
      <c r="E21" s="18">
        <f>C16*C21</f>
        <v>1680.0000000000002</v>
      </c>
      <c r="F21" s="17"/>
      <c r="G21" s="17" t="s">
        <v>18</v>
      </c>
      <c r="H21" s="20">
        <v>7.0000000000000007E-2</v>
      </c>
      <c r="I21" s="18">
        <v>1680</v>
      </c>
      <c r="J21" s="17"/>
      <c r="M21" s="88" t="s">
        <v>172</v>
      </c>
      <c r="N21" s="123">
        <v>16</v>
      </c>
      <c r="O21" s="84"/>
      <c r="P21" s="79"/>
      <c r="Q21" s="83">
        <v>4500</v>
      </c>
      <c r="R21" s="81">
        <v>350</v>
      </c>
      <c r="S21" s="83">
        <v>200</v>
      </c>
      <c r="T21" s="80">
        <f t="shared" si="2"/>
        <v>5050</v>
      </c>
      <c r="U21" s="80">
        <v>5050</v>
      </c>
      <c r="V21" s="80">
        <f t="shared" si="3"/>
        <v>0</v>
      </c>
      <c r="W21" s="80"/>
      <c r="X21" s="80"/>
    </row>
    <row r="22" spans="1:24" ht="15.75" x14ac:dyDescent="0.25">
      <c r="A22" s="16" t="s">
        <v>19</v>
      </c>
      <c r="C22" s="18"/>
      <c r="D22" s="18"/>
      <c r="E22" s="16"/>
      <c r="F22" s="16"/>
      <c r="G22" s="16" t="s">
        <v>19</v>
      </c>
      <c r="H22" s="21"/>
      <c r="I22" s="16"/>
      <c r="J22" s="16"/>
      <c r="M22" s="88" t="s">
        <v>171</v>
      </c>
      <c r="N22" s="77">
        <v>17</v>
      </c>
      <c r="O22" s="78"/>
      <c r="P22" s="79">
        <f>'SEPT 21'!V22:V55</f>
        <v>0</v>
      </c>
      <c r="Q22" s="83">
        <v>4500</v>
      </c>
      <c r="R22" s="81">
        <v>350</v>
      </c>
      <c r="S22" s="83">
        <v>200</v>
      </c>
      <c r="T22" s="80">
        <f t="shared" si="2"/>
        <v>5050</v>
      </c>
      <c r="U22" s="80">
        <v>5050</v>
      </c>
      <c r="V22" s="80">
        <f t="shared" si="3"/>
        <v>0</v>
      </c>
      <c r="W22" s="80"/>
      <c r="X22" s="80"/>
    </row>
    <row r="23" spans="1:24" ht="15.75" x14ac:dyDescent="0.25">
      <c r="A23" s="22" t="s">
        <v>188</v>
      </c>
      <c r="B23" s="20"/>
      <c r="C23" s="17"/>
      <c r="D23" s="17"/>
      <c r="E23" s="17">
        <v>23820</v>
      </c>
      <c r="F23" s="17"/>
      <c r="G23" s="22" t="s">
        <v>188</v>
      </c>
      <c r="H23" s="20"/>
      <c r="I23" s="17">
        <v>23820</v>
      </c>
      <c r="J23" s="17"/>
      <c r="K23" s="17"/>
      <c r="M23" s="82" t="s">
        <v>114</v>
      </c>
      <c r="N23" s="77">
        <v>18</v>
      </c>
      <c r="O23" s="78"/>
      <c r="P23" s="79">
        <f>'SEPT 21'!V23:V56</f>
        <v>0</v>
      </c>
      <c r="Q23" s="83">
        <v>4500</v>
      </c>
      <c r="R23" s="81">
        <v>350</v>
      </c>
      <c r="S23" s="83">
        <v>200</v>
      </c>
      <c r="T23" s="80">
        <f t="shared" si="2"/>
        <v>5050</v>
      </c>
      <c r="U23" s="80">
        <v>5050</v>
      </c>
      <c r="V23" s="80">
        <f t="shared" si="3"/>
        <v>0</v>
      </c>
      <c r="W23" s="80"/>
      <c r="X23" s="80"/>
    </row>
    <row r="24" spans="1:24" ht="15.75" x14ac:dyDescent="0.25">
      <c r="A24" s="104"/>
      <c r="B24" s="23"/>
      <c r="C24" s="17"/>
      <c r="D24" s="17"/>
      <c r="E24" s="17"/>
      <c r="F24" s="17"/>
      <c r="G24" s="104"/>
      <c r="H24" s="23"/>
      <c r="I24" s="17"/>
      <c r="J24" s="17"/>
      <c r="K24" s="17"/>
      <c r="M24" s="76" t="s">
        <v>76</v>
      </c>
      <c r="N24" s="77">
        <v>19</v>
      </c>
      <c r="O24" s="78"/>
      <c r="P24" s="79">
        <f>'SEPT 21'!V24:V57</f>
        <v>0</v>
      </c>
      <c r="Q24" s="83">
        <v>2500</v>
      </c>
      <c r="R24" s="81">
        <v>320</v>
      </c>
      <c r="S24" s="83">
        <v>200</v>
      </c>
      <c r="T24" s="80">
        <f t="shared" si="2"/>
        <v>3020</v>
      </c>
      <c r="U24" s="80">
        <v>3020</v>
      </c>
      <c r="V24" s="80">
        <f t="shared" si="3"/>
        <v>0</v>
      </c>
      <c r="W24" s="80"/>
      <c r="X24" s="80"/>
    </row>
    <row r="25" spans="1:24" ht="15.75" x14ac:dyDescent="0.25">
      <c r="A25" s="23"/>
      <c r="B25" s="23"/>
      <c r="C25" s="17"/>
      <c r="D25" s="17"/>
      <c r="E25" s="17"/>
      <c r="F25" s="17"/>
      <c r="G25" s="23"/>
      <c r="H25" s="23"/>
      <c r="I25" s="17"/>
      <c r="J25" s="17"/>
      <c r="K25" s="17"/>
      <c r="M25" s="76" t="s">
        <v>81</v>
      </c>
      <c r="N25" s="77">
        <v>20</v>
      </c>
      <c r="O25" s="78"/>
      <c r="P25" s="79">
        <f>'SEPT 21'!V25:V58</f>
        <v>20</v>
      </c>
      <c r="Q25" s="83">
        <v>2500</v>
      </c>
      <c r="R25" s="81">
        <v>320</v>
      </c>
      <c r="S25" s="83"/>
      <c r="T25" s="80">
        <f t="shared" si="2"/>
        <v>2840</v>
      </c>
      <c r="U25" s="80">
        <v>2840</v>
      </c>
      <c r="V25" s="80">
        <f t="shared" si="3"/>
        <v>0</v>
      </c>
      <c r="W25" s="80"/>
      <c r="X25" s="80"/>
    </row>
    <row r="26" spans="1:24" ht="15.75" x14ac:dyDescent="0.25">
      <c r="A26" s="23"/>
      <c r="B26" s="23"/>
      <c r="C26" s="17"/>
      <c r="D26" s="17"/>
      <c r="E26" s="17"/>
      <c r="F26" s="17"/>
      <c r="G26" s="23"/>
      <c r="H26" s="23"/>
      <c r="I26" s="17"/>
      <c r="J26" s="17"/>
      <c r="M26" s="76" t="s">
        <v>78</v>
      </c>
      <c r="N26" s="77">
        <v>21</v>
      </c>
      <c r="O26" s="78"/>
      <c r="P26" s="79">
        <f>'SEPT 21'!V26:V59</f>
        <v>0</v>
      </c>
      <c r="Q26" s="83">
        <v>2500</v>
      </c>
      <c r="R26" s="81">
        <v>320</v>
      </c>
      <c r="S26" s="83">
        <v>200</v>
      </c>
      <c r="T26" s="80">
        <f t="shared" si="2"/>
        <v>3020</v>
      </c>
      <c r="U26" s="80">
        <v>3020</v>
      </c>
      <c r="V26" s="80">
        <f t="shared" si="3"/>
        <v>0</v>
      </c>
      <c r="W26" s="80"/>
      <c r="X26" s="80"/>
    </row>
    <row r="27" spans="1:24" ht="15.75" x14ac:dyDescent="0.25">
      <c r="A27" s="24"/>
      <c r="B27" s="24"/>
      <c r="C27" s="17"/>
      <c r="D27" s="17"/>
      <c r="E27" s="17"/>
      <c r="F27" s="17"/>
      <c r="H27" s="23"/>
      <c r="I27" s="25"/>
      <c r="J27" s="17"/>
      <c r="M27" s="76" t="s">
        <v>170</v>
      </c>
      <c r="N27" s="77">
        <v>22</v>
      </c>
      <c r="O27" s="78"/>
      <c r="P27" s="79"/>
      <c r="Q27" s="83">
        <v>4500</v>
      </c>
      <c r="R27" s="81">
        <v>350</v>
      </c>
      <c r="S27" s="83">
        <v>200</v>
      </c>
      <c r="T27" s="80">
        <f t="shared" si="2"/>
        <v>5050</v>
      </c>
      <c r="U27" s="80">
        <v>5050</v>
      </c>
      <c r="V27" s="80">
        <f t="shared" si="3"/>
        <v>0</v>
      </c>
      <c r="W27" s="80"/>
      <c r="X27" s="80"/>
    </row>
    <row r="28" spans="1:24" ht="15.75" x14ac:dyDescent="0.25">
      <c r="A28" s="23"/>
      <c r="B28" s="23"/>
      <c r="C28" s="17"/>
      <c r="D28" s="17"/>
      <c r="E28" s="25"/>
      <c r="F28" s="17"/>
      <c r="G28" s="17"/>
      <c r="H28" s="17"/>
      <c r="I28" s="17"/>
      <c r="J28" s="17"/>
      <c r="M28" s="88" t="s">
        <v>180</v>
      </c>
      <c r="N28" s="77">
        <v>23</v>
      </c>
      <c r="O28" s="78">
        <v>2500</v>
      </c>
      <c r="P28" s="79">
        <f>'SEPT 21'!V28:V61</f>
        <v>0</v>
      </c>
      <c r="Q28" s="83">
        <v>2500</v>
      </c>
      <c r="R28" s="81"/>
      <c r="S28" s="83"/>
      <c r="T28" s="80">
        <f t="shared" si="2"/>
        <v>5000</v>
      </c>
      <c r="U28" s="80">
        <v>3500</v>
      </c>
      <c r="V28" s="80">
        <f t="shared" si="3"/>
        <v>1500</v>
      </c>
      <c r="W28" s="80"/>
      <c r="X28" s="80"/>
    </row>
    <row r="29" spans="1:24" ht="27" customHeight="1" x14ac:dyDescent="0.25">
      <c r="A29" s="134" t="s">
        <v>20</v>
      </c>
      <c r="B29" s="132"/>
      <c r="C29" s="133">
        <f>C16+C17+C18+C19+C20-E21</f>
        <v>23820</v>
      </c>
      <c r="D29" s="133"/>
      <c r="E29" s="133">
        <f>SUM(E23:E28)</f>
        <v>23820</v>
      </c>
      <c r="F29" s="133">
        <f>C29-E29</f>
        <v>0</v>
      </c>
      <c r="G29" s="134" t="s">
        <v>20</v>
      </c>
      <c r="H29" s="133">
        <f>H16+H17-I21</f>
        <v>23820</v>
      </c>
      <c r="I29" s="133">
        <f>SUM(I23:I28)</f>
        <v>23820</v>
      </c>
      <c r="J29" s="133">
        <f>H29-I29</f>
        <v>0</v>
      </c>
      <c r="M29" s="76" t="s">
        <v>80</v>
      </c>
      <c r="N29" s="77">
        <v>24</v>
      </c>
      <c r="O29" s="78"/>
      <c r="P29" s="79">
        <f>'SEPT 21'!V29:V62</f>
        <v>0</v>
      </c>
      <c r="Q29" s="83">
        <v>2500</v>
      </c>
      <c r="R29" s="81">
        <v>350</v>
      </c>
      <c r="S29" s="83">
        <v>200</v>
      </c>
      <c r="T29" s="80">
        <f t="shared" si="2"/>
        <v>3050</v>
      </c>
      <c r="U29" s="80">
        <v>3050</v>
      </c>
      <c r="V29" s="80">
        <f t="shared" si="3"/>
        <v>0</v>
      </c>
      <c r="W29" s="80"/>
      <c r="X29" s="80"/>
    </row>
    <row r="30" spans="1:24" ht="15.75" x14ac:dyDescent="0.25">
      <c r="K30" s="119">
        <f>F29+H17</f>
        <v>150</v>
      </c>
      <c r="M30" s="76" t="s">
        <v>82</v>
      </c>
      <c r="N30" s="77">
        <v>25</v>
      </c>
      <c r="O30" s="78"/>
      <c r="P30" s="79">
        <f>'SEPT 21'!V30:V63</f>
        <v>0</v>
      </c>
      <c r="Q30" s="83">
        <v>2700</v>
      </c>
      <c r="R30" s="81">
        <v>320</v>
      </c>
      <c r="S30" s="83">
        <v>200</v>
      </c>
      <c r="T30" s="80">
        <f t="shared" si="2"/>
        <v>3220</v>
      </c>
      <c r="U30" s="80">
        <v>3220</v>
      </c>
      <c r="V30" s="80">
        <f t="shared" si="3"/>
        <v>0</v>
      </c>
      <c r="W30" s="80"/>
      <c r="X30" s="80"/>
    </row>
    <row r="31" spans="1:24" ht="26.25" customHeight="1" x14ac:dyDescent="0.25">
      <c r="A31" s="142" t="s">
        <v>21</v>
      </c>
      <c r="B31" s="142"/>
      <c r="E31" s="142" t="s">
        <v>22</v>
      </c>
      <c r="F31" s="142"/>
      <c r="H31" s="142" t="s">
        <v>23</v>
      </c>
      <c r="I31" s="142"/>
      <c r="M31" s="76" t="s">
        <v>83</v>
      </c>
      <c r="N31" s="77">
        <v>26</v>
      </c>
      <c r="O31" s="78"/>
      <c r="P31" s="79">
        <f>'SEPT 21'!V31:V64</f>
        <v>558</v>
      </c>
      <c r="Q31" s="83">
        <v>4500</v>
      </c>
      <c r="R31" s="81">
        <v>350</v>
      </c>
      <c r="S31" s="83">
        <v>200</v>
      </c>
      <c r="T31" s="80">
        <f t="shared" si="2"/>
        <v>5608</v>
      </c>
      <c r="U31" s="80">
        <v>5050</v>
      </c>
      <c r="V31" s="80">
        <f t="shared" si="3"/>
        <v>558</v>
      </c>
      <c r="W31" s="80"/>
      <c r="X31" s="80"/>
    </row>
    <row r="32" spans="1:24" ht="15.75" x14ac:dyDescent="0.25">
      <c r="A32" s="137" t="s">
        <v>24</v>
      </c>
      <c r="B32" s="137"/>
      <c r="E32" s="137" t="s">
        <v>25</v>
      </c>
      <c r="F32" s="137"/>
      <c r="H32" s="137" t="s">
        <v>34</v>
      </c>
      <c r="I32" s="137"/>
      <c r="M32" s="76" t="s">
        <v>84</v>
      </c>
      <c r="N32" s="77">
        <v>27</v>
      </c>
      <c r="O32" s="78"/>
      <c r="P32" s="79">
        <f>'SEPT 21'!V32:V65</f>
        <v>1220</v>
      </c>
      <c r="Q32" s="83">
        <v>4500</v>
      </c>
      <c r="R32" s="81">
        <v>320</v>
      </c>
      <c r="S32" s="83">
        <v>200</v>
      </c>
      <c r="T32" s="80">
        <f t="shared" si="2"/>
        <v>6240</v>
      </c>
      <c r="U32" s="80">
        <f>3000+1220</f>
        <v>4220</v>
      </c>
      <c r="V32" s="80">
        <f t="shared" si="3"/>
        <v>2020</v>
      </c>
      <c r="W32" s="80"/>
      <c r="X32" s="69"/>
    </row>
    <row r="33" spans="3:24" ht="22.5" customHeight="1" x14ac:dyDescent="0.25">
      <c r="M33" s="88" t="s">
        <v>181</v>
      </c>
      <c r="N33" s="77">
        <v>28</v>
      </c>
      <c r="O33" s="78">
        <v>4500</v>
      </c>
      <c r="P33" s="79">
        <f>'SEPT 21'!V33:V66</f>
        <v>0</v>
      </c>
      <c r="Q33" s="83">
        <v>4500</v>
      </c>
      <c r="R33" s="81"/>
      <c r="S33" s="83">
        <v>200</v>
      </c>
      <c r="T33" s="80">
        <f>P33+Q33+R33+S33+O33</f>
        <v>9200</v>
      </c>
      <c r="U33" s="80">
        <f>3000+6000+200</f>
        <v>9200</v>
      </c>
      <c r="V33" s="80">
        <f t="shared" si="3"/>
        <v>0</v>
      </c>
      <c r="W33" s="80"/>
      <c r="X33" s="80"/>
    </row>
    <row r="34" spans="3:24" ht="15.75" x14ac:dyDescent="0.25">
      <c r="M34" s="76" t="s">
        <v>85</v>
      </c>
      <c r="N34" s="77">
        <v>29</v>
      </c>
      <c r="O34" s="78"/>
      <c r="P34" s="79">
        <f>'SEPT 21'!V34:V67</f>
        <v>2520</v>
      </c>
      <c r="Q34" s="83">
        <v>4500</v>
      </c>
      <c r="R34" s="81">
        <f>350</f>
        <v>350</v>
      </c>
      <c r="S34" s="83">
        <v>200</v>
      </c>
      <c r="T34" s="80">
        <f t="shared" si="2"/>
        <v>7570</v>
      </c>
      <c r="U34" s="80">
        <f>7050</f>
        <v>7050</v>
      </c>
      <c r="V34" s="80">
        <f t="shared" si="3"/>
        <v>520</v>
      </c>
      <c r="W34" s="80"/>
      <c r="X34" s="80"/>
    </row>
    <row r="35" spans="3:24" ht="15.75" x14ac:dyDescent="0.25">
      <c r="G35" s="119">
        <f>F29-400</f>
        <v>-400</v>
      </c>
      <c r="M35" s="76"/>
      <c r="N35" s="77"/>
      <c r="O35" s="78"/>
      <c r="P35" s="79">
        <f>'SEPT 21'!V35:V68</f>
        <v>0</v>
      </c>
      <c r="Q35" s="83"/>
      <c r="R35" s="81"/>
      <c r="S35" s="83"/>
      <c r="T35" s="80">
        <f t="shared" si="2"/>
        <v>0</v>
      </c>
      <c r="U35" s="80"/>
      <c r="V35" s="80">
        <f t="shared" si="3"/>
        <v>0</v>
      </c>
      <c r="W35" s="80"/>
      <c r="X35" s="80"/>
    </row>
    <row r="36" spans="3:24" ht="15.75" x14ac:dyDescent="0.25">
      <c r="C36" s="119"/>
      <c r="E36" s="119"/>
      <c r="M36" s="76" t="s">
        <v>183</v>
      </c>
      <c r="N36" s="77" t="s">
        <v>86</v>
      </c>
      <c r="O36" s="78">
        <v>9000</v>
      </c>
      <c r="P36" s="79">
        <f>'SEPT 21'!V36:V69</f>
        <v>0</v>
      </c>
      <c r="Q36" s="83">
        <v>9000</v>
      </c>
      <c r="R36" s="81"/>
      <c r="S36" s="83"/>
      <c r="T36" s="80">
        <f t="shared" si="2"/>
        <v>18000</v>
      </c>
      <c r="U36" s="80">
        <v>18000</v>
      </c>
      <c r="V36" s="80">
        <f t="shared" si="3"/>
        <v>0</v>
      </c>
      <c r="W36" s="80"/>
      <c r="X36" s="80"/>
    </row>
    <row r="37" spans="3:24" ht="15.75" x14ac:dyDescent="0.25">
      <c r="C37" s="119"/>
      <c r="E37" s="119"/>
      <c r="I37" s="119">
        <f>F29-400</f>
        <v>-400</v>
      </c>
      <c r="M37" s="76" t="s">
        <v>93</v>
      </c>
      <c r="N37" s="77" t="s">
        <v>87</v>
      </c>
      <c r="O37" s="78"/>
      <c r="P37" s="79">
        <f>'SEPT 21'!V37:V70</f>
        <v>0</v>
      </c>
      <c r="Q37" s="83">
        <v>7000</v>
      </c>
      <c r="R37" s="81"/>
      <c r="S37" s="83"/>
      <c r="T37" s="80">
        <f t="shared" si="2"/>
        <v>7000</v>
      </c>
      <c r="U37" s="80">
        <v>7000</v>
      </c>
      <c r="V37" s="80">
        <f t="shared" si="3"/>
        <v>0</v>
      </c>
      <c r="W37" s="80"/>
      <c r="X37" s="80"/>
    </row>
    <row r="38" spans="3:24" ht="15.75" x14ac:dyDescent="0.25">
      <c r="C38" s="119"/>
      <c r="E38" s="119"/>
      <c r="M38" s="76" t="s">
        <v>92</v>
      </c>
      <c r="N38" s="77" t="s">
        <v>88</v>
      </c>
      <c r="O38" s="78"/>
      <c r="P38" s="79">
        <f>'SEPT 21'!V38:V71</f>
        <v>0</v>
      </c>
      <c r="Q38" s="83">
        <v>7000</v>
      </c>
      <c r="R38" s="81"/>
      <c r="S38" s="83"/>
      <c r="T38" s="80">
        <f>P38+Q38+R38+S38+O38</f>
        <v>7000</v>
      </c>
      <c r="U38" s="80">
        <v>7000</v>
      </c>
      <c r="V38" s="80">
        <f t="shared" si="3"/>
        <v>0</v>
      </c>
      <c r="W38" s="80"/>
      <c r="X38" s="80"/>
    </row>
    <row r="39" spans="3:24" ht="15.75" x14ac:dyDescent="0.25">
      <c r="M39" s="90" t="s">
        <v>51</v>
      </c>
      <c r="N39" s="76"/>
      <c r="O39" s="78">
        <f t="shared" ref="O39:X39" si="5">SUM(O6:O38)</f>
        <v>24500</v>
      </c>
      <c r="P39" s="79">
        <f>SUM(P6:P38)</f>
        <v>17848</v>
      </c>
      <c r="Q39" s="91">
        <f>SUM(Q6:Q38)</f>
        <v>111900</v>
      </c>
      <c r="R39" s="92">
        <f t="shared" si="5"/>
        <v>7870</v>
      </c>
      <c r="S39" s="93">
        <f t="shared" si="5"/>
        <v>4600</v>
      </c>
      <c r="T39" s="80">
        <f>SUM(T6:T38)</f>
        <v>166718</v>
      </c>
      <c r="U39" s="80">
        <f>SUM(U6:U38)</f>
        <v>151290</v>
      </c>
      <c r="V39" s="80">
        <f>SUM(V6:V38)</f>
        <v>15428</v>
      </c>
      <c r="W39" s="80">
        <f>SUM(W6:W38)</f>
        <v>0</v>
      </c>
      <c r="X39" s="80">
        <f t="shared" si="5"/>
        <v>0</v>
      </c>
    </row>
    <row r="40" spans="3:24" ht="15.75" x14ac:dyDescent="0.25">
      <c r="E40" s="119">
        <f>C16-E21</f>
        <v>22320</v>
      </c>
      <c r="M40" s="94" t="s">
        <v>12</v>
      </c>
      <c r="N40" s="94"/>
      <c r="O40" s="94"/>
      <c r="P40" s="79">
        <f>'JULY 21'!V40:V69</f>
        <v>0</v>
      </c>
      <c r="Q40" s="118">
        <f>Q39-Q38-Q37-Q36</f>
        <v>88900</v>
      </c>
      <c r="R40" s="94" t="s">
        <v>8</v>
      </c>
      <c r="S40" s="94"/>
      <c r="T40" s="94"/>
      <c r="U40" s="70"/>
      <c r="V40" s="70"/>
      <c r="W40" s="70"/>
      <c r="X40" s="71"/>
    </row>
    <row r="41" spans="3:24" ht="15.75" x14ac:dyDescent="0.25">
      <c r="E41">
        <f>C19</f>
        <v>900</v>
      </c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</row>
    <row r="42" spans="3:24" ht="15.75" x14ac:dyDescent="0.25">
      <c r="E42">
        <f>C20</f>
        <v>600</v>
      </c>
      <c r="M42" s="76" t="s">
        <v>175</v>
      </c>
      <c r="N42" s="98">
        <f>Q39</f>
        <v>111900</v>
      </c>
      <c r="O42" s="76"/>
      <c r="P42" s="76"/>
      <c r="Q42" s="76"/>
      <c r="R42" s="76" t="s">
        <v>175</v>
      </c>
      <c r="S42" s="76"/>
      <c r="T42" s="99">
        <f>U39</f>
        <v>151290</v>
      </c>
      <c r="U42" s="76"/>
      <c r="V42" s="76"/>
      <c r="W42" s="76"/>
      <c r="X42" s="100"/>
    </row>
    <row r="43" spans="3:24" ht="15.75" x14ac:dyDescent="0.25">
      <c r="E43" s="119">
        <f>E40+E41+E42</f>
        <v>23820</v>
      </c>
      <c r="I43" s="119"/>
      <c r="M43" s="76" t="s">
        <v>5</v>
      </c>
      <c r="N43" s="98">
        <f>'SEPT 21'!P59</f>
        <v>-5995.5</v>
      </c>
      <c r="O43" s="76"/>
      <c r="P43" s="76"/>
      <c r="Q43" s="76"/>
      <c r="R43" s="76" t="s">
        <v>5</v>
      </c>
      <c r="S43" s="76"/>
      <c r="T43" s="98">
        <f>'SEPT 21'!V59</f>
        <v>-23225.5</v>
      </c>
      <c r="U43" s="76"/>
      <c r="V43" s="76"/>
      <c r="W43" s="76"/>
      <c r="X43" s="100"/>
    </row>
    <row r="44" spans="3:24" ht="15.75" x14ac:dyDescent="0.25">
      <c r="M44" s="76" t="s">
        <v>4</v>
      </c>
      <c r="N44" s="98">
        <f>O39</f>
        <v>24500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</row>
    <row r="45" spans="3:24" ht="15.75" x14ac:dyDescent="0.25">
      <c r="M45" s="76" t="s">
        <v>41</v>
      </c>
      <c r="N45" s="98">
        <f>R39</f>
        <v>7870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</row>
    <row r="46" spans="3:24" ht="15.75" x14ac:dyDescent="0.25">
      <c r="M46" s="76" t="s">
        <v>53</v>
      </c>
      <c r="N46" s="98">
        <f>W39</f>
        <v>0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</row>
    <row r="47" spans="3:24" ht="15.75" x14ac:dyDescent="0.25">
      <c r="M47" s="76" t="s">
        <v>42</v>
      </c>
      <c r="N47" s="98">
        <f>S39</f>
        <v>4600</v>
      </c>
      <c r="O47" s="76"/>
      <c r="P47" s="76"/>
      <c r="Q47" s="76"/>
      <c r="R47" s="76" t="s">
        <v>126</v>
      </c>
      <c r="S47" s="76"/>
      <c r="T47" s="99">
        <f>X39</f>
        <v>0</v>
      </c>
      <c r="U47" s="76"/>
      <c r="V47" s="76"/>
      <c r="W47" s="76"/>
      <c r="X47" s="100"/>
    </row>
    <row r="48" spans="3:24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</row>
    <row r="49" spans="13:24" ht="15.75" x14ac:dyDescent="0.25">
      <c r="M49" s="76" t="s">
        <v>126</v>
      </c>
      <c r="N49" s="99">
        <f>X39</f>
        <v>0</v>
      </c>
      <c r="O49" s="98"/>
      <c r="P49" s="76"/>
      <c r="Q49" s="76" t="s">
        <v>194</v>
      </c>
      <c r="R49" s="76"/>
      <c r="S49" s="76"/>
      <c r="T49" s="76"/>
      <c r="U49" s="98"/>
      <c r="V49" s="98"/>
      <c r="W49" s="98"/>
      <c r="X49" s="101"/>
    </row>
    <row r="50" spans="13:24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</row>
    <row r="51" spans="13:24" ht="15.75" x14ac:dyDescent="0.25">
      <c r="M51" s="102" t="s">
        <v>55</v>
      </c>
      <c r="N51" s="103">
        <v>7.0000000000000007E-2</v>
      </c>
      <c r="O51" s="99">
        <f>N51*Q40</f>
        <v>6223.0000000000009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T51*Q40</f>
        <v>6223.0000000000009</v>
      </c>
      <c r="V51" s="76"/>
      <c r="W51" s="76"/>
      <c r="X51" s="100"/>
    </row>
    <row r="52" spans="13:24" ht="15.75" x14ac:dyDescent="0.25">
      <c r="M52" s="104" t="s">
        <v>128</v>
      </c>
      <c r="N52" s="105">
        <v>0.3</v>
      </c>
      <c r="O52" s="69">
        <f>N52*O7+(N52*O123)+(N52*O22)</f>
        <v>0</v>
      </c>
      <c r="P52" s="99"/>
      <c r="Q52" s="99"/>
      <c r="R52" s="104"/>
      <c r="S52" s="103"/>
      <c r="T52" s="122"/>
      <c r="U52" s="122"/>
      <c r="V52" s="122"/>
      <c r="W52" s="99"/>
      <c r="X52" s="106"/>
    </row>
    <row r="53" spans="13:24" ht="15.75" x14ac:dyDescent="0.25">
      <c r="M53" s="104" t="s">
        <v>185</v>
      </c>
      <c r="N53" s="103"/>
      <c r="O53" s="122">
        <v>127010</v>
      </c>
      <c r="P53" s="99"/>
      <c r="Q53" s="99"/>
      <c r="R53" s="104" t="s">
        <v>185</v>
      </c>
      <c r="S53" s="103"/>
      <c r="T53" s="122"/>
      <c r="U53" s="122">
        <v>127010</v>
      </c>
      <c r="V53" s="122"/>
      <c r="W53" s="99"/>
      <c r="X53" s="106"/>
    </row>
    <row r="54" spans="13:24" ht="15.75" x14ac:dyDescent="0.25">
      <c r="M54" s="104" t="s">
        <v>189</v>
      </c>
      <c r="N54" s="103"/>
      <c r="O54" s="122">
        <v>1352</v>
      </c>
      <c r="P54" s="99"/>
      <c r="Q54" s="99"/>
      <c r="R54" s="104" t="s">
        <v>189</v>
      </c>
      <c r="S54" s="103"/>
      <c r="T54" s="122"/>
      <c r="U54" s="122">
        <v>1352</v>
      </c>
      <c r="V54" s="122"/>
      <c r="W54" s="99"/>
      <c r="X54" s="106"/>
    </row>
    <row r="55" spans="13:24" ht="15.75" x14ac:dyDescent="0.25">
      <c r="M55" s="104"/>
      <c r="N55" s="103"/>
      <c r="O55" s="122"/>
      <c r="P55" s="99"/>
      <c r="Q55" s="99"/>
      <c r="R55" s="104"/>
      <c r="S55" s="103"/>
      <c r="T55" s="122"/>
      <c r="U55" s="122"/>
      <c r="V55" s="76"/>
      <c r="W55" s="76"/>
      <c r="X55" s="100"/>
    </row>
    <row r="56" spans="13:24" ht="15.75" x14ac:dyDescent="0.25">
      <c r="M56" s="104"/>
      <c r="N56" s="103"/>
      <c r="O56" s="99"/>
      <c r="P56" s="76"/>
      <c r="Q56" s="76"/>
      <c r="R56" s="104"/>
      <c r="S56" s="103"/>
      <c r="T56" s="99"/>
      <c r="U56" s="99"/>
      <c r="V56" s="76"/>
      <c r="W56" s="76"/>
      <c r="X56" s="100"/>
    </row>
    <row r="57" spans="13:24" ht="15.75" x14ac:dyDescent="0.25">
      <c r="M57" s="108"/>
      <c r="N57" s="76"/>
      <c r="O57" s="99"/>
      <c r="P57" s="76"/>
      <c r="Q57" s="76"/>
      <c r="R57" s="108"/>
      <c r="S57" s="76"/>
      <c r="T57" s="99"/>
      <c r="U57" s="99"/>
      <c r="V57" s="76"/>
      <c r="W57" s="76"/>
      <c r="X57" s="100"/>
    </row>
    <row r="58" spans="13:24" ht="15.75" x14ac:dyDescent="0.25">
      <c r="M58" s="108"/>
      <c r="N58" s="76"/>
      <c r="O58" s="99"/>
      <c r="P58" s="76"/>
      <c r="Q58" s="76"/>
      <c r="R58" s="108"/>
      <c r="S58" s="76"/>
      <c r="T58" s="99"/>
      <c r="U58" s="99"/>
      <c r="V58" s="99"/>
      <c r="W58" s="99"/>
      <c r="X58" s="106"/>
    </row>
    <row r="59" spans="13:24" ht="15.75" x14ac:dyDescent="0.25">
      <c r="M59" s="90" t="s">
        <v>20</v>
      </c>
      <c r="N59" s="109">
        <f>N42+N43+N44+N45+N46+N47+N49+N48</f>
        <v>142874.5</v>
      </c>
      <c r="O59" s="109">
        <f>SUM(O51:O58)</f>
        <v>134585</v>
      </c>
      <c r="P59" s="125">
        <f>N59-O59</f>
        <v>8289.5</v>
      </c>
      <c r="Q59" s="109"/>
      <c r="R59" s="90"/>
      <c r="S59" s="90"/>
      <c r="T59" s="109">
        <f>T42+T43+T45+T47+T48</f>
        <v>128064.5</v>
      </c>
      <c r="U59" s="109">
        <f>SUM(U51:U58)</f>
        <v>134585</v>
      </c>
      <c r="V59" s="109">
        <f>T59-U59</f>
        <v>-6520.5</v>
      </c>
      <c r="W59" s="109"/>
      <c r="X59" s="110"/>
    </row>
    <row r="60" spans="13:24" ht="15.75" x14ac:dyDescent="0.25">
      <c r="M60" s="70"/>
      <c r="N60" s="70"/>
      <c r="O60" s="70"/>
      <c r="P60" s="70"/>
      <c r="Q60" s="70"/>
      <c r="R60" s="70"/>
      <c r="S60" s="70"/>
      <c r="T60" s="70"/>
      <c r="U60" s="111">
        <f>U59-U51</f>
        <v>128362</v>
      </c>
      <c r="V60" s="70"/>
      <c r="W60" s="70"/>
      <c r="X60" s="71"/>
    </row>
    <row r="61" spans="13:24" ht="15.75" x14ac:dyDescent="0.25">
      <c r="M61" s="112" t="s">
        <v>56</v>
      </c>
      <c r="N61" s="113"/>
      <c r="O61" s="113" t="s">
        <v>22</v>
      </c>
      <c r="P61" s="114"/>
      <c r="Q61" s="114"/>
      <c r="R61" s="112"/>
      <c r="S61" s="112"/>
      <c r="T61" s="112" t="s">
        <v>57</v>
      </c>
      <c r="U61" s="70"/>
      <c r="V61" s="70"/>
      <c r="W61" s="70"/>
      <c r="X61" s="71"/>
    </row>
    <row r="62" spans="13:24" ht="15.75" x14ac:dyDescent="0.25">
      <c r="M62" s="70" t="s">
        <v>24</v>
      </c>
      <c r="N62" s="70"/>
      <c r="O62" s="70" t="s">
        <v>25</v>
      </c>
      <c r="P62" s="70"/>
      <c r="Q62" s="70"/>
      <c r="R62" s="111"/>
      <c r="S62" s="70"/>
      <c r="T62" s="70" t="s">
        <v>34</v>
      </c>
      <c r="U62" s="70"/>
      <c r="V62" s="70"/>
      <c r="W62" s="111"/>
      <c r="X62" s="71"/>
    </row>
  </sheetData>
  <mergeCells count="15">
    <mergeCell ref="P2:S2"/>
    <mergeCell ref="Q3:R3"/>
    <mergeCell ref="O4:T4"/>
    <mergeCell ref="B1:H1"/>
    <mergeCell ref="B2:H2"/>
    <mergeCell ref="B3:H3"/>
    <mergeCell ref="H32:I32"/>
    <mergeCell ref="E32:F32"/>
    <mergeCell ref="A32:B32"/>
    <mergeCell ref="A13:J13"/>
    <mergeCell ref="F14:J14"/>
    <mergeCell ref="A14:E14"/>
    <mergeCell ref="H31:I31"/>
    <mergeCell ref="E31:F31"/>
    <mergeCell ref="A31:B31"/>
  </mergeCells>
  <conditionalFormatting sqref="B5:B10 M6:M38">
    <cfRule type="containsText" dxfId="5" priority="2" operator="containsText" text="VACCANT">
      <formula>NOT(ISERROR(SEARCH("VACCANT",B5)))</formula>
    </cfRule>
  </conditionalFormatting>
  <conditionalFormatting sqref="B5:B10 M6:M38">
    <cfRule type="notContainsText" dxfId="4" priority="1" operator="notContains" text="VACCANT">
      <formula>ISERROR(SEARCH("VACCANT",B5))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workbookViewId="0">
      <selection activeCell="I11" sqref="I11"/>
    </sheetView>
  </sheetViews>
  <sheetFormatPr defaultRowHeight="15" x14ac:dyDescent="0.25"/>
  <cols>
    <col min="1" max="1" width="16.42578125" customWidth="1"/>
    <col min="2" max="2" width="12.5703125" customWidth="1"/>
    <col min="6" max="6" width="13.85546875" customWidth="1"/>
    <col min="8" max="8" width="15.7109375" customWidth="1"/>
    <col min="13" max="13" width="23.42578125" customWidth="1"/>
    <col min="17" max="17" width="12.140625" customWidth="1"/>
    <col min="19" max="19" width="12.28515625" customWidth="1"/>
    <col min="20" max="20" width="11.85546875" customWidth="1"/>
    <col min="21" max="21" width="12.28515625" customWidth="1"/>
    <col min="22" max="22" width="12" customWidth="1"/>
    <col min="23" max="23" width="18.42578125" customWidth="1"/>
    <col min="24" max="24" width="15.7109375" customWidth="1"/>
  </cols>
  <sheetData>
    <row r="1" spans="1:24" ht="31.5" customHeight="1" x14ac:dyDescent="0.25">
      <c r="A1" s="1"/>
      <c r="B1" s="145" t="s">
        <v>29</v>
      </c>
      <c r="C1" s="145"/>
      <c r="D1" s="145"/>
      <c r="E1" s="145"/>
      <c r="F1" s="145"/>
      <c r="G1" s="145"/>
      <c r="H1" s="145"/>
      <c r="I1" s="1"/>
      <c r="J1" s="1"/>
      <c r="M1" s="69"/>
      <c r="N1" s="69"/>
      <c r="O1" s="71"/>
      <c r="P1" s="71"/>
      <c r="Q1" s="71"/>
      <c r="R1" s="71"/>
      <c r="S1" s="71"/>
      <c r="T1" s="69"/>
      <c r="U1" s="71"/>
      <c r="V1" s="71"/>
      <c r="W1" s="71"/>
      <c r="X1" s="71"/>
    </row>
    <row r="2" spans="1:24" ht="25.5" customHeight="1" x14ac:dyDescent="0.3">
      <c r="A2" s="1"/>
      <c r="B2" s="146" t="s">
        <v>0</v>
      </c>
      <c r="C2" s="146"/>
      <c r="D2" s="146"/>
      <c r="E2" s="146"/>
      <c r="F2" s="146"/>
      <c r="G2" s="146"/>
      <c r="H2" s="146"/>
      <c r="I2" s="1"/>
      <c r="J2" s="1"/>
      <c r="M2" s="69"/>
      <c r="N2" s="69"/>
      <c r="O2" s="27"/>
      <c r="P2" s="143" t="s">
        <v>58</v>
      </c>
      <c r="Q2" s="143"/>
      <c r="R2" s="143"/>
      <c r="S2" s="143"/>
      <c r="T2" s="28"/>
      <c r="U2" s="70"/>
      <c r="V2" s="70"/>
      <c r="W2" s="70"/>
      <c r="X2" s="70"/>
    </row>
    <row r="3" spans="1:24" ht="28.5" customHeight="1" x14ac:dyDescent="0.3">
      <c r="A3" s="1"/>
      <c r="B3" s="147" t="s">
        <v>190</v>
      </c>
      <c r="C3" s="147"/>
      <c r="D3" s="147"/>
      <c r="E3" s="147"/>
      <c r="F3" s="147"/>
      <c r="G3" s="147"/>
      <c r="H3" s="147"/>
      <c r="I3" s="1"/>
      <c r="J3" s="1"/>
      <c r="M3" s="70"/>
      <c r="N3" s="27"/>
      <c r="O3" s="27"/>
      <c r="P3" s="27"/>
      <c r="Q3" s="143" t="s">
        <v>0</v>
      </c>
      <c r="R3" s="143"/>
      <c r="S3" s="71"/>
      <c r="T3" s="29"/>
      <c r="U3" s="70"/>
      <c r="V3" s="70"/>
      <c r="W3" s="70"/>
      <c r="X3" s="70"/>
    </row>
    <row r="4" spans="1:24" ht="30.75" customHeight="1" x14ac:dyDescent="0.25">
      <c r="A4" s="126" t="s">
        <v>2</v>
      </c>
      <c r="B4" s="126" t="s">
        <v>3</v>
      </c>
      <c r="C4" s="126" t="s">
        <v>4</v>
      </c>
      <c r="D4" s="126" t="s">
        <v>5</v>
      </c>
      <c r="E4" s="126" t="s">
        <v>41</v>
      </c>
      <c r="F4" s="126" t="s">
        <v>42</v>
      </c>
      <c r="G4" s="126" t="s">
        <v>6</v>
      </c>
      <c r="H4" s="126" t="s">
        <v>7</v>
      </c>
      <c r="I4" s="126" t="s">
        <v>8</v>
      </c>
      <c r="J4" s="126" t="s">
        <v>9</v>
      </c>
      <c r="M4" s="27"/>
      <c r="N4" s="70"/>
      <c r="O4" s="144" t="s">
        <v>190</v>
      </c>
      <c r="P4" s="144"/>
      <c r="Q4" s="144"/>
      <c r="R4" s="144"/>
      <c r="S4" s="144"/>
      <c r="T4" s="144"/>
      <c r="U4" s="31"/>
      <c r="V4" s="31"/>
      <c r="W4" s="31"/>
      <c r="X4" s="31"/>
    </row>
    <row r="5" spans="1:24" ht="15.75" x14ac:dyDescent="0.25">
      <c r="A5" s="3">
        <v>1</v>
      </c>
      <c r="B5" s="3" t="s">
        <v>26</v>
      </c>
      <c r="C5" s="3"/>
      <c r="D5" s="3">
        <f>'OCTOBER 21'!J5:J10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123</v>
      </c>
    </row>
    <row r="6" spans="1:24" ht="15.75" x14ac:dyDescent="0.25">
      <c r="A6" s="3">
        <v>2</v>
      </c>
      <c r="B6" s="3" t="s">
        <v>26</v>
      </c>
      <c r="C6" s="3"/>
      <c r="D6" s="3">
        <f>'OCTOBER 21'!J6:J11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>
        <f>'OCTOBER 21'!V6:V38</f>
        <v>0</v>
      </c>
      <c r="Q6" s="80"/>
      <c r="R6" s="81"/>
      <c r="S6" s="80"/>
      <c r="T6" s="80">
        <f>P6+Q6+R6+S6+O6</f>
        <v>0</v>
      </c>
      <c r="U6" s="80"/>
      <c r="V6" s="80">
        <f>T6-U6</f>
        <v>0</v>
      </c>
      <c r="W6" s="80"/>
      <c r="X6" s="80"/>
    </row>
    <row r="7" spans="1:24" ht="26.25" customHeight="1" x14ac:dyDescent="0.25">
      <c r="A7" s="3">
        <v>3</v>
      </c>
      <c r="B7" s="127" t="s">
        <v>155</v>
      </c>
      <c r="C7" s="3"/>
      <c r="D7" s="3">
        <f>'OCTOBER 21'!J7:J12</f>
        <v>0</v>
      </c>
      <c r="E7" s="3">
        <v>450</v>
      </c>
      <c r="F7" s="3">
        <v>200</v>
      </c>
      <c r="G7" s="3">
        <v>8000</v>
      </c>
      <c r="H7" s="3">
        <f t="shared" si="0"/>
        <v>8650</v>
      </c>
      <c r="I7" s="3">
        <v>8650</v>
      </c>
      <c r="J7" s="3">
        <f t="shared" si="1"/>
        <v>0</v>
      </c>
      <c r="M7" s="82" t="s">
        <v>115</v>
      </c>
      <c r="N7" s="77">
        <v>2</v>
      </c>
      <c r="O7" s="78"/>
      <c r="P7" s="79">
        <f>'OCTOBER 21'!V7:V39</f>
        <v>0</v>
      </c>
      <c r="Q7" s="83">
        <v>2500</v>
      </c>
      <c r="R7" s="81">
        <v>350</v>
      </c>
      <c r="S7" s="83">
        <v>200</v>
      </c>
      <c r="T7" s="80">
        <f t="shared" ref="T7:T37" si="2">P7+Q7+R7+S7+O7</f>
        <v>3050</v>
      </c>
      <c r="U7" s="80">
        <v>3050</v>
      </c>
      <c r="V7" s="80">
        <f t="shared" ref="V7:V38" si="3">T7-U7</f>
        <v>0</v>
      </c>
      <c r="W7" s="80"/>
      <c r="X7" s="80"/>
    </row>
    <row r="8" spans="1:24" ht="33.75" customHeight="1" x14ac:dyDescent="0.25">
      <c r="A8" s="3">
        <v>4</v>
      </c>
      <c r="B8" s="3" t="s">
        <v>197</v>
      </c>
      <c r="C8" s="3"/>
      <c r="D8" s="3">
        <f>'OCTOBER 21'!J8:J13</f>
        <v>0</v>
      </c>
      <c r="E8" s="3"/>
      <c r="F8" s="3"/>
      <c r="G8" s="3">
        <v>9000</v>
      </c>
      <c r="H8" s="3">
        <f t="shared" si="0"/>
        <v>9000</v>
      </c>
      <c r="I8" s="3">
        <v>9000</v>
      </c>
      <c r="J8" s="3">
        <f t="shared" si="1"/>
        <v>0</v>
      </c>
      <c r="M8" s="82" t="s">
        <v>60</v>
      </c>
      <c r="N8" s="77">
        <v>3</v>
      </c>
      <c r="O8" s="78"/>
      <c r="P8" s="79">
        <f>'OCTOBER 21'!V8:V40</f>
        <v>10</v>
      </c>
      <c r="Q8" s="83">
        <v>2500</v>
      </c>
      <c r="R8" s="81">
        <v>350</v>
      </c>
      <c r="S8" s="83">
        <v>200</v>
      </c>
      <c r="T8" s="80">
        <f t="shared" si="2"/>
        <v>3060</v>
      </c>
      <c r="U8" s="80">
        <f>2500+530</f>
        <v>3030</v>
      </c>
      <c r="V8" s="80">
        <f t="shared" si="3"/>
        <v>30</v>
      </c>
      <c r="W8" s="80"/>
      <c r="X8" s="80"/>
    </row>
    <row r="9" spans="1:24" ht="30" x14ac:dyDescent="0.25">
      <c r="A9" s="3">
        <v>5</v>
      </c>
      <c r="B9" s="127" t="s">
        <v>95</v>
      </c>
      <c r="C9" s="3"/>
      <c r="D9" s="3">
        <f>'OCTOBER 21'!J9:J14</f>
        <v>250</v>
      </c>
      <c r="E9" s="3">
        <v>0</v>
      </c>
      <c r="F9" s="3">
        <v>200</v>
      </c>
      <c r="G9" s="3">
        <v>8000</v>
      </c>
      <c r="H9" s="3">
        <f t="shared" si="0"/>
        <v>8450</v>
      </c>
      <c r="I9" s="3">
        <v>8000</v>
      </c>
      <c r="J9" s="3">
        <f t="shared" si="1"/>
        <v>450</v>
      </c>
      <c r="M9" s="76" t="s">
        <v>160</v>
      </c>
      <c r="N9" s="77">
        <v>4</v>
      </c>
      <c r="O9" s="78"/>
      <c r="P9" s="79">
        <f>'OCTOBER 21'!V9:V41</f>
        <v>2100</v>
      </c>
      <c r="Q9" s="83">
        <v>2500</v>
      </c>
      <c r="R9" s="81">
        <v>350</v>
      </c>
      <c r="S9" s="83">
        <v>200</v>
      </c>
      <c r="T9" s="80">
        <f t="shared" si="2"/>
        <v>5150</v>
      </c>
      <c r="U9" s="80">
        <v>3050</v>
      </c>
      <c r="V9" s="80">
        <f t="shared" si="3"/>
        <v>2100</v>
      </c>
      <c r="W9" s="80"/>
      <c r="X9" s="80"/>
    </row>
    <row r="10" spans="1:24" ht="45" x14ac:dyDescent="0.25">
      <c r="A10" s="3">
        <v>6</v>
      </c>
      <c r="B10" s="128" t="s">
        <v>28</v>
      </c>
      <c r="C10" s="4"/>
      <c r="D10" s="3">
        <f>'OCTOBER 21'!J10:J15</f>
        <v>400</v>
      </c>
      <c r="E10" s="3">
        <v>150</v>
      </c>
      <c r="F10" s="3">
        <v>200</v>
      </c>
      <c r="G10" s="3">
        <v>8000</v>
      </c>
      <c r="H10" s="3">
        <f t="shared" si="0"/>
        <v>8750</v>
      </c>
      <c r="I10" s="3">
        <v>8750</v>
      </c>
      <c r="J10" s="3">
        <f t="shared" si="1"/>
        <v>0</v>
      </c>
      <c r="M10" s="136" t="s">
        <v>187</v>
      </c>
      <c r="N10" s="77">
        <v>5</v>
      </c>
      <c r="O10" s="78"/>
      <c r="P10" s="79">
        <f>'OCTOBER 21'!V10:V42</f>
        <v>0</v>
      </c>
      <c r="Q10" s="83">
        <v>3000</v>
      </c>
      <c r="R10" s="81"/>
      <c r="S10" s="83">
        <v>200</v>
      </c>
      <c r="T10" s="80">
        <f t="shared" si="2"/>
        <v>3200</v>
      </c>
      <c r="U10" s="80">
        <f>3000</f>
        <v>3000</v>
      </c>
      <c r="V10" s="80">
        <f t="shared" si="3"/>
        <v>200</v>
      </c>
      <c r="W10" s="80"/>
      <c r="X10" s="80"/>
    </row>
    <row r="11" spans="1:24" ht="15.75" x14ac:dyDescent="0.25">
      <c r="A11" s="3"/>
      <c r="B11" s="2" t="s">
        <v>10</v>
      </c>
      <c r="C11" s="2">
        <f t="shared" ref="C11:J11" si="4">SUM(C5:C10)</f>
        <v>0</v>
      </c>
      <c r="D11" s="3">
        <f>SUM(D5:D10)</f>
        <v>650</v>
      </c>
      <c r="E11" s="3">
        <f t="shared" si="4"/>
        <v>600</v>
      </c>
      <c r="F11" s="3">
        <f t="shared" si="4"/>
        <v>600</v>
      </c>
      <c r="G11" s="2">
        <f>SUM(G5:G10)</f>
        <v>33000</v>
      </c>
      <c r="H11" s="3">
        <f>SUM(H5:H10)</f>
        <v>34850</v>
      </c>
      <c r="I11" s="2">
        <f t="shared" si="4"/>
        <v>34400</v>
      </c>
      <c r="J11" s="2">
        <f t="shared" si="4"/>
        <v>450</v>
      </c>
      <c r="M11" s="85" t="s">
        <v>63</v>
      </c>
      <c r="N11" s="77">
        <v>6</v>
      </c>
      <c r="O11" s="78"/>
      <c r="P11" s="79">
        <f>'OCTOBER 21'!V11:V43</f>
        <v>0</v>
      </c>
      <c r="Q11" s="83">
        <v>2500</v>
      </c>
      <c r="R11" s="81">
        <v>350</v>
      </c>
      <c r="S11" s="83">
        <v>200</v>
      </c>
      <c r="T11" s="80">
        <f t="shared" si="2"/>
        <v>3050</v>
      </c>
      <c r="U11" s="80">
        <v>3050</v>
      </c>
      <c r="V11" s="80">
        <f t="shared" si="3"/>
        <v>0</v>
      </c>
      <c r="W11" s="80"/>
      <c r="X11" s="80"/>
    </row>
    <row r="12" spans="1:24" ht="15.75" x14ac:dyDescent="0.25">
      <c r="A12" s="5"/>
      <c r="B12" s="6"/>
      <c r="C12" s="6"/>
      <c r="D12" s="3">
        <f>'SEPT 21'!J12:J18</f>
        <v>0</v>
      </c>
      <c r="E12" s="5"/>
      <c r="F12" s="5"/>
      <c r="G12" s="6" t="s">
        <v>10</v>
      </c>
      <c r="H12" s="6"/>
      <c r="I12" s="6"/>
      <c r="J12" s="7"/>
      <c r="M12" s="88" t="s">
        <v>182</v>
      </c>
      <c r="N12" s="77">
        <v>7</v>
      </c>
      <c r="O12" s="78"/>
      <c r="P12" s="79">
        <f>'OCTOBER 21'!V12:V44</f>
        <v>1000</v>
      </c>
      <c r="Q12" s="83">
        <v>3000</v>
      </c>
      <c r="R12" s="81">
        <v>350</v>
      </c>
      <c r="S12" s="83">
        <v>200</v>
      </c>
      <c r="T12" s="80">
        <f>P12+Q12+R12+S12+O12</f>
        <v>4550</v>
      </c>
      <c r="U12" s="80">
        <f>3050</f>
        <v>3050</v>
      </c>
      <c r="V12" s="80">
        <f t="shared" si="3"/>
        <v>1500</v>
      </c>
      <c r="W12" s="80"/>
      <c r="X12" s="80"/>
    </row>
    <row r="13" spans="1:24" ht="23.25" customHeight="1" x14ac:dyDescent="0.25">
      <c r="A13" s="138" t="s">
        <v>11</v>
      </c>
      <c r="B13" s="138"/>
      <c r="C13" s="138"/>
      <c r="D13" s="138"/>
      <c r="E13" s="138"/>
      <c r="F13" s="138"/>
      <c r="G13" s="138"/>
      <c r="H13" s="138"/>
      <c r="I13" s="138"/>
      <c r="J13" s="138"/>
      <c r="M13" s="86" t="s">
        <v>124</v>
      </c>
      <c r="N13" s="77">
        <v>8</v>
      </c>
      <c r="O13" s="78"/>
      <c r="P13" s="79">
        <f>'OCTOBER 21'!V13:V45</f>
        <v>3400</v>
      </c>
      <c r="Q13" s="83">
        <v>2500</v>
      </c>
      <c r="R13" s="81">
        <v>350</v>
      </c>
      <c r="S13" s="83">
        <v>200</v>
      </c>
      <c r="T13" s="80">
        <f>P13+Q13+R13+S13+O13</f>
        <v>6450</v>
      </c>
      <c r="U13" s="80">
        <v>3500</v>
      </c>
      <c r="V13" s="80">
        <f t="shared" si="3"/>
        <v>2950</v>
      </c>
      <c r="W13" s="80"/>
      <c r="X13" s="80"/>
    </row>
    <row r="14" spans="1:24" ht="28.5" customHeight="1" x14ac:dyDescent="0.25">
      <c r="A14" s="141" t="s">
        <v>12</v>
      </c>
      <c r="B14" s="139"/>
      <c r="C14" s="139"/>
      <c r="D14" s="139"/>
      <c r="E14" s="139"/>
      <c r="F14" s="139" t="s">
        <v>8</v>
      </c>
      <c r="G14" s="139"/>
      <c r="H14" s="139"/>
      <c r="I14" s="139"/>
      <c r="J14" s="140"/>
      <c r="M14" s="76" t="s">
        <v>195</v>
      </c>
      <c r="N14" s="77">
        <v>9</v>
      </c>
      <c r="O14" s="78"/>
      <c r="P14" s="79">
        <f>'OCTOBER 21'!V14:V46</f>
        <v>2650</v>
      </c>
      <c r="Q14" s="83">
        <v>2500</v>
      </c>
      <c r="R14" s="81">
        <v>350</v>
      </c>
      <c r="S14" s="83">
        <v>200</v>
      </c>
      <c r="T14" s="80">
        <f>P14+Q14+R14+S14+O14</f>
        <v>5700</v>
      </c>
      <c r="U14" s="80">
        <v>3050</v>
      </c>
      <c r="V14" s="80">
        <f t="shared" si="3"/>
        <v>2650</v>
      </c>
      <c r="W14" s="80"/>
      <c r="X14" s="80"/>
    </row>
    <row r="15" spans="1:24" ht="15.75" x14ac:dyDescent="0.25">
      <c r="A15" s="129" t="s">
        <v>13</v>
      </c>
      <c r="B15" s="129"/>
      <c r="C15" s="129" t="s">
        <v>14</v>
      </c>
      <c r="D15" s="129"/>
      <c r="E15" s="129" t="s">
        <v>15</v>
      </c>
      <c r="F15" s="129" t="s">
        <v>16</v>
      </c>
      <c r="G15" s="129" t="s">
        <v>13</v>
      </c>
      <c r="H15" s="129" t="s">
        <v>14</v>
      </c>
      <c r="I15" s="129" t="s">
        <v>15</v>
      </c>
      <c r="J15" s="129" t="s">
        <v>16</v>
      </c>
      <c r="M15" s="82" t="s">
        <v>134</v>
      </c>
      <c r="N15" s="77">
        <v>10</v>
      </c>
      <c r="O15" s="78"/>
      <c r="P15" s="79">
        <f>'OCTOBER 21'!V15:V47</f>
        <v>0</v>
      </c>
      <c r="Q15" s="83">
        <v>2500</v>
      </c>
      <c r="R15" s="81">
        <v>350</v>
      </c>
      <c r="S15" s="83">
        <v>200</v>
      </c>
      <c r="T15" s="80">
        <f t="shared" si="2"/>
        <v>3050</v>
      </c>
      <c r="U15" s="80">
        <f>2500</f>
        <v>2500</v>
      </c>
      <c r="V15" s="80">
        <f t="shared" si="3"/>
        <v>550</v>
      </c>
      <c r="W15" s="80"/>
      <c r="X15" s="80"/>
    </row>
    <row r="16" spans="1:24" ht="15.75" x14ac:dyDescent="0.25">
      <c r="A16" s="130" t="s">
        <v>17</v>
      </c>
      <c r="B16" s="17"/>
      <c r="C16" s="18">
        <f>G11</f>
        <v>33000</v>
      </c>
      <c r="D16" s="18"/>
      <c r="E16" s="17"/>
      <c r="F16" s="17"/>
      <c r="G16" s="17" t="s">
        <v>17</v>
      </c>
      <c r="H16" s="18">
        <f>I11</f>
        <v>34400</v>
      </c>
      <c r="I16" s="17"/>
      <c r="J16" s="17"/>
      <c r="M16" s="76" t="s">
        <v>61</v>
      </c>
      <c r="N16" s="77">
        <v>11</v>
      </c>
      <c r="O16" s="84"/>
      <c r="P16" s="79">
        <f>'OCTOBER 21'!V16:V48</f>
        <v>400</v>
      </c>
      <c r="Q16" s="83">
        <v>4500</v>
      </c>
      <c r="R16" s="81">
        <v>350</v>
      </c>
      <c r="S16" s="83">
        <v>200</v>
      </c>
      <c r="T16" s="80">
        <f t="shared" si="2"/>
        <v>5450</v>
      </c>
      <c r="U16" s="80">
        <f>5000</f>
        <v>5000</v>
      </c>
      <c r="V16" s="80">
        <f t="shared" si="3"/>
        <v>450</v>
      </c>
      <c r="W16" s="80"/>
      <c r="X16" s="80"/>
    </row>
    <row r="17" spans="1:24" ht="15.75" x14ac:dyDescent="0.25">
      <c r="A17" s="130" t="s">
        <v>5</v>
      </c>
      <c r="B17" s="17"/>
      <c r="C17" s="18">
        <f>'OCTOBER 21'!F29</f>
        <v>0</v>
      </c>
      <c r="D17" s="18"/>
      <c r="E17" s="17"/>
      <c r="F17" s="17"/>
      <c r="G17" s="17" t="s">
        <v>5</v>
      </c>
      <c r="H17" s="18">
        <f>'OCTOBER 21'!J29</f>
        <v>0</v>
      </c>
      <c r="I17" s="17"/>
      <c r="J17" s="17"/>
      <c r="M17" s="82" t="s">
        <v>186</v>
      </c>
      <c r="N17" s="77">
        <v>12</v>
      </c>
      <c r="O17" s="84"/>
      <c r="P17" s="79">
        <f>'OCTOBER 21'!V17:V49</f>
        <v>0</v>
      </c>
      <c r="Q17" s="83">
        <v>3000</v>
      </c>
      <c r="R17" s="81"/>
      <c r="S17" s="83">
        <v>200</v>
      </c>
      <c r="T17" s="80">
        <f t="shared" si="2"/>
        <v>3200</v>
      </c>
      <c r="U17" s="80">
        <v>3000</v>
      </c>
      <c r="V17" s="80">
        <f t="shared" si="3"/>
        <v>200</v>
      </c>
      <c r="W17" s="80"/>
      <c r="X17" s="80"/>
    </row>
    <row r="18" spans="1:24" ht="15.75" x14ac:dyDescent="0.25">
      <c r="A18" s="131" t="s">
        <v>150</v>
      </c>
      <c r="B18" s="3"/>
      <c r="C18" s="3"/>
      <c r="D18" s="3"/>
      <c r="E18" s="3"/>
      <c r="F18" s="3"/>
      <c r="G18" s="3"/>
      <c r="I18" s="17"/>
      <c r="J18" s="17"/>
      <c r="M18" s="76" t="s">
        <v>131</v>
      </c>
      <c r="N18" s="77">
        <v>13</v>
      </c>
      <c r="O18" s="78"/>
      <c r="P18" s="79">
        <f>'OCTOBER 21'!V18:V50</f>
        <v>1250</v>
      </c>
      <c r="Q18" s="83">
        <v>2500</v>
      </c>
      <c r="R18" s="81">
        <v>350</v>
      </c>
      <c r="S18" s="83">
        <v>200</v>
      </c>
      <c r="T18" s="80">
        <f t="shared" si="2"/>
        <v>4300</v>
      </c>
      <c r="U18" s="80">
        <v>3050</v>
      </c>
      <c r="V18" s="80">
        <f t="shared" si="3"/>
        <v>1250</v>
      </c>
      <c r="W18" s="80"/>
      <c r="X18" s="80"/>
    </row>
    <row r="19" spans="1:24" ht="15.75" x14ac:dyDescent="0.25">
      <c r="A19" s="131" t="s">
        <v>41</v>
      </c>
      <c r="B19" s="3"/>
      <c r="C19" s="3">
        <f>E11</f>
        <v>600</v>
      </c>
      <c r="D19" s="3"/>
      <c r="E19" s="3"/>
      <c r="F19" s="3"/>
      <c r="G19" s="3"/>
      <c r="H19" s="14"/>
      <c r="I19" s="17"/>
      <c r="J19" s="17"/>
      <c r="M19" s="76" t="s">
        <v>71</v>
      </c>
      <c r="N19" s="77">
        <v>14</v>
      </c>
      <c r="O19" s="78"/>
      <c r="P19" s="79">
        <f>'OCTOBER 21'!V19:V51</f>
        <v>0</v>
      </c>
      <c r="Q19" s="83">
        <v>2700</v>
      </c>
      <c r="R19" s="81">
        <v>320</v>
      </c>
      <c r="S19" s="83">
        <v>200</v>
      </c>
      <c r="T19" s="80">
        <f t="shared" si="2"/>
        <v>3220</v>
      </c>
      <c r="U19" s="80">
        <v>3250</v>
      </c>
      <c r="V19" s="80">
        <f t="shared" si="3"/>
        <v>-30</v>
      </c>
      <c r="W19" s="80"/>
      <c r="X19" s="80"/>
    </row>
    <row r="20" spans="1:24" ht="15.75" x14ac:dyDescent="0.25">
      <c r="A20" s="131" t="s">
        <v>42</v>
      </c>
      <c r="B20" s="3"/>
      <c r="C20" s="3">
        <f>F11</f>
        <v>600</v>
      </c>
      <c r="D20" s="3"/>
      <c r="E20" s="3"/>
      <c r="F20" s="3"/>
      <c r="G20" s="3"/>
      <c r="H20" s="3"/>
      <c r="I20" s="17"/>
      <c r="J20" s="17"/>
      <c r="M20" s="82" t="s">
        <v>72</v>
      </c>
      <c r="N20" s="77">
        <v>15</v>
      </c>
      <c r="O20" s="78"/>
      <c r="P20" s="79">
        <f>'OCTOBER 21'!V20:V52</f>
        <v>20</v>
      </c>
      <c r="Q20" s="83">
        <v>4500</v>
      </c>
      <c r="R20" s="81">
        <v>350</v>
      </c>
      <c r="S20" s="83">
        <v>200</v>
      </c>
      <c r="T20" s="80">
        <f t="shared" si="2"/>
        <v>5070</v>
      </c>
      <c r="U20" s="80">
        <v>5050</v>
      </c>
      <c r="V20" s="80">
        <f t="shared" si="3"/>
        <v>20</v>
      </c>
      <c r="W20" s="80"/>
      <c r="X20" s="80"/>
    </row>
    <row r="21" spans="1:24" ht="15.75" x14ac:dyDescent="0.25">
      <c r="A21" s="130" t="s">
        <v>18</v>
      </c>
      <c r="B21" s="17"/>
      <c r="C21" s="20">
        <v>7.0000000000000007E-2</v>
      </c>
      <c r="D21" s="20"/>
      <c r="E21" s="18">
        <f>C16*C21</f>
        <v>2310</v>
      </c>
      <c r="F21" s="17"/>
      <c r="G21" s="17" t="s">
        <v>18</v>
      </c>
      <c r="H21" s="20">
        <v>7.0000000000000007E-2</v>
      </c>
      <c r="I21" s="18">
        <f>H21*C16</f>
        <v>2310</v>
      </c>
      <c r="J21" s="17"/>
      <c r="M21" s="88" t="s">
        <v>172</v>
      </c>
      <c r="N21" s="123">
        <v>16</v>
      </c>
      <c r="O21" s="84">
        <v>1000</v>
      </c>
      <c r="P21" s="79">
        <f>'OCTOBER 21'!V21:V53</f>
        <v>0</v>
      </c>
      <c r="Q21" s="83">
        <v>4500</v>
      </c>
      <c r="R21" s="81">
        <v>350</v>
      </c>
      <c r="S21" s="83">
        <v>200</v>
      </c>
      <c r="T21" s="80">
        <f t="shared" si="2"/>
        <v>6050</v>
      </c>
      <c r="U21" s="80">
        <v>6050</v>
      </c>
      <c r="V21" s="80">
        <f t="shared" si="3"/>
        <v>0</v>
      </c>
      <c r="W21" s="80"/>
      <c r="X21" s="80"/>
    </row>
    <row r="22" spans="1:24" ht="15.75" x14ac:dyDescent="0.25">
      <c r="A22" s="16" t="s">
        <v>19</v>
      </c>
      <c r="C22" s="18"/>
      <c r="D22" s="18"/>
      <c r="E22" s="16"/>
      <c r="F22" s="16"/>
      <c r="G22" s="16" t="s">
        <v>19</v>
      </c>
      <c r="H22" s="21"/>
      <c r="I22" s="16"/>
      <c r="J22" s="16"/>
      <c r="M22" s="88" t="s">
        <v>171</v>
      </c>
      <c r="N22" s="77">
        <v>17</v>
      </c>
      <c r="O22" s="78"/>
      <c r="P22" s="79">
        <f>'OCTOBER 21'!V22:V54</f>
        <v>0</v>
      </c>
      <c r="Q22" s="83">
        <v>4500</v>
      </c>
      <c r="R22" s="81">
        <v>350</v>
      </c>
      <c r="S22" s="83">
        <v>200</v>
      </c>
      <c r="T22" s="80">
        <f t="shared" si="2"/>
        <v>5050</v>
      </c>
      <c r="U22" s="80">
        <v>5050</v>
      </c>
      <c r="V22" s="80">
        <f t="shared" si="3"/>
        <v>0</v>
      </c>
      <c r="W22" s="80"/>
      <c r="X22" s="80"/>
    </row>
    <row r="23" spans="1:24" ht="15.75" x14ac:dyDescent="0.25">
      <c r="A23" s="22"/>
      <c r="B23" s="20"/>
      <c r="C23" s="17"/>
      <c r="D23" s="17"/>
      <c r="E23" s="17"/>
      <c r="F23" s="17"/>
      <c r="G23" s="22"/>
      <c r="H23" s="20"/>
      <c r="I23" s="17"/>
      <c r="J23" s="17"/>
      <c r="K23" s="17"/>
      <c r="M23" s="82" t="s">
        <v>114</v>
      </c>
      <c r="N23" s="77">
        <v>18</v>
      </c>
      <c r="O23" s="78"/>
      <c r="P23" s="79">
        <f>'OCTOBER 21'!V23:V55</f>
        <v>0</v>
      </c>
      <c r="Q23" s="83">
        <v>4500</v>
      </c>
      <c r="R23" s="81">
        <v>350</v>
      </c>
      <c r="S23" s="83">
        <v>200</v>
      </c>
      <c r="T23" s="80">
        <f t="shared" si="2"/>
        <v>5050</v>
      </c>
      <c r="U23" s="80">
        <v>5050</v>
      </c>
      <c r="V23" s="80">
        <f t="shared" si="3"/>
        <v>0</v>
      </c>
      <c r="W23" s="80"/>
      <c r="X23" s="80"/>
    </row>
    <row r="24" spans="1:24" ht="15.75" x14ac:dyDescent="0.25">
      <c r="A24" s="104" t="s">
        <v>199</v>
      </c>
      <c r="B24" s="23"/>
      <c r="C24" s="17"/>
      <c r="D24" s="17"/>
      <c r="E24" s="17">
        <v>7473</v>
      </c>
      <c r="F24" s="17"/>
      <c r="G24" s="104" t="s">
        <v>199</v>
      </c>
      <c r="H24" s="23"/>
      <c r="I24" s="17">
        <v>7473</v>
      </c>
      <c r="J24" s="17"/>
      <c r="K24" s="17"/>
      <c r="M24" s="76" t="s">
        <v>76</v>
      </c>
      <c r="N24" s="77">
        <v>19</v>
      </c>
      <c r="O24" s="78"/>
      <c r="P24" s="79">
        <f>'OCTOBER 21'!V24:V56</f>
        <v>0</v>
      </c>
      <c r="Q24" s="83">
        <v>2500</v>
      </c>
      <c r="R24" s="81">
        <v>320</v>
      </c>
      <c r="S24" s="83">
        <v>200</v>
      </c>
      <c r="T24" s="80">
        <f t="shared" si="2"/>
        <v>3020</v>
      </c>
      <c r="U24" s="80">
        <v>3020</v>
      </c>
      <c r="V24" s="80">
        <f t="shared" si="3"/>
        <v>0</v>
      </c>
      <c r="W24" s="80"/>
      <c r="X24" s="80"/>
    </row>
    <row r="25" spans="1:24" ht="15.75" x14ac:dyDescent="0.25">
      <c r="A25" s="23"/>
      <c r="B25" s="23"/>
      <c r="C25" s="17"/>
      <c r="D25" s="17"/>
      <c r="E25" s="17">
        <v>9000</v>
      </c>
      <c r="F25" s="17"/>
      <c r="G25" s="23"/>
      <c r="H25" s="23"/>
      <c r="I25" s="17">
        <v>9000</v>
      </c>
      <c r="J25" s="17"/>
      <c r="K25" s="17"/>
      <c r="M25" s="76" t="s">
        <v>81</v>
      </c>
      <c r="N25" s="77">
        <v>20</v>
      </c>
      <c r="O25" s="78"/>
      <c r="P25" s="79">
        <f>'OCTOBER 21'!V25:V57</f>
        <v>0</v>
      </c>
      <c r="Q25" s="83">
        <v>2500</v>
      </c>
      <c r="R25" s="81">
        <v>320</v>
      </c>
      <c r="S25" s="83"/>
      <c r="T25" s="80">
        <f t="shared" si="2"/>
        <v>2820</v>
      </c>
      <c r="U25" s="80">
        <v>2820</v>
      </c>
      <c r="V25" s="80">
        <f t="shared" si="3"/>
        <v>0</v>
      </c>
      <c r="W25" s="80"/>
      <c r="X25" s="80"/>
    </row>
    <row r="26" spans="1:24" ht="15.75" x14ac:dyDescent="0.25">
      <c r="A26" s="23"/>
      <c r="B26" s="23"/>
      <c r="C26" s="17"/>
      <c r="D26" s="17"/>
      <c r="E26" s="17"/>
      <c r="F26" s="17"/>
      <c r="G26" s="23"/>
      <c r="H26" s="23"/>
      <c r="I26" s="17"/>
      <c r="J26" s="17"/>
      <c r="M26" s="76" t="s">
        <v>78</v>
      </c>
      <c r="N26" s="77">
        <v>21</v>
      </c>
      <c r="O26" s="78"/>
      <c r="P26" s="79">
        <f>'OCTOBER 21'!V26:V58</f>
        <v>0</v>
      </c>
      <c r="Q26" s="83">
        <v>2500</v>
      </c>
      <c r="R26" s="81">
        <v>320</v>
      </c>
      <c r="S26" s="83">
        <v>200</v>
      </c>
      <c r="T26" s="80">
        <f t="shared" si="2"/>
        <v>3020</v>
      </c>
      <c r="U26" s="80">
        <v>3020</v>
      </c>
      <c r="V26" s="80">
        <f t="shared" si="3"/>
        <v>0</v>
      </c>
      <c r="W26" s="80"/>
      <c r="X26" s="80"/>
    </row>
    <row r="27" spans="1:24" ht="15.75" x14ac:dyDescent="0.25">
      <c r="A27" s="24"/>
      <c r="B27" s="24"/>
      <c r="C27" s="17"/>
      <c r="D27" s="17"/>
      <c r="E27" s="17"/>
      <c r="F27" s="17"/>
      <c r="H27" s="23"/>
      <c r="I27" s="25"/>
      <c r="J27" s="17"/>
      <c r="M27" s="76" t="s">
        <v>170</v>
      </c>
      <c r="N27" s="77">
        <v>22</v>
      </c>
      <c r="O27" s="78"/>
      <c r="P27" s="79">
        <f>'OCTOBER 21'!V27:V59</f>
        <v>0</v>
      </c>
      <c r="Q27" s="83">
        <v>4500</v>
      </c>
      <c r="R27" s="81">
        <v>350</v>
      </c>
      <c r="S27" s="83">
        <v>200</v>
      </c>
      <c r="T27" s="80">
        <f t="shared" si="2"/>
        <v>5050</v>
      </c>
      <c r="U27" s="80">
        <v>5050</v>
      </c>
      <c r="V27" s="80">
        <f t="shared" si="3"/>
        <v>0</v>
      </c>
      <c r="W27" s="80"/>
      <c r="X27" s="80"/>
    </row>
    <row r="28" spans="1:24" ht="15.75" x14ac:dyDescent="0.25">
      <c r="A28" s="23"/>
      <c r="B28" s="23"/>
      <c r="C28" s="17"/>
      <c r="D28" s="17"/>
      <c r="E28" s="25"/>
      <c r="F28" s="17"/>
      <c r="G28" s="17"/>
      <c r="H28" s="17"/>
      <c r="I28" s="17"/>
      <c r="J28" s="17"/>
      <c r="M28" s="88" t="s">
        <v>180</v>
      </c>
      <c r="N28" s="77">
        <v>23</v>
      </c>
      <c r="O28" s="78"/>
      <c r="P28" s="79">
        <f>'OCTOBER 21'!V28:V60</f>
        <v>1500</v>
      </c>
      <c r="Q28" s="83">
        <v>2500</v>
      </c>
      <c r="R28" s="81"/>
      <c r="S28" s="83"/>
      <c r="T28" s="80">
        <f t="shared" si="2"/>
        <v>4000</v>
      </c>
      <c r="U28" s="80">
        <v>2750</v>
      </c>
      <c r="V28" s="80">
        <f t="shared" si="3"/>
        <v>1250</v>
      </c>
      <c r="W28" s="80"/>
      <c r="X28" s="80"/>
    </row>
    <row r="29" spans="1:24" ht="27" customHeight="1" x14ac:dyDescent="0.25">
      <c r="A29" s="134" t="s">
        <v>20</v>
      </c>
      <c r="B29" s="132"/>
      <c r="C29" s="133">
        <f>C16+C17+C18+C19+C20-E21</f>
        <v>31890</v>
      </c>
      <c r="D29" s="133"/>
      <c r="E29" s="133">
        <f>SUM(E23:E28)</f>
        <v>16473</v>
      </c>
      <c r="F29" s="133">
        <f>C29-E29</f>
        <v>15417</v>
      </c>
      <c r="G29" s="134" t="s">
        <v>20</v>
      </c>
      <c r="H29" s="133">
        <f>H16+H17-I21</f>
        <v>32090</v>
      </c>
      <c r="I29" s="133">
        <f>SUM(I23:I28)</f>
        <v>16473</v>
      </c>
      <c r="J29" s="133">
        <f>H29-I29</f>
        <v>15617</v>
      </c>
      <c r="M29" s="76" t="s">
        <v>80</v>
      </c>
      <c r="N29" s="77">
        <v>24</v>
      </c>
      <c r="O29" s="78"/>
      <c r="P29" s="79">
        <f>'OCTOBER 21'!V29:V61</f>
        <v>0</v>
      </c>
      <c r="Q29" s="83">
        <v>2500</v>
      </c>
      <c r="R29" s="81">
        <v>350</v>
      </c>
      <c r="S29" s="83">
        <v>200</v>
      </c>
      <c r="T29" s="80">
        <f t="shared" si="2"/>
        <v>3050</v>
      </c>
      <c r="U29" s="80">
        <v>3050</v>
      </c>
      <c r="V29" s="80">
        <f t="shared" si="3"/>
        <v>0</v>
      </c>
      <c r="W29" s="80"/>
      <c r="X29" s="80"/>
    </row>
    <row r="30" spans="1:24" ht="15.75" x14ac:dyDescent="0.25">
      <c r="K30" s="119">
        <f>F29+H17</f>
        <v>15417</v>
      </c>
      <c r="M30" s="76" t="s">
        <v>82</v>
      </c>
      <c r="N30" s="77">
        <v>25</v>
      </c>
      <c r="O30" s="78"/>
      <c r="P30" s="79">
        <f>'OCTOBER 21'!V30:V62</f>
        <v>0</v>
      </c>
      <c r="Q30" s="83">
        <v>2700</v>
      </c>
      <c r="R30" s="81">
        <v>320</v>
      </c>
      <c r="S30" s="83">
        <v>200</v>
      </c>
      <c r="T30" s="80">
        <f t="shared" si="2"/>
        <v>3220</v>
      </c>
      <c r="U30" s="80">
        <v>3220</v>
      </c>
      <c r="V30" s="80">
        <f t="shared" si="3"/>
        <v>0</v>
      </c>
      <c r="W30" s="80"/>
      <c r="X30" s="80"/>
    </row>
    <row r="31" spans="1:24" ht="26.25" customHeight="1" x14ac:dyDescent="0.25">
      <c r="A31" s="142" t="s">
        <v>21</v>
      </c>
      <c r="B31" s="142"/>
      <c r="E31" s="142" t="s">
        <v>22</v>
      </c>
      <c r="F31" s="142"/>
      <c r="H31" s="142" t="s">
        <v>23</v>
      </c>
      <c r="I31" s="142"/>
      <c r="M31" s="76" t="s">
        <v>83</v>
      </c>
      <c r="N31" s="77">
        <v>26</v>
      </c>
      <c r="O31" s="78"/>
      <c r="P31" s="79">
        <f>'OCTOBER 21'!V31:V63</f>
        <v>558</v>
      </c>
      <c r="Q31" s="83">
        <v>4500</v>
      </c>
      <c r="R31" s="81">
        <v>350</v>
      </c>
      <c r="S31" s="83">
        <v>200</v>
      </c>
      <c r="T31" s="80">
        <f t="shared" si="2"/>
        <v>5608</v>
      </c>
      <c r="U31" s="80">
        <v>5050</v>
      </c>
      <c r="V31" s="80">
        <f t="shared" si="3"/>
        <v>558</v>
      </c>
      <c r="W31" s="80"/>
      <c r="X31" s="80"/>
    </row>
    <row r="32" spans="1:24" ht="15.75" x14ac:dyDescent="0.25">
      <c r="A32" s="137" t="s">
        <v>24</v>
      </c>
      <c r="B32" s="137"/>
      <c r="E32" s="137" t="s">
        <v>25</v>
      </c>
      <c r="F32" s="137"/>
      <c r="H32" s="137" t="s">
        <v>34</v>
      </c>
      <c r="I32" s="137"/>
      <c r="M32" s="76" t="s">
        <v>84</v>
      </c>
      <c r="N32" s="77">
        <v>27</v>
      </c>
      <c r="O32" s="78"/>
      <c r="P32" s="79">
        <f>'OCTOBER 21'!V32:V64</f>
        <v>2020</v>
      </c>
      <c r="Q32" s="83">
        <v>4500</v>
      </c>
      <c r="R32" s="81">
        <v>320</v>
      </c>
      <c r="S32" s="83">
        <v>200</v>
      </c>
      <c r="T32" s="80">
        <f t="shared" si="2"/>
        <v>7040</v>
      </c>
      <c r="U32" s="80">
        <f>1000+3000+1000</f>
        <v>5000</v>
      </c>
      <c r="V32" s="80">
        <f t="shared" si="3"/>
        <v>2040</v>
      </c>
      <c r="W32" s="80"/>
      <c r="X32" s="69"/>
    </row>
    <row r="33" spans="3:24" ht="22.5" customHeight="1" x14ac:dyDescent="0.25">
      <c r="M33" s="88" t="s">
        <v>181</v>
      </c>
      <c r="N33" s="77">
        <v>28</v>
      </c>
      <c r="O33" s="78"/>
      <c r="P33" s="79">
        <f>'OCTOBER 21'!V33:V65</f>
        <v>0</v>
      </c>
      <c r="Q33" s="83">
        <v>4500</v>
      </c>
      <c r="R33" s="81">
        <v>350</v>
      </c>
      <c r="S33" s="83">
        <v>200</v>
      </c>
      <c r="T33" s="80">
        <f>P33+Q33+R33+S33+O33</f>
        <v>5050</v>
      </c>
      <c r="U33" s="80">
        <f>5050</f>
        <v>5050</v>
      </c>
      <c r="V33" s="80">
        <f t="shared" si="3"/>
        <v>0</v>
      </c>
      <c r="W33" s="80"/>
      <c r="X33" s="80"/>
    </row>
    <row r="34" spans="3:24" ht="15.75" x14ac:dyDescent="0.25">
      <c r="M34" s="76" t="s">
        <v>85</v>
      </c>
      <c r="N34" s="77">
        <v>29</v>
      </c>
      <c r="O34" s="78"/>
      <c r="P34" s="79">
        <f>'OCTOBER 21'!V34:V66</f>
        <v>520</v>
      </c>
      <c r="Q34" s="83">
        <v>4500</v>
      </c>
      <c r="R34" s="81">
        <f>350</f>
        <v>350</v>
      </c>
      <c r="S34" s="83">
        <v>200</v>
      </c>
      <c r="T34" s="80">
        <f t="shared" si="2"/>
        <v>5570</v>
      </c>
      <c r="U34" s="80">
        <v>5050</v>
      </c>
      <c r="V34" s="80">
        <f t="shared" si="3"/>
        <v>520</v>
      </c>
      <c r="W34" s="80"/>
      <c r="X34" s="80"/>
    </row>
    <row r="35" spans="3:24" ht="15.75" x14ac:dyDescent="0.25">
      <c r="G35" s="119"/>
      <c r="M35" s="76"/>
      <c r="N35" s="77"/>
      <c r="O35" s="78"/>
      <c r="P35" s="79">
        <f>'OCTOBER 21'!V35:V67</f>
        <v>0</v>
      </c>
      <c r="Q35" s="83"/>
      <c r="R35" s="81"/>
      <c r="S35" s="83"/>
      <c r="T35" s="80">
        <f t="shared" si="2"/>
        <v>0</v>
      </c>
      <c r="U35" s="80"/>
      <c r="V35" s="80">
        <f t="shared" si="3"/>
        <v>0</v>
      </c>
      <c r="W35" s="80"/>
      <c r="X35" s="80"/>
    </row>
    <row r="36" spans="3:24" ht="15.75" x14ac:dyDescent="0.25">
      <c r="C36" s="119"/>
      <c r="E36" s="119"/>
      <c r="M36" s="76"/>
      <c r="N36" s="77" t="s">
        <v>86</v>
      </c>
      <c r="O36" s="78"/>
      <c r="P36" s="79">
        <f>'OCTOBER 21'!V36:V68</f>
        <v>0</v>
      </c>
      <c r="Q36" s="83"/>
      <c r="R36" s="81"/>
      <c r="S36" s="83"/>
      <c r="T36" s="80">
        <f t="shared" si="2"/>
        <v>0</v>
      </c>
      <c r="U36" s="80"/>
      <c r="V36" s="80">
        <f t="shared" si="3"/>
        <v>0</v>
      </c>
      <c r="W36" s="80"/>
      <c r="X36" s="80"/>
    </row>
    <row r="37" spans="3:24" ht="15.75" x14ac:dyDescent="0.25">
      <c r="C37" s="119"/>
      <c r="E37" s="119"/>
      <c r="I37" s="119"/>
      <c r="M37" s="76" t="s">
        <v>93</v>
      </c>
      <c r="N37" s="77" t="s">
        <v>87</v>
      </c>
      <c r="O37" s="78"/>
      <c r="P37" s="79">
        <f>'OCTOBER 21'!V37:V69</f>
        <v>0</v>
      </c>
      <c r="Q37" s="83">
        <v>7000</v>
      </c>
      <c r="R37" s="81"/>
      <c r="S37" s="83"/>
      <c r="T37" s="80">
        <f t="shared" si="2"/>
        <v>7000</v>
      </c>
      <c r="U37" s="80">
        <v>7000</v>
      </c>
      <c r="V37" s="80">
        <f t="shared" si="3"/>
        <v>0</v>
      </c>
      <c r="W37" s="80"/>
      <c r="X37" s="80"/>
    </row>
    <row r="38" spans="3:24" ht="15.75" x14ac:dyDescent="0.25">
      <c r="C38" s="119"/>
      <c r="E38" s="119"/>
      <c r="M38" s="76" t="s">
        <v>92</v>
      </c>
      <c r="N38" s="77" t="s">
        <v>88</v>
      </c>
      <c r="O38" s="78"/>
      <c r="P38" s="79">
        <f>'OCTOBER 21'!V38:V70</f>
        <v>0</v>
      </c>
      <c r="Q38" s="83">
        <v>7000</v>
      </c>
      <c r="R38" s="81"/>
      <c r="S38" s="83"/>
      <c r="T38" s="80">
        <f>P38+Q38+R38+S38+O38</f>
        <v>7000</v>
      </c>
      <c r="U38" s="80">
        <v>7000</v>
      </c>
      <c r="V38" s="80">
        <f t="shared" si="3"/>
        <v>0</v>
      </c>
      <c r="W38" s="80"/>
      <c r="X38" s="80"/>
    </row>
    <row r="39" spans="3:24" ht="15.75" x14ac:dyDescent="0.25">
      <c r="M39" s="90" t="s">
        <v>51</v>
      </c>
      <c r="N39" s="76"/>
      <c r="O39" s="78">
        <f t="shared" ref="O39:X39" si="5">SUM(O6:O38)</f>
        <v>1000</v>
      </c>
      <c r="P39" s="79">
        <f>SUM(P6:P38)</f>
        <v>15428</v>
      </c>
      <c r="Q39" s="91">
        <f>SUM(Q6:Q38)</f>
        <v>105900</v>
      </c>
      <c r="R39" s="92">
        <f t="shared" si="5"/>
        <v>8570</v>
      </c>
      <c r="S39" s="93">
        <f t="shared" si="5"/>
        <v>5200</v>
      </c>
      <c r="T39" s="80">
        <f>SUM(T6:T38)</f>
        <v>136098</v>
      </c>
      <c r="U39" s="80">
        <f>SUM(U6:U38)</f>
        <v>119860</v>
      </c>
      <c r="V39" s="80">
        <f>SUM(V6:V38)</f>
        <v>16238</v>
      </c>
      <c r="W39" s="80">
        <f>SUM(W6:W38)</f>
        <v>0</v>
      </c>
      <c r="X39" s="80">
        <f t="shared" si="5"/>
        <v>0</v>
      </c>
    </row>
    <row r="40" spans="3:24" ht="15.75" x14ac:dyDescent="0.25">
      <c r="E40" s="119"/>
      <c r="M40" s="94" t="s">
        <v>12</v>
      </c>
      <c r="N40" s="94"/>
      <c r="O40" s="94"/>
      <c r="P40" s="79">
        <f>'JULY 21'!V40:V69</f>
        <v>0</v>
      </c>
      <c r="Q40" s="118">
        <f>Q39-Q38-Q37-Q36</f>
        <v>91900</v>
      </c>
      <c r="R40" s="94" t="s">
        <v>8</v>
      </c>
      <c r="S40" s="94"/>
      <c r="T40" s="94"/>
      <c r="U40" s="70"/>
      <c r="V40" s="70"/>
      <c r="W40" s="70"/>
      <c r="X40" s="71"/>
    </row>
    <row r="41" spans="3:24" ht="15.75" x14ac:dyDescent="0.25"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</row>
    <row r="42" spans="3:24" ht="15.75" x14ac:dyDescent="0.25">
      <c r="H42" s="119">
        <f>F29+P59</f>
        <v>15416.5</v>
      </c>
      <c r="M42" s="76" t="s">
        <v>191</v>
      </c>
      <c r="N42" s="98">
        <f>Q39</f>
        <v>105900</v>
      </c>
      <c r="O42" s="76"/>
      <c r="P42" s="76"/>
      <c r="Q42" s="76"/>
      <c r="R42" s="76" t="s">
        <v>191</v>
      </c>
      <c r="S42" s="76"/>
      <c r="T42" s="99">
        <f>U39</f>
        <v>119860</v>
      </c>
      <c r="U42" s="76"/>
      <c r="V42" s="76"/>
      <c r="W42" s="76"/>
      <c r="X42" s="100"/>
    </row>
    <row r="43" spans="3:24" ht="15.75" x14ac:dyDescent="0.25">
      <c r="E43" s="119"/>
      <c r="I43" s="119"/>
      <c r="M43" s="76" t="s">
        <v>5</v>
      </c>
      <c r="N43" s="98">
        <f>'OCTOBER 21'!P59</f>
        <v>8289.5</v>
      </c>
      <c r="O43" s="76"/>
      <c r="P43" s="76"/>
      <c r="Q43" s="76"/>
      <c r="R43" s="76" t="s">
        <v>5</v>
      </c>
      <c r="S43" s="76"/>
      <c r="T43" s="98">
        <f>'OCTOBER 21'!V59</f>
        <v>-6520.5</v>
      </c>
      <c r="U43" s="76"/>
      <c r="V43" s="76"/>
      <c r="W43" s="76"/>
      <c r="X43" s="100"/>
    </row>
    <row r="44" spans="3:24" ht="15.75" x14ac:dyDescent="0.25">
      <c r="M44" s="76" t="s">
        <v>4</v>
      </c>
      <c r="N44" s="98">
        <f>O39</f>
        <v>1000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</row>
    <row r="45" spans="3:24" ht="15.75" x14ac:dyDescent="0.25">
      <c r="M45" s="76" t="s">
        <v>41</v>
      </c>
      <c r="N45" s="98">
        <f>R39</f>
        <v>8570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</row>
    <row r="46" spans="3:24" ht="15.75" x14ac:dyDescent="0.25">
      <c r="M46" s="76" t="s">
        <v>53</v>
      </c>
      <c r="N46" s="98">
        <f>W39</f>
        <v>0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</row>
    <row r="47" spans="3:24" ht="15.75" x14ac:dyDescent="0.25">
      <c r="M47" s="76" t="s">
        <v>42</v>
      </c>
      <c r="N47" s="98">
        <f>S39</f>
        <v>5200</v>
      </c>
      <c r="O47" s="76"/>
      <c r="P47" s="76"/>
      <c r="Q47" s="76"/>
      <c r="R47" s="76" t="s">
        <v>126</v>
      </c>
      <c r="S47" s="76"/>
      <c r="T47" s="99">
        <f>X39</f>
        <v>0</v>
      </c>
      <c r="U47" s="76"/>
      <c r="V47" s="76"/>
      <c r="W47" s="76"/>
      <c r="X47" s="100"/>
    </row>
    <row r="48" spans="3:24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</row>
    <row r="49" spans="13:24" ht="15.75" x14ac:dyDescent="0.25">
      <c r="M49" s="76" t="s">
        <v>126</v>
      </c>
      <c r="N49" s="99">
        <f>X39</f>
        <v>0</v>
      </c>
      <c r="O49" s="98"/>
      <c r="P49" s="76"/>
      <c r="Q49" s="76"/>
      <c r="R49" s="76"/>
      <c r="S49" s="76"/>
      <c r="T49" s="76"/>
      <c r="U49" s="98"/>
      <c r="V49" s="98"/>
      <c r="W49" s="98"/>
      <c r="X49" s="101"/>
    </row>
    <row r="50" spans="13:24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</row>
    <row r="51" spans="13:24" ht="15.75" x14ac:dyDescent="0.25">
      <c r="M51" s="102" t="s">
        <v>55</v>
      </c>
      <c r="N51" s="103">
        <v>7.0000000000000007E-2</v>
      </c>
      <c r="O51" s="99">
        <f>N51*Q40</f>
        <v>6433.0000000000009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T51*Q40</f>
        <v>6433.0000000000009</v>
      </c>
      <c r="V51" s="76"/>
      <c r="W51" s="76"/>
      <c r="X51" s="100"/>
    </row>
    <row r="52" spans="13:24" ht="15.75" x14ac:dyDescent="0.25">
      <c r="M52" s="104" t="s">
        <v>128</v>
      </c>
      <c r="N52" s="105">
        <v>0.3</v>
      </c>
      <c r="O52" s="69">
        <f>N52*O7+(N52*O123)+(N52*O22)</f>
        <v>0</v>
      </c>
      <c r="P52" s="99"/>
      <c r="Q52" s="99"/>
      <c r="R52" s="104"/>
      <c r="S52" s="103"/>
      <c r="T52" s="122"/>
      <c r="U52" s="122"/>
      <c r="V52" s="122"/>
      <c r="W52" s="99"/>
      <c r="X52" s="106"/>
    </row>
    <row r="53" spans="13:24" ht="15.75" x14ac:dyDescent="0.25">
      <c r="M53" s="104" t="s">
        <v>196</v>
      </c>
      <c r="N53" s="103"/>
      <c r="O53" s="122">
        <v>100000</v>
      </c>
      <c r="P53" s="99"/>
      <c r="Q53" s="99"/>
      <c r="R53" s="104" t="s">
        <v>196</v>
      </c>
      <c r="S53" s="103"/>
      <c r="T53" s="122"/>
      <c r="U53" s="122">
        <v>100000</v>
      </c>
      <c r="V53" s="122"/>
      <c r="W53" s="99"/>
      <c r="X53" s="106"/>
    </row>
    <row r="54" spans="13:24" ht="15.75" x14ac:dyDescent="0.25">
      <c r="M54" s="104" t="s">
        <v>199</v>
      </c>
      <c r="N54" s="103"/>
      <c r="O54" s="122">
        <v>22527</v>
      </c>
      <c r="P54" s="99"/>
      <c r="Q54" s="99"/>
      <c r="R54" s="104" t="s">
        <v>199</v>
      </c>
      <c r="S54" s="103"/>
      <c r="T54" s="122"/>
      <c r="U54" s="122">
        <v>22527</v>
      </c>
      <c r="V54" s="122"/>
      <c r="W54" s="99"/>
      <c r="X54" s="106"/>
    </row>
    <row r="55" spans="13:24" ht="15.75" x14ac:dyDescent="0.25">
      <c r="M55" s="104"/>
      <c r="N55" s="103"/>
      <c r="O55" s="122"/>
      <c r="P55" s="99"/>
      <c r="Q55" s="99"/>
      <c r="R55" s="104"/>
      <c r="S55" s="103"/>
      <c r="T55" s="122"/>
      <c r="U55" s="122"/>
      <c r="V55" s="76"/>
      <c r="W55" s="76"/>
      <c r="X55" s="100"/>
    </row>
    <row r="56" spans="13:24" ht="15.75" x14ac:dyDescent="0.25">
      <c r="M56" s="104"/>
      <c r="N56" s="103"/>
      <c r="O56" s="99"/>
      <c r="P56" s="76"/>
      <c r="Q56" s="76"/>
      <c r="R56" s="104"/>
      <c r="S56" s="103"/>
      <c r="T56" s="99"/>
      <c r="U56" s="99"/>
      <c r="V56" s="76"/>
      <c r="W56" s="76"/>
      <c r="X56" s="100"/>
    </row>
    <row r="57" spans="13:24" ht="15.75" x14ac:dyDescent="0.25">
      <c r="M57" s="108"/>
      <c r="N57" s="76"/>
      <c r="O57" s="99"/>
      <c r="P57" s="76"/>
      <c r="Q57" s="76"/>
      <c r="R57" s="108"/>
      <c r="S57" s="76"/>
      <c r="T57" s="99"/>
      <c r="U57" s="99"/>
      <c r="V57" s="76"/>
      <c r="W57" s="76"/>
      <c r="X57" s="100"/>
    </row>
    <row r="58" spans="13:24" ht="15.75" x14ac:dyDescent="0.25">
      <c r="M58" s="108"/>
      <c r="N58" s="76"/>
      <c r="O58" s="99"/>
      <c r="P58" s="76"/>
      <c r="Q58" s="76"/>
      <c r="R58" s="108"/>
      <c r="S58" s="76"/>
      <c r="T58" s="99"/>
      <c r="U58" s="99"/>
      <c r="V58" s="99"/>
      <c r="W58" s="99"/>
      <c r="X58" s="106"/>
    </row>
    <row r="59" spans="13:24" ht="15.75" x14ac:dyDescent="0.25">
      <c r="M59" s="90" t="s">
        <v>20</v>
      </c>
      <c r="N59" s="109">
        <f>N42+N43+N44+N45+N46+N47+N49+N48</f>
        <v>128959.5</v>
      </c>
      <c r="O59" s="109">
        <f>SUM(O51:O58)</f>
        <v>128960</v>
      </c>
      <c r="P59" s="125">
        <f>N59-O59</f>
        <v>-0.5</v>
      </c>
      <c r="Q59" s="109"/>
      <c r="R59" s="90"/>
      <c r="S59" s="90"/>
      <c r="T59" s="109">
        <f>T42+T43+T45+T47+T48</f>
        <v>113339.5</v>
      </c>
      <c r="U59" s="109">
        <f>SUM(U51:U58)</f>
        <v>128960</v>
      </c>
      <c r="V59" s="109">
        <f>T59-U59</f>
        <v>-15620.5</v>
      </c>
      <c r="W59" s="109"/>
      <c r="X59" s="110"/>
    </row>
    <row r="60" spans="13:24" ht="15.75" x14ac:dyDescent="0.25">
      <c r="M60" s="70"/>
      <c r="N60" s="70"/>
      <c r="O60" s="70"/>
      <c r="P60" s="70"/>
      <c r="Q60" s="70"/>
      <c r="R60" s="70"/>
      <c r="S60" s="70"/>
      <c r="T60" s="70"/>
      <c r="U60" s="111">
        <f>U59-U51</f>
        <v>122527</v>
      </c>
      <c r="V60" s="70"/>
      <c r="W60" s="70"/>
      <c r="X60" s="71"/>
    </row>
    <row r="61" spans="13:24" ht="15.75" x14ac:dyDescent="0.25">
      <c r="M61" s="112" t="s">
        <v>56</v>
      </c>
      <c r="N61" s="113"/>
      <c r="O61" s="113" t="s">
        <v>22</v>
      </c>
      <c r="P61" s="114"/>
      <c r="Q61" s="114"/>
      <c r="R61" s="112"/>
      <c r="S61" s="112"/>
      <c r="T61" s="112" t="s">
        <v>57</v>
      </c>
      <c r="U61" s="70"/>
      <c r="V61" s="70"/>
      <c r="W61" s="70"/>
      <c r="X61" s="71"/>
    </row>
    <row r="62" spans="13:24" ht="15.75" x14ac:dyDescent="0.25">
      <c r="M62" s="70" t="s">
        <v>24</v>
      </c>
      <c r="N62" s="70"/>
      <c r="O62" s="70" t="s">
        <v>25</v>
      </c>
      <c r="P62" s="70"/>
      <c r="Q62" s="70"/>
      <c r="R62" s="111"/>
      <c r="S62" s="70"/>
      <c r="T62" s="70" t="s">
        <v>34</v>
      </c>
      <c r="U62" s="70"/>
      <c r="V62" s="70"/>
      <c r="W62" s="111"/>
      <c r="X62" s="71"/>
    </row>
    <row r="72" spans="14:17" x14ac:dyDescent="0.25">
      <c r="P72">
        <f>650*6</f>
        <v>3900</v>
      </c>
    </row>
    <row r="73" spans="14:17" x14ac:dyDescent="0.25">
      <c r="N73">
        <f>650*5</f>
        <v>3250</v>
      </c>
    </row>
    <row r="74" spans="14:17" x14ac:dyDescent="0.25">
      <c r="Q74">
        <f>30000-O54</f>
        <v>7473</v>
      </c>
    </row>
  </sheetData>
  <mergeCells count="15">
    <mergeCell ref="O4:T4"/>
    <mergeCell ref="B1:H1"/>
    <mergeCell ref="B2:H2"/>
    <mergeCell ref="P2:S2"/>
    <mergeCell ref="B3:H3"/>
    <mergeCell ref="Q3:R3"/>
    <mergeCell ref="A32:B32"/>
    <mergeCell ref="E32:F32"/>
    <mergeCell ref="H32:I32"/>
    <mergeCell ref="A13:J13"/>
    <mergeCell ref="A14:E14"/>
    <mergeCell ref="F14:J14"/>
    <mergeCell ref="A31:B31"/>
    <mergeCell ref="E31:F31"/>
    <mergeCell ref="H31:I31"/>
  </mergeCells>
  <conditionalFormatting sqref="B5:B10 M6:M38">
    <cfRule type="containsText" dxfId="3" priority="2" operator="containsText" text="VACCANT">
      <formula>NOT(ISERROR(SEARCH("VACCANT",B5)))</formula>
    </cfRule>
  </conditionalFormatting>
  <conditionalFormatting sqref="B5:B10 M6:M38">
    <cfRule type="notContainsText" dxfId="2" priority="1" operator="notContains" text="VACCANT">
      <formula>ISERROR(SEARCH("VACCANT",B5))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topLeftCell="I15" workbookViewId="0">
      <selection activeCell="U22" sqref="U22"/>
    </sheetView>
  </sheetViews>
  <sheetFormatPr defaultRowHeight="15" x14ac:dyDescent="0.25"/>
  <cols>
    <col min="5" max="5" width="8.140625" bestFit="1" customWidth="1"/>
    <col min="13" max="13" width="21.28515625" customWidth="1"/>
    <col min="17" max="17" width="11.42578125" customWidth="1"/>
    <col min="20" max="20" width="11.85546875" customWidth="1"/>
    <col min="22" max="22" width="10.7109375" customWidth="1"/>
  </cols>
  <sheetData>
    <row r="1" spans="1:24" ht="18.75" x14ac:dyDescent="0.25">
      <c r="A1" s="1"/>
      <c r="B1" s="145" t="s">
        <v>29</v>
      </c>
      <c r="C1" s="145"/>
      <c r="D1" s="145"/>
      <c r="E1" s="145"/>
      <c r="F1" s="145"/>
      <c r="G1" s="145"/>
      <c r="H1" s="145"/>
      <c r="I1" s="1"/>
      <c r="J1" s="1"/>
      <c r="M1" s="69"/>
      <c r="N1" s="69"/>
      <c r="O1" s="71"/>
      <c r="P1" s="71"/>
      <c r="Q1" s="71"/>
      <c r="R1" s="71"/>
      <c r="S1" s="71"/>
      <c r="T1" s="69"/>
      <c r="U1" s="71"/>
      <c r="V1" s="71"/>
      <c r="W1" s="71"/>
      <c r="X1" s="71"/>
    </row>
    <row r="2" spans="1:24" ht="18.75" x14ac:dyDescent="0.3">
      <c r="A2" s="1"/>
      <c r="B2" s="146" t="s">
        <v>0</v>
      </c>
      <c r="C2" s="146"/>
      <c r="D2" s="146"/>
      <c r="E2" s="146"/>
      <c r="F2" s="146"/>
      <c r="G2" s="146"/>
      <c r="H2" s="146"/>
      <c r="I2" s="1"/>
      <c r="J2" s="1"/>
      <c r="M2" s="69"/>
      <c r="N2" s="69"/>
      <c r="O2" s="27"/>
      <c r="P2" s="143" t="s">
        <v>58</v>
      </c>
      <c r="Q2" s="143"/>
      <c r="R2" s="143"/>
      <c r="S2" s="143"/>
      <c r="T2" s="28"/>
      <c r="U2" s="70"/>
      <c r="V2" s="70"/>
      <c r="W2" s="70"/>
      <c r="X2" s="70"/>
    </row>
    <row r="3" spans="1:24" ht="18.75" x14ac:dyDescent="0.3">
      <c r="A3" s="1"/>
      <c r="B3" s="147" t="s">
        <v>198</v>
      </c>
      <c r="C3" s="147"/>
      <c r="D3" s="147"/>
      <c r="E3" s="147"/>
      <c r="F3" s="147"/>
      <c r="G3" s="147"/>
      <c r="H3" s="147"/>
      <c r="I3" s="1"/>
      <c r="J3" s="1"/>
      <c r="M3" s="70"/>
      <c r="N3" s="27"/>
      <c r="O3" s="27"/>
      <c r="P3" s="27"/>
      <c r="Q3" s="143" t="s">
        <v>0</v>
      </c>
      <c r="R3" s="143"/>
      <c r="S3" s="71"/>
      <c r="T3" s="29"/>
      <c r="U3" s="70"/>
      <c r="V3" s="70"/>
      <c r="W3" s="70"/>
      <c r="X3" s="70"/>
    </row>
    <row r="4" spans="1:24" ht="15.75" x14ac:dyDescent="0.25">
      <c r="A4" s="126" t="s">
        <v>2</v>
      </c>
      <c r="B4" s="126" t="s">
        <v>3</v>
      </c>
      <c r="C4" s="126" t="s">
        <v>4</v>
      </c>
      <c r="D4" s="126" t="s">
        <v>5</v>
      </c>
      <c r="E4" s="126" t="s">
        <v>41</v>
      </c>
      <c r="F4" s="126" t="s">
        <v>42</v>
      </c>
      <c r="G4" s="126" t="s">
        <v>6</v>
      </c>
      <c r="H4" s="126" t="s">
        <v>7</v>
      </c>
      <c r="I4" s="126" t="s">
        <v>8</v>
      </c>
      <c r="J4" s="126" t="s">
        <v>9</v>
      </c>
      <c r="M4" s="27"/>
      <c r="N4" s="70"/>
      <c r="O4" s="144" t="s">
        <v>201</v>
      </c>
      <c r="P4" s="144"/>
      <c r="Q4" s="144"/>
      <c r="R4" s="144"/>
      <c r="S4" s="144"/>
      <c r="T4" s="144"/>
      <c r="U4" s="31"/>
      <c r="V4" s="31"/>
      <c r="W4" s="31"/>
      <c r="X4" s="31"/>
    </row>
    <row r="5" spans="1:24" ht="15.75" x14ac:dyDescent="0.25">
      <c r="A5" s="3">
        <v>1</v>
      </c>
      <c r="B5" s="3" t="s">
        <v>26</v>
      </c>
      <c r="C5" s="3"/>
      <c r="D5" s="3">
        <f>' NOVEMBER 21'!J5:J10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123</v>
      </c>
    </row>
    <row r="6" spans="1:24" ht="15.75" x14ac:dyDescent="0.25">
      <c r="A6" s="3">
        <v>2</v>
      </c>
      <c r="B6" s="3" t="s">
        <v>26</v>
      </c>
      <c r="C6" s="3"/>
      <c r="D6" s="3">
        <f>' NOVEMBER 21'!J6:J11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>
        <f>'OCTOBER 21'!V6:V38</f>
        <v>0</v>
      </c>
      <c r="Q6" s="80"/>
      <c r="R6" s="81"/>
      <c r="S6" s="80"/>
      <c r="T6" s="80">
        <f>P6+Q6+R6+S6+O6</f>
        <v>0</v>
      </c>
      <c r="U6" s="80"/>
      <c r="V6" s="80">
        <f>T6-U6</f>
        <v>0</v>
      </c>
      <c r="W6" s="80"/>
      <c r="X6" s="80"/>
    </row>
    <row r="7" spans="1:24" ht="45" x14ac:dyDescent="0.25">
      <c r="A7" s="3">
        <v>3</v>
      </c>
      <c r="B7" s="127" t="s">
        <v>155</v>
      </c>
      <c r="C7" s="3"/>
      <c r="D7" s="3">
        <f>' NOVEMBER 21'!J7:J12</f>
        <v>0</v>
      </c>
      <c r="E7" s="3">
        <v>450</v>
      </c>
      <c r="F7" s="3">
        <v>200</v>
      </c>
      <c r="G7" s="3">
        <v>8000</v>
      </c>
      <c r="H7" s="3">
        <f t="shared" si="0"/>
        <v>8650</v>
      </c>
      <c r="I7" s="3"/>
      <c r="J7" s="3">
        <f t="shared" si="1"/>
        <v>8650</v>
      </c>
      <c r="M7" s="82" t="s">
        <v>115</v>
      </c>
      <c r="N7" s="77">
        <v>2</v>
      </c>
      <c r="O7" s="78"/>
      <c r="P7" s="79">
        <f>' NOVEMBER 21'!V7:V38</f>
        <v>0</v>
      </c>
      <c r="Q7" s="83">
        <v>2500</v>
      </c>
      <c r="R7" s="81">
        <v>350</v>
      </c>
      <c r="S7" s="83">
        <v>200</v>
      </c>
      <c r="T7" s="80">
        <f t="shared" ref="T7:T37" si="2">P7+Q7+R7+S7+O7</f>
        <v>3050</v>
      </c>
      <c r="U7" s="80"/>
      <c r="V7" s="80">
        <f t="shared" ref="V7:V38" si="3">T7-U7</f>
        <v>3050</v>
      </c>
      <c r="W7" s="80"/>
      <c r="X7" s="80"/>
    </row>
    <row r="8" spans="1:24" ht="15.75" x14ac:dyDescent="0.25">
      <c r="A8" s="3">
        <v>4</v>
      </c>
      <c r="B8" s="3" t="s">
        <v>197</v>
      </c>
      <c r="C8" s="3"/>
      <c r="D8" s="3">
        <f>' NOVEMBER 21'!J8:J13</f>
        <v>0</v>
      </c>
      <c r="E8" s="3">
        <v>150</v>
      </c>
      <c r="F8" s="3"/>
      <c r="G8" s="3"/>
      <c r="H8" s="3">
        <f t="shared" si="0"/>
        <v>150</v>
      </c>
      <c r="I8" s="3"/>
      <c r="J8" s="3">
        <f t="shared" si="1"/>
        <v>150</v>
      </c>
      <c r="M8" s="82" t="s">
        <v>60</v>
      </c>
      <c r="N8" s="77">
        <v>3</v>
      </c>
      <c r="O8" s="78"/>
      <c r="P8" s="79">
        <f>' NOVEMBER 21'!V8:V39</f>
        <v>30</v>
      </c>
      <c r="Q8" s="83">
        <v>2500</v>
      </c>
      <c r="R8" s="81">
        <v>350</v>
      </c>
      <c r="S8" s="83">
        <v>200</v>
      </c>
      <c r="T8" s="80">
        <f t="shared" si="2"/>
        <v>3080</v>
      </c>
      <c r="U8" s="80"/>
      <c r="V8" s="80">
        <f t="shared" si="3"/>
        <v>3080</v>
      </c>
      <c r="W8" s="80"/>
      <c r="X8" s="80"/>
    </row>
    <row r="9" spans="1:24" ht="30" x14ac:dyDescent="0.25">
      <c r="A9" s="3">
        <v>5</v>
      </c>
      <c r="B9" s="127" t="s">
        <v>95</v>
      </c>
      <c r="C9" s="3"/>
      <c r="D9" s="3">
        <f>' NOVEMBER 21'!J9:J14</f>
        <v>450</v>
      </c>
      <c r="E9" s="3">
        <v>300</v>
      </c>
      <c r="F9" s="3">
        <v>200</v>
      </c>
      <c r="G9" s="3">
        <v>8000</v>
      </c>
      <c r="H9" s="3">
        <f t="shared" si="0"/>
        <v>8950</v>
      </c>
      <c r="I9" s="3"/>
      <c r="J9" s="3">
        <f t="shared" si="1"/>
        <v>8950</v>
      </c>
      <c r="M9" s="76" t="s">
        <v>160</v>
      </c>
      <c r="N9" s="77">
        <v>4</v>
      </c>
      <c r="O9" s="78"/>
      <c r="P9" s="79">
        <f>' NOVEMBER 21'!V9:V40</f>
        <v>2100</v>
      </c>
      <c r="Q9" s="83">
        <v>2500</v>
      </c>
      <c r="R9" s="81">
        <v>350</v>
      </c>
      <c r="S9" s="83">
        <v>200</v>
      </c>
      <c r="T9" s="80">
        <f t="shared" si="2"/>
        <v>5150</v>
      </c>
      <c r="U9" s="80"/>
      <c r="V9" s="80">
        <f t="shared" si="3"/>
        <v>5150</v>
      </c>
      <c r="W9" s="80"/>
      <c r="X9" s="80"/>
    </row>
    <row r="10" spans="1:24" ht="45" x14ac:dyDescent="0.25">
      <c r="A10" s="3">
        <v>6</v>
      </c>
      <c r="B10" s="128" t="s">
        <v>28</v>
      </c>
      <c r="C10" s="4"/>
      <c r="D10" s="3">
        <f>' NOVEMBER 21'!J10:J15</f>
        <v>0</v>
      </c>
      <c r="E10" s="3">
        <v>450</v>
      </c>
      <c r="F10" s="3">
        <v>200</v>
      </c>
      <c r="G10" s="3">
        <v>8000</v>
      </c>
      <c r="H10" s="3">
        <f t="shared" si="0"/>
        <v>8650</v>
      </c>
      <c r="I10" s="3"/>
      <c r="J10" s="3">
        <f t="shared" si="1"/>
        <v>8650</v>
      </c>
      <c r="M10" s="136" t="s">
        <v>187</v>
      </c>
      <c r="N10" s="77">
        <v>5</v>
      </c>
      <c r="O10" s="78"/>
      <c r="P10" s="79">
        <f>' NOVEMBER 21'!V10:V41</f>
        <v>200</v>
      </c>
      <c r="Q10" s="83">
        <v>3000</v>
      </c>
      <c r="R10" s="81"/>
      <c r="S10" s="83">
        <v>200</v>
      </c>
      <c r="T10" s="80">
        <f t="shared" si="2"/>
        <v>3400</v>
      </c>
      <c r="U10" s="80"/>
      <c r="V10" s="80">
        <f t="shared" si="3"/>
        <v>3400</v>
      </c>
      <c r="W10" s="80"/>
      <c r="X10" s="80"/>
    </row>
    <row r="11" spans="1:24" ht="15.75" x14ac:dyDescent="0.25">
      <c r="A11" s="3"/>
      <c r="B11" s="2" t="s">
        <v>10</v>
      </c>
      <c r="C11" s="2">
        <f t="shared" ref="C11:J11" si="4">SUM(C5:C10)</f>
        <v>0</v>
      </c>
      <c r="D11" s="3">
        <f>SUM(D5:D10)</f>
        <v>450</v>
      </c>
      <c r="E11" s="3">
        <f t="shared" si="4"/>
        <v>1350</v>
      </c>
      <c r="F11" s="3">
        <f t="shared" si="4"/>
        <v>600</v>
      </c>
      <c r="G11" s="2">
        <f>SUM(G5:G10)</f>
        <v>24000</v>
      </c>
      <c r="H11" s="3">
        <f t="shared" si="4"/>
        <v>26400</v>
      </c>
      <c r="I11" s="2">
        <f t="shared" si="4"/>
        <v>0</v>
      </c>
      <c r="J11" s="2">
        <f t="shared" si="4"/>
        <v>26400</v>
      </c>
      <c r="M11" s="85" t="s">
        <v>63</v>
      </c>
      <c r="N11" s="77">
        <v>6</v>
      </c>
      <c r="O11" s="78"/>
      <c r="P11" s="79">
        <f>' NOVEMBER 21'!V11:V42</f>
        <v>0</v>
      </c>
      <c r="Q11" s="83">
        <v>2500</v>
      </c>
      <c r="R11" s="81">
        <v>350</v>
      </c>
      <c r="S11" s="83">
        <v>200</v>
      </c>
      <c r="T11" s="80">
        <f t="shared" si="2"/>
        <v>3050</v>
      </c>
      <c r="U11" s="80"/>
      <c r="V11" s="80">
        <f t="shared" si="3"/>
        <v>3050</v>
      </c>
      <c r="W11" s="80"/>
      <c r="X11" s="80"/>
    </row>
    <row r="12" spans="1:24" ht="15.75" x14ac:dyDescent="0.25">
      <c r="A12" s="5"/>
      <c r="B12" s="6"/>
      <c r="C12" s="6"/>
      <c r="D12" s="3">
        <f>'SEPT 21'!J12:J18</f>
        <v>0</v>
      </c>
      <c r="E12" s="5"/>
      <c r="F12" s="5"/>
      <c r="G12" s="6" t="s">
        <v>10</v>
      </c>
      <c r="H12" s="6"/>
      <c r="I12" s="6"/>
      <c r="J12" s="7"/>
      <c r="M12" s="88" t="s">
        <v>200</v>
      </c>
      <c r="N12" s="77">
        <v>7</v>
      </c>
      <c r="O12" s="78"/>
      <c r="P12" s="79">
        <f>' NOVEMBER 21'!V12:V43</f>
        <v>1500</v>
      </c>
      <c r="Q12" s="83">
        <v>3000</v>
      </c>
      <c r="R12" s="81">
        <v>350</v>
      </c>
      <c r="S12" s="83">
        <v>200</v>
      </c>
      <c r="T12" s="80">
        <f>P12+Q12+R12+S12+O12</f>
        <v>5050</v>
      </c>
      <c r="U12" s="80">
        <v>3500</v>
      </c>
      <c r="V12" s="80">
        <f t="shared" si="3"/>
        <v>1550</v>
      </c>
      <c r="W12" s="80"/>
      <c r="X12" s="80"/>
    </row>
    <row r="13" spans="1:24" ht="15.75" x14ac:dyDescent="0.25">
      <c r="A13" s="138" t="s">
        <v>11</v>
      </c>
      <c r="B13" s="138"/>
      <c r="C13" s="138"/>
      <c r="D13" s="138"/>
      <c r="E13" s="138"/>
      <c r="F13" s="138"/>
      <c r="G13" s="138"/>
      <c r="H13" s="138"/>
      <c r="I13" s="138"/>
      <c r="J13" s="138"/>
      <c r="M13" s="86" t="s">
        <v>124</v>
      </c>
      <c r="N13" s="77">
        <v>8</v>
      </c>
      <c r="O13" s="78"/>
      <c r="P13" s="79">
        <f>' NOVEMBER 21'!V13:V44</f>
        <v>2950</v>
      </c>
      <c r="Q13" s="83">
        <v>2500</v>
      </c>
      <c r="R13" s="81">
        <v>350</v>
      </c>
      <c r="S13" s="83">
        <v>200</v>
      </c>
      <c r="T13" s="80">
        <f>P13+Q13+R13+S13+O13</f>
        <v>6000</v>
      </c>
      <c r="U13" s="80"/>
      <c r="V13" s="80">
        <f t="shared" si="3"/>
        <v>6000</v>
      </c>
      <c r="W13" s="80"/>
      <c r="X13" s="80"/>
    </row>
    <row r="14" spans="1:24" ht="15.75" x14ac:dyDescent="0.25">
      <c r="A14" s="141" t="s">
        <v>12</v>
      </c>
      <c r="B14" s="139"/>
      <c r="C14" s="139"/>
      <c r="D14" s="139"/>
      <c r="E14" s="139"/>
      <c r="F14" s="139" t="s">
        <v>8</v>
      </c>
      <c r="G14" s="139"/>
      <c r="H14" s="139"/>
      <c r="I14" s="139"/>
      <c r="J14" s="140"/>
      <c r="M14" s="76" t="s">
        <v>195</v>
      </c>
      <c r="N14" s="77">
        <v>9</v>
      </c>
      <c r="O14" s="78"/>
      <c r="P14" s="79">
        <f>' NOVEMBER 21'!V14:V45</f>
        <v>2650</v>
      </c>
      <c r="Q14" s="83">
        <v>2500</v>
      </c>
      <c r="R14" s="81">
        <v>350</v>
      </c>
      <c r="S14" s="83">
        <v>200</v>
      </c>
      <c r="T14" s="80">
        <f>P14+Q14+R14+S14+O14</f>
        <v>5700</v>
      </c>
      <c r="U14" s="80">
        <v>2550</v>
      </c>
      <c r="V14" s="80">
        <f t="shared" si="3"/>
        <v>3150</v>
      </c>
      <c r="W14" s="80"/>
      <c r="X14" s="80"/>
    </row>
    <row r="15" spans="1:24" ht="15.75" x14ac:dyDescent="0.25">
      <c r="A15" s="129" t="s">
        <v>13</v>
      </c>
      <c r="B15" s="129"/>
      <c r="C15" s="129" t="s">
        <v>14</v>
      </c>
      <c r="D15" s="129"/>
      <c r="E15" s="129" t="s">
        <v>15</v>
      </c>
      <c r="F15" s="129" t="s">
        <v>16</v>
      </c>
      <c r="G15" s="129" t="s">
        <v>13</v>
      </c>
      <c r="H15" s="129" t="s">
        <v>14</v>
      </c>
      <c r="I15" s="129" t="s">
        <v>15</v>
      </c>
      <c r="J15" s="129" t="s">
        <v>16</v>
      </c>
      <c r="M15" s="82" t="s">
        <v>134</v>
      </c>
      <c r="N15" s="77">
        <v>10</v>
      </c>
      <c r="O15" s="78"/>
      <c r="P15" s="79">
        <f>' NOVEMBER 21'!V15:V46</f>
        <v>550</v>
      </c>
      <c r="Q15" s="83">
        <v>2500</v>
      </c>
      <c r="R15" s="81">
        <v>350</v>
      </c>
      <c r="S15" s="83">
        <v>200</v>
      </c>
      <c r="T15" s="80">
        <f t="shared" si="2"/>
        <v>3600</v>
      </c>
      <c r="U15" s="80">
        <v>3000</v>
      </c>
      <c r="V15" s="80">
        <f t="shared" si="3"/>
        <v>600</v>
      </c>
      <c r="W15" s="80"/>
      <c r="X15" s="80"/>
    </row>
    <row r="16" spans="1:24" ht="15.75" x14ac:dyDescent="0.25">
      <c r="A16" s="130" t="s">
        <v>175</v>
      </c>
      <c r="B16" s="17"/>
      <c r="C16" s="18">
        <f>G11</f>
        <v>24000</v>
      </c>
      <c r="D16" s="18"/>
      <c r="E16" s="17"/>
      <c r="F16" s="17"/>
      <c r="G16" s="17" t="s">
        <v>175</v>
      </c>
      <c r="H16" s="18">
        <f>I11</f>
        <v>0</v>
      </c>
      <c r="I16" s="17"/>
      <c r="J16" s="17"/>
      <c r="M16" s="76" t="s">
        <v>61</v>
      </c>
      <c r="N16" s="77">
        <v>11</v>
      </c>
      <c r="O16" s="84"/>
      <c r="P16" s="79">
        <f>' NOVEMBER 21'!V16:V47</f>
        <v>450</v>
      </c>
      <c r="Q16" s="83">
        <v>4500</v>
      </c>
      <c r="R16" s="81">
        <v>350</v>
      </c>
      <c r="S16" s="83">
        <v>200</v>
      </c>
      <c r="T16" s="80">
        <f t="shared" si="2"/>
        <v>5500</v>
      </c>
      <c r="U16" s="80"/>
      <c r="V16" s="80">
        <f t="shared" si="3"/>
        <v>5500</v>
      </c>
      <c r="W16" s="80"/>
      <c r="X16" s="80"/>
    </row>
    <row r="17" spans="1:24" ht="15.75" x14ac:dyDescent="0.25">
      <c r="A17" s="130" t="s">
        <v>5</v>
      </c>
      <c r="B17" s="17"/>
      <c r="C17" s="18">
        <f>' NOVEMBER 21'!F29</f>
        <v>15417</v>
      </c>
      <c r="D17" s="18"/>
      <c r="E17" s="17"/>
      <c r="F17" s="17"/>
      <c r="G17" s="17" t="s">
        <v>5</v>
      </c>
      <c r="H17" s="18">
        <f>' NOVEMBER 21'!J29</f>
        <v>15617</v>
      </c>
      <c r="I17" s="17"/>
      <c r="J17" s="17"/>
      <c r="M17" s="82" t="s">
        <v>186</v>
      </c>
      <c r="N17" s="77">
        <v>12</v>
      </c>
      <c r="O17" s="84"/>
      <c r="P17" s="79">
        <f>' NOVEMBER 21'!V17:V48</f>
        <v>200</v>
      </c>
      <c r="Q17" s="83">
        <v>3000</v>
      </c>
      <c r="R17" s="81"/>
      <c r="S17" s="83">
        <v>200</v>
      </c>
      <c r="T17" s="80">
        <f t="shared" si="2"/>
        <v>3400</v>
      </c>
      <c r="U17" s="80"/>
      <c r="V17" s="80">
        <f t="shared" si="3"/>
        <v>3400</v>
      </c>
      <c r="W17" s="80"/>
      <c r="X17" s="80"/>
    </row>
    <row r="18" spans="1:24" ht="15.75" x14ac:dyDescent="0.25">
      <c r="A18" s="131" t="s">
        <v>150</v>
      </c>
      <c r="B18" s="3"/>
      <c r="C18" s="3"/>
      <c r="D18" s="3"/>
      <c r="E18" s="3"/>
      <c r="F18" s="3"/>
      <c r="G18" s="3"/>
      <c r="I18" s="17"/>
      <c r="J18" s="17"/>
      <c r="M18" s="76" t="s">
        <v>131</v>
      </c>
      <c r="N18" s="77">
        <v>13</v>
      </c>
      <c r="O18" s="78"/>
      <c r="P18" s="79">
        <f>' NOVEMBER 21'!V18:V49</f>
        <v>1250</v>
      </c>
      <c r="Q18" s="83">
        <v>2500</v>
      </c>
      <c r="R18" s="81">
        <v>350</v>
      </c>
      <c r="S18" s="83">
        <v>200</v>
      </c>
      <c r="T18" s="80">
        <f t="shared" si="2"/>
        <v>4300</v>
      </c>
      <c r="U18" s="80"/>
      <c r="V18" s="80">
        <f t="shared" si="3"/>
        <v>4300</v>
      </c>
      <c r="W18" s="80"/>
      <c r="X18" s="80"/>
    </row>
    <row r="19" spans="1:24" ht="15.75" x14ac:dyDescent="0.25">
      <c r="A19" s="131" t="s">
        <v>41</v>
      </c>
      <c r="B19" s="3"/>
      <c r="C19" s="3">
        <f>E11</f>
        <v>1350</v>
      </c>
      <c r="D19" s="3"/>
      <c r="E19" s="3"/>
      <c r="F19" s="3"/>
      <c r="G19" s="3"/>
      <c r="H19" s="14"/>
      <c r="I19" s="17"/>
      <c r="J19" s="17"/>
      <c r="M19" s="76" t="s">
        <v>71</v>
      </c>
      <c r="N19" s="77">
        <v>14</v>
      </c>
      <c r="O19" s="78"/>
      <c r="P19" s="79">
        <f>' NOVEMBER 21'!V19:V50</f>
        <v>-30</v>
      </c>
      <c r="Q19" s="83">
        <v>2700</v>
      </c>
      <c r="R19" s="81">
        <v>320</v>
      </c>
      <c r="S19" s="83">
        <v>200</v>
      </c>
      <c r="T19" s="80">
        <f t="shared" si="2"/>
        <v>3190</v>
      </c>
      <c r="U19" s="80">
        <v>3250</v>
      </c>
      <c r="V19" s="80">
        <f t="shared" si="3"/>
        <v>-60</v>
      </c>
      <c r="W19" s="80"/>
      <c r="X19" s="80"/>
    </row>
    <row r="20" spans="1:24" ht="15.75" x14ac:dyDescent="0.25">
      <c r="A20" s="131" t="s">
        <v>42</v>
      </c>
      <c r="B20" s="3"/>
      <c r="C20" s="3">
        <f>F11</f>
        <v>600</v>
      </c>
      <c r="D20" s="3"/>
      <c r="E20" s="3"/>
      <c r="F20" s="3"/>
      <c r="G20" s="3"/>
      <c r="H20" s="3"/>
      <c r="I20" s="17"/>
      <c r="J20" s="17"/>
      <c r="M20" s="82" t="s">
        <v>72</v>
      </c>
      <c r="N20" s="77">
        <v>15</v>
      </c>
      <c r="O20" s="78"/>
      <c r="P20" s="79">
        <f>' NOVEMBER 21'!V20:V51</f>
        <v>20</v>
      </c>
      <c r="Q20" s="83">
        <v>4500</v>
      </c>
      <c r="R20" s="81">
        <v>350</v>
      </c>
      <c r="S20" s="83">
        <v>200</v>
      </c>
      <c r="T20" s="80">
        <f t="shared" si="2"/>
        <v>5070</v>
      </c>
      <c r="U20" s="80"/>
      <c r="V20" s="80">
        <f t="shared" si="3"/>
        <v>5070</v>
      </c>
      <c r="W20" s="80"/>
      <c r="X20" s="80"/>
    </row>
    <row r="21" spans="1:24" ht="15.75" x14ac:dyDescent="0.25">
      <c r="A21" s="130" t="s">
        <v>18</v>
      </c>
      <c r="B21" s="17"/>
      <c r="C21" s="20">
        <v>7.0000000000000007E-2</v>
      </c>
      <c r="D21" s="20"/>
      <c r="E21" s="18">
        <f>C16*C21</f>
        <v>1680.0000000000002</v>
      </c>
      <c r="F21" s="17"/>
      <c r="G21" s="17" t="s">
        <v>18</v>
      </c>
      <c r="H21" s="20">
        <v>7.0000000000000007E-2</v>
      </c>
      <c r="I21" s="18">
        <v>1680</v>
      </c>
      <c r="J21" s="17"/>
      <c r="M21" s="88" t="s">
        <v>172</v>
      </c>
      <c r="N21" s="123">
        <v>16</v>
      </c>
      <c r="O21" s="84"/>
      <c r="P21" s="79">
        <f>' NOVEMBER 21'!V21:V52</f>
        <v>0</v>
      </c>
      <c r="Q21" s="83">
        <v>4500</v>
      </c>
      <c r="R21" s="81">
        <v>350</v>
      </c>
      <c r="S21" s="83">
        <v>200</v>
      </c>
      <c r="T21" s="80">
        <f t="shared" si="2"/>
        <v>5050</v>
      </c>
      <c r="U21" s="80">
        <v>5050</v>
      </c>
      <c r="V21" s="80">
        <f t="shared" si="3"/>
        <v>0</v>
      </c>
      <c r="W21" s="80"/>
      <c r="X21" s="80"/>
    </row>
    <row r="22" spans="1:24" ht="15.75" x14ac:dyDescent="0.25">
      <c r="A22" s="16" t="s">
        <v>19</v>
      </c>
      <c r="C22" s="18"/>
      <c r="D22" s="18"/>
      <c r="E22" s="16"/>
      <c r="F22" s="16"/>
      <c r="G22" s="16" t="s">
        <v>19</v>
      </c>
      <c r="H22" s="21"/>
      <c r="I22" s="16"/>
      <c r="J22" s="16"/>
      <c r="M22" s="88" t="s">
        <v>171</v>
      </c>
      <c r="N22" s="77">
        <v>17</v>
      </c>
      <c r="O22" s="78"/>
      <c r="P22" s="79">
        <f>' NOVEMBER 21'!V22:V53</f>
        <v>0</v>
      </c>
      <c r="Q22" s="83">
        <v>4500</v>
      </c>
      <c r="R22" s="81">
        <v>350</v>
      </c>
      <c r="S22" s="83">
        <v>200</v>
      </c>
      <c r="T22" s="80">
        <f t="shared" si="2"/>
        <v>5050</v>
      </c>
      <c r="U22" s="80"/>
      <c r="V22" s="80">
        <f t="shared" si="3"/>
        <v>5050</v>
      </c>
      <c r="W22" s="80"/>
      <c r="X22" s="80"/>
    </row>
    <row r="23" spans="1:24" ht="15.75" x14ac:dyDescent="0.25">
      <c r="A23" s="22"/>
      <c r="B23" s="20"/>
      <c r="C23" s="17"/>
      <c r="D23" s="17"/>
      <c r="E23" s="17"/>
      <c r="F23" s="17"/>
      <c r="G23" s="22"/>
      <c r="H23" s="20"/>
      <c r="I23" s="17"/>
      <c r="J23" s="17"/>
      <c r="K23" s="17"/>
      <c r="M23" s="82" t="s">
        <v>114</v>
      </c>
      <c r="N23" s="77">
        <v>18</v>
      </c>
      <c r="O23" s="78"/>
      <c r="P23" s="79">
        <f>' NOVEMBER 21'!V23:V54</f>
        <v>0</v>
      </c>
      <c r="Q23" s="83">
        <v>4500</v>
      </c>
      <c r="R23" s="81">
        <v>350</v>
      </c>
      <c r="S23" s="83">
        <v>200</v>
      </c>
      <c r="T23" s="80">
        <f t="shared" si="2"/>
        <v>5050</v>
      </c>
      <c r="U23" s="80"/>
      <c r="V23" s="80">
        <f t="shared" si="3"/>
        <v>5050</v>
      </c>
      <c r="W23" s="80"/>
      <c r="X23" s="80"/>
    </row>
    <row r="24" spans="1:24" ht="15.75" x14ac:dyDescent="0.25">
      <c r="A24" s="104"/>
      <c r="B24" s="23"/>
      <c r="C24" s="17"/>
      <c r="D24" s="17"/>
      <c r="E24" s="17"/>
      <c r="F24" s="17"/>
      <c r="G24" s="104"/>
      <c r="H24" s="23"/>
      <c r="I24" s="17"/>
      <c r="J24" s="17"/>
      <c r="K24" s="17"/>
      <c r="M24" s="76" t="s">
        <v>76</v>
      </c>
      <c r="N24" s="77">
        <v>19</v>
      </c>
      <c r="O24" s="78"/>
      <c r="P24" s="79">
        <f>' NOVEMBER 21'!V24:V55</f>
        <v>0</v>
      </c>
      <c r="Q24" s="83">
        <v>2500</v>
      </c>
      <c r="R24" s="81">
        <v>320</v>
      </c>
      <c r="S24" s="83">
        <v>200</v>
      </c>
      <c r="T24" s="80">
        <f t="shared" si="2"/>
        <v>3020</v>
      </c>
      <c r="U24" s="80">
        <v>3020</v>
      </c>
      <c r="V24" s="80">
        <f t="shared" si="3"/>
        <v>0</v>
      </c>
      <c r="W24" s="80"/>
      <c r="X24" s="80"/>
    </row>
    <row r="25" spans="1:24" ht="15.75" x14ac:dyDescent="0.25">
      <c r="A25" s="23"/>
      <c r="B25" s="23"/>
      <c r="C25" s="17"/>
      <c r="D25" s="17"/>
      <c r="E25" s="17"/>
      <c r="F25" s="17"/>
      <c r="G25" s="23"/>
      <c r="H25" s="23"/>
      <c r="I25" s="17"/>
      <c r="J25" s="17"/>
      <c r="K25" s="17"/>
      <c r="M25" s="76" t="s">
        <v>81</v>
      </c>
      <c r="N25" s="77">
        <v>20</v>
      </c>
      <c r="O25" s="78"/>
      <c r="P25" s="79">
        <f>' NOVEMBER 21'!V25:V56</f>
        <v>0</v>
      </c>
      <c r="Q25" s="83">
        <v>2500</v>
      </c>
      <c r="R25" s="81">
        <v>320</v>
      </c>
      <c r="S25" s="83"/>
      <c r="T25" s="80">
        <f t="shared" si="2"/>
        <v>2820</v>
      </c>
      <c r="U25" s="80"/>
      <c r="V25" s="80">
        <f t="shared" si="3"/>
        <v>2820</v>
      </c>
      <c r="W25" s="80"/>
      <c r="X25" s="80"/>
    </row>
    <row r="26" spans="1:24" ht="15.75" x14ac:dyDescent="0.25">
      <c r="A26" s="23"/>
      <c r="B26" s="23"/>
      <c r="C26" s="17"/>
      <c r="D26" s="17"/>
      <c r="E26" s="17"/>
      <c r="F26" s="17"/>
      <c r="G26" s="23"/>
      <c r="H26" s="23"/>
      <c r="I26" s="17"/>
      <c r="J26" s="17"/>
      <c r="M26" s="76" t="s">
        <v>78</v>
      </c>
      <c r="N26" s="77">
        <v>21</v>
      </c>
      <c r="O26" s="78"/>
      <c r="P26" s="79">
        <f>' NOVEMBER 21'!V26:V57</f>
        <v>0</v>
      </c>
      <c r="Q26" s="83">
        <v>2500</v>
      </c>
      <c r="R26" s="81">
        <v>320</v>
      </c>
      <c r="S26" s="83">
        <v>200</v>
      </c>
      <c r="T26" s="80">
        <f t="shared" si="2"/>
        <v>3020</v>
      </c>
      <c r="U26" s="80"/>
      <c r="V26" s="80">
        <f t="shared" si="3"/>
        <v>3020</v>
      </c>
      <c r="W26" s="80"/>
      <c r="X26" s="80"/>
    </row>
    <row r="27" spans="1:24" ht="15.75" x14ac:dyDescent="0.25">
      <c r="A27" s="24"/>
      <c r="B27" s="24"/>
      <c r="C27" s="17"/>
      <c r="D27" s="17"/>
      <c r="E27" s="17"/>
      <c r="F27" s="17"/>
      <c r="H27" s="23"/>
      <c r="I27" s="25"/>
      <c r="J27" s="17"/>
      <c r="M27" s="76" t="s">
        <v>170</v>
      </c>
      <c r="N27" s="77">
        <v>22</v>
      </c>
      <c r="O27" s="78"/>
      <c r="P27" s="79">
        <f>' NOVEMBER 21'!V27:V58</f>
        <v>0</v>
      </c>
      <c r="Q27" s="83">
        <v>4500</v>
      </c>
      <c r="R27" s="81">
        <v>350</v>
      </c>
      <c r="S27" s="83">
        <v>200</v>
      </c>
      <c r="T27" s="80">
        <f t="shared" si="2"/>
        <v>5050</v>
      </c>
      <c r="U27" s="80"/>
      <c r="V27" s="80">
        <f t="shared" si="3"/>
        <v>5050</v>
      </c>
      <c r="W27" s="80"/>
      <c r="X27" s="80"/>
    </row>
    <row r="28" spans="1:24" ht="15.75" x14ac:dyDescent="0.25">
      <c r="A28" s="23"/>
      <c r="B28" s="23"/>
      <c r="C28" s="17"/>
      <c r="D28" s="17"/>
      <c r="E28" s="25"/>
      <c r="F28" s="17"/>
      <c r="G28" s="17"/>
      <c r="H28" s="17"/>
      <c r="I28" s="17"/>
      <c r="J28" s="17"/>
      <c r="M28" s="88" t="s">
        <v>180</v>
      </c>
      <c r="N28" s="77">
        <v>23</v>
      </c>
      <c r="O28" s="78"/>
      <c r="P28" s="79">
        <f>' NOVEMBER 21'!V28:V59</f>
        <v>1250</v>
      </c>
      <c r="Q28" s="83">
        <v>2500</v>
      </c>
      <c r="R28" s="81"/>
      <c r="S28" s="83"/>
      <c r="T28" s="80">
        <f t="shared" si="2"/>
        <v>3750</v>
      </c>
      <c r="U28" s="80">
        <v>3050</v>
      </c>
      <c r="V28" s="80">
        <f t="shared" si="3"/>
        <v>700</v>
      </c>
      <c r="W28" s="80"/>
      <c r="X28" s="80"/>
    </row>
    <row r="29" spans="1:24" ht="15.75" x14ac:dyDescent="0.25">
      <c r="A29" s="134" t="s">
        <v>20</v>
      </c>
      <c r="B29" s="132"/>
      <c r="C29" s="133">
        <f>C16+C17+C18+C19+C20-E21</f>
        <v>39687</v>
      </c>
      <c r="D29" s="133"/>
      <c r="E29" s="133">
        <f>SUM(E23:E28)</f>
        <v>0</v>
      </c>
      <c r="F29" s="133">
        <f>C29-E29</f>
        <v>39687</v>
      </c>
      <c r="G29" s="134" t="s">
        <v>20</v>
      </c>
      <c r="H29" s="133">
        <f>H16+H17-I21</f>
        <v>13937</v>
      </c>
      <c r="I29" s="133">
        <f>SUM(I23:I28)</f>
        <v>0</v>
      </c>
      <c r="J29" s="133">
        <f>H29-I29</f>
        <v>13937</v>
      </c>
      <c r="M29" s="76" t="s">
        <v>80</v>
      </c>
      <c r="N29" s="77">
        <v>24</v>
      </c>
      <c r="O29" s="78"/>
      <c r="P29" s="79">
        <f>' NOVEMBER 21'!V29:V60</f>
        <v>0</v>
      </c>
      <c r="Q29" s="83">
        <v>2500</v>
      </c>
      <c r="R29" s="81">
        <v>350</v>
      </c>
      <c r="S29" s="83">
        <v>200</v>
      </c>
      <c r="T29" s="80">
        <f t="shared" si="2"/>
        <v>3050</v>
      </c>
      <c r="U29" s="80"/>
      <c r="V29" s="80">
        <f t="shared" si="3"/>
        <v>3050</v>
      </c>
      <c r="W29" s="80"/>
      <c r="X29" s="80"/>
    </row>
    <row r="30" spans="1:24" ht="15.75" x14ac:dyDescent="0.25">
      <c r="K30" s="119">
        <f>F29+H17</f>
        <v>55304</v>
      </c>
      <c r="M30" s="76" t="s">
        <v>82</v>
      </c>
      <c r="N30" s="77">
        <v>25</v>
      </c>
      <c r="O30" s="78"/>
      <c r="P30" s="79">
        <f>' NOVEMBER 21'!V30:V61</f>
        <v>0</v>
      </c>
      <c r="Q30" s="83">
        <v>2700</v>
      </c>
      <c r="R30" s="81">
        <v>320</v>
      </c>
      <c r="S30" s="83">
        <v>200</v>
      </c>
      <c r="T30" s="80">
        <f t="shared" si="2"/>
        <v>3220</v>
      </c>
      <c r="U30" s="80">
        <v>3220</v>
      </c>
      <c r="V30" s="80">
        <f t="shared" si="3"/>
        <v>0</v>
      </c>
      <c r="W30" s="80"/>
      <c r="X30" s="80"/>
    </row>
    <row r="31" spans="1:24" ht="15.75" x14ac:dyDescent="0.25">
      <c r="A31" s="142" t="s">
        <v>21</v>
      </c>
      <c r="B31" s="142"/>
      <c r="E31" s="142" t="s">
        <v>22</v>
      </c>
      <c r="F31" s="142"/>
      <c r="H31" s="142" t="s">
        <v>23</v>
      </c>
      <c r="I31" s="142"/>
      <c r="M31" s="76" t="s">
        <v>83</v>
      </c>
      <c r="N31" s="77">
        <v>26</v>
      </c>
      <c r="O31" s="78"/>
      <c r="P31" s="79">
        <f>' NOVEMBER 21'!V31:V62</f>
        <v>558</v>
      </c>
      <c r="Q31" s="83">
        <v>4500</v>
      </c>
      <c r="R31" s="81">
        <v>350</v>
      </c>
      <c r="S31" s="83">
        <v>200</v>
      </c>
      <c r="T31" s="80">
        <f t="shared" si="2"/>
        <v>5608</v>
      </c>
      <c r="U31" s="80"/>
      <c r="V31" s="80">
        <f t="shared" si="3"/>
        <v>5608</v>
      </c>
      <c r="W31" s="80"/>
      <c r="X31" s="80"/>
    </row>
    <row r="32" spans="1:24" ht="15.75" x14ac:dyDescent="0.25">
      <c r="A32" s="137" t="s">
        <v>24</v>
      </c>
      <c r="B32" s="137"/>
      <c r="E32" s="137" t="s">
        <v>25</v>
      </c>
      <c r="F32" s="137"/>
      <c r="H32" s="137" t="s">
        <v>34</v>
      </c>
      <c r="I32" s="137"/>
      <c r="M32" s="76" t="s">
        <v>84</v>
      </c>
      <c r="N32" s="77">
        <v>27</v>
      </c>
      <c r="O32" s="78"/>
      <c r="P32" s="79">
        <f>' NOVEMBER 21'!V32:V63</f>
        <v>2040</v>
      </c>
      <c r="Q32" s="83">
        <v>4500</v>
      </c>
      <c r="R32" s="81">
        <v>320</v>
      </c>
      <c r="S32" s="83">
        <v>200</v>
      </c>
      <c r="T32" s="80">
        <f t="shared" si="2"/>
        <v>7060</v>
      </c>
      <c r="U32" s="80"/>
      <c r="V32" s="80">
        <f t="shared" si="3"/>
        <v>7060</v>
      </c>
      <c r="W32" s="80"/>
      <c r="X32" s="69"/>
    </row>
    <row r="33" spans="3:24" ht="15.75" x14ac:dyDescent="0.25">
      <c r="M33" s="88" t="s">
        <v>181</v>
      </c>
      <c r="N33" s="77">
        <v>28</v>
      </c>
      <c r="O33" s="78"/>
      <c r="P33" s="79">
        <f>' NOVEMBER 21'!V33:V64</f>
        <v>0</v>
      </c>
      <c r="Q33" s="83">
        <v>4500</v>
      </c>
      <c r="R33" s="81">
        <v>350</v>
      </c>
      <c r="S33" s="83">
        <v>200</v>
      </c>
      <c r="T33" s="80">
        <f>P33+Q33+R33+S33+O33</f>
        <v>5050</v>
      </c>
      <c r="U33" s="80">
        <v>4500</v>
      </c>
      <c r="V33" s="80">
        <f t="shared" si="3"/>
        <v>550</v>
      </c>
      <c r="W33" s="80"/>
      <c r="X33" s="80"/>
    </row>
    <row r="34" spans="3:24" ht="15.75" x14ac:dyDescent="0.25">
      <c r="M34" s="76" t="s">
        <v>85</v>
      </c>
      <c r="N34" s="77">
        <v>29</v>
      </c>
      <c r="O34" s="78"/>
      <c r="P34" s="79">
        <f>' NOVEMBER 21'!V34:V65</f>
        <v>520</v>
      </c>
      <c r="Q34" s="83">
        <v>4500</v>
      </c>
      <c r="R34" s="81">
        <f>350</f>
        <v>350</v>
      </c>
      <c r="S34" s="83">
        <v>200</v>
      </c>
      <c r="T34" s="80">
        <f t="shared" si="2"/>
        <v>5570</v>
      </c>
      <c r="U34" s="80"/>
      <c r="V34" s="80">
        <f t="shared" si="3"/>
        <v>5570</v>
      </c>
      <c r="W34" s="80"/>
      <c r="X34" s="80"/>
    </row>
    <row r="35" spans="3:24" ht="15.75" x14ac:dyDescent="0.25">
      <c r="G35" s="119"/>
      <c r="M35" s="76"/>
      <c r="N35" s="77"/>
      <c r="O35" s="78"/>
      <c r="P35" s="79">
        <f>' NOVEMBER 21'!V35:V66</f>
        <v>0</v>
      </c>
      <c r="Q35" s="83"/>
      <c r="R35" s="81"/>
      <c r="S35" s="83"/>
      <c r="T35" s="80">
        <f t="shared" si="2"/>
        <v>0</v>
      </c>
      <c r="U35" s="80"/>
      <c r="V35" s="80">
        <f t="shared" si="3"/>
        <v>0</v>
      </c>
      <c r="W35" s="80"/>
      <c r="X35" s="80"/>
    </row>
    <row r="36" spans="3:24" ht="15.75" x14ac:dyDescent="0.25">
      <c r="C36" s="119"/>
      <c r="E36" s="119"/>
      <c r="M36" s="76"/>
      <c r="N36" s="77" t="s">
        <v>86</v>
      </c>
      <c r="O36" s="78"/>
      <c r="P36" s="79">
        <f>' NOVEMBER 21'!V36:V67</f>
        <v>0</v>
      </c>
      <c r="Q36" s="83"/>
      <c r="R36" s="81"/>
      <c r="S36" s="83"/>
      <c r="T36" s="80">
        <f t="shared" si="2"/>
        <v>0</v>
      </c>
      <c r="U36" s="80"/>
      <c r="V36" s="80">
        <f t="shared" si="3"/>
        <v>0</v>
      </c>
      <c r="W36" s="80"/>
      <c r="X36" s="80"/>
    </row>
    <row r="37" spans="3:24" ht="15.75" x14ac:dyDescent="0.25">
      <c r="C37" s="119"/>
      <c r="E37" s="119"/>
      <c r="I37" s="119"/>
      <c r="M37" s="76" t="s">
        <v>93</v>
      </c>
      <c r="N37" s="77" t="s">
        <v>87</v>
      </c>
      <c r="O37" s="78"/>
      <c r="P37" s="79">
        <f>' NOVEMBER 21'!V37:V68</f>
        <v>0</v>
      </c>
      <c r="Q37" s="83">
        <v>7000</v>
      </c>
      <c r="R37" s="81"/>
      <c r="S37" s="83"/>
      <c r="T37" s="80">
        <f t="shared" si="2"/>
        <v>7000</v>
      </c>
      <c r="U37" s="80"/>
      <c r="V37" s="80">
        <f t="shared" si="3"/>
        <v>7000</v>
      </c>
      <c r="W37" s="80"/>
      <c r="X37" s="80"/>
    </row>
    <row r="38" spans="3:24" ht="15.75" x14ac:dyDescent="0.25">
      <c r="C38" s="119"/>
      <c r="E38" s="119"/>
      <c r="M38" s="76" t="s">
        <v>92</v>
      </c>
      <c r="N38" s="77" t="s">
        <v>88</v>
      </c>
      <c r="O38" s="78"/>
      <c r="P38" s="79">
        <f>' NOVEMBER 21'!V38:V69</f>
        <v>0</v>
      </c>
      <c r="Q38" s="83">
        <v>7000</v>
      </c>
      <c r="R38" s="81"/>
      <c r="S38" s="83"/>
      <c r="T38" s="80">
        <f>P38+Q38+R38+S38+O38</f>
        <v>7000</v>
      </c>
      <c r="U38" s="80"/>
      <c r="V38" s="80">
        <f t="shared" si="3"/>
        <v>7000</v>
      </c>
      <c r="W38" s="80"/>
      <c r="X38" s="80"/>
    </row>
    <row r="39" spans="3:24" ht="15.75" x14ac:dyDescent="0.25">
      <c r="M39" s="90" t="s">
        <v>51</v>
      </c>
      <c r="N39" s="76"/>
      <c r="O39" s="78">
        <f t="shared" ref="O39:X39" si="5">SUM(O6:O38)</f>
        <v>0</v>
      </c>
      <c r="P39" s="79">
        <f>SUM(P6:P38)</f>
        <v>16238</v>
      </c>
      <c r="Q39" s="91">
        <f>SUM(Q6:Q38)</f>
        <v>105900</v>
      </c>
      <c r="R39" s="92">
        <f t="shared" si="5"/>
        <v>8570</v>
      </c>
      <c r="S39" s="93">
        <f t="shared" si="5"/>
        <v>5200</v>
      </c>
      <c r="T39" s="80">
        <f>SUM(T6:T38)</f>
        <v>135908</v>
      </c>
      <c r="U39" s="80">
        <f>SUM(U6:U38)</f>
        <v>31140</v>
      </c>
      <c r="V39" s="80">
        <f>SUM(V6:V38)</f>
        <v>104768</v>
      </c>
      <c r="W39" s="80">
        <f>SUM(W6:W38)</f>
        <v>0</v>
      </c>
      <c r="X39" s="80">
        <f t="shared" si="5"/>
        <v>0</v>
      </c>
    </row>
    <row r="40" spans="3:24" ht="15.75" x14ac:dyDescent="0.25">
      <c r="E40" s="119"/>
      <c r="M40" s="94" t="s">
        <v>12</v>
      </c>
      <c r="N40" s="94"/>
      <c r="O40" s="94"/>
      <c r="P40" s="79">
        <f>'JULY 21'!V40:V69</f>
        <v>0</v>
      </c>
      <c r="Q40" s="118">
        <f>Q39-Q38-Q37-Q36</f>
        <v>91900</v>
      </c>
      <c r="R40" s="94" t="s">
        <v>8</v>
      </c>
      <c r="S40" s="94"/>
      <c r="T40" s="94"/>
      <c r="U40" s="70"/>
      <c r="V40" s="70"/>
      <c r="W40" s="70"/>
      <c r="X40" s="71"/>
    </row>
    <row r="41" spans="3:24" ht="15.75" x14ac:dyDescent="0.25"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</row>
    <row r="42" spans="3:24" ht="15.75" x14ac:dyDescent="0.25">
      <c r="H42" s="119">
        <f>F29+P59</f>
        <v>152923.5</v>
      </c>
      <c r="M42" s="76" t="s">
        <v>36</v>
      </c>
      <c r="N42" s="98">
        <f>Q39</f>
        <v>105900</v>
      </c>
      <c r="O42" s="76"/>
      <c r="P42" s="76"/>
      <c r="Q42" s="76"/>
      <c r="R42" s="76" t="s">
        <v>36</v>
      </c>
      <c r="S42" s="76"/>
      <c r="T42" s="99">
        <f>U39</f>
        <v>31140</v>
      </c>
      <c r="U42" s="76"/>
      <c r="V42" s="76"/>
      <c r="W42" s="76"/>
      <c r="X42" s="100"/>
    </row>
    <row r="43" spans="3:24" ht="15.75" x14ac:dyDescent="0.25">
      <c r="E43" s="119"/>
      <c r="I43" s="119"/>
      <c r="M43" s="76" t="s">
        <v>5</v>
      </c>
      <c r="N43" s="98">
        <f>' NOVEMBER 21'!P59</f>
        <v>-0.5</v>
      </c>
      <c r="O43" s="76"/>
      <c r="P43" s="76"/>
      <c r="Q43" s="76"/>
      <c r="R43" s="76" t="s">
        <v>5</v>
      </c>
      <c r="S43" s="76"/>
      <c r="T43" s="98">
        <f>' NOVEMBER 21'!V59</f>
        <v>-15620.5</v>
      </c>
      <c r="U43" s="76"/>
      <c r="V43" s="76"/>
      <c r="W43" s="76"/>
      <c r="X43" s="100"/>
    </row>
    <row r="44" spans="3:24" ht="15.75" x14ac:dyDescent="0.25">
      <c r="M44" s="76" t="s">
        <v>4</v>
      </c>
      <c r="N44" s="98">
        <f>O39</f>
        <v>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</row>
    <row r="45" spans="3:24" ht="15.75" x14ac:dyDescent="0.25">
      <c r="M45" s="76" t="s">
        <v>41</v>
      </c>
      <c r="N45" s="98">
        <f>R39</f>
        <v>8570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</row>
    <row r="46" spans="3:24" ht="15.75" x14ac:dyDescent="0.25">
      <c r="M46" s="76" t="s">
        <v>53</v>
      </c>
      <c r="N46" s="98">
        <f>W39</f>
        <v>0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</row>
    <row r="47" spans="3:24" ht="15.75" x14ac:dyDescent="0.25">
      <c r="M47" s="76" t="s">
        <v>42</v>
      </c>
      <c r="N47" s="98">
        <f>S39</f>
        <v>5200</v>
      </c>
      <c r="O47" s="76"/>
      <c r="P47" s="76"/>
      <c r="Q47" s="76"/>
      <c r="R47" s="76" t="s">
        <v>126</v>
      </c>
      <c r="S47" s="76"/>
      <c r="T47" s="99">
        <f>X39</f>
        <v>0</v>
      </c>
      <c r="U47" s="76"/>
      <c r="V47" s="76"/>
      <c r="W47" s="76"/>
      <c r="X47" s="100"/>
    </row>
    <row r="48" spans="3:24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</row>
    <row r="49" spans="13:24" ht="15.75" x14ac:dyDescent="0.25">
      <c r="M49" s="76" t="s">
        <v>126</v>
      </c>
      <c r="N49" s="99">
        <f>X39</f>
        <v>0</v>
      </c>
      <c r="O49" s="98"/>
      <c r="P49" s="76"/>
      <c r="Q49" s="76"/>
      <c r="R49" s="76"/>
      <c r="S49" s="76"/>
      <c r="T49" s="76"/>
      <c r="U49" s="98"/>
      <c r="V49" s="98"/>
      <c r="W49" s="98"/>
      <c r="X49" s="101"/>
    </row>
    <row r="50" spans="13:24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</row>
    <row r="51" spans="13:24" ht="15.75" x14ac:dyDescent="0.25">
      <c r="M51" s="102" t="s">
        <v>55</v>
      </c>
      <c r="N51" s="103">
        <v>7.0000000000000007E-2</v>
      </c>
      <c r="O51" s="99">
        <f>N51*Q40</f>
        <v>6433.0000000000009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T51*Q40</f>
        <v>6433.0000000000009</v>
      </c>
      <c r="V51" s="76"/>
      <c r="W51" s="76"/>
      <c r="X51" s="100"/>
    </row>
    <row r="52" spans="13:24" ht="15.75" x14ac:dyDescent="0.25">
      <c r="M52" s="104" t="s">
        <v>128</v>
      </c>
      <c r="N52" s="105">
        <v>0.3</v>
      </c>
      <c r="O52" s="69">
        <f>N52*O7+(N52*O123)+(N52*O22)</f>
        <v>0</v>
      </c>
      <c r="P52" s="99"/>
      <c r="Q52" s="99"/>
      <c r="R52" s="104"/>
      <c r="S52" s="103"/>
      <c r="T52" s="122"/>
      <c r="U52" s="122"/>
      <c r="V52" s="122"/>
      <c r="W52" s="99"/>
      <c r="X52" s="106"/>
    </row>
    <row r="53" spans="13:24" ht="15.75" x14ac:dyDescent="0.25">
      <c r="M53" s="104"/>
      <c r="N53" s="103"/>
      <c r="O53" s="122"/>
      <c r="P53" s="99"/>
      <c r="Q53" s="99"/>
      <c r="R53" s="104"/>
      <c r="S53" s="103"/>
      <c r="T53" s="122"/>
      <c r="U53" s="122"/>
      <c r="V53" s="122"/>
      <c r="W53" s="99"/>
      <c r="X53" s="106"/>
    </row>
    <row r="54" spans="13:24" ht="15.75" x14ac:dyDescent="0.25">
      <c r="M54" s="104"/>
      <c r="N54" s="103"/>
      <c r="O54" s="122"/>
      <c r="P54" s="99"/>
      <c r="Q54" s="99"/>
      <c r="R54" s="104"/>
      <c r="S54" s="103"/>
      <c r="T54" s="122"/>
      <c r="U54" s="122"/>
      <c r="V54" s="122"/>
      <c r="W54" s="99"/>
      <c r="X54" s="106"/>
    </row>
    <row r="55" spans="13:24" ht="15.75" x14ac:dyDescent="0.25">
      <c r="M55" s="104"/>
      <c r="N55" s="103"/>
      <c r="O55" s="122"/>
      <c r="P55" s="99"/>
      <c r="Q55" s="99"/>
      <c r="R55" s="104"/>
      <c r="S55" s="103"/>
      <c r="T55" s="122"/>
      <c r="U55" s="122"/>
      <c r="V55" s="76"/>
      <c r="W55" s="76"/>
      <c r="X55" s="100"/>
    </row>
    <row r="56" spans="13:24" ht="15.75" x14ac:dyDescent="0.25">
      <c r="M56" s="104"/>
      <c r="N56" s="103"/>
      <c r="O56" s="99"/>
      <c r="P56" s="76"/>
      <c r="Q56" s="76"/>
      <c r="R56" s="104"/>
      <c r="S56" s="103"/>
      <c r="T56" s="99"/>
      <c r="U56" s="99"/>
      <c r="V56" s="76"/>
      <c r="W56" s="76"/>
      <c r="X56" s="100"/>
    </row>
    <row r="57" spans="13:24" ht="15.75" x14ac:dyDescent="0.25">
      <c r="M57" s="108"/>
      <c r="N57" s="76"/>
      <c r="O57" s="99"/>
      <c r="P57" s="76"/>
      <c r="Q57" s="76"/>
      <c r="R57" s="108"/>
      <c r="S57" s="76"/>
      <c r="T57" s="99"/>
      <c r="U57" s="99"/>
      <c r="V57" s="76"/>
      <c r="W57" s="76"/>
      <c r="X57" s="100"/>
    </row>
    <row r="58" spans="13:24" ht="15.75" x14ac:dyDescent="0.25">
      <c r="M58" s="108"/>
      <c r="N58" s="76"/>
      <c r="O58" s="99"/>
      <c r="P58" s="76"/>
      <c r="Q58" s="76"/>
      <c r="R58" s="108"/>
      <c r="S58" s="76"/>
      <c r="T58" s="99"/>
      <c r="U58" s="99"/>
      <c r="V58" s="99"/>
      <c r="W58" s="99"/>
      <c r="X58" s="106"/>
    </row>
    <row r="59" spans="13:24" ht="15.75" x14ac:dyDescent="0.25">
      <c r="M59" s="90" t="s">
        <v>20</v>
      </c>
      <c r="N59" s="109">
        <f>N42+N43+N44+N45+N46+N47+N49+N48</f>
        <v>119669.5</v>
      </c>
      <c r="O59" s="109">
        <f>SUM(O51:O58)</f>
        <v>6433.0000000000009</v>
      </c>
      <c r="P59" s="125">
        <f>N59-O59</f>
        <v>113236.5</v>
      </c>
      <c r="Q59" s="109"/>
      <c r="R59" s="90"/>
      <c r="S59" s="90"/>
      <c r="T59" s="109">
        <f>T42+T43+T45+T47+T48</f>
        <v>15519.5</v>
      </c>
      <c r="U59" s="109">
        <f>SUM(U51:U58)</f>
        <v>6433.0000000000009</v>
      </c>
      <c r="V59" s="109">
        <f>T59-U59</f>
        <v>9086.5</v>
      </c>
      <c r="W59" s="109"/>
      <c r="X59" s="110"/>
    </row>
    <row r="60" spans="13:24" ht="15.75" x14ac:dyDescent="0.25">
      <c r="M60" s="70"/>
      <c r="N60" s="70"/>
      <c r="O60" s="70"/>
      <c r="P60" s="70"/>
      <c r="Q60" s="70"/>
      <c r="R60" s="70"/>
      <c r="S60" s="70"/>
      <c r="T60" s="70"/>
      <c r="U60" s="111">
        <f>U59-U51</f>
        <v>0</v>
      </c>
      <c r="V60" s="70"/>
      <c r="W60" s="70"/>
      <c r="X60" s="71"/>
    </row>
    <row r="61" spans="13:24" ht="15.75" x14ac:dyDescent="0.25">
      <c r="M61" s="112" t="s">
        <v>56</v>
      </c>
      <c r="N61" s="113"/>
      <c r="O61" s="113" t="s">
        <v>22</v>
      </c>
      <c r="P61" s="114"/>
      <c r="Q61" s="114"/>
      <c r="R61" s="112"/>
      <c r="S61" s="112"/>
      <c r="T61" s="112" t="s">
        <v>57</v>
      </c>
      <c r="U61" s="70"/>
      <c r="V61" s="70"/>
      <c r="W61" s="70"/>
      <c r="X61" s="71"/>
    </row>
    <row r="62" spans="13:24" ht="15.75" x14ac:dyDescent="0.25">
      <c r="M62" s="70" t="s">
        <v>24</v>
      </c>
      <c r="N62" s="70"/>
      <c r="O62" s="70" t="s">
        <v>25</v>
      </c>
      <c r="P62" s="70"/>
      <c r="Q62" s="70"/>
      <c r="R62" s="111"/>
      <c r="S62" s="70"/>
      <c r="T62" s="70" t="s">
        <v>34</v>
      </c>
      <c r="U62" s="70"/>
      <c r="V62" s="70"/>
      <c r="W62" s="111"/>
      <c r="X62" s="71"/>
    </row>
  </sheetData>
  <mergeCells count="15">
    <mergeCell ref="A32:B32"/>
    <mergeCell ref="E32:F32"/>
    <mergeCell ref="H32:I32"/>
    <mergeCell ref="A13:J13"/>
    <mergeCell ref="A14:E14"/>
    <mergeCell ref="F14:J14"/>
    <mergeCell ref="A31:B31"/>
    <mergeCell ref="E31:F31"/>
    <mergeCell ref="H31:I31"/>
    <mergeCell ref="O4:T4"/>
    <mergeCell ref="B1:H1"/>
    <mergeCell ref="B2:H2"/>
    <mergeCell ref="P2:S2"/>
    <mergeCell ref="B3:H3"/>
    <mergeCell ref="Q3:R3"/>
  </mergeCells>
  <conditionalFormatting sqref="B5:B10 M6:M38">
    <cfRule type="containsText" dxfId="1" priority="2" operator="containsText" text="VACCANT">
      <formula>NOT(ISERROR(SEARCH("VACCANT",B5)))</formula>
    </cfRule>
  </conditionalFormatting>
  <conditionalFormatting sqref="B5:B10 M6:M38">
    <cfRule type="notContainsText" dxfId="0" priority="1" operator="notContains" text="VACCANT">
      <formula>ISERROR(SEARCH("VACCANT",B5))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2" workbookViewId="0">
      <selection activeCell="N27" sqref="N27"/>
    </sheetView>
  </sheetViews>
  <sheetFormatPr defaultRowHeight="15" x14ac:dyDescent="0.25"/>
  <cols>
    <col min="1" max="1" width="4.140625" customWidth="1"/>
    <col min="3" max="3" width="8.28515625" customWidth="1"/>
  </cols>
  <sheetData>
    <row r="1" spans="1:12" x14ac:dyDescent="0.25">
      <c r="A1" s="1"/>
      <c r="B1" s="1"/>
      <c r="C1" s="1"/>
      <c r="D1" s="1" t="s">
        <v>29</v>
      </c>
      <c r="E1" s="1"/>
      <c r="F1" s="1"/>
      <c r="G1" s="1"/>
      <c r="H1" s="1"/>
      <c r="I1" s="1"/>
      <c r="J1" s="1"/>
    </row>
    <row r="2" spans="1:12" x14ac:dyDescent="0.25">
      <c r="A2" s="1"/>
      <c r="B2" s="1"/>
      <c r="C2" s="1"/>
      <c r="D2" s="1" t="s">
        <v>0</v>
      </c>
      <c r="E2" s="1"/>
      <c r="F2" s="1"/>
      <c r="G2" s="1"/>
      <c r="H2" s="1"/>
      <c r="I2" s="1"/>
      <c r="J2" s="1"/>
    </row>
    <row r="3" spans="1:12" x14ac:dyDescent="0.25">
      <c r="A3" s="1"/>
      <c r="B3" s="1"/>
      <c r="C3" s="1"/>
      <c r="D3" s="1" t="s">
        <v>37</v>
      </c>
      <c r="E3" s="1"/>
      <c r="F3" s="1"/>
      <c r="G3" s="1"/>
      <c r="H3" s="1"/>
      <c r="I3" s="1"/>
      <c r="J3" s="1"/>
    </row>
    <row r="4" spans="1:1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41</v>
      </c>
      <c r="F4" s="2" t="s">
        <v>42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2" x14ac:dyDescent="0.25">
      <c r="A5" s="3">
        <v>1</v>
      </c>
      <c r="B5" s="3" t="s">
        <v>26</v>
      </c>
      <c r="C5" s="3"/>
      <c r="D5" s="3">
        <f>'NOVEMBER 20'!H5:H10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</row>
    <row r="6" spans="1:12" x14ac:dyDescent="0.25">
      <c r="A6" s="3">
        <v>2</v>
      </c>
      <c r="B6" s="3" t="s">
        <v>26</v>
      </c>
      <c r="C6" s="3"/>
      <c r="D6" s="3">
        <f>'NOVEMBER 20'!H6:H11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</row>
    <row r="7" spans="1:12" x14ac:dyDescent="0.25">
      <c r="A7" s="3">
        <v>3</v>
      </c>
      <c r="B7" s="3" t="s">
        <v>31</v>
      </c>
      <c r="C7" s="3"/>
      <c r="D7" s="3">
        <f>'NOVEMBER 20'!H7:H12</f>
        <v>0</v>
      </c>
      <c r="E7" s="3">
        <v>1200</v>
      </c>
      <c r="F7" s="3">
        <v>600</v>
      </c>
      <c r="G7" s="3">
        <v>8000</v>
      </c>
      <c r="H7" s="3">
        <f t="shared" si="0"/>
        <v>9800</v>
      </c>
      <c r="I7" s="3">
        <f>1500+4000</f>
        <v>5500</v>
      </c>
      <c r="J7" s="3">
        <f t="shared" si="1"/>
        <v>4300</v>
      </c>
    </row>
    <row r="8" spans="1:12" x14ac:dyDescent="0.25">
      <c r="A8" s="3">
        <v>4</v>
      </c>
      <c r="B8" s="3" t="s">
        <v>32</v>
      </c>
      <c r="C8" s="3"/>
      <c r="D8" s="3">
        <f>'NOVEMBER 20'!H8:H13</f>
        <v>0</v>
      </c>
      <c r="E8" s="3">
        <v>1500</v>
      </c>
      <c r="F8" s="3">
        <v>600</v>
      </c>
      <c r="G8" s="3">
        <v>8000</v>
      </c>
      <c r="H8" s="3">
        <f t="shared" si="0"/>
        <v>10100</v>
      </c>
      <c r="I8" s="3">
        <v>9500</v>
      </c>
      <c r="J8" s="3"/>
    </row>
    <row r="9" spans="1:12" x14ac:dyDescent="0.25">
      <c r="A9" s="3">
        <v>5</v>
      </c>
      <c r="B9" s="3" t="s">
        <v>40</v>
      </c>
      <c r="C9" s="3"/>
      <c r="D9" s="3"/>
      <c r="E9" s="3"/>
      <c r="F9" s="3"/>
      <c r="G9" s="3"/>
      <c r="H9" s="3">
        <f t="shared" si="0"/>
        <v>0</v>
      </c>
      <c r="I9" s="3"/>
      <c r="J9" s="3">
        <f t="shared" si="1"/>
        <v>0</v>
      </c>
    </row>
    <row r="10" spans="1:12" x14ac:dyDescent="0.25">
      <c r="A10" s="3">
        <v>6</v>
      </c>
      <c r="B10" s="4" t="s">
        <v>28</v>
      </c>
      <c r="C10" s="4"/>
      <c r="D10" s="3">
        <f>'NOVEMBER 20'!H10:H15</f>
        <v>0</v>
      </c>
      <c r="E10" s="3">
        <v>1050</v>
      </c>
      <c r="F10" s="3">
        <v>600</v>
      </c>
      <c r="G10" s="3">
        <v>8000</v>
      </c>
      <c r="H10" s="3">
        <f t="shared" si="0"/>
        <v>9650</v>
      </c>
      <c r="I10" s="3">
        <v>9650</v>
      </c>
      <c r="J10" s="3">
        <f t="shared" si="1"/>
        <v>0</v>
      </c>
    </row>
    <row r="11" spans="1:12" x14ac:dyDescent="0.25">
      <c r="A11" s="3"/>
      <c r="B11" s="2" t="s">
        <v>10</v>
      </c>
      <c r="C11" s="2">
        <f t="shared" ref="C11:J11" si="2">SUM(C5:C10)</f>
        <v>0</v>
      </c>
      <c r="D11" s="3">
        <f t="shared" si="2"/>
        <v>0</v>
      </c>
      <c r="E11" s="3">
        <f>SUM(E5:E10)</f>
        <v>3750</v>
      </c>
      <c r="F11" s="3">
        <f>SUM(F5:F10)</f>
        <v>1800</v>
      </c>
      <c r="G11" s="2">
        <f t="shared" si="2"/>
        <v>24000</v>
      </c>
      <c r="H11" s="3">
        <f>SUM(H5:H10)</f>
        <v>29550</v>
      </c>
      <c r="I11" s="2">
        <f t="shared" si="2"/>
        <v>24650</v>
      </c>
      <c r="J11" s="2">
        <f t="shared" si="2"/>
        <v>4300</v>
      </c>
    </row>
    <row r="12" spans="1:12" x14ac:dyDescent="0.25">
      <c r="A12" s="5"/>
      <c r="B12" s="6"/>
      <c r="C12" s="6"/>
      <c r="D12" s="3"/>
      <c r="E12" s="5"/>
      <c r="F12" s="5"/>
      <c r="G12" s="6" t="s">
        <v>10</v>
      </c>
      <c r="H12" s="6"/>
      <c r="I12" s="6"/>
      <c r="J12" s="7"/>
    </row>
    <row r="13" spans="1:12" x14ac:dyDescent="0.25">
      <c r="B13" s="8" t="s">
        <v>11</v>
      </c>
      <c r="C13" s="8"/>
      <c r="D13" s="9"/>
      <c r="E13" s="9"/>
      <c r="F13" s="9"/>
      <c r="G13" s="10"/>
      <c r="H13" s="11"/>
      <c r="I13" s="12"/>
      <c r="J13" s="13"/>
      <c r="K13" s="12"/>
      <c r="L13" s="8"/>
    </row>
    <row r="14" spans="1:12" x14ac:dyDescent="0.25">
      <c r="B14" s="14" t="s">
        <v>12</v>
      </c>
      <c r="C14" s="14"/>
      <c r="D14" s="14"/>
      <c r="E14" s="14"/>
      <c r="F14" s="14"/>
      <c r="G14" s="14"/>
      <c r="H14" s="15"/>
      <c r="I14" s="14" t="s">
        <v>8</v>
      </c>
      <c r="J14" s="8"/>
      <c r="K14" s="8"/>
      <c r="L14" s="8"/>
    </row>
    <row r="15" spans="1:12" x14ac:dyDescent="0.25">
      <c r="B15" s="16" t="s">
        <v>13</v>
      </c>
      <c r="C15" s="16"/>
      <c r="D15" s="16" t="s">
        <v>14</v>
      </c>
      <c r="E15" s="16"/>
      <c r="F15" s="16"/>
      <c r="G15" s="16" t="s">
        <v>15</v>
      </c>
      <c r="H15" s="16" t="s">
        <v>16</v>
      </c>
      <c r="I15" s="16" t="s">
        <v>13</v>
      </c>
      <c r="J15" s="16" t="s">
        <v>14</v>
      </c>
      <c r="K15" s="16" t="s">
        <v>15</v>
      </c>
      <c r="L15" s="16" t="s">
        <v>16</v>
      </c>
    </row>
    <row r="16" spans="1:12" x14ac:dyDescent="0.25">
      <c r="B16" s="17" t="s">
        <v>36</v>
      </c>
      <c r="C16" s="17"/>
      <c r="D16" s="18">
        <f>G11</f>
        <v>24000</v>
      </c>
      <c r="E16" s="18"/>
      <c r="F16" s="18"/>
      <c r="G16" s="17"/>
      <c r="H16" s="17"/>
      <c r="I16" s="17" t="s">
        <v>36</v>
      </c>
      <c r="J16" s="18">
        <f>I11</f>
        <v>24650</v>
      </c>
      <c r="K16" s="17"/>
      <c r="L16" s="17"/>
    </row>
    <row r="17" spans="2:14" x14ac:dyDescent="0.25">
      <c r="B17" s="17" t="s">
        <v>5</v>
      </c>
      <c r="C17" s="17"/>
      <c r="D17" s="18">
        <f>'NOVEMBER 20'!F27</f>
        <v>-3</v>
      </c>
      <c r="E17" s="18"/>
      <c r="F17" s="18"/>
      <c r="G17" s="17"/>
      <c r="H17" s="17"/>
      <c r="I17" s="17" t="s">
        <v>5</v>
      </c>
      <c r="J17" s="18">
        <f>'NOVEMBER 20'!J27</f>
        <v>-3</v>
      </c>
      <c r="K17" s="17"/>
      <c r="L17" s="17"/>
    </row>
    <row r="18" spans="2:14" x14ac:dyDescent="0.25">
      <c r="B18" s="25" t="s">
        <v>4</v>
      </c>
      <c r="C18" s="3"/>
      <c r="D18" s="3"/>
      <c r="E18" s="3"/>
      <c r="F18" s="3"/>
      <c r="G18" s="3"/>
      <c r="H18" s="3"/>
      <c r="I18" s="3"/>
      <c r="J18" s="3"/>
      <c r="K18" s="17"/>
      <c r="L18" s="17"/>
    </row>
    <row r="19" spans="2:14" x14ac:dyDescent="0.25">
      <c r="B19" s="25" t="s">
        <v>41</v>
      </c>
      <c r="C19" s="3"/>
      <c r="D19" s="3">
        <f>E11</f>
        <v>3750</v>
      </c>
      <c r="E19" s="3"/>
      <c r="F19" s="3"/>
      <c r="G19" s="3"/>
      <c r="H19" s="3"/>
      <c r="I19" s="3"/>
      <c r="J19" s="3"/>
      <c r="K19" s="17"/>
      <c r="L19" s="17"/>
    </row>
    <row r="20" spans="2:14" x14ac:dyDescent="0.25">
      <c r="B20" s="25" t="s">
        <v>42</v>
      </c>
      <c r="C20" s="3"/>
      <c r="D20" s="3">
        <f>F11</f>
        <v>1800</v>
      </c>
      <c r="E20" s="3"/>
      <c r="F20" s="3"/>
      <c r="G20" s="3"/>
      <c r="H20" s="3"/>
      <c r="I20" s="3"/>
      <c r="J20" s="3"/>
      <c r="K20" s="17"/>
      <c r="L20" s="17"/>
    </row>
    <row r="21" spans="2:14" x14ac:dyDescent="0.25">
      <c r="B21" s="17" t="s">
        <v>18</v>
      </c>
      <c r="C21" s="17"/>
      <c r="D21" s="20">
        <v>7.0000000000000007E-2</v>
      </c>
      <c r="E21" s="20"/>
      <c r="F21" s="20"/>
      <c r="G21" s="18">
        <f>D16*D21</f>
        <v>1680.0000000000002</v>
      </c>
      <c r="H21" s="17"/>
      <c r="I21" s="17" t="s">
        <v>18</v>
      </c>
      <c r="J21" s="20">
        <v>7.0000000000000007E-2</v>
      </c>
      <c r="K21" s="18">
        <f>G21</f>
        <v>1680.0000000000002</v>
      </c>
      <c r="L21" s="17"/>
    </row>
    <row r="22" spans="2:14" x14ac:dyDescent="0.25">
      <c r="B22" s="16" t="s">
        <v>19</v>
      </c>
      <c r="D22" s="18"/>
      <c r="E22" s="18"/>
      <c r="F22" s="18"/>
      <c r="G22" s="16"/>
      <c r="H22" s="16"/>
      <c r="I22" s="16" t="s">
        <v>19</v>
      </c>
      <c r="J22" s="21"/>
      <c r="K22" s="16"/>
      <c r="L22" s="16"/>
    </row>
    <row r="23" spans="2:14" x14ac:dyDescent="0.25">
      <c r="B23" s="22"/>
      <c r="C23" s="20"/>
      <c r="D23" s="17"/>
      <c r="E23" s="17"/>
      <c r="F23" s="17"/>
      <c r="G23" s="17"/>
      <c r="H23" s="17"/>
      <c r="I23" s="22"/>
      <c r="J23" s="20"/>
      <c r="K23" s="17"/>
      <c r="L23" s="17"/>
    </row>
    <row r="24" spans="2:14" x14ac:dyDescent="0.25">
      <c r="B24" s="23" t="s">
        <v>96</v>
      </c>
      <c r="C24" s="23"/>
      <c r="D24" s="17"/>
      <c r="E24" s="17"/>
      <c r="F24" s="17"/>
      <c r="G24" s="17">
        <v>9500</v>
      </c>
      <c r="H24" s="17"/>
      <c r="I24" s="23" t="s">
        <v>43</v>
      </c>
      <c r="J24" s="23"/>
      <c r="K24" s="17">
        <v>9500</v>
      </c>
      <c r="L24" s="17"/>
      <c r="M24" s="17"/>
      <c r="N24" s="17"/>
    </row>
    <row r="25" spans="2:14" x14ac:dyDescent="0.25">
      <c r="B25" s="23" t="s">
        <v>44</v>
      </c>
      <c r="C25" s="23"/>
      <c r="D25" s="17"/>
      <c r="E25" s="17"/>
      <c r="F25" s="17"/>
      <c r="G25" s="17">
        <v>18360</v>
      </c>
      <c r="H25" s="17"/>
      <c r="I25" s="23" t="s">
        <v>44</v>
      </c>
      <c r="J25" s="23"/>
      <c r="K25" s="17">
        <v>18360</v>
      </c>
      <c r="L25" s="17"/>
    </row>
    <row r="26" spans="2:14" x14ac:dyDescent="0.25">
      <c r="B26" s="23" t="s">
        <v>43</v>
      </c>
      <c r="C26" s="23"/>
      <c r="D26" s="17"/>
      <c r="E26" s="17"/>
      <c r="F26" s="17"/>
      <c r="G26" s="17">
        <v>600</v>
      </c>
      <c r="H26" s="17"/>
      <c r="I26" s="23"/>
      <c r="J26" s="23"/>
      <c r="K26" s="17"/>
      <c r="L26" s="17"/>
    </row>
    <row r="27" spans="2:14" x14ac:dyDescent="0.25">
      <c r="B27" s="24"/>
      <c r="C27" s="24"/>
      <c r="D27" s="17"/>
      <c r="E27" s="17"/>
      <c r="F27" s="17"/>
      <c r="G27" s="17"/>
      <c r="H27" s="17"/>
      <c r="J27" s="23"/>
      <c r="K27" s="25"/>
      <c r="L27" s="17"/>
    </row>
    <row r="28" spans="2:14" x14ac:dyDescent="0.25">
      <c r="B28" s="23"/>
      <c r="C28" s="23"/>
      <c r="D28" s="17"/>
      <c r="E28" s="17"/>
      <c r="F28" s="17"/>
      <c r="G28" s="25"/>
      <c r="H28" s="17"/>
      <c r="I28" s="17"/>
      <c r="J28" s="17"/>
      <c r="K28" s="17"/>
      <c r="L28" s="17"/>
    </row>
    <row r="29" spans="2:14" x14ac:dyDescent="0.25">
      <c r="B29" s="16" t="s">
        <v>20</v>
      </c>
      <c r="C29" s="16"/>
      <c r="D29" s="21">
        <f>D16+D17+D18+D19+D20-G21</f>
        <v>27867</v>
      </c>
      <c r="E29" s="21"/>
      <c r="F29" s="21"/>
      <c r="G29" s="21">
        <f>SUM(G23:G28)</f>
        <v>28460</v>
      </c>
      <c r="H29" s="21">
        <f>D29-G29</f>
        <v>-593</v>
      </c>
      <c r="I29" s="16" t="s">
        <v>20</v>
      </c>
      <c r="J29" s="21">
        <f>J16+J17-K21</f>
        <v>22967</v>
      </c>
      <c r="K29" s="21">
        <f>SUM(K23:K28)</f>
        <v>27860</v>
      </c>
      <c r="L29" s="21">
        <f>J29-K29</f>
        <v>-4893</v>
      </c>
    </row>
    <row r="31" spans="2:14" x14ac:dyDescent="0.25">
      <c r="B31" t="s">
        <v>21</v>
      </c>
      <c r="G31" t="s">
        <v>22</v>
      </c>
      <c r="J31" t="s">
        <v>23</v>
      </c>
    </row>
    <row r="33" spans="2:10" x14ac:dyDescent="0.25">
      <c r="B33" t="s">
        <v>24</v>
      </c>
      <c r="G33" t="s">
        <v>25</v>
      </c>
      <c r="J33" t="s">
        <v>34</v>
      </c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opLeftCell="H4" zoomScaleNormal="100" workbookViewId="0">
      <selection activeCell="P21" sqref="P21"/>
    </sheetView>
  </sheetViews>
  <sheetFormatPr defaultRowHeight="15" x14ac:dyDescent="0.25"/>
  <cols>
    <col min="1" max="1" width="5.5703125" customWidth="1"/>
    <col min="2" max="2" width="18.140625" customWidth="1"/>
    <col min="11" max="11" width="10.7109375" customWidth="1"/>
    <col min="12" max="12" width="12.5703125" customWidth="1"/>
    <col min="13" max="13" width="19.28515625" customWidth="1"/>
    <col min="14" max="14" width="8.42578125" bestFit="1" customWidth="1"/>
    <col min="15" max="15" width="9.28515625" bestFit="1" customWidth="1"/>
    <col min="16" max="16" width="7.7109375" customWidth="1"/>
    <col min="17" max="17" width="9.85546875" customWidth="1"/>
    <col min="18" max="19" width="9.28515625" bestFit="1" customWidth="1"/>
    <col min="20" max="20" width="9.85546875" bestFit="1" customWidth="1"/>
    <col min="21" max="21" width="10.42578125" customWidth="1"/>
    <col min="22" max="22" width="8.7109375" customWidth="1"/>
    <col min="23" max="23" width="13.42578125" customWidth="1"/>
    <col min="24" max="24" width="9.28515625" bestFit="1" customWidth="1"/>
  </cols>
  <sheetData>
    <row r="1" spans="1:25" ht="15.75" x14ac:dyDescent="0.25">
      <c r="A1" s="1"/>
      <c r="B1" s="1"/>
      <c r="C1" s="1"/>
      <c r="D1" s="1" t="s">
        <v>29</v>
      </c>
      <c r="E1" s="1"/>
      <c r="F1" s="1"/>
      <c r="G1" s="1"/>
      <c r="H1" s="1"/>
      <c r="I1" s="1"/>
      <c r="J1" s="1"/>
      <c r="M1" s="69"/>
      <c r="O1" s="26"/>
      <c r="P1" s="26"/>
      <c r="Q1" s="26"/>
      <c r="R1" s="26"/>
      <c r="S1" s="26"/>
      <c r="U1" s="26"/>
      <c r="V1" s="26"/>
      <c r="W1" s="26"/>
      <c r="X1" s="26"/>
    </row>
    <row r="2" spans="1:25" ht="15.75" x14ac:dyDescent="0.25">
      <c r="A2" s="1"/>
      <c r="B2" s="1"/>
      <c r="C2" s="1"/>
      <c r="D2" s="1" t="s">
        <v>0</v>
      </c>
      <c r="E2" s="1"/>
      <c r="F2" s="1"/>
      <c r="G2" s="1"/>
      <c r="H2" s="1"/>
      <c r="I2" s="1"/>
      <c r="J2" s="1"/>
      <c r="N2" s="69"/>
      <c r="O2" s="27"/>
      <c r="P2" s="27"/>
      <c r="Q2" s="27" t="s">
        <v>58</v>
      </c>
      <c r="R2" s="70"/>
      <c r="S2" s="27"/>
      <c r="T2" s="28"/>
      <c r="U2" s="70"/>
      <c r="V2" s="70"/>
      <c r="W2" s="70"/>
      <c r="X2" s="70"/>
      <c r="Y2" s="69"/>
    </row>
    <row r="3" spans="1:25" ht="15.75" x14ac:dyDescent="0.25">
      <c r="A3" s="1"/>
      <c r="B3" s="1"/>
      <c r="C3" s="1"/>
      <c r="D3" s="1" t="s">
        <v>90</v>
      </c>
      <c r="E3" s="1"/>
      <c r="F3" s="1"/>
      <c r="G3" s="1"/>
      <c r="H3" s="1"/>
      <c r="I3" s="1"/>
      <c r="J3" s="1"/>
      <c r="M3" s="70"/>
      <c r="N3" s="27"/>
      <c r="O3" s="27"/>
      <c r="P3" s="27"/>
      <c r="Q3" s="27" t="s">
        <v>0</v>
      </c>
      <c r="R3" s="27"/>
      <c r="S3" s="71"/>
      <c r="T3" s="29"/>
      <c r="U3" s="70"/>
      <c r="V3" s="70"/>
      <c r="W3" s="70"/>
      <c r="X3" s="70"/>
      <c r="Y3" s="69"/>
    </row>
    <row r="4" spans="1:25" ht="15.7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41</v>
      </c>
      <c r="F4" s="2" t="s">
        <v>42</v>
      </c>
      <c r="G4" s="2" t="s">
        <v>6</v>
      </c>
      <c r="H4" s="2" t="s">
        <v>7</v>
      </c>
      <c r="I4" s="2" t="s">
        <v>8</v>
      </c>
      <c r="J4" s="2" t="s">
        <v>9</v>
      </c>
      <c r="M4" s="27"/>
      <c r="N4" s="70"/>
      <c r="O4" s="69"/>
      <c r="P4" s="27" t="s">
        <v>90</v>
      </c>
      <c r="Q4" s="27"/>
      <c r="R4" s="69"/>
      <c r="S4" s="27"/>
      <c r="T4" s="31"/>
      <c r="U4" s="31"/>
      <c r="V4" s="31"/>
      <c r="W4" s="31"/>
      <c r="X4" s="31"/>
      <c r="Y4" s="69"/>
    </row>
    <row r="5" spans="1:25" ht="15.75" x14ac:dyDescent="0.25">
      <c r="A5" s="3">
        <v>1</v>
      </c>
      <c r="B5" s="3" t="s">
        <v>26</v>
      </c>
      <c r="C5" s="3"/>
      <c r="D5" s="3">
        <f>'DECEMBER 20'!J5:J10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50</v>
      </c>
      <c r="Y5" s="69"/>
    </row>
    <row r="6" spans="1:25" ht="15.75" x14ac:dyDescent="0.25">
      <c r="A6" s="3">
        <v>2</v>
      </c>
      <c r="B6" s="3" t="s">
        <v>26</v>
      </c>
      <c r="C6" s="3"/>
      <c r="D6" s="3">
        <f>'DECEMBER 20'!J6:J11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/>
      <c r="Q6" s="80"/>
      <c r="R6" s="81"/>
      <c r="S6" s="80"/>
      <c r="T6" s="80">
        <f>P6+Q6+R6+S6+O6</f>
        <v>0</v>
      </c>
      <c r="U6" s="80"/>
      <c r="V6" s="80">
        <f>T6-U6</f>
        <v>0</v>
      </c>
      <c r="W6" s="80"/>
      <c r="X6" s="80"/>
      <c r="Y6" s="69"/>
    </row>
    <row r="7" spans="1:25" ht="15.75" x14ac:dyDescent="0.25">
      <c r="A7" s="3">
        <v>3</v>
      </c>
      <c r="B7" s="3" t="s">
        <v>31</v>
      </c>
      <c r="C7" s="3"/>
      <c r="D7" s="3">
        <f>'DECEMBER 20'!J7:J12</f>
        <v>4300</v>
      </c>
      <c r="E7" s="3">
        <v>450</v>
      </c>
      <c r="F7" s="3">
        <v>200</v>
      </c>
      <c r="G7" s="3">
        <v>8000</v>
      </c>
      <c r="H7" s="3">
        <f t="shared" si="0"/>
        <v>12950</v>
      </c>
      <c r="I7" s="3">
        <f>5500</f>
        <v>5500</v>
      </c>
      <c r="J7" s="3">
        <f t="shared" si="1"/>
        <v>7450</v>
      </c>
      <c r="M7" s="82" t="s">
        <v>59</v>
      </c>
      <c r="N7" s="77">
        <v>2</v>
      </c>
      <c r="O7" s="78"/>
      <c r="P7" s="79">
        <v>3000</v>
      </c>
      <c r="Q7" s="83">
        <v>2500</v>
      </c>
      <c r="R7" s="81">
        <v>350</v>
      </c>
      <c r="S7" s="83">
        <v>200</v>
      </c>
      <c r="T7" s="80">
        <f t="shared" ref="T7:T37" si="2">P7+Q7+R7+S7+O7</f>
        <v>6050</v>
      </c>
      <c r="U7" s="80">
        <f>3050</f>
        <v>3050</v>
      </c>
      <c r="V7" s="80">
        <f>T7-U7</f>
        <v>3000</v>
      </c>
      <c r="W7" s="80"/>
      <c r="X7" s="80"/>
      <c r="Y7" s="69"/>
    </row>
    <row r="8" spans="1:25" ht="15.75" x14ac:dyDescent="0.25">
      <c r="A8" s="3">
        <v>4</v>
      </c>
      <c r="B8" s="3" t="s">
        <v>40</v>
      </c>
      <c r="C8" s="3"/>
      <c r="D8" s="3"/>
      <c r="E8" s="3"/>
      <c r="F8" s="3"/>
      <c r="G8" s="3"/>
      <c r="H8" s="3">
        <f t="shared" si="0"/>
        <v>0</v>
      </c>
      <c r="I8" s="3"/>
      <c r="J8" s="3">
        <f t="shared" si="1"/>
        <v>0</v>
      </c>
      <c r="M8" s="82" t="s">
        <v>60</v>
      </c>
      <c r="N8" s="77">
        <v>3</v>
      </c>
      <c r="O8" s="78"/>
      <c r="P8" s="79">
        <v>1020</v>
      </c>
      <c r="Q8" s="83">
        <v>2500</v>
      </c>
      <c r="R8" s="81">
        <v>350</v>
      </c>
      <c r="S8" s="83">
        <v>200</v>
      </c>
      <c r="T8" s="80">
        <f t="shared" si="2"/>
        <v>4070</v>
      </c>
      <c r="U8" s="80">
        <v>3000</v>
      </c>
      <c r="V8" s="80">
        <f>T8-U8</f>
        <v>1070</v>
      </c>
      <c r="W8" s="80"/>
      <c r="X8" s="80"/>
      <c r="Y8" s="69"/>
    </row>
    <row r="9" spans="1:25" ht="15.75" x14ac:dyDescent="0.25">
      <c r="A9" s="3">
        <v>5</v>
      </c>
      <c r="B9" s="3" t="s">
        <v>95</v>
      </c>
      <c r="C9" s="3"/>
      <c r="D9" s="3">
        <f>'DECEMBER 20'!J9:J14</f>
        <v>0</v>
      </c>
      <c r="E9" s="3"/>
      <c r="F9" s="3">
        <v>200</v>
      </c>
      <c r="G9" s="3">
        <v>8000</v>
      </c>
      <c r="H9" s="3">
        <f t="shared" si="0"/>
        <v>8200</v>
      </c>
      <c r="I9" s="3">
        <v>8000</v>
      </c>
      <c r="J9" s="3">
        <f t="shared" si="1"/>
        <v>200</v>
      </c>
      <c r="M9" s="76" t="s">
        <v>61</v>
      </c>
      <c r="N9" s="77">
        <v>4</v>
      </c>
      <c r="O9" s="78"/>
      <c r="P9" s="79"/>
      <c r="Q9" s="83">
        <v>2500</v>
      </c>
      <c r="R9" s="81">
        <v>350</v>
      </c>
      <c r="S9" s="83">
        <v>200</v>
      </c>
      <c r="T9" s="80">
        <f t="shared" si="2"/>
        <v>3050</v>
      </c>
      <c r="U9" s="80">
        <f>3050</f>
        <v>3050</v>
      </c>
      <c r="V9" s="80">
        <f>T9-U9</f>
        <v>0</v>
      </c>
      <c r="W9" s="80"/>
      <c r="X9" s="80"/>
      <c r="Y9" s="69"/>
    </row>
    <row r="10" spans="1:25" ht="15.75" x14ac:dyDescent="0.25">
      <c r="A10" s="3">
        <v>6</v>
      </c>
      <c r="B10" s="4" t="s">
        <v>28</v>
      </c>
      <c r="C10" s="4">
        <v>8000</v>
      </c>
      <c r="D10" s="3">
        <f>'DECEMBER 20'!J10:J15</f>
        <v>0</v>
      </c>
      <c r="E10" s="3">
        <v>300</v>
      </c>
      <c r="F10" s="3">
        <v>200</v>
      </c>
      <c r="G10" s="3">
        <v>8000</v>
      </c>
      <c r="H10" s="3">
        <f t="shared" si="0"/>
        <v>16500</v>
      </c>
      <c r="I10" s="3">
        <f>9600+200</f>
        <v>9800</v>
      </c>
      <c r="J10" s="3">
        <f t="shared" si="1"/>
        <v>6700</v>
      </c>
      <c r="M10" s="116" t="s">
        <v>94</v>
      </c>
      <c r="N10" s="77">
        <v>5</v>
      </c>
      <c r="O10" s="84"/>
      <c r="P10" s="79">
        <v>3020</v>
      </c>
      <c r="Q10" s="83"/>
      <c r="R10" s="81"/>
      <c r="S10" s="83"/>
      <c r="T10" s="80">
        <f t="shared" si="2"/>
        <v>3020</v>
      </c>
      <c r="U10" s="80"/>
      <c r="V10" s="80">
        <f>T10-U10</f>
        <v>3020</v>
      </c>
      <c r="W10" s="80"/>
      <c r="X10" s="80"/>
      <c r="Y10" s="69"/>
    </row>
    <row r="11" spans="1:25" ht="15.75" x14ac:dyDescent="0.25">
      <c r="A11" s="3"/>
      <c r="B11" s="2" t="s">
        <v>10</v>
      </c>
      <c r="C11" s="2">
        <f t="shared" ref="C11:J11" si="3">SUM(C5:C10)</f>
        <v>8000</v>
      </c>
      <c r="D11" s="3">
        <f>SUM(D5:D10)</f>
        <v>4300</v>
      </c>
      <c r="E11" s="3">
        <f>SUM(E5:E10)</f>
        <v>750</v>
      </c>
      <c r="F11" s="3">
        <f>SUM(F5:F10)</f>
        <v>600</v>
      </c>
      <c r="G11" s="2">
        <f t="shared" si="3"/>
        <v>24000</v>
      </c>
      <c r="H11" s="3">
        <f>SUM(H5:H10)</f>
        <v>37650</v>
      </c>
      <c r="I11" s="2">
        <f t="shared" si="3"/>
        <v>23300</v>
      </c>
      <c r="J11" s="2">
        <f t="shared" si="3"/>
        <v>14350</v>
      </c>
      <c r="M11" s="85" t="s">
        <v>63</v>
      </c>
      <c r="N11" s="77">
        <v>6</v>
      </c>
      <c r="O11" s="78"/>
      <c r="P11" s="79">
        <v>520</v>
      </c>
      <c r="Q11" s="83">
        <v>2500</v>
      </c>
      <c r="R11" s="81">
        <v>350</v>
      </c>
      <c r="S11" s="83">
        <v>200</v>
      </c>
      <c r="T11" s="80">
        <f t="shared" si="2"/>
        <v>3570</v>
      </c>
      <c r="U11" s="80">
        <v>3020</v>
      </c>
      <c r="V11" s="80">
        <f t="shared" ref="V11:V38" si="4">T11-U11</f>
        <v>550</v>
      </c>
      <c r="W11" s="80"/>
      <c r="X11" s="80"/>
      <c r="Y11" s="69"/>
    </row>
    <row r="12" spans="1:25" ht="15.75" x14ac:dyDescent="0.25">
      <c r="A12" s="5"/>
      <c r="B12" s="6"/>
      <c r="C12" s="6"/>
      <c r="D12" s="3"/>
      <c r="E12" s="5"/>
      <c r="F12" s="5"/>
      <c r="G12" s="6" t="s">
        <v>10</v>
      </c>
      <c r="H12" s="6"/>
      <c r="I12" s="6"/>
      <c r="J12" s="7"/>
      <c r="M12" s="76" t="s">
        <v>64</v>
      </c>
      <c r="N12" s="77">
        <v>7</v>
      </c>
      <c r="O12" s="78"/>
      <c r="P12" s="79">
        <v>3060</v>
      </c>
      <c r="Q12" s="83">
        <v>2500</v>
      </c>
      <c r="R12" s="81">
        <v>350</v>
      </c>
      <c r="S12" s="83">
        <v>200</v>
      </c>
      <c r="T12" s="80">
        <f t="shared" si="2"/>
        <v>6110</v>
      </c>
      <c r="U12" s="80"/>
      <c r="V12" s="80">
        <f t="shared" si="4"/>
        <v>6110</v>
      </c>
      <c r="W12" s="80"/>
      <c r="X12" s="80"/>
      <c r="Y12" s="69"/>
    </row>
    <row r="13" spans="1:25" ht="15.75" x14ac:dyDescent="0.25">
      <c r="A13" s="8" t="s">
        <v>11</v>
      </c>
      <c r="B13" s="8"/>
      <c r="C13" s="9"/>
      <c r="D13" s="9"/>
      <c r="E13" s="9"/>
      <c r="F13" s="10"/>
      <c r="G13" s="11"/>
      <c r="H13" s="12"/>
      <c r="I13" s="13"/>
      <c r="J13" s="12"/>
      <c r="K13" s="8"/>
      <c r="M13" s="86" t="s">
        <v>65</v>
      </c>
      <c r="N13" s="77">
        <v>8</v>
      </c>
      <c r="O13" s="78"/>
      <c r="P13" s="79">
        <v>240</v>
      </c>
      <c r="Q13" s="83">
        <v>2500</v>
      </c>
      <c r="R13" s="81">
        <v>350</v>
      </c>
      <c r="S13" s="83">
        <v>200</v>
      </c>
      <c r="T13" s="80">
        <f t="shared" si="2"/>
        <v>3290</v>
      </c>
      <c r="U13" s="80"/>
      <c r="V13" s="80">
        <f t="shared" si="4"/>
        <v>3290</v>
      </c>
      <c r="W13" s="80"/>
      <c r="X13" s="80"/>
      <c r="Y13" s="69"/>
    </row>
    <row r="14" spans="1:25" ht="15.75" x14ac:dyDescent="0.25">
      <c r="A14" s="14" t="s">
        <v>12</v>
      </c>
      <c r="B14" s="14"/>
      <c r="C14" s="14"/>
      <c r="D14" s="14"/>
      <c r="E14" s="14"/>
      <c r="F14" s="14"/>
      <c r="G14" s="15"/>
      <c r="H14" s="14" t="s">
        <v>8</v>
      </c>
      <c r="I14" s="8"/>
      <c r="J14" s="8"/>
      <c r="K14" s="8"/>
      <c r="M14" s="88" t="s">
        <v>66</v>
      </c>
      <c r="N14" s="77">
        <v>9</v>
      </c>
      <c r="O14" s="78"/>
      <c r="P14" s="79">
        <v>4430</v>
      </c>
      <c r="Q14" s="83"/>
      <c r="R14" s="81"/>
      <c r="S14" s="83"/>
      <c r="T14" s="80">
        <f t="shared" si="2"/>
        <v>4430</v>
      </c>
      <c r="U14" s="80"/>
      <c r="V14" s="80">
        <f>T14-U14</f>
        <v>4430</v>
      </c>
      <c r="W14" s="80"/>
      <c r="X14" s="80"/>
      <c r="Y14" s="69"/>
    </row>
    <row r="15" spans="1:25" ht="15.75" x14ac:dyDescent="0.25">
      <c r="A15" s="16" t="s">
        <v>13</v>
      </c>
      <c r="B15" s="16"/>
      <c r="C15" s="16" t="s">
        <v>14</v>
      </c>
      <c r="D15" s="16"/>
      <c r="E15" s="16"/>
      <c r="F15" s="16" t="s">
        <v>15</v>
      </c>
      <c r="G15" s="16" t="s">
        <v>16</v>
      </c>
      <c r="H15" s="16" t="s">
        <v>13</v>
      </c>
      <c r="I15" s="16" t="s">
        <v>14</v>
      </c>
      <c r="J15" s="16" t="s">
        <v>15</v>
      </c>
      <c r="K15" s="16" t="s">
        <v>16</v>
      </c>
      <c r="M15" s="82" t="s">
        <v>99</v>
      </c>
      <c r="N15" s="77">
        <v>10</v>
      </c>
      <c r="O15" s="78"/>
      <c r="P15" s="79">
        <v>6464</v>
      </c>
      <c r="Q15" s="83">
        <v>2500</v>
      </c>
      <c r="R15" s="81">
        <v>350</v>
      </c>
      <c r="S15" s="83">
        <v>200</v>
      </c>
      <c r="T15" s="80">
        <f t="shared" si="2"/>
        <v>9514</v>
      </c>
      <c r="U15" s="80">
        <f>3000+50+1950</f>
        <v>5000</v>
      </c>
      <c r="V15" s="80">
        <f>T15-U15</f>
        <v>4514</v>
      </c>
      <c r="W15" s="80">
        <f>950+1000</f>
        <v>1950</v>
      </c>
      <c r="X15" s="80"/>
      <c r="Y15" s="69"/>
    </row>
    <row r="16" spans="1:25" ht="15.75" x14ac:dyDescent="0.25">
      <c r="A16" s="17" t="s">
        <v>89</v>
      </c>
      <c r="B16" s="17"/>
      <c r="C16" s="18">
        <f>G11</f>
        <v>24000</v>
      </c>
      <c r="D16" s="18"/>
      <c r="E16" s="18"/>
      <c r="F16" s="17"/>
      <c r="G16" s="17"/>
      <c r="H16" s="17" t="s">
        <v>89</v>
      </c>
      <c r="I16" s="18">
        <f>I11</f>
        <v>23300</v>
      </c>
      <c r="J16" s="17"/>
      <c r="K16" s="17"/>
      <c r="M16" s="76" t="s">
        <v>68</v>
      </c>
      <c r="N16" s="77">
        <v>11</v>
      </c>
      <c r="O16" s="78"/>
      <c r="P16" s="79">
        <v>0</v>
      </c>
      <c r="Q16" s="83">
        <v>4500</v>
      </c>
      <c r="R16" s="81">
        <v>350</v>
      </c>
      <c r="S16" s="83">
        <v>200</v>
      </c>
      <c r="T16" s="80">
        <f t="shared" si="2"/>
        <v>5050</v>
      </c>
      <c r="U16" s="80">
        <f>5050</f>
        <v>5050</v>
      </c>
      <c r="V16" s="80">
        <f>T16-U16</f>
        <v>0</v>
      </c>
      <c r="W16" s="80"/>
      <c r="X16" s="80"/>
      <c r="Y16" s="69"/>
    </row>
    <row r="17" spans="1:25" ht="15.75" x14ac:dyDescent="0.25">
      <c r="A17" s="17" t="s">
        <v>5</v>
      </c>
      <c r="B17" s="17"/>
      <c r="C17" s="18">
        <f>'DECEMBER 20'!H29</f>
        <v>-593</v>
      </c>
      <c r="D17" s="18"/>
      <c r="E17" s="18"/>
      <c r="F17" s="17"/>
      <c r="G17" s="17"/>
      <c r="H17" s="17" t="s">
        <v>5</v>
      </c>
      <c r="I17" s="18">
        <f>'DECEMBER 20'!L29</f>
        <v>-4893</v>
      </c>
      <c r="J17" s="17"/>
      <c r="K17" s="17"/>
      <c r="M17" s="82" t="s">
        <v>69</v>
      </c>
      <c r="N17" s="77">
        <v>12</v>
      </c>
      <c r="O17" s="78"/>
      <c r="P17" s="79">
        <v>3060</v>
      </c>
      <c r="Q17" s="83">
        <v>2500</v>
      </c>
      <c r="R17" s="81">
        <v>350</v>
      </c>
      <c r="S17" s="83">
        <v>200</v>
      </c>
      <c r="T17" s="80">
        <f t="shared" si="2"/>
        <v>6110</v>
      </c>
      <c r="U17" s="80">
        <f>3000</f>
        <v>3000</v>
      </c>
      <c r="V17" s="80">
        <f t="shared" si="4"/>
        <v>3110</v>
      </c>
      <c r="W17" s="80"/>
      <c r="X17" s="80"/>
      <c r="Y17" s="69"/>
    </row>
    <row r="18" spans="1:25" ht="15.75" x14ac:dyDescent="0.25">
      <c r="A18" s="25" t="s">
        <v>104</v>
      </c>
      <c r="B18" s="3"/>
      <c r="C18" s="3">
        <v>1300</v>
      </c>
      <c r="D18" s="3"/>
      <c r="E18" s="3"/>
      <c r="F18" s="3"/>
      <c r="G18" s="3"/>
      <c r="H18" s="3"/>
      <c r="I18" s="3"/>
      <c r="J18" s="17"/>
      <c r="K18" s="17"/>
      <c r="M18" s="76" t="s">
        <v>40</v>
      </c>
      <c r="N18" s="77">
        <v>13</v>
      </c>
      <c r="O18" s="78"/>
      <c r="P18" s="79"/>
      <c r="Q18" s="83"/>
      <c r="R18" s="81"/>
      <c r="S18" s="83"/>
      <c r="T18" s="80">
        <f t="shared" si="2"/>
        <v>0</v>
      </c>
      <c r="U18" s="80"/>
      <c r="V18" s="80">
        <f t="shared" si="4"/>
        <v>0</v>
      </c>
      <c r="W18" s="80"/>
      <c r="X18" s="80"/>
      <c r="Y18" s="69"/>
    </row>
    <row r="19" spans="1:25" ht="15.75" x14ac:dyDescent="0.25">
      <c r="A19" s="25" t="s">
        <v>41</v>
      </c>
      <c r="B19" s="3"/>
      <c r="C19" s="3">
        <f>E11</f>
        <v>750</v>
      </c>
      <c r="D19" s="3"/>
      <c r="E19" s="3"/>
      <c r="F19" s="3"/>
      <c r="G19" s="3"/>
      <c r="H19" s="3"/>
      <c r="I19" s="3"/>
      <c r="J19" s="17"/>
      <c r="K19" s="17"/>
      <c r="M19" s="76" t="s">
        <v>71</v>
      </c>
      <c r="N19" s="77">
        <v>14</v>
      </c>
      <c r="O19" s="78"/>
      <c r="P19" s="79">
        <v>30</v>
      </c>
      <c r="Q19" s="83">
        <v>2500</v>
      </c>
      <c r="R19" s="81">
        <v>350</v>
      </c>
      <c r="S19" s="83">
        <v>200</v>
      </c>
      <c r="T19" s="80">
        <f t="shared" si="2"/>
        <v>3080</v>
      </c>
      <c r="U19" s="80">
        <v>3050</v>
      </c>
      <c r="V19" s="80">
        <f t="shared" si="4"/>
        <v>30</v>
      </c>
      <c r="W19" s="80"/>
      <c r="X19" s="80"/>
      <c r="Y19" s="87"/>
    </row>
    <row r="20" spans="1:25" ht="15.75" x14ac:dyDescent="0.25">
      <c r="A20" s="25" t="s">
        <v>42</v>
      </c>
      <c r="B20" s="3"/>
      <c r="C20" s="3">
        <f>F11</f>
        <v>600</v>
      </c>
      <c r="D20" s="3"/>
      <c r="E20" s="3"/>
      <c r="F20" s="3"/>
      <c r="G20" s="3"/>
      <c r="H20" s="3"/>
      <c r="I20" s="3"/>
      <c r="J20" s="17"/>
      <c r="K20" s="17"/>
      <c r="M20" s="82" t="s">
        <v>72</v>
      </c>
      <c r="N20" s="77">
        <v>15</v>
      </c>
      <c r="O20" s="78"/>
      <c r="P20" s="79">
        <v>80</v>
      </c>
      <c r="Q20" s="83">
        <v>4500</v>
      </c>
      <c r="R20" s="81">
        <v>350</v>
      </c>
      <c r="S20" s="83">
        <v>200</v>
      </c>
      <c r="T20" s="80">
        <f t="shared" si="2"/>
        <v>5130</v>
      </c>
      <c r="U20" s="80">
        <f>5050</f>
        <v>5050</v>
      </c>
      <c r="V20" s="80">
        <f t="shared" si="4"/>
        <v>80</v>
      </c>
      <c r="W20" s="80"/>
      <c r="X20" s="80"/>
      <c r="Y20" s="69"/>
    </row>
    <row r="21" spans="1:25" ht="15.75" x14ac:dyDescent="0.25">
      <c r="A21" s="17" t="s">
        <v>18</v>
      </c>
      <c r="B21" s="17"/>
      <c r="C21" s="20">
        <v>7.0000000000000007E-2</v>
      </c>
      <c r="D21" s="20"/>
      <c r="E21" s="20"/>
      <c r="F21" s="18">
        <f>C16*C21</f>
        <v>1680.0000000000002</v>
      </c>
      <c r="G21" s="17"/>
      <c r="H21" s="17" t="s">
        <v>18</v>
      </c>
      <c r="I21" s="20">
        <v>7.0000000000000007E-2</v>
      </c>
      <c r="J21" s="18">
        <f>F21</f>
        <v>1680.0000000000002</v>
      </c>
      <c r="K21" s="17"/>
      <c r="M21" s="76" t="s">
        <v>73</v>
      </c>
      <c r="N21" s="77">
        <v>16</v>
      </c>
      <c r="O21" s="78"/>
      <c r="P21" s="79">
        <v>2550</v>
      </c>
      <c r="Q21" s="83">
        <v>4500</v>
      </c>
      <c r="R21" s="81">
        <v>350</v>
      </c>
      <c r="S21" s="83">
        <v>200</v>
      </c>
      <c r="T21" s="80">
        <f t="shared" si="2"/>
        <v>7600</v>
      </c>
      <c r="U21" s="80">
        <v>4000</v>
      </c>
      <c r="V21" s="80">
        <f t="shared" si="4"/>
        <v>3600</v>
      </c>
      <c r="W21" s="80"/>
      <c r="X21" s="80"/>
      <c r="Y21" s="69"/>
    </row>
    <row r="22" spans="1:25" ht="15.75" x14ac:dyDescent="0.25">
      <c r="A22" s="16" t="s">
        <v>19</v>
      </c>
      <c r="C22" s="18"/>
      <c r="D22" s="18"/>
      <c r="E22" s="18"/>
      <c r="F22" s="16"/>
      <c r="G22" s="16"/>
      <c r="H22" s="16" t="s">
        <v>19</v>
      </c>
      <c r="I22" s="21"/>
      <c r="J22" s="16"/>
      <c r="K22" s="16"/>
      <c r="M22" s="76" t="s">
        <v>74</v>
      </c>
      <c r="N22" s="77">
        <v>17</v>
      </c>
      <c r="O22" s="78"/>
      <c r="P22" s="79">
        <v>1990</v>
      </c>
      <c r="Q22" s="83">
        <v>4500</v>
      </c>
      <c r="R22" s="81">
        <v>350</v>
      </c>
      <c r="S22" s="83">
        <v>200</v>
      </c>
      <c r="T22" s="80">
        <f t="shared" si="2"/>
        <v>7040</v>
      </c>
      <c r="U22" s="80">
        <v>5550</v>
      </c>
      <c r="V22" s="80">
        <f t="shared" si="4"/>
        <v>1490</v>
      </c>
      <c r="W22" s="80">
        <v>500</v>
      </c>
      <c r="X22" s="80"/>
      <c r="Y22" s="69"/>
    </row>
    <row r="23" spans="1:25" ht="15.75" x14ac:dyDescent="0.25">
      <c r="A23" s="22"/>
      <c r="B23" s="20"/>
      <c r="C23" s="17"/>
      <c r="D23" s="17"/>
      <c r="E23" s="17"/>
      <c r="F23" s="17"/>
      <c r="G23" s="17"/>
      <c r="H23" s="22"/>
      <c r="I23" s="20"/>
      <c r="J23" s="17"/>
      <c r="K23" s="17"/>
      <c r="M23" s="82" t="s">
        <v>75</v>
      </c>
      <c r="N23" s="77">
        <v>18</v>
      </c>
      <c r="O23" s="78"/>
      <c r="P23" s="79"/>
      <c r="Q23" s="83"/>
      <c r="R23" s="81"/>
      <c r="S23" s="83"/>
      <c r="T23" s="80">
        <f t="shared" si="2"/>
        <v>0</v>
      </c>
      <c r="U23" s="80"/>
      <c r="V23" s="80">
        <f t="shared" si="4"/>
        <v>0</v>
      </c>
      <c r="W23" s="80"/>
      <c r="X23" s="80"/>
      <c r="Y23" s="69"/>
    </row>
    <row r="24" spans="1:25" ht="15.75" x14ac:dyDescent="0.25">
      <c r="A24" s="23" t="s">
        <v>97</v>
      </c>
      <c r="B24" s="23"/>
      <c r="C24" s="17"/>
      <c r="D24" s="17"/>
      <c r="E24" s="17"/>
      <c r="F24" s="17">
        <v>23227</v>
      </c>
      <c r="G24" s="17"/>
      <c r="H24" s="23" t="s">
        <v>97</v>
      </c>
      <c r="I24" s="23"/>
      <c r="J24" s="17">
        <v>23227</v>
      </c>
      <c r="K24" s="17"/>
      <c r="M24" s="76" t="s">
        <v>76</v>
      </c>
      <c r="N24" s="77">
        <v>19</v>
      </c>
      <c r="O24" s="78"/>
      <c r="P24" s="79"/>
      <c r="Q24" s="83">
        <v>2500</v>
      </c>
      <c r="R24" s="81">
        <v>350</v>
      </c>
      <c r="S24" s="83">
        <v>200</v>
      </c>
      <c r="T24" s="80">
        <f t="shared" si="2"/>
        <v>3050</v>
      </c>
      <c r="U24" s="80">
        <v>3050</v>
      </c>
      <c r="V24" s="80">
        <f>T24-U24</f>
        <v>0</v>
      </c>
      <c r="W24" s="80"/>
      <c r="X24" s="80"/>
      <c r="Y24" s="69"/>
    </row>
    <row r="25" spans="1:25" ht="15.75" x14ac:dyDescent="0.25">
      <c r="A25" s="23"/>
      <c r="B25" s="23"/>
      <c r="C25" s="17"/>
      <c r="D25" s="17"/>
      <c r="E25" s="17"/>
      <c r="F25" s="17"/>
      <c r="G25" s="17"/>
      <c r="H25" s="23"/>
      <c r="I25" s="23"/>
      <c r="J25" s="17"/>
      <c r="K25" s="17"/>
      <c r="M25" s="76" t="s">
        <v>77</v>
      </c>
      <c r="N25" s="77">
        <v>20</v>
      </c>
      <c r="O25" s="78"/>
      <c r="P25" s="79">
        <v>7774</v>
      </c>
      <c r="Q25" s="83">
        <v>2500</v>
      </c>
      <c r="R25" s="81"/>
      <c r="S25" s="83"/>
      <c r="T25" s="80">
        <f t="shared" si="2"/>
        <v>10274</v>
      </c>
      <c r="U25" s="80">
        <f>2500+2500+5274</f>
        <v>10274</v>
      </c>
      <c r="V25" s="80">
        <f t="shared" si="4"/>
        <v>0</v>
      </c>
      <c r="W25" s="80">
        <f>2500+5274</f>
        <v>7774</v>
      </c>
      <c r="X25" s="80"/>
      <c r="Y25" s="69"/>
    </row>
    <row r="26" spans="1:25" ht="15.75" x14ac:dyDescent="0.25">
      <c r="A26" s="23"/>
      <c r="B26" s="23"/>
      <c r="C26" s="17"/>
      <c r="D26" s="17"/>
      <c r="E26" s="17"/>
      <c r="F26" s="17"/>
      <c r="G26" s="17"/>
      <c r="H26" s="23"/>
      <c r="I26" s="23"/>
      <c r="J26" s="17"/>
      <c r="K26" s="17"/>
      <c r="M26" s="76" t="s">
        <v>78</v>
      </c>
      <c r="N26" s="77">
        <v>21</v>
      </c>
      <c r="O26" s="78"/>
      <c r="P26" s="79"/>
      <c r="Q26" s="83">
        <v>2500</v>
      </c>
      <c r="R26" s="81">
        <v>350</v>
      </c>
      <c r="S26" s="83">
        <v>200</v>
      </c>
      <c r="T26" s="80">
        <f t="shared" si="2"/>
        <v>3050</v>
      </c>
      <c r="U26" s="80">
        <v>3050</v>
      </c>
      <c r="V26" s="80">
        <f t="shared" si="4"/>
        <v>0</v>
      </c>
      <c r="W26" s="80"/>
      <c r="X26" s="80"/>
      <c r="Y26" s="87"/>
    </row>
    <row r="27" spans="1:25" ht="15.75" x14ac:dyDescent="0.25">
      <c r="A27" s="24"/>
      <c r="B27" s="24"/>
      <c r="C27" s="17"/>
      <c r="D27" s="17"/>
      <c r="E27" s="17"/>
      <c r="F27" s="17"/>
      <c r="G27" s="17"/>
      <c r="I27" s="23"/>
      <c r="J27" s="25"/>
      <c r="K27" s="17"/>
      <c r="M27" s="76" t="s">
        <v>79</v>
      </c>
      <c r="N27" s="77">
        <v>22</v>
      </c>
      <c r="O27" s="78"/>
      <c r="P27" s="79"/>
      <c r="Q27" s="83"/>
      <c r="R27" s="81">
        <v>350</v>
      </c>
      <c r="S27" s="83">
        <v>200</v>
      </c>
      <c r="T27" s="80">
        <f t="shared" si="2"/>
        <v>550</v>
      </c>
      <c r="U27" s="80"/>
      <c r="V27" s="80">
        <f>T27-U27</f>
        <v>550</v>
      </c>
      <c r="W27" s="80"/>
      <c r="X27" s="80"/>
      <c r="Y27" s="69"/>
    </row>
    <row r="28" spans="1:25" ht="15.75" x14ac:dyDescent="0.25">
      <c r="A28" s="23"/>
      <c r="B28" s="23"/>
      <c r="C28" s="17"/>
      <c r="D28" s="17"/>
      <c r="E28" s="17"/>
      <c r="F28" s="25"/>
      <c r="G28" s="17"/>
      <c r="H28" s="17"/>
      <c r="I28" s="17"/>
      <c r="J28" s="17"/>
      <c r="K28" s="17"/>
      <c r="M28" s="76" t="s">
        <v>80</v>
      </c>
      <c r="N28" s="77">
        <v>23</v>
      </c>
      <c r="O28" s="78"/>
      <c r="P28" s="79"/>
      <c r="Q28" s="83">
        <v>2500</v>
      </c>
      <c r="R28" s="81">
        <v>350</v>
      </c>
      <c r="S28" s="83">
        <v>200</v>
      </c>
      <c r="T28" s="80">
        <f t="shared" si="2"/>
        <v>3050</v>
      </c>
      <c r="U28" s="80">
        <f>3050</f>
        <v>3050</v>
      </c>
      <c r="V28" s="80">
        <f t="shared" si="4"/>
        <v>0</v>
      </c>
      <c r="W28" s="80"/>
      <c r="X28" s="80"/>
      <c r="Y28" s="69"/>
    </row>
    <row r="29" spans="1:25" ht="15.75" x14ac:dyDescent="0.25">
      <c r="A29" s="16" t="s">
        <v>20</v>
      </c>
      <c r="B29" s="16"/>
      <c r="C29" s="21">
        <f>C16+C17+C18+C19+C20-F21</f>
        <v>24377</v>
      </c>
      <c r="D29" s="21"/>
      <c r="E29" s="21"/>
      <c r="F29" s="21">
        <f>SUM(F23:F28)</f>
        <v>23227</v>
      </c>
      <c r="G29" s="21">
        <f>C29-F29</f>
        <v>1150</v>
      </c>
      <c r="H29" s="16" t="s">
        <v>20</v>
      </c>
      <c r="I29" s="21">
        <f>I16+I17-J21</f>
        <v>16727</v>
      </c>
      <c r="J29" s="21">
        <f>SUM(J23:J28)</f>
        <v>23227</v>
      </c>
      <c r="K29" s="21">
        <f>I29-J29</f>
        <v>-6500</v>
      </c>
      <c r="M29" s="76" t="s">
        <v>81</v>
      </c>
      <c r="N29" s="77">
        <v>24</v>
      </c>
      <c r="O29" s="78"/>
      <c r="P29" s="79">
        <v>1528</v>
      </c>
      <c r="Q29" s="83">
        <v>2500</v>
      </c>
      <c r="R29" s="81">
        <v>350</v>
      </c>
      <c r="S29" s="83"/>
      <c r="T29" s="80">
        <f t="shared" si="2"/>
        <v>4378</v>
      </c>
      <c r="U29" s="80">
        <v>2850</v>
      </c>
      <c r="V29" s="80">
        <f t="shared" si="4"/>
        <v>1528</v>
      </c>
      <c r="W29" s="80"/>
      <c r="X29" s="80"/>
      <c r="Y29" s="69"/>
    </row>
    <row r="30" spans="1:25" ht="15.75" x14ac:dyDescent="0.25">
      <c r="M30" s="76" t="s">
        <v>82</v>
      </c>
      <c r="N30" s="77">
        <v>25</v>
      </c>
      <c r="O30" s="78"/>
      <c r="P30" s="79">
        <v>80</v>
      </c>
      <c r="Q30" s="83">
        <v>2500</v>
      </c>
      <c r="R30" s="81">
        <v>350</v>
      </c>
      <c r="S30" s="83">
        <v>200</v>
      </c>
      <c r="T30" s="80">
        <f t="shared" si="2"/>
        <v>3130</v>
      </c>
      <c r="U30" s="80">
        <v>3050</v>
      </c>
      <c r="V30" s="80">
        <f t="shared" si="4"/>
        <v>80</v>
      </c>
      <c r="W30" s="80"/>
      <c r="X30" s="80"/>
      <c r="Y30" s="69"/>
    </row>
    <row r="31" spans="1:25" ht="15.75" x14ac:dyDescent="0.25">
      <c r="A31" t="s">
        <v>21</v>
      </c>
      <c r="F31" t="s">
        <v>22</v>
      </c>
      <c r="I31" t="s">
        <v>23</v>
      </c>
      <c r="M31" s="76" t="s">
        <v>83</v>
      </c>
      <c r="N31" s="77">
        <v>26</v>
      </c>
      <c r="O31" s="78"/>
      <c r="P31" s="79">
        <f>4108-3400</f>
        <v>708</v>
      </c>
      <c r="Q31" s="83">
        <v>4500</v>
      </c>
      <c r="R31" s="81">
        <v>350</v>
      </c>
      <c r="S31" s="83">
        <v>200</v>
      </c>
      <c r="T31" s="80">
        <f t="shared" si="2"/>
        <v>5758</v>
      </c>
      <c r="U31" s="80">
        <f>5050</f>
        <v>5050</v>
      </c>
      <c r="V31" s="80">
        <f t="shared" si="4"/>
        <v>708</v>
      </c>
      <c r="W31" s="80"/>
      <c r="X31" s="80"/>
      <c r="Y31" s="69" t="s">
        <v>102</v>
      </c>
    </row>
    <row r="32" spans="1:25" ht="15.75" x14ac:dyDescent="0.25">
      <c r="M32" s="76" t="s">
        <v>84</v>
      </c>
      <c r="N32" s="77">
        <v>27</v>
      </c>
      <c r="O32" s="78"/>
      <c r="P32" s="79">
        <v>3750</v>
      </c>
      <c r="Q32" s="83">
        <v>4500</v>
      </c>
      <c r="R32" s="81">
        <v>350</v>
      </c>
      <c r="S32" s="83">
        <v>200</v>
      </c>
      <c r="T32" s="80">
        <f t="shared" si="2"/>
        <v>8800</v>
      </c>
      <c r="U32" s="80">
        <f>2800+1700+500</f>
        <v>5000</v>
      </c>
      <c r="V32" s="80">
        <f t="shared" si="4"/>
        <v>3800</v>
      </c>
      <c r="W32" s="80"/>
      <c r="Y32" s="69"/>
    </row>
    <row r="33" spans="1:25" ht="15.75" x14ac:dyDescent="0.25">
      <c r="A33" t="s">
        <v>24</v>
      </c>
      <c r="F33" t="s">
        <v>25</v>
      </c>
      <c r="I33" t="s">
        <v>34</v>
      </c>
      <c r="M33" s="76" t="s">
        <v>101</v>
      </c>
      <c r="N33" s="77">
        <v>28</v>
      </c>
      <c r="O33" s="78">
        <v>4500</v>
      </c>
      <c r="P33" s="79"/>
      <c r="Q33" s="83">
        <v>4500</v>
      </c>
      <c r="R33" s="89"/>
      <c r="S33" s="83"/>
      <c r="T33" s="80">
        <f t="shared" si="2"/>
        <v>9000</v>
      </c>
      <c r="U33" s="80">
        <f>9000</f>
        <v>9000</v>
      </c>
      <c r="V33" s="80">
        <f t="shared" si="4"/>
        <v>0</v>
      </c>
      <c r="W33" s="80"/>
      <c r="X33" s="80"/>
      <c r="Y33" s="87"/>
    </row>
    <row r="34" spans="1:25" ht="15.75" x14ac:dyDescent="0.25">
      <c r="L34">
        <v>7500</v>
      </c>
      <c r="M34" s="76" t="s">
        <v>85</v>
      </c>
      <c r="N34" s="77">
        <v>29</v>
      </c>
      <c r="O34" s="78"/>
      <c r="P34" s="79">
        <v>2020</v>
      </c>
      <c r="Q34" s="83">
        <v>4500</v>
      </c>
      <c r="R34" s="89">
        <v>350</v>
      </c>
      <c r="S34" s="83">
        <v>200</v>
      </c>
      <c r="T34" s="80">
        <f t="shared" si="2"/>
        <v>7070</v>
      </c>
      <c r="U34" s="80">
        <f>5050+2000</f>
        <v>7050</v>
      </c>
      <c r="V34" s="80">
        <f t="shared" si="4"/>
        <v>20</v>
      </c>
      <c r="W34" s="80">
        <v>2000</v>
      </c>
      <c r="X34" s="80"/>
      <c r="Y34" s="87"/>
    </row>
    <row r="35" spans="1:25" ht="15.75" x14ac:dyDescent="0.25">
      <c r="L35">
        <f>L34/26</f>
        <v>288.46153846153845</v>
      </c>
      <c r="M35" s="76"/>
      <c r="N35" s="77">
        <v>30</v>
      </c>
      <c r="O35" s="78"/>
      <c r="P35" s="79"/>
      <c r="Q35" s="83"/>
      <c r="R35" s="89"/>
      <c r="S35" s="83"/>
      <c r="T35" s="80">
        <f t="shared" si="2"/>
        <v>0</v>
      </c>
      <c r="U35" s="80"/>
      <c r="V35" s="80">
        <f t="shared" si="4"/>
        <v>0</v>
      </c>
      <c r="W35" s="80"/>
      <c r="X35" s="80"/>
      <c r="Y35" s="69"/>
    </row>
    <row r="36" spans="1:25" ht="15.75" x14ac:dyDescent="0.25">
      <c r="M36" s="76" t="s">
        <v>91</v>
      </c>
      <c r="N36" s="77" t="s">
        <v>86</v>
      </c>
      <c r="O36" s="78"/>
      <c r="P36" s="79"/>
      <c r="Q36" s="83"/>
      <c r="R36" s="89"/>
      <c r="S36" s="83"/>
      <c r="T36" s="80">
        <f t="shared" si="2"/>
        <v>0</v>
      </c>
      <c r="U36" s="80"/>
      <c r="V36" s="80">
        <f t="shared" si="4"/>
        <v>0</v>
      </c>
      <c r="W36" s="80"/>
      <c r="X36" s="80"/>
      <c r="Y36" s="69"/>
    </row>
    <row r="37" spans="1:25" ht="15.75" x14ac:dyDescent="0.25">
      <c r="M37" s="76" t="s">
        <v>93</v>
      </c>
      <c r="N37" s="77" t="s">
        <v>87</v>
      </c>
      <c r="O37" s="78"/>
      <c r="P37" s="79"/>
      <c r="Q37" s="83">
        <v>7000</v>
      </c>
      <c r="R37" s="89"/>
      <c r="S37" s="83"/>
      <c r="T37" s="80">
        <f t="shared" si="2"/>
        <v>7000</v>
      </c>
      <c r="U37" s="80">
        <v>7000</v>
      </c>
      <c r="V37" s="80">
        <f t="shared" si="4"/>
        <v>0</v>
      </c>
      <c r="W37" s="80"/>
      <c r="X37" s="80"/>
      <c r="Y37" s="69"/>
    </row>
    <row r="38" spans="1:25" ht="15.75" x14ac:dyDescent="0.25">
      <c r="M38" s="76" t="s">
        <v>92</v>
      </c>
      <c r="N38" s="77" t="s">
        <v>88</v>
      </c>
      <c r="O38" s="78"/>
      <c r="P38" s="79"/>
      <c r="Q38" s="83">
        <v>7000</v>
      </c>
      <c r="R38" s="89"/>
      <c r="S38" s="83"/>
      <c r="T38" s="80">
        <f>P38+Q38+R38+S38+O38</f>
        <v>7000</v>
      </c>
      <c r="U38" s="80">
        <v>7000</v>
      </c>
      <c r="V38" s="80">
        <f t="shared" si="4"/>
        <v>0</v>
      </c>
      <c r="W38" s="80"/>
      <c r="X38" s="80"/>
      <c r="Y38" s="69"/>
    </row>
    <row r="39" spans="1:25" ht="15.75" x14ac:dyDescent="0.25">
      <c r="F39">
        <f>200.2-199.4</f>
        <v>0.79999999999998295</v>
      </c>
      <c r="M39" s="90" t="s">
        <v>51</v>
      </c>
      <c r="N39" s="76"/>
      <c r="O39" s="78">
        <f t="shared" ref="O39:X39" si="5">SUM(O6:O38)</f>
        <v>4500</v>
      </c>
      <c r="P39" s="79">
        <f t="shared" si="5"/>
        <v>45324</v>
      </c>
      <c r="Q39" s="91">
        <f>SUM(Q6:Q38)</f>
        <v>87500</v>
      </c>
      <c r="R39" s="92">
        <f t="shared" si="5"/>
        <v>7700</v>
      </c>
      <c r="S39" s="93">
        <f t="shared" si="5"/>
        <v>4200</v>
      </c>
      <c r="T39" s="80">
        <f>SUM(T6:T38)</f>
        <v>149224</v>
      </c>
      <c r="U39" s="80">
        <f t="shared" si="5"/>
        <v>108244</v>
      </c>
      <c r="V39" s="80">
        <f t="shared" si="5"/>
        <v>40980</v>
      </c>
      <c r="W39" s="80">
        <f>SUM(W6:W38)</f>
        <v>12224</v>
      </c>
      <c r="X39" s="80">
        <f t="shared" si="5"/>
        <v>0</v>
      </c>
      <c r="Y39" s="69"/>
    </row>
    <row r="40" spans="1:25" ht="15.75" x14ac:dyDescent="0.25">
      <c r="F40">
        <f>F39*200</f>
        <v>159.99999999999659</v>
      </c>
      <c r="K40">
        <f>9450-3750</f>
        <v>5700</v>
      </c>
      <c r="M40" s="94" t="s">
        <v>12</v>
      </c>
      <c r="N40" s="94"/>
      <c r="O40" s="94"/>
      <c r="P40" s="95"/>
      <c r="Q40" s="96"/>
      <c r="R40" s="94" t="s">
        <v>8</v>
      </c>
      <c r="S40" s="94"/>
      <c r="T40" s="94"/>
      <c r="U40" s="70"/>
      <c r="V40" s="70"/>
      <c r="W40" s="70"/>
      <c r="X40" s="71"/>
      <c r="Y40" s="69"/>
    </row>
    <row r="41" spans="1:25" ht="15.75" x14ac:dyDescent="0.25"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  <c r="Y41" s="69"/>
    </row>
    <row r="42" spans="1:25" ht="15.75" x14ac:dyDescent="0.25">
      <c r="M42" s="76" t="s">
        <v>89</v>
      </c>
      <c r="N42" s="98">
        <f>Q39</f>
        <v>87500</v>
      </c>
      <c r="O42" s="76"/>
      <c r="P42" s="76"/>
      <c r="Q42" s="76"/>
      <c r="R42" s="76" t="s">
        <v>89</v>
      </c>
      <c r="S42" s="76"/>
      <c r="T42" s="99">
        <f>U39</f>
        <v>108244</v>
      </c>
      <c r="U42" s="76"/>
      <c r="V42" s="76"/>
      <c r="W42" s="76"/>
      <c r="X42" s="100"/>
      <c r="Y42" s="69"/>
    </row>
    <row r="43" spans="1:25" ht="15.75" x14ac:dyDescent="0.25">
      <c r="I43">
        <f>164.8-161.1</f>
        <v>3.7000000000000171</v>
      </c>
      <c r="M43" s="76" t="s">
        <v>5</v>
      </c>
      <c r="N43" s="98">
        <f>[1]NOVEMBER20!Q72</f>
        <v>0</v>
      </c>
      <c r="O43" s="76"/>
      <c r="P43" s="76"/>
      <c r="Q43" s="76"/>
      <c r="R43" s="76" t="s">
        <v>5</v>
      </c>
      <c r="S43" s="76"/>
      <c r="T43" s="98">
        <f>[1]NOVEMBER20!W72</f>
        <v>0</v>
      </c>
      <c r="U43" s="76"/>
      <c r="V43" s="76"/>
      <c r="W43" s="76"/>
      <c r="X43" s="100"/>
      <c r="Y43" s="69"/>
    </row>
    <row r="44" spans="1:25" ht="15.75" x14ac:dyDescent="0.25">
      <c r="I44">
        <f>I43*200</f>
        <v>740.00000000000341</v>
      </c>
      <c r="M44" s="76" t="s">
        <v>4</v>
      </c>
      <c r="N44" s="98">
        <f>O39</f>
        <v>4500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  <c r="Y44" s="69"/>
    </row>
    <row r="45" spans="1:25" ht="15.75" x14ac:dyDescent="0.25">
      <c r="M45" s="76" t="s">
        <v>41</v>
      </c>
      <c r="N45" s="98">
        <f>R39</f>
        <v>7700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  <c r="Y45" s="69"/>
    </row>
    <row r="46" spans="1:25" ht="15.75" x14ac:dyDescent="0.25">
      <c r="M46" s="76" t="s">
        <v>53</v>
      </c>
      <c r="N46" s="98">
        <f>W39</f>
        <v>12224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  <c r="Y46" s="69"/>
    </row>
    <row r="47" spans="1:25" ht="15.75" x14ac:dyDescent="0.25">
      <c r="M47" s="76" t="s">
        <v>42</v>
      </c>
      <c r="N47" s="98">
        <f>S39</f>
        <v>4200</v>
      </c>
      <c r="O47" s="76"/>
      <c r="P47" s="76"/>
      <c r="Q47" s="76"/>
      <c r="R47" s="76" t="s">
        <v>54</v>
      </c>
      <c r="S47" s="76"/>
      <c r="T47" s="76"/>
      <c r="U47" s="76"/>
      <c r="V47" s="76"/>
      <c r="W47" s="76"/>
      <c r="X47" s="100"/>
      <c r="Y47" s="69"/>
    </row>
    <row r="48" spans="1:25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  <c r="Y48" s="69"/>
    </row>
    <row r="49" spans="13:25" ht="15.75" x14ac:dyDescent="0.25">
      <c r="M49" s="76" t="s">
        <v>54</v>
      </c>
      <c r="N49" s="99">
        <f>X39</f>
        <v>0</v>
      </c>
      <c r="O49" s="98"/>
      <c r="P49" s="76"/>
      <c r="Q49" s="76"/>
      <c r="R49" s="76"/>
      <c r="S49" s="76"/>
      <c r="T49" s="76"/>
      <c r="U49" s="98"/>
      <c r="V49" s="98"/>
      <c r="W49" s="98"/>
      <c r="X49" s="101"/>
      <c r="Y49" s="69"/>
    </row>
    <row r="50" spans="13:25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  <c r="Y50" s="69"/>
    </row>
    <row r="51" spans="13:25" ht="15.75" x14ac:dyDescent="0.25">
      <c r="M51" s="102" t="s">
        <v>55</v>
      </c>
      <c r="N51" s="103">
        <v>7.0000000000000007E-2</v>
      </c>
      <c r="O51" s="99">
        <f>N51*Q39</f>
        <v>6125.0000000000009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T51*Q39</f>
        <v>6125.0000000000009</v>
      </c>
      <c r="V51" s="76"/>
      <c r="W51" s="76"/>
      <c r="X51" s="100"/>
      <c r="Y51" s="69"/>
    </row>
    <row r="52" spans="13:25" ht="15.75" x14ac:dyDescent="0.25">
      <c r="M52" s="104" t="s">
        <v>98</v>
      </c>
      <c r="N52" s="105"/>
      <c r="O52" s="69">
        <v>73000</v>
      </c>
      <c r="P52" s="99"/>
      <c r="Q52" s="99"/>
      <c r="R52" s="104" t="s">
        <v>98</v>
      </c>
      <c r="S52" s="105"/>
      <c r="T52" s="69"/>
      <c r="U52" s="69">
        <v>73000</v>
      </c>
      <c r="V52" s="69"/>
      <c r="W52" s="99"/>
      <c r="X52" s="106"/>
      <c r="Y52" s="87"/>
    </row>
    <row r="53" spans="13:25" ht="15.75" x14ac:dyDescent="0.25">
      <c r="M53" s="104" t="s">
        <v>100</v>
      </c>
      <c r="N53" s="103"/>
      <c r="O53" s="99">
        <v>30105</v>
      </c>
      <c r="P53" s="76"/>
      <c r="Q53" s="76"/>
      <c r="R53" s="104" t="s">
        <v>100</v>
      </c>
      <c r="S53" s="103"/>
      <c r="T53" s="99"/>
      <c r="U53" s="99">
        <v>30105</v>
      </c>
      <c r="V53" s="76"/>
      <c r="W53" s="76"/>
      <c r="X53" s="100"/>
      <c r="Y53" s="69"/>
    </row>
    <row r="54" spans="13:25" ht="15.75" x14ac:dyDescent="0.25">
      <c r="M54" s="76" t="s">
        <v>108</v>
      </c>
      <c r="N54" s="76"/>
      <c r="O54" s="107">
        <v>3050</v>
      </c>
      <c r="P54" s="76"/>
      <c r="Q54" s="76"/>
      <c r="R54" s="107"/>
      <c r="S54" s="107"/>
      <c r="T54" s="76"/>
      <c r="U54" s="107"/>
      <c r="V54" s="76"/>
      <c r="W54" s="76"/>
      <c r="X54" s="100"/>
      <c r="Y54" s="87"/>
    </row>
    <row r="55" spans="13:25" ht="15.75" x14ac:dyDescent="0.25">
      <c r="M55" s="108"/>
      <c r="N55" s="76"/>
      <c r="O55" s="99"/>
      <c r="P55" s="76"/>
      <c r="Q55" s="76"/>
      <c r="R55" s="76"/>
      <c r="S55" s="99"/>
      <c r="T55" s="102"/>
      <c r="U55" s="99"/>
      <c r="V55" s="99"/>
      <c r="W55" s="99"/>
      <c r="X55" s="106"/>
      <c r="Y55" s="87"/>
    </row>
    <row r="56" spans="13:25" ht="15.75" x14ac:dyDescent="0.25">
      <c r="M56" s="90" t="s">
        <v>20</v>
      </c>
      <c r="N56" s="109">
        <f>N42+N43+N44+N45+N46+N47+N49+N48</f>
        <v>116124</v>
      </c>
      <c r="O56" s="109">
        <f>SUM(O51:O55)</f>
        <v>112280</v>
      </c>
      <c r="P56" s="109">
        <f>N56-O56</f>
        <v>3844</v>
      </c>
      <c r="Q56" s="109"/>
      <c r="R56" s="90"/>
      <c r="S56" s="90"/>
      <c r="T56" s="109">
        <f>T42+T43+T45+T47+T48</f>
        <v>108244</v>
      </c>
      <c r="U56" s="109">
        <f>SUM(U51:U55)</f>
        <v>109230</v>
      </c>
      <c r="V56" s="109">
        <f>T56-U56</f>
        <v>-986</v>
      </c>
      <c r="W56" s="109"/>
      <c r="X56" s="110"/>
      <c r="Y56" s="69"/>
    </row>
    <row r="57" spans="13:25" ht="15.75" x14ac:dyDescent="0.25">
      <c r="M57" s="70"/>
      <c r="N57" s="70"/>
      <c r="O57" s="70"/>
      <c r="P57" s="70"/>
      <c r="Q57" s="70"/>
      <c r="R57" s="70"/>
      <c r="S57" s="70"/>
      <c r="T57" s="70"/>
      <c r="U57" s="111">
        <f>U56-U51</f>
        <v>103105</v>
      </c>
      <c r="V57" s="70"/>
      <c r="W57" s="70"/>
      <c r="X57" s="71"/>
      <c r="Y57" s="69"/>
    </row>
    <row r="58" spans="13:25" ht="15.75" x14ac:dyDescent="0.25">
      <c r="M58" s="112" t="s">
        <v>56</v>
      </c>
      <c r="N58" s="113"/>
      <c r="O58" s="113" t="s">
        <v>22</v>
      </c>
      <c r="P58" s="114"/>
      <c r="Q58" s="114"/>
      <c r="R58" s="112"/>
      <c r="S58" s="112"/>
      <c r="T58" s="112" t="s">
        <v>57</v>
      </c>
      <c r="U58" s="70"/>
      <c r="V58" s="70"/>
      <c r="W58" s="70"/>
      <c r="X58" s="71"/>
      <c r="Y58" s="69"/>
    </row>
    <row r="59" spans="13:25" ht="15.75" x14ac:dyDescent="0.25">
      <c r="M59" s="70" t="s">
        <v>24</v>
      </c>
      <c r="N59" s="70"/>
      <c r="O59" s="70" t="s">
        <v>25</v>
      </c>
      <c r="P59" s="70"/>
      <c r="Q59" s="70"/>
      <c r="R59" s="70"/>
      <c r="S59" s="70"/>
      <c r="T59" s="70" t="s">
        <v>34</v>
      </c>
      <c r="U59" s="70"/>
      <c r="V59" s="70"/>
      <c r="W59" s="111"/>
      <c r="X59" s="71"/>
      <c r="Y59" s="69"/>
    </row>
    <row r="60" spans="13:25" ht="15.75" x14ac:dyDescent="0.25"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 spans="13:25" ht="15.75" x14ac:dyDescent="0.25">
      <c r="M61" s="69"/>
      <c r="N61" s="69"/>
      <c r="O61" s="69"/>
      <c r="P61" s="69"/>
      <c r="Q61" s="69"/>
      <c r="R61" s="115"/>
      <c r="S61" s="69"/>
      <c r="T61" s="69"/>
      <c r="U61" s="69"/>
      <c r="V61" s="69"/>
      <c r="W61" s="69"/>
      <c r="X61" s="69"/>
      <c r="Y61" s="69"/>
    </row>
    <row r="68" spans="15:15" x14ac:dyDescent="0.25">
      <c r="O68">
        <f>5580+3290</f>
        <v>8870</v>
      </c>
    </row>
  </sheetData>
  <pageMargins left="0.7" right="0.7" top="0.75" bottom="0.75" header="0.3" footer="0.3"/>
  <pageSetup paperSize="28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H4" zoomScaleNormal="100" workbookViewId="0">
      <selection activeCell="U21" sqref="U21"/>
    </sheetView>
  </sheetViews>
  <sheetFormatPr defaultRowHeight="15" x14ac:dyDescent="0.25"/>
  <cols>
    <col min="1" max="1" width="4.85546875" customWidth="1"/>
    <col min="2" max="2" width="19.85546875" bestFit="1" customWidth="1"/>
    <col min="13" max="13" width="18.5703125" customWidth="1"/>
    <col min="14" max="14" width="8.140625" customWidth="1"/>
    <col min="20" max="20" width="11" customWidth="1"/>
    <col min="22" max="22" width="9.85546875" bestFit="1" customWidth="1"/>
  </cols>
  <sheetData>
    <row r="1" spans="1:25" x14ac:dyDescent="0.25">
      <c r="A1" s="1"/>
      <c r="B1" s="1"/>
      <c r="C1" s="1"/>
      <c r="D1" s="1" t="s">
        <v>29</v>
      </c>
      <c r="E1" s="1"/>
      <c r="F1" s="1"/>
      <c r="G1" s="1"/>
      <c r="H1" s="1"/>
      <c r="I1" s="1"/>
      <c r="J1" s="1"/>
      <c r="O1" s="26"/>
      <c r="P1" s="26"/>
      <c r="Q1" s="26"/>
      <c r="R1" s="26"/>
      <c r="S1" s="26"/>
      <c r="U1" s="26"/>
      <c r="V1" s="26"/>
      <c r="W1" s="26"/>
      <c r="X1" s="26"/>
    </row>
    <row r="2" spans="1:25" ht="15.75" x14ac:dyDescent="0.25">
      <c r="A2" s="1"/>
      <c r="B2" s="1"/>
      <c r="C2" s="1"/>
      <c r="D2" s="1" t="s">
        <v>0</v>
      </c>
      <c r="E2" s="1"/>
      <c r="F2" s="1"/>
      <c r="G2" s="1"/>
      <c r="H2" s="1"/>
      <c r="I2" s="1"/>
      <c r="J2" s="1"/>
      <c r="M2" s="69"/>
      <c r="O2" s="27"/>
      <c r="Q2" s="27" t="s">
        <v>58</v>
      </c>
      <c r="R2" s="70"/>
      <c r="S2" s="27"/>
      <c r="T2" s="28"/>
      <c r="U2" s="70"/>
      <c r="V2" s="70"/>
      <c r="W2" s="70"/>
      <c r="X2" s="70"/>
      <c r="Y2" s="69"/>
    </row>
    <row r="3" spans="1:25" ht="15.75" x14ac:dyDescent="0.25">
      <c r="A3" s="1"/>
      <c r="B3" s="1"/>
      <c r="C3" s="1"/>
      <c r="D3" s="1" t="s">
        <v>107</v>
      </c>
      <c r="E3" s="1"/>
      <c r="F3" s="1"/>
      <c r="G3" s="1"/>
      <c r="H3" s="1"/>
      <c r="I3" s="1"/>
      <c r="J3" s="1"/>
      <c r="M3" s="70"/>
      <c r="N3" s="27"/>
      <c r="O3" s="27"/>
      <c r="P3" s="27"/>
      <c r="Q3" s="27" t="s">
        <v>0</v>
      </c>
      <c r="R3" s="27"/>
      <c r="S3" s="71"/>
      <c r="T3" s="29"/>
      <c r="U3" s="70"/>
      <c r="V3" s="70"/>
      <c r="W3" s="70"/>
      <c r="X3" s="70"/>
      <c r="Y3" s="69"/>
    </row>
    <row r="4" spans="1:25" ht="15.7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41</v>
      </c>
      <c r="F4" s="2" t="s">
        <v>42</v>
      </c>
      <c r="G4" s="2" t="s">
        <v>6</v>
      </c>
      <c r="H4" s="2" t="s">
        <v>7</v>
      </c>
      <c r="I4" s="2" t="s">
        <v>8</v>
      </c>
      <c r="J4" s="2" t="s">
        <v>9</v>
      </c>
      <c r="M4" s="27"/>
      <c r="N4" s="70"/>
      <c r="O4" s="69"/>
      <c r="P4" s="27" t="s">
        <v>107</v>
      </c>
      <c r="Q4" s="27"/>
      <c r="R4" s="69"/>
      <c r="S4" s="27"/>
      <c r="T4" s="31"/>
      <c r="U4" s="31"/>
      <c r="V4" s="31"/>
      <c r="W4" s="31"/>
      <c r="X4" s="31"/>
      <c r="Y4" s="69"/>
    </row>
    <row r="5" spans="1:25" ht="15.75" x14ac:dyDescent="0.25">
      <c r="A5" s="3">
        <v>1</v>
      </c>
      <c r="B5" s="3" t="s">
        <v>26</v>
      </c>
      <c r="C5" s="3"/>
      <c r="D5" s="3">
        <f>'JANUARY 21'!J5:J10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50</v>
      </c>
      <c r="Y5" s="69"/>
    </row>
    <row r="6" spans="1:25" ht="15.75" x14ac:dyDescent="0.25">
      <c r="A6" s="3">
        <v>2</v>
      </c>
      <c r="B6" s="3" t="s">
        <v>26</v>
      </c>
      <c r="C6" s="3"/>
      <c r="D6" s="3">
        <f>'JANUARY 21'!J6:J11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>
        <f>'JANUARY 21'!V6:V38</f>
        <v>0</v>
      </c>
      <c r="Q6" s="80"/>
      <c r="R6" s="81"/>
      <c r="S6" s="80"/>
      <c r="T6" s="80">
        <f>P6+Q6+R6+S6+O6</f>
        <v>0</v>
      </c>
      <c r="U6" s="80"/>
      <c r="V6" s="80">
        <f>T6-U6</f>
        <v>0</v>
      </c>
      <c r="W6" s="80"/>
      <c r="X6" s="80"/>
      <c r="Y6" s="69"/>
    </row>
    <row r="7" spans="1:25" ht="15.75" x14ac:dyDescent="0.25">
      <c r="A7" s="3">
        <v>3</v>
      </c>
      <c r="B7" s="3" t="s">
        <v>31</v>
      </c>
      <c r="C7" s="3"/>
      <c r="D7" s="3">
        <f>'JANUARY 21'!J7:J12</f>
        <v>7450</v>
      </c>
      <c r="E7" s="3">
        <v>600</v>
      </c>
      <c r="F7" s="3">
        <v>200</v>
      </c>
      <c r="G7" s="3">
        <v>8000</v>
      </c>
      <c r="H7" s="3">
        <f t="shared" si="0"/>
        <v>16250</v>
      </c>
      <c r="I7" s="3">
        <f>5000</f>
        <v>5000</v>
      </c>
      <c r="J7" s="3">
        <f t="shared" si="1"/>
        <v>11250</v>
      </c>
      <c r="M7" s="116" t="s">
        <v>40</v>
      </c>
      <c r="N7" s="77">
        <v>2</v>
      </c>
      <c r="O7" s="78"/>
      <c r="P7" s="79"/>
      <c r="Q7" s="83"/>
      <c r="R7" s="81"/>
      <c r="S7" s="83"/>
      <c r="T7" s="80">
        <f t="shared" ref="T7:T37" si="2">P7+Q7+R7+S7+O7</f>
        <v>0</v>
      </c>
      <c r="U7" s="80"/>
      <c r="V7" s="80">
        <f>T7-U7</f>
        <v>0</v>
      </c>
      <c r="W7" s="80"/>
      <c r="X7" s="80"/>
      <c r="Y7" s="69"/>
    </row>
    <row r="8" spans="1:25" ht="15.75" x14ac:dyDescent="0.25">
      <c r="A8" s="3">
        <v>4</v>
      </c>
      <c r="B8" s="3" t="s">
        <v>40</v>
      </c>
      <c r="C8" s="3"/>
      <c r="D8" s="3">
        <f>'JANUARY 21'!J8:J13</f>
        <v>0</v>
      </c>
      <c r="E8" s="3"/>
      <c r="F8" s="3"/>
      <c r="G8" s="3"/>
      <c r="H8" s="3">
        <f t="shared" si="0"/>
        <v>0</v>
      </c>
      <c r="I8" s="3"/>
      <c r="J8" s="3">
        <f t="shared" si="1"/>
        <v>0</v>
      </c>
      <c r="M8" s="82" t="s">
        <v>60</v>
      </c>
      <c r="N8" s="77">
        <v>3</v>
      </c>
      <c r="O8" s="78"/>
      <c r="P8" s="79">
        <f>'JANUARY 21'!V8:V40</f>
        <v>1070</v>
      </c>
      <c r="Q8" s="83">
        <v>2500</v>
      </c>
      <c r="R8" s="81">
        <v>350</v>
      </c>
      <c r="S8" s="83">
        <v>200</v>
      </c>
      <c r="T8" s="80">
        <f t="shared" si="2"/>
        <v>4120</v>
      </c>
      <c r="U8" s="80">
        <f>1000+1000+500+550</f>
        <v>3050</v>
      </c>
      <c r="V8" s="80">
        <f>T8-U8</f>
        <v>1070</v>
      </c>
      <c r="W8" s="80"/>
      <c r="X8" s="80"/>
      <c r="Y8" s="69"/>
    </row>
    <row r="9" spans="1:25" ht="15.75" x14ac:dyDescent="0.25">
      <c r="A9" s="3">
        <v>5</v>
      </c>
      <c r="B9" s="3" t="s">
        <v>95</v>
      </c>
      <c r="C9" s="3"/>
      <c r="D9" s="3">
        <f>'JANUARY 21'!J9:J14</f>
        <v>200</v>
      </c>
      <c r="E9" s="3">
        <v>300</v>
      </c>
      <c r="F9" s="3">
        <v>200</v>
      </c>
      <c r="G9" s="3">
        <v>8000</v>
      </c>
      <c r="H9" s="3">
        <f t="shared" si="0"/>
        <v>8700</v>
      </c>
      <c r="I9" s="3">
        <v>8000</v>
      </c>
      <c r="J9" s="3">
        <f t="shared" si="1"/>
        <v>700</v>
      </c>
      <c r="M9" s="76" t="s">
        <v>61</v>
      </c>
      <c r="N9" s="77">
        <v>4</v>
      </c>
      <c r="O9" s="78"/>
      <c r="P9" s="79">
        <f>'JANUARY 21'!V9:V41</f>
        <v>0</v>
      </c>
      <c r="Q9" s="83">
        <v>2500</v>
      </c>
      <c r="R9" s="81">
        <v>350</v>
      </c>
      <c r="S9" s="83">
        <v>200</v>
      </c>
      <c r="T9" s="80">
        <f t="shared" si="2"/>
        <v>3050</v>
      </c>
      <c r="U9" s="80">
        <f>2700</f>
        <v>2700</v>
      </c>
      <c r="V9" s="80">
        <f>T9-U9</f>
        <v>350</v>
      </c>
      <c r="W9" s="80"/>
      <c r="X9" s="80"/>
      <c r="Y9" s="69"/>
    </row>
    <row r="10" spans="1:25" ht="15.75" x14ac:dyDescent="0.25">
      <c r="A10" s="3">
        <v>6</v>
      </c>
      <c r="B10" s="4" t="s">
        <v>28</v>
      </c>
      <c r="C10" s="4"/>
      <c r="D10" s="3">
        <f>'JANUARY 21'!J10:J15</f>
        <v>6700</v>
      </c>
      <c r="E10" s="3">
        <v>600</v>
      </c>
      <c r="F10" s="3">
        <v>200</v>
      </c>
      <c r="G10" s="3">
        <v>8000</v>
      </c>
      <c r="H10" s="3">
        <f t="shared" si="0"/>
        <v>15500</v>
      </c>
      <c r="I10" s="3">
        <v>10350</v>
      </c>
      <c r="J10" s="3">
        <f t="shared" si="1"/>
        <v>5150</v>
      </c>
      <c r="M10" s="116" t="s">
        <v>40</v>
      </c>
      <c r="N10" s="77">
        <v>5</v>
      </c>
      <c r="O10" s="84"/>
      <c r="P10" s="79"/>
      <c r="Q10" s="83"/>
      <c r="R10" s="81"/>
      <c r="S10" s="83"/>
      <c r="T10" s="80">
        <f t="shared" si="2"/>
        <v>0</v>
      </c>
      <c r="U10" s="80"/>
      <c r="V10" s="80">
        <f>T10-U10</f>
        <v>0</v>
      </c>
      <c r="W10" s="80"/>
      <c r="X10" s="80"/>
      <c r="Y10" s="69"/>
    </row>
    <row r="11" spans="1:25" ht="15.75" x14ac:dyDescent="0.25">
      <c r="A11" s="3"/>
      <c r="B11" s="2" t="s">
        <v>10</v>
      </c>
      <c r="C11" s="2">
        <f t="shared" ref="C11:J11" si="3">SUM(C5:C10)</f>
        <v>0</v>
      </c>
      <c r="D11" s="3">
        <f t="shared" si="3"/>
        <v>14350</v>
      </c>
      <c r="E11" s="3">
        <f t="shared" si="3"/>
        <v>1500</v>
      </c>
      <c r="F11" s="3">
        <f t="shared" si="3"/>
        <v>600</v>
      </c>
      <c r="G11" s="2">
        <f t="shared" si="3"/>
        <v>24000</v>
      </c>
      <c r="H11" s="3">
        <f t="shared" si="3"/>
        <v>40450</v>
      </c>
      <c r="I11" s="2">
        <f t="shared" si="3"/>
        <v>23350</v>
      </c>
      <c r="J11" s="2">
        <f t="shared" si="3"/>
        <v>17100</v>
      </c>
      <c r="M11" s="85" t="s">
        <v>63</v>
      </c>
      <c r="N11" s="77">
        <v>6</v>
      </c>
      <c r="O11" s="78"/>
      <c r="P11" s="79">
        <f>'JANUARY 21'!V11:V43</f>
        <v>550</v>
      </c>
      <c r="Q11" s="83">
        <v>2500</v>
      </c>
      <c r="R11" s="81">
        <v>350</v>
      </c>
      <c r="S11" s="83">
        <v>200</v>
      </c>
      <c r="T11" s="80">
        <f t="shared" si="2"/>
        <v>3600</v>
      </c>
      <c r="U11" s="80">
        <f>2700</f>
        <v>2700</v>
      </c>
      <c r="V11" s="80">
        <f t="shared" ref="V11:V38" si="4">T11-U11</f>
        <v>900</v>
      </c>
      <c r="W11" s="80"/>
      <c r="X11" s="80"/>
      <c r="Y11" s="69"/>
    </row>
    <row r="12" spans="1:25" ht="15.75" x14ac:dyDescent="0.25">
      <c r="A12" s="5"/>
      <c r="B12" s="6"/>
      <c r="C12" s="6"/>
      <c r="D12" s="3"/>
      <c r="E12" s="5"/>
      <c r="F12" s="5"/>
      <c r="G12" s="6" t="s">
        <v>10</v>
      </c>
      <c r="H12" s="6"/>
      <c r="I12" s="6"/>
      <c r="J12" s="7"/>
      <c r="M12" s="76" t="s">
        <v>64</v>
      </c>
      <c r="N12" s="77">
        <v>7</v>
      </c>
      <c r="O12" s="78"/>
      <c r="P12" s="79">
        <f>'JANUARY 21'!V12:V44</f>
        <v>6110</v>
      </c>
      <c r="Q12" s="83">
        <v>2500</v>
      </c>
      <c r="R12" s="81">
        <v>350</v>
      </c>
      <c r="S12" s="83">
        <v>200</v>
      </c>
      <c r="T12" s="80">
        <f t="shared" si="2"/>
        <v>9160</v>
      </c>
      <c r="U12" s="80">
        <f>2500</f>
        <v>2500</v>
      </c>
      <c r="V12" s="80">
        <f t="shared" si="4"/>
        <v>6660</v>
      </c>
      <c r="W12" s="80"/>
      <c r="X12" s="80"/>
      <c r="Y12" s="69" t="s">
        <v>38</v>
      </c>
    </row>
    <row r="13" spans="1:25" ht="15.75" x14ac:dyDescent="0.25">
      <c r="A13" s="8" t="s">
        <v>11</v>
      </c>
      <c r="B13" s="8"/>
      <c r="C13" s="9"/>
      <c r="D13" s="9"/>
      <c r="G13" s="10"/>
      <c r="H13" s="13"/>
      <c r="I13" s="12"/>
      <c r="J13" s="8"/>
      <c r="M13" s="117" t="s">
        <v>40</v>
      </c>
      <c r="N13" s="77">
        <v>8</v>
      </c>
      <c r="O13" s="78"/>
      <c r="P13" s="79"/>
      <c r="Q13" s="83"/>
      <c r="R13" s="81"/>
      <c r="S13" s="83"/>
      <c r="T13" s="80">
        <f t="shared" si="2"/>
        <v>0</v>
      </c>
      <c r="U13" s="80"/>
      <c r="V13" s="80">
        <f t="shared" si="4"/>
        <v>0</v>
      </c>
      <c r="W13" s="80"/>
      <c r="X13" s="80"/>
      <c r="Y13" s="69"/>
    </row>
    <row r="14" spans="1:25" ht="15.75" x14ac:dyDescent="0.25">
      <c r="A14" s="14" t="s">
        <v>12</v>
      </c>
      <c r="B14" s="14"/>
      <c r="C14" s="14"/>
      <c r="D14" s="14"/>
      <c r="F14" s="14" t="s">
        <v>8</v>
      </c>
      <c r="I14" s="8"/>
      <c r="J14" s="8"/>
      <c r="M14" s="88" t="s">
        <v>40</v>
      </c>
      <c r="N14" s="77">
        <v>9</v>
      </c>
      <c r="O14" s="78"/>
      <c r="P14" s="79"/>
      <c r="Q14" s="83"/>
      <c r="R14" s="81"/>
      <c r="S14" s="83"/>
      <c r="T14" s="80">
        <f t="shared" si="2"/>
        <v>0</v>
      </c>
      <c r="U14" s="80"/>
      <c r="V14" s="80">
        <f>T14-U14</f>
        <v>0</v>
      </c>
      <c r="W14" s="80"/>
      <c r="X14" s="80"/>
      <c r="Y14" s="69"/>
    </row>
    <row r="15" spans="1:25" ht="15.75" x14ac:dyDescent="0.25">
      <c r="A15" s="16" t="s">
        <v>13</v>
      </c>
      <c r="B15" s="16"/>
      <c r="C15" s="16" t="s">
        <v>14</v>
      </c>
      <c r="D15" s="16"/>
      <c r="E15" s="16" t="s">
        <v>15</v>
      </c>
      <c r="F15" s="16" t="s">
        <v>16</v>
      </c>
      <c r="G15" s="16" t="s">
        <v>13</v>
      </c>
      <c r="H15" s="16" t="s">
        <v>14</v>
      </c>
      <c r="I15" s="16" t="s">
        <v>15</v>
      </c>
      <c r="J15" s="16" t="s">
        <v>16</v>
      </c>
      <c r="M15" s="82" t="s">
        <v>99</v>
      </c>
      <c r="N15" s="77">
        <v>10</v>
      </c>
      <c r="O15" s="78"/>
      <c r="P15" s="79">
        <f>'JANUARY 21'!V15:V47</f>
        <v>4514</v>
      </c>
      <c r="Q15" s="83">
        <v>2500</v>
      </c>
      <c r="R15" s="81">
        <v>350</v>
      </c>
      <c r="S15" s="83">
        <v>200</v>
      </c>
      <c r="T15" s="80">
        <f t="shared" si="2"/>
        <v>7564</v>
      </c>
      <c r="U15" s="80">
        <f>1000+1000</f>
        <v>2000</v>
      </c>
      <c r="V15" s="80">
        <f>T15-U15</f>
        <v>5564</v>
      </c>
      <c r="W15" s="80">
        <v>1000</v>
      </c>
      <c r="X15" s="80"/>
      <c r="Y15" s="69"/>
    </row>
    <row r="16" spans="1:25" ht="15.75" x14ac:dyDescent="0.25">
      <c r="A16" s="17" t="s">
        <v>103</v>
      </c>
      <c r="B16" s="17"/>
      <c r="C16" s="18">
        <f>G11</f>
        <v>24000</v>
      </c>
      <c r="D16" s="18"/>
      <c r="E16" s="17"/>
      <c r="F16" s="17"/>
      <c r="G16" s="17" t="s">
        <v>103</v>
      </c>
      <c r="H16" s="18">
        <f>I11</f>
        <v>23350</v>
      </c>
      <c r="I16" s="17"/>
      <c r="J16" s="17"/>
      <c r="M16" s="76" t="s">
        <v>68</v>
      </c>
      <c r="N16" s="77">
        <v>11</v>
      </c>
      <c r="O16" s="78"/>
      <c r="P16" s="79">
        <f>'JANUARY 21'!V16:V48</f>
        <v>0</v>
      </c>
      <c r="Q16" s="83">
        <v>4500</v>
      </c>
      <c r="R16" s="81">
        <v>350</v>
      </c>
      <c r="S16" s="83">
        <v>200</v>
      </c>
      <c r="T16" s="80">
        <f t="shared" si="2"/>
        <v>5050</v>
      </c>
      <c r="U16" s="80">
        <f>5050</f>
        <v>5050</v>
      </c>
      <c r="V16" s="80">
        <f>T16-U16</f>
        <v>0</v>
      </c>
      <c r="W16" s="80"/>
      <c r="X16" s="80"/>
      <c r="Y16" s="69"/>
    </row>
    <row r="17" spans="1:25" ht="15.75" x14ac:dyDescent="0.25">
      <c r="A17" s="17" t="s">
        <v>5</v>
      </c>
      <c r="B17" s="17"/>
      <c r="C17" s="18">
        <f>'JANUARY 21'!G29</f>
        <v>1150</v>
      </c>
      <c r="D17" s="18"/>
      <c r="E17" s="17"/>
      <c r="F17" s="17"/>
      <c r="G17" s="17" t="s">
        <v>5</v>
      </c>
      <c r="H17" s="18">
        <f>'JANUARY 21'!K29</f>
        <v>-6500</v>
      </c>
      <c r="I17" s="17"/>
      <c r="J17" s="17"/>
      <c r="M17" s="82" t="s">
        <v>69</v>
      </c>
      <c r="N17" s="77">
        <v>12</v>
      </c>
      <c r="O17" s="78"/>
      <c r="P17" s="79">
        <f>'JANUARY 21'!V17:V49</f>
        <v>3110</v>
      </c>
      <c r="Q17" s="83">
        <v>2500</v>
      </c>
      <c r="R17" s="81">
        <v>350</v>
      </c>
      <c r="S17" s="83">
        <v>200</v>
      </c>
      <c r="T17" s="80">
        <f t="shared" si="2"/>
        <v>6160</v>
      </c>
      <c r="U17" s="80">
        <f>3050+3000</f>
        <v>6050</v>
      </c>
      <c r="V17" s="80">
        <f t="shared" si="4"/>
        <v>110</v>
      </c>
      <c r="W17" s="80">
        <v>3050</v>
      </c>
      <c r="X17" s="80"/>
      <c r="Y17" s="69"/>
    </row>
    <row r="18" spans="1:25" ht="15.75" x14ac:dyDescent="0.25">
      <c r="A18" s="25" t="s">
        <v>4</v>
      </c>
      <c r="B18" s="3"/>
      <c r="C18" s="3">
        <v>1550</v>
      </c>
      <c r="D18" s="3"/>
      <c r="E18" s="3"/>
      <c r="F18" s="3"/>
      <c r="G18" s="3"/>
      <c r="I18" s="17"/>
      <c r="J18" s="17"/>
      <c r="M18" s="88" t="s">
        <v>40</v>
      </c>
      <c r="N18" s="77">
        <v>13</v>
      </c>
      <c r="O18" s="78"/>
      <c r="P18" s="79">
        <f>'JANUARY 21'!V18:V50</f>
        <v>0</v>
      </c>
      <c r="Q18" s="83"/>
      <c r="R18" s="81"/>
      <c r="S18" s="83"/>
      <c r="T18" s="80">
        <f t="shared" si="2"/>
        <v>0</v>
      </c>
      <c r="U18" s="80"/>
      <c r="V18" s="80">
        <f t="shared" si="4"/>
        <v>0</v>
      </c>
      <c r="W18" s="80"/>
      <c r="X18" s="80"/>
      <c r="Y18" s="69"/>
    </row>
    <row r="19" spans="1:25" ht="15.75" x14ac:dyDescent="0.25">
      <c r="A19" s="25" t="s">
        <v>41</v>
      </c>
      <c r="B19" s="3"/>
      <c r="C19" s="3">
        <f>E11</f>
        <v>1500</v>
      </c>
      <c r="D19" s="3"/>
      <c r="E19" s="3"/>
      <c r="F19" s="3"/>
      <c r="G19" s="3"/>
      <c r="H19" s="14"/>
      <c r="I19" s="17"/>
      <c r="J19" s="17"/>
      <c r="M19" s="76" t="s">
        <v>71</v>
      </c>
      <c r="N19" s="77">
        <v>14</v>
      </c>
      <c r="O19" s="78"/>
      <c r="P19" s="79">
        <f>'JANUARY 21'!V19:V51</f>
        <v>30</v>
      </c>
      <c r="Q19" s="83">
        <v>2500</v>
      </c>
      <c r="R19" s="81">
        <v>350</v>
      </c>
      <c r="S19" s="83">
        <v>200</v>
      </c>
      <c r="T19" s="80">
        <f t="shared" si="2"/>
        <v>3080</v>
      </c>
      <c r="U19" s="80">
        <v>3080</v>
      </c>
      <c r="V19" s="80">
        <f t="shared" si="4"/>
        <v>0</v>
      </c>
      <c r="W19" s="80">
        <v>30</v>
      </c>
      <c r="X19" s="80"/>
      <c r="Y19" s="87"/>
    </row>
    <row r="20" spans="1:25" ht="15.75" x14ac:dyDescent="0.25">
      <c r="A20" s="25" t="s">
        <v>42</v>
      </c>
      <c r="B20" s="3"/>
      <c r="C20" s="3">
        <f>F11</f>
        <v>600</v>
      </c>
      <c r="D20" s="3"/>
      <c r="E20" s="3"/>
      <c r="F20" s="3"/>
      <c r="G20" s="3"/>
      <c r="H20" s="3"/>
      <c r="I20" s="17"/>
      <c r="J20" s="17"/>
      <c r="M20" s="82" t="s">
        <v>72</v>
      </c>
      <c r="N20" s="77">
        <v>15</v>
      </c>
      <c r="O20" s="78"/>
      <c r="P20" s="79">
        <f>'JANUARY 21'!V20:V52</f>
        <v>80</v>
      </c>
      <c r="Q20" s="83">
        <v>4500</v>
      </c>
      <c r="R20" s="81">
        <v>350</v>
      </c>
      <c r="S20" s="83">
        <v>200</v>
      </c>
      <c r="T20" s="80">
        <f t="shared" si="2"/>
        <v>5130</v>
      </c>
      <c r="U20" s="80">
        <f>5050</f>
        <v>5050</v>
      </c>
      <c r="V20" s="80">
        <f t="shared" si="4"/>
        <v>80</v>
      </c>
      <c r="W20" s="80"/>
      <c r="X20" s="80"/>
      <c r="Y20" s="69"/>
    </row>
    <row r="21" spans="1:25" ht="15.75" x14ac:dyDescent="0.25">
      <c r="A21" s="17" t="s">
        <v>18</v>
      </c>
      <c r="B21" s="17"/>
      <c r="C21" s="20">
        <v>7.0000000000000007E-2</v>
      </c>
      <c r="D21" s="20"/>
      <c r="E21" s="18">
        <f>C16*C21</f>
        <v>1680.0000000000002</v>
      </c>
      <c r="F21" s="17"/>
      <c r="G21" s="17" t="s">
        <v>18</v>
      </c>
      <c r="H21" s="20">
        <v>7.0000000000000007E-2</v>
      </c>
      <c r="I21" s="18">
        <f>E21</f>
        <v>1680.0000000000002</v>
      </c>
      <c r="J21" s="17"/>
      <c r="M21" s="76" t="s">
        <v>73</v>
      </c>
      <c r="N21" s="77">
        <v>16</v>
      </c>
      <c r="O21" s="78"/>
      <c r="P21" s="79">
        <f>'JANUARY 21'!V21:V53</f>
        <v>3600</v>
      </c>
      <c r="Q21" s="83">
        <v>4500</v>
      </c>
      <c r="R21" s="81">
        <v>350</v>
      </c>
      <c r="S21" s="83">
        <v>200</v>
      </c>
      <c r="T21" s="80">
        <f t="shared" si="2"/>
        <v>8650</v>
      </c>
      <c r="U21" s="80">
        <f>5000</f>
        <v>5000</v>
      </c>
      <c r="V21" s="80">
        <f t="shared" si="4"/>
        <v>3650</v>
      </c>
      <c r="W21" s="80"/>
      <c r="X21" s="80"/>
      <c r="Y21" s="69"/>
    </row>
    <row r="22" spans="1:25" ht="15.75" x14ac:dyDescent="0.25">
      <c r="A22" s="16" t="s">
        <v>19</v>
      </c>
      <c r="C22" s="18"/>
      <c r="D22" s="18"/>
      <c r="E22" s="16"/>
      <c r="F22" s="16"/>
      <c r="G22" s="16" t="s">
        <v>19</v>
      </c>
      <c r="H22" s="21"/>
      <c r="I22" s="16"/>
      <c r="J22" s="16"/>
      <c r="M22" s="76" t="s">
        <v>74</v>
      </c>
      <c r="N22" s="77">
        <v>17</v>
      </c>
      <c r="O22" s="78"/>
      <c r="P22" s="79">
        <f>'JANUARY 21'!V22:V54</f>
        <v>1490</v>
      </c>
      <c r="Q22" s="83">
        <v>4500</v>
      </c>
      <c r="R22" s="81">
        <v>350</v>
      </c>
      <c r="S22" s="83">
        <v>200</v>
      </c>
      <c r="T22" s="80">
        <f t="shared" si="2"/>
        <v>6540</v>
      </c>
      <c r="U22" s="80">
        <f>5050</f>
        <v>5050</v>
      </c>
      <c r="V22" s="80">
        <f t="shared" si="4"/>
        <v>1490</v>
      </c>
      <c r="W22" s="80"/>
      <c r="X22" s="80"/>
      <c r="Y22" s="69"/>
    </row>
    <row r="23" spans="1:25" ht="15.75" x14ac:dyDescent="0.25">
      <c r="A23" s="22"/>
      <c r="B23" s="20"/>
      <c r="C23" s="17"/>
      <c r="D23" s="17"/>
      <c r="E23" s="17"/>
      <c r="F23" s="17"/>
      <c r="G23" s="22"/>
      <c r="H23" s="20"/>
      <c r="I23" s="17"/>
      <c r="J23" s="17"/>
      <c r="M23" s="116" t="s">
        <v>75</v>
      </c>
      <c r="N23" s="77">
        <v>18</v>
      </c>
      <c r="O23" s="78"/>
      <c r="P23" s="79">
        <f>'JANUARY 21'!V23:V55</f>
        <v>0</v>
      </c>
      <c r="Q23" s="83"/>
      <c r="R23" s="81"/>
      <c r="S23" s="83"/>
      <c r="T23" s="80">
        <f t="shared" si="2"/>
        <v>0</v>
      </c>
      <c r="U23" s="80"/>
      <c r="V23" s="80">
        <f t="shared" si="4"/>
        <v>0</v>
      </c>
      <c r="W23" s="80"/>
      <c r="X23" s="80"/>
      <c r="Y23" s="69"/>
    </row>
    <row r="24" spans="1:25" ht="15.75" x14ac:dyDescent="0.25">
      <c r="A24" s="23" t="s">
        <v>110</v>
      </c>
      <c r="B24" s="23"/>
      <c r="C24" s="17"/>
      <c r="D24" s="17"/>
      <c r="E24" s="17">
        <v>13000</v>
      </c>
      <c r="F24" s="17"/>
      <c r="G24" s="23" t="s">
        <v>110</v>
      </c>
      <c r="H24" s="23"/>
      <c r="I24" s="17">
        <v>13000</v>
      </c>
      <c r="J24" s="17"/>
      <c r="M24" s="76" t="s">
        <v>76</v>
      </c>
      <c r="N24" s="77">
        <v>19</v>
      </c>
      <c r="O24" s="78"/>
      <c r="P24" s="79">
        <f>'JANUARY 21'!V24:V56</f>
        <v>0</v>
      </c>
      <c r="Q24" s="83">
        <v>2500</v>
      </c>
      <c r="R24" s="81">
        <v>350</v>
      </c>
      <c r="S24" s="83">
        <v>200</v>
      </c>
      <c r="T24" s="80">
        <f t="shared" si="2"/>
        <v>3050</v>
      </c>
      <c r="U24" s="80">
        <f>3050</f>
        <v>3050</v>
      </c>
      <c r="V24" s="80">
        <f>T24-U24</f>
        <v>0</v>
      </c>
      <c r="W24" s="80"/>
      <c r="X24" s="80"/>
      <c r="Y24" s="69"/>
    </row>
    <row r="25" spans="1:25" ht="15.75" x14ac:dyDescent="0.25">
      <c r="A25" s="23"/>
      <c r="B25" s="23"/>
      <c r="C25" s="17"/>
      <c r="D25" s="17"/>
      <c r="E25" s="17"/>
      <c r="F25" s="17"/>
      <c r="G25" s="23"/>
      <c r="H25" s="23"/>
      <c r="I25" s="17"/>
      <c r="J25" s="17"/>
      <c r="M25" s="88" t="s">
        <v>40</v>
      </c>
      <c r="N25" s="77">
        <v>20</v>
      </c>
      <c r="O25" s="78"/>
      <c r="P25" s="79">
        <f>'JANUARY 21'!V25:V57</f>
        <v>0</v>
      </c>
      <c r="Q25" s="83"/>
      <c r="R25" s="81"/>
      <c r="S25" s="83"/>
      <c r="T25" s="80">
        <f t="shared" si="2"/>
        <v>0</v>
      </c>
      <c r="U25" s="80"/>
      <c r="V25" s="80">
        <f t="shared" si="4"/>
        <v>0</v>
      </c>
      <c r="W25" s="80"/>
      <c r="X25" s="80"/>
      <c r="Y25" s="69"/>
    </row>
    <row r="26" spans="1:25" ht="15.75" x14ac:dyDescent="0.25">
      <c r="A26" s="23"/>
      <c r="B26" s="23"/>
      <c r="C26" s="17"/>
      <c r="D26" s="17"/>
      <c r="E26" s="17"/>
      <c r="F26" s="17"/>
      <c r="G26" s="23"/>
      <c r="H26" s="23"/>
      <c r="I26" s="17"/>
      <c r="J26" s="17"/>
      <c r="M26" s="76" t="s">
        <v>78</v>
      </c>
      <c r="N26" s="77">
        <v>21</v>
      </c>
      <c r="O26" s="78"/>
      <c r="P26" s="79">
        <f>'JANUARY 21'!V26:V58</f>
        <v>0</v>
      </c>
      <c r="Q26" s="83">
        <v>2500</v>
      </c>
      <c r="R26" s="81">
        <v>350</v>
      </c>
      <c r="S26" s="83">
        <v>200</v>
      </c>
      <c r="T26" s="80">
        <f t="shared" si="2"/>
        <v>3050</v>
      </c>
      <c r="U26" s="80">
        <v>3050</v>
      </c>
      <c r="V26" s="80">
        <f t="shared" si="4"/>
        <v>0</v>
      </c>
      <c r="W26" s="80"/>
      <c r="X26" s="80"/>
      <c r="Y26" s="87"/>
    </row>
    <row r="27" spans="1:25" ht="15.75" x14ac:dyDescent="0.25">
      <c r="A27" s="24"/>
      <c r="B27" s="24"/>
      <c r="C27" s="17"/>
      <c r="D27" s="17"/>
      <c r="E27" s="17"/>
      <c r="F27" s="17"/>
      <c r="H27" s="23"/>
      <c r="I27" s="25"/>
      <c r="J27" s="17"/>
      <c r="K27" s="119">
        <f>F29-J29</f>
        <v>11950</v>
      </c>
      <c r="M27" s="76" t="s">
        <v>79</v>
      </c>
      <c r="N27" s="77">
        <v>22</v>
      </c>
      <c r="O27" s="78"/>
      <c r="P27" s="79">
        <f>'JANUARY 21'!V27:V59</f>
        <v>550</v>
      </c>
      <c r="Q27" s="83">
        <v>4500</v>
      </c>
      <c r="R27" s="81">
        <v>350</v>
      </c>
      <c r="S27" s="83">
        <v>200</v>
      </c>
      <c r="T27" s="80">
        <f t="shared" si="2"/>
        <v>5600</v>
      </c>
      <c r="U27" s="80">
        <f>4500</f>
        <v>4500</v>
      </c>
      <c r="V27" s="80">
        <f>T27-U27</f>
        <v>1100</v>
      </c>
      <c r="W27" s="80"/>
      <c r="X27" s="80"/>
      <c r="Y27" s="69"/>
    </row>
    <row r="28" spans="1:25" ht="15.75" x14ac:dyDescent="0.25">
      <c r="A28" s="23"/>
      <c r="B28" s="23"/>
      <c r="C28" s="17"/>
      <c r="D28" s="17"/>
      <c r="E28" s="25"/>
      <c r="F28" s="17"/>
      <c r="G28" s="17"/>
      <c r="H28" s="17"/>
      <c r="I28" s="17"/>
      <c r="J28" s="17"/>
      <c r="M28" s="76" t="s">
        <v>80</v>
      </c>
      <c r="N28" s="77">
        <v>23</v>
      </c>
      <c r="O28" s="78"/>
      <c r="P28" s="79">
        <f>'JANUARY 21'!V28:V60</f>
        <v>0</v>
      </c>
      <c r="Q28" s="83">
        <v>2500</v>
      </c>
      <c r="R28" s="81">
        <v>350</v>
      </c>
      <c r="S28" s="83">
        <v>200</v>
      </c>
      <c r="T28" s="80">
        <f t="shared" si="2"/>
        <v>3050</v>
      </c>
      <c r="U28" s="80">
        <f>3050</f>
        <v>3050</v>
      </c>
      <c r="V28" s="80">
        <f t="shared" si="4"/>
        <v>0</v>
      </c>
      <c r="W28" s="80"/>
      <c r="X28" s="80"/>
      <c r="Y28" s="69"/>
    </row>
    <row r="29" spans="1:25" ht="15.75" x14ac:dyDescent="0.25">
      <c r="A29" s="16" t="s">
        <v>20</v>
      </c>
      <c r="B29" s="16"/>
      <c r="C29" s="21">
        <f>C16+C17+C18+C19+C20-E21</f>
        <v>27120</v>
      </c>
      <c r="D29" s="21"/>
      <c r="E29" s="21">
        <f>SUM(E23:E28)</f>
        <v>13000</v>
      </c>
      <c r="F29" s="21">
        <f>C29-E29</f>
        <v>14120</v>
      </c>
      <c r="G29" s="16" t="s">
        <v>20</v>
      </c>
      <c r="H29" s="21">
        <f>H16+H17-I21</f>
        <v>15170</v>
      </c>
      <c r="I29" s="21">
        <f>SUM(I23:I28)</f>
        <v>13000</v>
      </c>
      <c r="J29" s="21">
        <f>H29-I29</f>
        <v>2170</v>
      </c>
      <c r="M29" s="76" t="s">
        <v>81</v>
      </c>
      <c r="N29" s="77">
        <v>24</v>
      </c>
      <c r="O29" s="78"/>
      <c r="P29" s="79">
        <f>'JANUARY 21'!V29:V61</f>
        <v>1528</v>
      </c>
      <c r="Q29" s="83">
        <v>2500</v>
      </c>
      <c r="R29" s="81">
        <v>350</v>
      </c>
      <c r="S29" s="83"/>
      <c r="T29" s="80">
        <f t="shared" si="2"/>
        <v>4378</v>
      </c>
      <c r="U29" s="80">
        <f>2800</f>
        <v>2800</v>
      </c>
      <c r="V29" s="80">
        <f t="shared" si="4"/>
        <v>1578</v>
      </c>
      <c r="W29" s="80"/>
      <c r="X29" s="80"/>
      <c r="Y29" s="69"/>
    </row>
    <row r="30" spans="1:25" ht="15.75" x14ac:dyDescent="0.25">
      <c r="M30" s="76" t="s">
        <v>82</v>
      </c>
      <c r="N30" s="77">
        <v>25</v>
      </c>
      <c r="O30" s="78"/>
      <c r="P30" s="79">
        <f>'JANUARY 21'!V30:V62</f>
        <v>80</v>
      </c>
      <c r="Q30" s="83">
        <v>2500</v>
      </c>
      <c r="R30" s="81">
        <v>350</v>
      </c>
      <c r="S30" s="83">
        <v>200</v>
      </c>
      <c r="T30" s="80">
        <f t="shared" si="2"/>
        <v>3130</v>
      </c>
      <c r="U30" s="80">
        <v>3130</v>
      </c>
      <c r="V30" s="80">
        <f t="shared" si="4"/>
        <v>0</v>
      </c>
      <c r="W30" s="80"/>
      <c r="X30" s="80"/>
      <c r="Y30" s="69"/>
    </row>
    <row r="31" spans="1:25" ht="15.75" x14ac:dyDescent="0.25">
      <c r="A31" t="s">
        <v>21</v>
      </c>
      <c r="E31" t="s">
        <v>22</v>
      </c>
      <c r="H31" t="s">
        <v>23</v>
      </c>
      <c r="M31" s="76" t="s">
        <v>83</v>
      </c>
      <c r="N31" s="77">
        <v>26</v>
      </c>
      <c r="O31" s="78"/>
      <c r="P31" s="79">
        <f>'JANUARY 21'!V31:V63</f>
        <v>708</v>
      </c>
      <c r="Q31" s="83">
        <v>4500</v>
      </c>
      <c r="R31" s="81">
        <v>350</v>
      </c>
      <c r="S31" s="83">
        <v>200</v>
      </c>
      <c r="T31" s="80">
        <f t="shared" si="2"/>
        <v>5758</v>
      </c>
      <c r="U31" s="80">
        <f>5050</f>
        <v>5050</v>
      </c>
      <c r="V31" s="80">
        <f>T31-U31</f>
        <v>708</v>
      </c>
      <c r="W31" s="80"/>
      <c r="X31" s="80"/>
      <c r="Y31" s="69"/>
    </row>
    <row r="32" spans="1:25" ht="15.75" x14ac:dyDescent="0.25">
      <c r="M32" s="76" t="s">
        <v>84</v>
      </c>
      <c r="N32" s="77">
        <v>27</v>
      </c>
      <c r="O32" s="78"/>
      <c r="P32" s="79">
        <f>'JANUARY 21'!V32:V64</f>
        <v>3800</v>
      </c>
      <c r="Q32" s="83">
        <v>4500</v>
      </c>
      <c r="R32" s="81">
        <v>350</v>
      </c>
      <c r="S32" s="83">
        <v>200</v>
      </c>
      <c r="T32" s="80">
        <f t="shared" si="2"/>
        <v>8850</v>
      </c>
      <c r="U32" s="80">
        <f>600+1000+800+2000</f>
        <v>4400</v>
      </c>
      <c r="V32" s="80">
        <f>T32-U32</f>
        <v>4450</v>
      </c>
      <c r="W32" s="80">
        <v>1600</v>
      </c>
      <c r="Y32" s="69"/>
    </row>
    <row r="33" spans="1:26" ht="15.75" x14ac:dyDescent="0.25">
      <c r="A33" t="s">
        <v>24</v>
      </c>
      <c r="E33" t="s">
        <v>25</v>
      </c>
      <c r="H33" t="s">
        <v>34</v>
      </c>
      <c r="M33" s="76" t="s">
        <v>101</v>
      </c>
      <c r="N33" s="77">
        <v>28</v>
      </c>
      <c r="O33" s="78"/>
      <c r="P33" s="79">
        <f>'JANUARY 21'!V33:V65</f>
        <v>0</v>
      </c>
      <c r="Q33" s="83">
        <v>4500</v>
      </c>
      <c r="R33" s="81">
        <v>350</v>
      </c>
      <c r="S33" s="83">
        <v>200</v>
      </c>
      <c r="T33" s="80">
        <f t="shared" si="2"/>
        <v>5050</v>
      </c>
      <c r="U33" s="80">
        <f>5050</f>
        <v>5050</v>
      </c>
      <c r="V33" s="80">
        <f t="shared" si="4"/>
        <v>0</v>
      </c>
      <c r="W33" s="80"/>
      <c r="X33" s="80"/>
      <c r="Y33" s="69"/>
    </row>
    <row r="34" spans="1:26" ht="15.75" x14ac:dyDescent="0.25">
      <c r="I34">
        <f>6500/30</f>
        <v>216.66666666666666</v>
      </c>
      <c r="L34">
        <v>7500</v>
      </c>
      <c r="M34" s="76" t="s">
        <v>85</v>
      </c>
      <c r="N34" s="77">
        <v>29</v>
      </c>
      <c r="O34" s="78"/>
      <c r="P34" s="79">
        <f>'JANUARY 21'!V34:V66</f>
        <v>20</v>
      </c>
      <c r="Q34" s="83">
        <v>4500</v>
      </c>
      <c r="R34" s="81">
        <v>350</v>
      </c>
      <c r="S34" s="83">
        <v>200</v>
      </c>
      <c r="T34" s="80">
        <f t="shared" si="2"/>
        <v>5070</v>
      </c>
      <c r="U34" s="80">
        <f>5050</f>
        <v>5050</v>
      </c>
      <c r="V34" s="80">
        <f t="shared" si="4"/>
        <v>20</v>
      </c>
      <c r="W34" s="80"/>
      <c r="X34" s="80"/>
      <c r="Y34" s="69"/>
    </row>
    <row r="35" spans="1:26" ht="15.75" x14ac:dyDescent="0.25">
      <c r="J35">
        <f>I34*18</f>
        <v>3900</v>
      </c>
      <c r="L35">
        <f>L34/26</f>
        <v>288.46153846153845</v>
      </c>
      <c r="M35" s="76"/>
      <c r="N35" s="77"/>
      <c r="O35" s="78"/>
      <c r="P35" s="79">
        <f>'JANUARY 21'!V35:V67</f>
        <v>0</v>
      </c>
      <c r="Q35" s="83"/>
      <c r="R35" s="81"/>
      <c r="S35" s="83"/>
      <c r="T35" s="80">
        <f t="shared" si="2"/>
        <v>0</v>
      </c>
      <c r="U35" s="80"/>
      <c r="V35" s="80">
        <f t="shared" si="4"/>
        <v>0</v>
      </c>
      <c r="W35" s="80"/>
      <c r="X35" s="80"/>
      <c r="Y35" s="69"/>
    </row>
    <row r="36" spans="1:26" ht="15.75" x14ac:dyDescent="0.25">
      <c r="M36" s="76"/>
      <c r="N36" s="77" t="s">
        <v>86</v>
      </c>
      <c r="O36" s="78"/>
      <c r="P36" s="79">
        <f>'JANUARY 21'!V36:V68</f>
        <v>0</v>
      </c>
      <c r="Q36" s="83"/>
      <c r="R36" s="81"/>
      <c r="S36" s="83"/>
      <c r="T36" s="80">
        <f t="shared" si="2"/>
        <v>0</v>
      </c>
      <c r="U36" s="80"/>
      <c r="V36" s="80">
        <f t="shared" si="4"/>
        <v>0</v>
      </c>
      <c r="W36" s="80"/>
      <c r="X36" s="80"/>
      <c r="Y36" s="87">
        <f>5050-Y37</f>
        <v>2250</v>
      </c>
      <c r="Z36">
        <f>2250</f>
        <v>2250</v>
      </c>
    </row>
    <row r="37" spans="1:26" ht="15.75" x14ac:dyDescent="0.25">
      <c r="M37" s="76" t="s">
        <v>93</v>
      </c>
      <c r="N37" s="77" t="s">
        <v>87</v>
      </c>
      <c r="O37" s="78"/>
      <c r="P37" s="79">
        <f>'JANUARY 21'!V37:V69</f>
        <v>0</v>
      </c>
      <c r="Q37" s="83">
        <v>7000</v>
      </c>
      <c r="R37" s="81"/>
      <c r="S37" s="83"/>
      <c r="T37" s="80">
        <f t="shared" si="2"/>
        <v>7000</v>
      </c>
      <c r="U37" s="80">
        <f>7000</f>
        <v>7000</v>
      </c>
      <c r="V37" s="80">
        <f t="shared" si="4"/>
        <v>0</v>
      </c>
      <c r="W37" s="80"/>
      <c r="X37" s="80"/>
      <c r="Y37" s="87">
        <f>U32-W32</f>
        <v>2800</v>
      </c>
    </row>
    <row r="38" spans="1:26" ht="15.75" x14ac:dyDescent="0.25">
      <c r="M38" s="76" t="s">
        <v>92</v>
      </c>
      <c r="N38" s="77" t="s">
        <v>88</v>
      </c>
      <c r="O38" s="78"/>
      <c r="P38" s="79">
        <f>'JANUARY 21'!V38:V70</f>
        <v>0</v>
      </c>
      <c r="Q38" s="83">
        <v>7000</v>
      </c>
      <c r="R38" s="81"/>
      <c r="S38" s="83"/>
      <c r="T38" s="80">
        <f>P38+Q38+R38+S38+O38</f>
        <v>7000</v>
      </c>
      <c r="U38" s="80">
        <f>7000</f>
        <v>7000</v>
      </c>
      <c r="V38" s="80">
        <f t="shared" si="4"/>
        <v>0</v>
      </c>
      <c r="W38" s="80"/>
      <c r="X38" s="80"/>
      <c r="Y38" s="69"/>
    </row>
    <row r="39" spans="1:26" ht="15.75" x14ac:dyDescent="0.25">
      <c r="M39" s="90" t="s">
        <v>51</v>
      </c>
      <c r="N39" s="76"/>
      <c r="O39" s="78">
        <f t="shared" ref="O39:X39" si="5">SUM(O6:O38)</f>
        <v>0</v>
      </c>
      <c r="P39" s="79">
        <f>SUM(P6:P38)</f>
        <v>27240</v>
      </c>
      <c r="Q39" s="91">
        <f>SUM(Q6:Q38)</f>
        <v>84500</v>
      </c>
      <c r="R39" s="92">
        <f t="shared" si="5"/>
        <v>7350</v>
      </c>
      <c r="S39" s="93">
        <f t="shared" si="5"/>
        <v>4000</v>
      </c>
      <c r="T39" s="80">
        <f>SUM(T6:T38)</f>
        <v>123090</v>
      </c>
      <c r="U39" s="80">
        <f t="shared" si="5"/>
        <v>95360</v>
      </c>
      <c r="V39" s="80">
        <f t="shared" si="5"/>
        <v>27730</v>
      </c>
      <c r="W39" s="80">
        <f>SUM(W6:W38)</f>
        <v>5680</v>
      </c>
      <c r="X39" s="80">
        <f t="shared" si="5"/>
        <v>0</v>
      </c>
      <c r="Y39" s="69"/>
    </row>
    <row r="40" spans="1:26" ht="15.75" x14ac:dyDescent="0.25">
      <c r="K40">
        <f>9450-3750</f>
        <v>5700</v>
      </c>
      <c r="M40" s="94" t="s">
        <v>12</v>
      </c>
      <c r="N40" s="94"/>
      <c r="O40" s="94"/>
      <c r="P40" s="95"/>
      <c r="Q40" s="96"/>
      <c r="R40" s="94" t="s">
        <v>8</v>
      </c>
      <c r="S40" s="94"/>
      <c r="T40" s="94"/>
      <c r="U40" s="70"/>
      <c r="V40" s="70"/>
      <c r="W40" s="70"/>
      <c r="X40" s="71"/>
      <c r="Y40" s="69"/>
      <c r="Z40">
        <f>AA37</f>
        <v>0</v>
      </c>
    </row>
    <row r="41" spans="1:26" ht="15.75" x14ac:dyDescent="0.25"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  <c r="Y41" s="69"/>
    </row>
    <row r="42" spans="1:26" ht="15.75" x14ac:dyDescent="0.25">
      <c r="M42" s="76" t="s">
        <v>103</v>
      </c>
      <c r="N42" s="98">
        <f>Q39</f>
        <v>84500</v>
      </c>
      <c r="O42" s="76"/>
      <c r="P42" s="76"/>
      <c r="Q42" s="76"/>
      <c r="R42" s="76" t="s">
        <v>103</v>
      </c>
      <c r="S42" s="76"/>
      <c r="T42" s="99">
        <f>U39</f>
        <v>95360</v>
      </c>
      <c r="U42" s="76"/>
      <c r="V42" s="76"/>
      <c r="W42" s="76"/>
      <c r="X42" s="100"/>
      <c r="Y42" s="69"/>
    </row>
    <row r="43" spans="1:26" ht="15.75" x14ac:dyDescent="0.25">
      <c r="M43" s="76" t="s">
        <v>5</v>
      </c>
      <c r="N43" s="98">
        <f>'JANUARY 21'!P56</f>
        <v>3844</v>
      </c>
      <c r="O43" s="76"/>
      <c r="P43" s="76"/>
      <c r="Q43" s="76"/>
      <c r="R43" s="76" t="s">
        <v>5</v>
      </c>
      <c r="S43" s="76"/>
      <c r="T43" s="98">
        <f>'JANUARY 21'!V56</f>
        <v>-986</v>
      </c>
      <c r="U43" s="76"/>
      <c r="V43" s="76"/>
      <c r="W43" s="76"/>
      <c r="X43" s="100"/>
      <c r="Y43" s="69"/>
    </row>
    <row r="44" spans="1:26" ht="15.75" x14ac:dyDescent="0.25">
      <c r="M44" s="76" t="s">
        <v>4</v>
      </c>
      <c r="N44" s="98">
        <f>O39</f>
        <v>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  <c r="Y44" s="69"/>
    </row>
    <row r="45" spans="1:26" ht="15.75" x14ac:dyDescent="0.25">
      <c r="M45" s="76" t="s">
        <v>41</v>
      </c>
      <c r="N45" s="98">
        <f>R39</f>
        <v>7350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  <c r="Y45" s="69"/>
    </row>
    <row r="46" spans="1:26" ht="15.75" x14ac:dyDescent="0.25">
      <c r="M46" s="76" t="s">
        <v>53</v>
      </c>
      <c r="N46" s="98">
        <f>W39</f>
        <v>5680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  <c r="Y46" s="69"/>
    </row>
    <row r="47" spans="1:26" ht="15.75" x14ac:dyDescent="0.25">
      <c r="M47" s="76" t="s">
        <v>42</v>
      </c>
      <c r="N47" s="98">
        <f>S39</f>
        <v>4000</v>
      </c>
      <c r="O47" s="76"/>
      <c r="P47" s="76"/>
      <c r="Q47" s="76"/>
      <c r="R47" s="76" t="s">
        <v>54</v>
      </c>
      <c r="S47" s="76"/>
      <c r="T47" s="76"/>
      <c r="U47" s="76"/>
      <c r="V47" s="76"/>
      <c r="W47" s="76"/>
      <c r="X47" s="100"/>
      <c r="Y47" s="69"/>
    </row>
    <row r="48" spans="1:26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  <c r="Y48" s="69"/>
    </row>
    <row r="49" spans="13:25" ht="15.75" x14ac:dyDescent="0.25">
      <c r="M49" s="76" t="s">
        <v>54</v>
      </c>
      <c r="N49" s="99">
        <f>X39</f>
        <v>0</v>
      </c>
      <c r="O49" s="98"/>
      <c r="P49" s="76"/>
      <c r="Q49" s="76"/>
      <c r="R49" s="76"/>
      <c r="S49" s="76"/>
      <c r="T49" s="76"/>
      <c r="U49" s="98"/>
      <c r="V49" s="98"/>
      <c r="W49" s="98"/>
      <c r="X49" s="101"/>
      <c r="Y49" s="69"/>
    </row>
    <row r="50" spans="13:25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  <c r="Y50" s="69"/>
    </row>
    <row r="51" spans="13:25" ht="15.75" x14ac:dyDescent="0.25">
      <c r="M51" s="102" t="s">
        <v>55</v>
      </c>
      <c r="N51" s="103">
        <v>7.0000000000000007E-2</v>
      </c>
      <c r="O51" s="99">
        <f>N51*70500</f>
        <v>4935.0000000000009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T51*Q39</f>
        <v>5915.0000000000009</v>
      </c>
      <c r="V51" s="76"/>
      <c r="W51" s="76"/>
      <c r="X51" s="100"/>
      <c r="Y51" s="69"/>
    </row>
    <row r="52" spans="13:25" ht="15.75" x14ac:dyDescent="0.25">
      <c r="M52" s="104" t="s">
        <v>105</v>
      </c>
      <c r="N52" s="105"/>
      <c r="O52" s="69">
        <v>5055</v>
      </c>
      <c r="P52" s="99"/>
      <c r="Q52" s="99"/>
      <c r="R52" s="104" t="s">
        <v>105</v>
      </c>
      <c r="S52" s="105"/>
      <c r="T52" s="69"/>
      <c r="U52" s="69">
        <v>5055</v>
      </c>
      <c r="V52" s="69"/>
      <c r="W52" s="99"/>
      <c r="X52" s="106"/>
      <c r="Y52" s="87"/>
    </row>
    <row r="53" spans="13:25" ht="15.75" x14ac:dyDescent="0.25">
      <c r="M53" s="104" t="s">
        <v>106</v>
      </c>
      <c r="N53" s="103"/>
      <c r="O53" s="99">
        <v>30105</v>
      </c>
      <c r="P53" s="76"/>
      <c r="Q53" s="76"/>
      <c r="R53" s="104" t="s">
        <v>106</v>
      </c>
      <c r="S53" s="103"/>
      <c r="T53" s="99"/>
      <c r="U53" s="99">
        <v>30105</v>
      </c>
      <c r="V53" s="76"/>
      <c r="W53" s="76"/>
      <c r="X53" s="100"/>
      <c r="Y53" s="69"/>
    </row>
    <row r="54" spans="13:25" ht="15.75" x14ac:dyDescent="0.25">
      <c r="M54" s="76" t="s">
        <v>109</v>
      </c>
      <c r="N54" s="76"/>
      <c r="O54" s="107">
        <v>64290</v>
      </c>
      <c r="P54" s="76"/>
      <c r="Q54" s="76"/>
      <c r="R54" s="76" t="s">
        <v>109</v>
      </c>
      <c r="S54" s="76"/>
      <c r="T54" s="107"/>
      <c r="U54" s="107">
        <v>64290</v>
      </c>
      <c r="V54" s="76"/>
      <c r="W54" s="76"/>
      <c r="X54" s="100"/>
      <c r="Y54" s="87"/>
    </row>
    <row r="55" spans="13:25" ht="15.75" x14ac:dyDescent="0.25">
      <c r="M55" s="108" t="s">
        <v>113</v>
      </c>
      <c r="N55" s="76"/>
      <c r="O55" s="99">
        <f>3050+550</f>
        <v>3600</v>
      </c>
      <c r="P55" s="76"/>
      <c r="Q55" s="76"/>
      <c r="R55" s="76"/>
      <c r="S55" s="99"/>
      <c r="T55" s="102"/>
      <c r="U55" s="99"/>
      <c r="V55" s="99"/>
      <c r="W55" s="99"/>
      <c r="X55" s="106"/>
      <c r="Y55" s="87"/>
    </row>
    <row r="56" spans="13:25" ht="15.75" x14ac:dyDescent="0.25">
      <c r="M56" s="90" t="s">
        <v>20</v>
      </c>
      <c r="N56" s="109">
        <f>N42+N43+N44+N45+N46+N47+N49+N48</f>
        <v>105374</v>
      </c>
      <c r="O56" s="109">
        <f>SUM(O51:O55)</f>
        <v>107985</v>
      </c>
      <c r="P56" s="109">
        <f>N56-O56</f>
        <v>-2611</v>
      </c>
      <c r="Q56" s="109"/>
      <c r="R56" s="90"/>
      <c r="S56" s="90"/>
      <c r="T56" s="109">
        <f>T42+T43+T45+T47+T48</f>
        <v>94374</v>
      </c>
      <c r="U56" s="109">
        <f>SUM(U51:U55)</f>
        <v>105365</v>
      </c>
      <c r="V56" s="109">
        <f>T56-U56</f>
        <v>-10991</v>
      </c>
      <c r="W56" s="109"/>
      <c r="X56" s="110"/>
      <c r="Y56" s="69"/>
    </row>
    <row r="57" spans="13:25" ht="15.75" x14ac:dyDescent="0.25">
      <c r="M57" s="70"/>
      <c r="N57" s="70"/>
      <c r="O57" s="70"/>
      <c r="P57" s="70"/>
      <c r="Q57" s="70"/>
      <c r="R57" s="70"/>
      <c r="S57" s="70"/>
      <c r="T57" s="70"/>
      <c r="U57" s="111">
        <f>U56-U51</f>
        <v>99450</v>
      </c>
      <c r="V57" s="70"/>
      <c r="W57" s="70"/>
      <c r="X57" s="71"/>
      <c r="Y57" s="69"/>
    </row>
    <row r="58" spans="13:25" ht="15.75" x14ac:dyDescent="0.25">
      <c r="M58" s="112" t="s">
        <v>56</v>
      </c>
      <c r="N58" s="113"/>
      <c r="O58" s="113" t="s">
        <v>22</v>
      </c>
      <c r="P58" s="114"/>
      <c r="Q58" s="114"/>
      <c r="R58" s="112"/>
      <c r="S58" s="112"/>
      <c r="T58" s="112" t="s">
        <v>57</v>
      </c>
      <c r="U58" s="70"/>
      <c r="V58" s="70"/>
      <c r="W58" s="70"/>
      <c r="X58" s="71"/>
      <c r="Y58" s="69"/>
    </row>
    <row r="59" spans="13:25" ht="15.75" x14ac:dyDescent="0.25">
      <c r="M59" s="70" t="s">
        <v>24</v>
      </c>
      <c r="N59" s="70"/>
      <c r="O59" s="70" t="s">
        <v>25</v>
      </c>
      <c r="P59" s="70"/>
      <c r="Q59" s="70"/>
      <c r="R59" s="70"/>
      <c r="S59" s="70"/>
      <c r="T59" s="70" t="s">
        <v>34</v>
      </c>
      <c r="U59" s="70"/>
      <c r="V59" s="70"/>
      <c r="W59" s="111"/>
      <c r="X59" s="71"/>
      <c r="Y59" s="69"/>
    </row>
    <row r="60" spans="13:25" ht="15.75" x14ac:dyDescent="0.25"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 spans="13:25" ht="15.75" x14ac:dyDescent="0.25">
      <c r="M61" s="69"/>
      <c r="N61" s="69"/>
      <c r="O61" s="69"/>
      <c r="P61" s="69"/>
      <c r="Q61" s="69"/>
      <c r="R61" s="115"/>
      <c r="S61" s="69"/>
      <c r="T61" s="69"/>
      <c r="U61" s="69"/>
      <c r="V61" s="69"/>
      <c r="W61" s="115">
        <f>P56-V56</f>
        <v>8380</v>
      </c>
      <c r="X61" s="69"/>
      <c r="Y61" s="69"/>
    </row>
  </sheetData>
  <pageMargins left="0" right="0" top="0" bottom="0" header="0.3" footer="0"/>
  <pageSetup paperSize="28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opLeftCell="G7" workbookViewId="0">
      <selection activeCell="N44" sqref="N44"/>
    </sheetView>
  </sheetViews>
  <sheetFormatPr defaultRowHeight="15" x14ac:dyDescent="0.25"/>
  <cols>
    <col min="3" max="3" width="10.28515625" customWidth="1"/>
    <col min="13" max="13" width="21.42578125" customWidth="1"/>
    <col min="14" max="14" width="8.85546875" customWidth="1"/>
    <col min="20" max="20" width="9.85546875" customWidth="1"/>
    <col min="21" max="21" width="11.28515625" customWidth="1"/>
    <col min="22" max="22" width="10.28515625" customWidth="1"/>
    <col min="23" max="23" width="16" customWidth="1"/>
    <col min="24" max="24" width="16.85546875" customWidth="1"/>
  </cols>
  <sheetData>
    <row r="1" spans="1:25" ht="15.75" x14ac:dyDescent="0.25">
      <c r="A1" s="1"/>
      <c r="B1" s="1"/>
      <c r="C1" s="1"/>
      <c r="D1" s="1" t="s">
        <v>29</v>
      </c>
      <c r="E1" s="1"/>
      <c r="F1" s="1"/>
      <c r="G1" s="1"/>
      <c r="H1" s="1"/>
      <c r="I1" s="1"/>
      <c r="J1" s="1"/>
      <c r="M1" s="69"/>
      <c r="N1" s="69"/>
      <c r="O1" s="71"/>
      <c r="P1" s="71"/>
      <c r="Q1" s="71"/>
      <c r="R1" s="71"/>
      <c r="S1" s="71"/>
      <c r="T1" s="69"/>
      <c r="U1" s="71"/>
      <c r="V1" s="71"/>
      <c r="W1" s="71"/>
      <c r="X1" s="71"/>
      <c r="Y1" s="69"/>
    </row>
    <row r="2" spans="1:25" ht="15.75" x14ac:dyDescent="0.25">
      <c r="A2" s="1"/>
      <c r="B2" s="1"/>
      <c r="C2" s="1"/>
      <c r="D2" s="1" t="s">
        <v>0</v>
      </c>
      <c r="E2" s="1"/>
      <c r="F2" s="1"/>
      <c r="G2" s="1"/>
      <c r="H2" s="1"/>
      <c r="I2" s="1"/>
      <c r="J2" s="1"/>
      <c r="M2" s="69"/>
      <c r="N2" s="69"/>
      <c r="O2" s="27"/>
      <c r="P2" s="69"/>
      <c r="Q2" s="27" t="s">
        <v>58</v>
      </c>
      <c r="R2" s="70"/>
      <c r="S2" s="27"/>
      <c r="T2" s="28"/>
      <c r="U2" s="70"/>
      <c r="V2" s="70"/>
      <c r="W2" s="70"/>
      <c r="X2" s="70"/>
      <c r="Y2" s="69"/>
    </row>
    <row r="3" spans="1:25" ht="15.75" x14ac:dyDescent="0.25">
      <c r="A3" s="1"/>
      <c r="B3" s="1"/>
      <c r="C3" s="1"/>
      <c r="D3" s="1" t="s">
        <v>111</v>
      </c>
      <c r="E3" s="1"/>
      <c r="F3" s="1"/>
      <c r="G3" s="1"/>
      <c r="H3" s="1"/>
      <c r="I3" s="1"/>
      <c r="J3" s="1"/>
      <c r="M3" s="70"/>
      <c r="N3" s="27"/>
      <c r="O3" s="27"/>
      <c r="P3" s="27"/>
      <c r="Q3" s="27" t="s">
        <v>0</v>
      </c>
      <c r="R3" s="27"/>
      <c r="S3" s="71"/>
      <c r="T3" s="29"/>
      <c r="U3" s="70"/>
      <c r="V3" s="70"/>
      <c r="W3" s="70"/>
      <c r="X3" s="70"/>
      <c r="Y3" s="69"/>
    </row>
    <row r="4" spans="1:25" ht="15.7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41</v>
      </c>
      <c r="F4" s="2" t="s">
        <v>42</v>
      </c>
      <c r="G4" s="2" t="s">
        <v>6</v>
      </c>
      <c r="H4" s="2" t="s">
        <v>7</v>
      </c>
      <c r="I4" s="2" t="s">
        <v>8</v>
      </c>
      <c r="J4" s="2" t="s">
        <v>9</v>
      </c>
      <c r="M4" s="27"/>
      <c r="N4" s="70"/>
      <c r="O4" s="69"/>
      <c r="P4" s="27" t="s">
        <v>111</v>
      </c>
      <c r="Q4" s="27"/>
      <c r="R4" s="69"/>
      <c r="S4" s="27"/>
      <c r="T4" s="31"/>
      <c r="U4" s="31"/>
      <c r="V4" s="31"/>
      <c r="W4" s="31"/>
      <c r="X4" s="31"/>
      <c r="Y4" s="69"/>
    </row>
    <row r="5" spans="1:25" ht="15.75" x14ac:dyDescent="0.25">
      <c r="A5" s="3">
        <v>1</v>
      </c>
      <c r="B5" s="3" t="s">
        <v>26</v>
      </c>
      <c r="C5" s="3"/>
      <c r="D5" s="3">
        <f>'FEBRUARY 21'!J5:J10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123</v>
      </c>
      <c r="Y5" s="69"/>
    </row>
    <row r="6" spans="1:25" ht="15.75" x14ac:dyDescent="0.25">
      <c r="A6" s="3">
        <v>2</v>
      </c>
      <c r="B6" s="3" t="s">
        <v>26</v>
      </c>
      <c r="C6" s="3"/>
      <c r="D6" s="3">
        <f>'FEBRUARY 21'!J6:J11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>
        <f>'FEBRUARY 21'!V6:V41</f>
        <v>0</v>
      </c>
      <c r="Q6" s="80"/>
      <c r="R6" s="81"/>
      <c r="S6" s="80"/>
      <c r="T6" s="80">
        <f>P6+Q6+R6+S6+O6</f>
        <v>0</v>
      </c>
      <c r="U6" s="80"/>
      <c r="V6" s="80">
        <f>T6-U6</f>
        <v>0</v>
      </c>
      <c r="W6" s="80"/>
      <c r="X6" s="80"/>
      <c r="Y6" s="69"/>
    </row>
    <row r="7" spans="1:25" ht="15.75" x14ac:dyDescent="0.25">
      <c r="A7" s="3">
        <v>3</v>
      </c>
      <c r="B7" s="3" t="s">
        <v>31</v>
      </c>
      <c r="C7" s="3"/>
      <c r="D7" s="3">
        <f>'FEBRUARY 21'!J7:J12</f>
        <v>11250</v>
      </c>
      <c r="E7" s="3">
        <v>600</v>
      </c>
      <c r="F7" s="3">
        <v>200</v>
      </c>
      <c r="G7" s="3">
        <v>8000</v>
      </c>
      <c r="H7" s="3">
        <f t="shared" si="0"/>
        <v>20050</v>
      </c>
      <c r="I7" s="3">
        <f>5000+4000</f>
        <v>9000</v>
      </c>
      <c r="J7" s="3">
        <f t="shared" si="1"/>
        <v>11050</v>
      </c>
      <c r="M7" s="82" t="s">
        <v>115</v>
      </c>
      <c r="N7" s="77">
        <v>2</v>
      </c>
      <c r="O7" s="78">
        <v>2500</v>
      </c>
      <c r="P7" s="79">
        <f>'FEBRUARY 21'!V7:V42</f>
        <v>0</v>
      </c>
      <c r="Q7" s="83">
        <v>2500</v>
      </c>
      <c r="R7" s="81"/>
      <c r="S7" s="83">
        <v>200</v>
      </c>
      <c r="T7" s="80">
        <f t="shared" ref="T7:T37" si="2">P7+Q7+R7+S7+O7</f>
        <v>5200</v>
      </c>
      <c r="U7" s="80">
        <f>2500+2700</f>
        <v>5200</v>
      </c>
      <c r="V7" s="80">
        <f>T7-U7</f>
        <v>0</v>
      </c>
      <c r="W7" s="80"/>
      <c r="X7" s="80"/>
      <c r="Y7" s="69"/>
    </row>
    <row r="8" spans="1:25" ht="15.75" x14ac:dyDescent="0.25">
      <c r="A8" s="3">
        <v>4</v>
      </c>
      <c r="B8" s="3" t="s">
        <v>40</v>
      </c>
      <c r="C8" s="3"/>
      <c r="D8" s="3">
        <f>'FEBRUARY 21'!J8:J13</f>
        <v>0</v>
      </c>
      <c r="E8" s="3"/>
      <c r="F8" s="3"/>
      <c r="G8" s="3"/>
      <c r="H8" s="3">
        <f t="shared" si="0"/>
        <v>0</v>
      </c>
      <c r="I8" s="3"/>
      <c r="J8" s="3">
        <f t="shared" si="1"/>
        <v>0</v>
      </c>
      <c r="M8" s="82" t="s">
        <v>60</v>
      </c>
      <c r="N8" s="77">
        <v>3</v>
      </c>
      <c r="O8" s="78"/>
      <c r="P8" s="79">
        <f>'FEBRUARY 21'!V8:V43</f>
        <v>1070</v>
      </c>
      <c r="Q8" s="83">
        <v>2500</v>
      </c>
      <c r="R8" s="81">
        <v>350</v>
      </c>
      <c r="S8" s="83">
        <v>200</v>
      </c>
      <c r="T8" s="80">
        <f t="shared" si="2"/>
        <v>4120</v>
      </c>
      <c r="U8" s="80">
        <f>830+1500</f>
        <v>2330</v>
      </c>
      <c r="V8" s="80">
        <f>T8-U8</f>
        <v>1790</v>
      </c>
      <c r="W8" s="80"/>
      <c r="X8" s="80"/>
      <c r="Y8" s="69"/>
    </row>
    <row r="9" spans="1:25" ht="15.75" x14ac:dyDescent="0.25">
      <c r="A9" s="3">
        <v>5</v>
      </c>
      <c r="B9" s="3" t="s">
        <v>95</v>
      </c>
      <c r="C9" s="3"/>
      <c r="D9" s="3">
        <f>'FEBRUARY 21'!J9:J14</f>
        <v>700</v>
      </c>
      <c r="E9" s="3">
        <v>150</v>
      </c>
      <c r="F9" s="3">
        <v>200</v>
      </c>
      <c r="G9" s="3">
        <v>8000</v>
      </c>
      <c r="H9" s="3">
        <f t="shared" si="0"/>
        <v>9050</v>
      </c>
      <c r="I9" s="3">
        <f>8000+650</f>
        <v>8650</v>
      </c>
      <c r="J9" s="3">
        <f t="shared" si="1"/>
        <v>400</v>
      </c>
      <c r="M9" s="76" t="s">
        <v>61</v>
      </c>
      <c r="N9" s="77">
        <v>4</v>
      </c>
      <c r="O9" s="78"/>
      <c r="P9" s="79">
        <f>'FEBRUARY 21'!V9:V44</f>
        <v>350</v>
      </c>
      <c r="Q9" s="83">
        <v>2500</v>
      </c>
      <c r="R9" s="81">
        <v>350</v>
      </c>
      <c r="S9" s="83">
        <v>200</v>
      </c>
      <c r="T9" s="80">
        <f t="shared" si="2"/>
        <v>3400</v>
      </c>
      <c r="U9" s="80">
        <v>3050</v>
      </c>
      <c r="V9" s="80">
        <f>T9-U9</f>
        <v>350</v>
      </c>
      <c r="W9" s="80"/>
      <c r="X9" s="80"/>
      <c r="Y9" s="69"/>
    </row>
    <row r="10" spans="1:25" ht="15.75" x14ac:dyDescent="0.25">
      <c r="A10" s="3">
        <v>6</v>
      </c>
      <c r="B10" s="4" t="s">
        <v>28</v>
      </c>
      <c r="C10" s="4"/>
      <c r="D10" s="3">
        <f>'FEBRUARY 21'!J10:J15</f>
        <v>5150</v>
      </c>
      <c r="E10" s="3">
        <v>450</v>
      </c>
      <c r="F10" s="3">
        <v>200</v>
      </c>
      <c r="G10" s="3">
        <v>8000</v>
      </c>
      <c r="H10" s="3">
        <f t="shared" si="0"/>
        <v>13800</v>
      </c>
      <c r="I10" s="3">
        <f>650+9000</f>
        <v>9650</v>
      </c>
      <c r="J10" s="3">
        <f t="shared" si="1"/>
        <v>4150</v>
      </c>
      <c r="M10" s="82"/>
      <c r="N10" s="77">
        <v>5</v>
      </c>
      <c r="O10" s="78"/>
      <c r="P10" s="79">
        <f>'FEBRUARY 21'!V10:V45</f>
        <v>0</v>
      </c>
      <c r="Q10" s="83"/>
      <c r="R10" s="81"/>
      <c r="S10" s="83"/>
      <c r="T10" s="80">
        <f t="shared" si="2"/>
        <v>0</v>
      </c>
      <c r="U10" s="80"/>
      <c r="V10" s="80">
        <f>T10-U10</f>
        <v>0</v>
      </c>
      <c r="W10" s="80"/>
      <c r="X10" s="80"/>
      <c r="Y10" s="69"/>
    </row>
    <row r="11" spans="1:25" ht="15.75" x14ac:dyDescent="0.25">
      <c r="A11" s="3"/>
      <c r="B11" s="2" t="s">
        <v>10</v>
      </c>
      <c r="C11" s="2">
        <f t="shared" ref="C11:J11" si="3">SUM(C5:C10)</f>
        <v>0</v>
      </c>
      <c r="D11" s="3">
        <f t="shared" si="3"/>
        <v>17100</v>
      </c>
      <c r="E11" s="3">
        <f t="shared" si="3"/>
        <v>1200</v>
      </c>
      <c r="F11" s="3">
        <f t="shared" si="3"/>
        <v>600</v>
      </c>
      <c r="G11" s="2">
        <f t="shared" si="3"/>
        <v>24000</v>
      </c>
      <c r="H11" s="3">
        <f t="shared" si="3"/>
        <v>42900</v>
      </c>
      <c r="I11" s="2">
        <f t="shared" si="3"/>
        <v>27300</v>
      </c>
      <c r="J11" s="2">
        <f t="shared" si="3"/>
        <v>15600</v>
      </c>
      <c r="M11" s="85" t="s">
        <v>63</v>
      </c>
      <c r="N11" s="77">
        <v>6</v>
      </c>
      <c r="O11" s="78"/>
      <c r="P11" s="79">
        <f>'FEBRUARY 21'!V11:V46</f>
        <v>900</v>
      </c>
      <c r="Q11" s="83">
        <v>2500</v>
      </c>
      <c r="R11" s="81">
        <v>350</v>
      </c>
      <c r="S11" s="83">
        <v>200</v>
      </c>
      <c r="T11" s="80">
        <f t="shared" si="2"/>
        <v>3950</v>
      </c>
      <c r="U11" s="80">
        <f>2700+1250</f>
        <v>3950</v>
      </c>
      <c r="V11" s="80">
        <f t="shared" ref="V11:V38" si="4">T11-U11</f>
        <v>0</v>
      </c>
      <c r="W11" s="80">
        <v>520</v>
      </c>
      <c r="X11" s="80"/>
      <c r="Y11" s="69"/>
    </row>
    <row r="12" spans="1:25" ht="15.75" x14ac:dyDescent="0.25">
      <c r="A12" s="5"/>
      <c r="B12" s="6"/>
      <c r="C12" s="6"/>
      <c r="D12" s="3"/>
      <c r="E12" s="5"/>
      <c r="F12" s="5"/>
      <c r="G12" s="6" t="s">
        <v>10</v>
      </c>
      <c r="H12" s="6"/>
      <c r="I12" s="6"/>
      <c r="J12" s="7"/>
      <c r="M12" s="76" t="s">
        <v>121</v>
      </c>
      <c r="N12" s="77">
        <v>7</v>
      </c>
      <c r="O12" s="78">
        <v>2700</v>
      </c>
      <c r="P12" s="79"/>
      <c r="Q12" s="83">
        <v>2700</v>
      </c>
      <c r="R12" s="81"/>
      <c r="S12" s="83"/>
      <c r="T12" s="80">
        <f>P12+Q12+R12+S12+O12</f>
        <v>5400</v>
      </c>
      <c r="U12" s="80">
        <f>2700+2700</f>
        <v>5400</v>
      </c>
      <c r="V12" s="80">
        <f t="shared" si="4"/>
        <v>0</v>
      </c>
      <c r="W12" s="80"/>
      <c r="X12" s="80"/>
      <c r="Y12" s="69"/>
    </row>
    <row r="13" spans="1:25" ht="15.75" x14ac:dyDescent="0.25">
      <c r="A13" s="8" t="s">
        <v>11</v>
      </c>
      <c r="B13" s="8"/>
      <c r="C13" s="9"/>
      <c r="D13" s="9"/>
      <c r="G13" s="10"/>
      <c r="H13" s="13"/>
      <c r="I13" s="12"/>
      <c r="J13" s="8"/>
      <c r="M13" s="86" t="s">
        <v>124</v>
      </c>
      <c r="N13" s="77">
        <v>8</v>
      </c>
      <c r="O13" s="78"/>
      <c r="P13" s="79">
        <f>'FEBRUARY 21'!V13:V48</f>
        <v>0</v>
      </c>
      <c r="Q13" s="83">
        <v>2500</v>
      </c>
      <c r="R13" s="81">
        <v>350</v>
      </c>
      <c r="S13" s="83">
        <v>200</v>
      </c>
      <c r="T13" s="80">
        <f t="shared" si="2"/>
        <v>3050</v>
      </c>
      <c r="U13" s="80">
        <f>2000</f>
        <v>2000</v>
      </c>
      <c r="V13" s="80">
        <f t="shared" si="4"/>
        <v>1050</v>
      </c>
      <c r="W13" s="80"/>
      <c r="X13" s="80"/>
      <c r="Y13" s="69"/>
    </row>
    <row r="14" spans="1:25" ht="15.75" x14ac:dyDescent="0.25">
      <c r="A14" s="14" t="s">
        <v>12</v>
      </c>
      <c r="B14" s="14"/>
      <c r="C14" s="14"/>
      <c r="D14" s="14"/>
      <c r="F14" s="14" t="s">
        <v>8</v>
      </c>
      <c r="I14" s="8"/>
      <c r="J14" s="8"/>
      <c r="M14" s="76" t="s">
        <v>122</v>
      </c>
      <c r="N14" s="77">
        <v>9</v>
      </c>
      <c r="O14" s="78">
        <v>2500</v>
      </c>
      <c r="P14" s="79">
        <f>'FEBRUARY 21'!V14:V49</f>
        <v>0</v>
      </c>
      <c r="Q14" s="83">
        <v>2500</v>
      </c>
      <c r="R14" s="81"/>
      <c r="S14" s="83">
        <v>200</v>
      </c>
      <c r="T14" s="80">
        <f>P14+Q14+R14+S14+O14</f>
        <v>5200</v>
      </c>
      <c r="U14" s="80">
        <v>5200</v>
      </c>
      <c r="V14" s="80">
        <f>T14-U14</f>
        <v>0</v>
      </c>
      <c r="W14" s="80"/>
      <c r="X14" s="80">
        <v>1500</v>
      </c>
      <c r="Y14" s="69"/>
    </row>
    <row r="15" spans="1:25" ht="15.75" x14ac:dyDescent="0.25">
      <c r="A15" s="16" t="s">
        <v>13</v>
      </c>
      <c r="B15" s="16"/>
      <c r="C15" s="16" t="s">
        <v>14</v>
      </c>
      <c r="D15" s="16"/>
      <c r="E15" s="16" t="s">
        <v>15</v>
      </c>
      <c r="F15" s="16" t="s">
        <v>16</v>
      </c>
      <c r="G15" s="16" t="s">
        <v>13</v>
      </c>
      <c r="H15" s="16" t="s">
        <v>14</v>
      </c>
      <c r="I15" s="16" t="s">
        <v>15</v>
      </c>
      <c r="J15" s="16" t="s">
        <v>16</v>
      </c>
      <c r="M15" s="82" t="s">
        <v>99</v>
      </c>
      <c r="N15" s="77">
        <v>10</v>
      </c>
      <c r="O15" s="78"/>
      <c r="P15" s="79">
        <f>'FEBRUARY 21'!V15:V50</f>
        <v>5564</v>
      </c>
      <c r="Q15" s="83">
        <v>2500</v>
      </c>
      <c r="R15" s="81">
        <v>350</v>
      </c>
      <c r="S15" s="83">
        <v>200</v>
      </c>
      <c r="T15" s="80">
        <f t="shared" si="2"/>
        <v>8614</v>
      </c>
      <c r="U15" s="80">
        <f>2000+1000+1000</f>
        <v>4000</v>
      </c>
      <c r="V15" s="80">
        <f>T15-U15</f>
        <v>4614</v>
      </c>
      <c r="W15" s="80"/>
      <c r="X15" s="80"/>
      <c r="Y15" s="69"/>
    </row>
    <row r="16" spans="1:25" ht="15.75" x14ac:dyDescent="0.25">
      <c r="A16" s="17" t="s">
        <v>112</v>
      </c>
      <c r="B16" s="17"/>
      <c r="C16" s="18">
        <f>G11</f>
        <v>24000</v>
      </c>
      <c r="D16" s="18"/>
      <c r="E16" s="17"/>
      <c r="F16" s="17"/>
      <c r="G16" s="17" t="s">
        <v>112</v>
      </c>
      <c r="H16" s="18">
        <f>I11</f>
        <v>27300</v>
      </c>
      <c r="I16" s="17"/>
      <c r="J16" s="17"/>
      <c r="M16" s="76" t="s">
        <v>68</v>
      </c>
      <c r="N16" s="77">
        <v>11</v>
      </c>
      <c r="O16" s="78"/>
      <c r="P16" s="79">
        <f>'FEBRUARY 21'!V16:V51</f>
        <v>0</v>
      </c>
      <c r="Q16" s="83">
        <v>4500</v>
      </c>
      <c r="R16" s="81">
        <v>350</v>
      </c>
      <c r="S16" s="83">
        <v>200</v>
      </c>
      <c r="T16" s="80">
        <f t="shared" si="2"/>
        <v>5050</v>
      </c>
      <c r="U16" s="80">
        <v>5050</v>
      </c>
      <c r="V16" s="80">
        <f>T16-U16</f>
        <v>0</v>
      </c>
      <c r="W16" s="80"/>
      <c r="X16" s="80"/>
      <c r="Y16" s="69"/>
    </row>
    <row r="17" spans="1:26" ht="15.75" x14ac:dyDescent="0.25">
      <c r="A17" s="17" t="s">
        <v>5</v>
      </c>
      <c r="B17" s="17"/>
      <c r="C17" s="18">
        <f>'FEBRUARY 21'!F29</f>
        <v>14120</v>
      </c>
      <c r="D17" s="18"/>
      <c r="E17" s="17"/>
      <c r="F17" s="17"/>
      <c r="G17" s="17" t="s">
        <v>5</v>
      </c>
      <c r="H17" s="18">
        <f>'FEBRUARY 21'!J29</f>
        <v>2170</v>
      </c>
      <c r="I17" s="17"/>
      <c r="J17" s="17"/>
      <c r="M17" s="82" t="s">
        <v>69</v>
      </c>
      <c r="N17" s="77">
        <v>12</v>
      </c>
      <c r="O17" s="78"/>
      <c r="P17" s="79">
        <f>'FEBRUARY 21'!V17:V52</f>
        <v>110</v>
      </c>
      <c r="Q17" s="83">
        <v>2500</v>
      </c>
      <c r="R17" s="81">
        <v>350</v>
      </c>
      <c r="S17" s="83">
        <v>200</v>
      </c>
      <c r="T17" s="80">
        <f t="shared" si="2"/>
        <v>3160</v>
      </c>
      <c r="U17" s="80">
        <v>3050</v>
      </c>
      <c r="V17" s="80">
        <f t="shared" si="4"/>
        <v>110</v>
      </c>
      <c r="W17" s="80"/>
      <c r="X17" s="80"/>
      <c r="Y17" s="69"/>
    </row>
    <row r="18" spans="1:26" ht="15.75" x14ac:dyDescent="0.25">
      <c r="A18" s="25" t="s">
        <v>4</v>
      </c>
      <c r="B18" s="3"/>
      <c r="C18" s="3">
        <v>1000</v>
      </c>
      <c r="D18" s="3"/>
      <c r="E18" s="3"/>
      <c r="F18" s="3"/>
      <c r="G18" s="3"/>
      <c r="I18" s="17"/>
      <c r="J18" s="17"/>
      <c r="M18" s="76" t="s">
        <v>131</v>
      </c>
      <c r="N18" s="77">
        <v>13</v>
      </c>
      <c r="O18" s="78">
        <v>2500</v>
      </c>
      <c r="P18" s="79">
        <f>'FEBRUARY 21'!V18:V53</f>
        <v>0</v>
      </c>
      <c r="Q18" s="83">
        <v>2500</v>
      </c>
      <c r="R18" s="81"/>
      <c r="S18" s="83">
        <v>200</v>
      </c>
      <c r="T18" s="80">
        <f t="shared" si="2"/>
        <v>5200</v>
      </c>
      <c r="U18" s="80">
        <v>4050</v>
      </c>
      <c r="V18" s="80">
        <f t="shared" si="4"/>
        <v>1150</v>
      </c>
      <c r="W18" s="80"/>
      <c r="X18" s="80"/>
      <c r="Y18" s="69"/>
    </row>
    <row r="19" spans="1:26" ht="15.75" x14ac:dyDescent="0.25">
      <c r="A19" s="25" t="s">
        <v>41</v>
      </c>
      <c r="B19" s="3"/>
      <c r="C19" s="3">
        <f>E11</f>
        <v>1200</v>
      </c>
      <c r="D19" s="3"/>
      <c r="E19" s="3"/>
      <c r="F19" s="3"/>
      <c r="G19" s="3"/>
      <c r="H19" s="14"/>
      <c r="I19" s="17"/>
      <c r="J19" s="17"/>
      <c r="M19" s="76" t="s">
        <v>71</v>
      </c>
      <c r="N19" s="77">
        <v>14</v>
      </c>
      <c r="O19" s="78"/>
      <c r="P19" s="79">
        <f>'FEBRUARY 21'!V19:V54</f>
        <v>0</v>
      </c>
      <c r="Q19" s="83">
        <f>2700+400</f>
        <v>3100</v>
      </c>
      <c r="R19" s="81">
        <v>350</v>
      </c>
      <c r="S19" s="83">
        <v>200</v>
      </c>
      <c r="T19" s="80">
        <f t="shared" si="2"/>
        <v>3650</v>
      </c>
      <c r="U19" s="80">
        <f>3650</f>
        <v>3650</v>
      </c>
      <c r="V19" s="80">
        <f t="shared" si="4"/>
        <v>0</v>
      </c>
      <c r="W19" s="80"/>
      <c r="X19" s="80"/>
      <c r="Y19" s="87">
        <f>2500/30</f>
        <v>83.333333333333329</v>
      </c>
    </row>
    <row r="20" spans="1:26" ht="15.75" x14ac:dyDescent="0.25">
      <c r="A20" s="25" t="s">
        <v>42</v>
      </c>
      <c r="B20" s="3"/>
      <c r="C20" s="3">
        <f>F11</f>
        <v>600</v>
      </c>
      <c r="D20" s="3"/>
      <c r="E20" s="3"/>
      <c r="F20" s="3"/>
      <c r="G20" s="3"/>
      <c r="H20" s="3"/>
      <c r="I20" s="17"/>
      <c r="J20" s="17"/>
      <c r="M20" s="82" t="s">
        <v>72</v>
      </c>
      <c r="N20" s="77">
        <v>15</v>
      </c>
      <c r="O20" s="78"/>
      <c r="P20" s="79">
        <f>'FEBRUARY 21'!V20:V55</f>
        <v>80</v>
      </c>
      <c r="Q20" s="83">
        <v>4500</v>
      </c>
      <c r="R20" s="81">
        <v>350</v>
      </c>
      <c r="S20" s="83">
        <v>200</v>
      </c>
      <c r="T20" s="80">
        <f t="shared" si="2"/>
        <v>5130</v>
      </c>
      <c r="U20" s="80">
        <f>5050</f>
        <v>5050</v>
      </c>
      <c r="V20" s="80">
        <f t="shared" si="4"/>
        <v>80</v>
      </c>
      <c r="W20" s="80"/>
      <c r="X20" s="80"/>
      <c r="Y20" s="69">
        <f>31-12</f>
        <v>19</v>
      </c>
    </row>
    <row r="21" spans="1:26" ht="15.75" x14ac:dyDescent="0.25">
      <c r="A21" s="17" t="s">
        <v>18</v>
      </c>
      <c r="B21" s="17"/>
      <c r="C21" s="20">
        <v>7.0000000000000007E-2</v>
      </c>
      <c r="D21" s="20"/>
      <c r="E21" s="18">
        <f>C16*C21</f>
        <v>1680.0000000000002</v>
      </c>
      <c r="F21" s="17"/>
      <c r="G21" s="17" t="s">
        <v>18</v>
      </c>
      <c r="H21" s="20">
        <v>7.0000000000000007E-2</v>
      </c>
      <c r="I21" s="18">
        <f>E21</f>
        <v>1680.0000000000002</v>
      </c>
      <c r="J21" s="17"/>
      <c r="M21" s="76" t="s">
        <v>73</v>
      </c>
      <c r="N21" s="77">
        <v>16</v>
      </c>
      <c r="O21" s="78"/>
      <c r="P21" s="79">
        <f>'FEBRUARY 21'!V21:V56</f>
        <v>3650</v>
      </c>
      <c r="Q21" s="83">
        <v>4500</v>
      </c>
      <c r="R21" s="81">
        <v>350</v>
      </c>
      <c r="S21" s="83">
        <v>200</v>
      </c>
      <c r="T21" s="80">
        <f t="shared" si="2"/>
        <v>8700</v>
      </c>
      <c r="U21" s="80">
        <f>4100</f>
        <v>4100</v>
      </c>
      <c r="V21" s="80">
        <f t="shared" si="4"/>
        <v>4600</v>
      </c>
      <c r="W21" s="80"/>
      <c r="X21" s="80"/>
      <c r="Y21" s="69">
        <f>Y19*Y20</f>
        <v>1583.3333333333333</v>
      </c>
    </row>
    <row r="22" spans="1:26" ht="15.75" x14ac:dyDescent="0.25">
      <c r="A22" s="16" t="s">
        <v>19</v>
      </c>
      <c r="C22" s="18"/>
      <c r="D22" s="18"/>
      <c r="E22" s="16"/>
      <c r="F22" s="16"/>
      <c r="G22" s="16" t="s">
        <v>19</v>
      </c>
      <c r="H22" s="21"/>
      <c r="I22" s="16"/>
      <c r="J22" s="16"/>
      <c r="M22" s="76" t="s">
        <v>125</v>
      </c>
      <c r="N22" s="77">
        <v>17</v>
      </c>
      <c r="O22" s="78">
        <v>3000</v>
      </c>
      <c r="P22" s="79"/>
      <c r="Q22" s="83">
        <v>3000</v>
      </c>
      <c r="R22" s="81"/>
      <c r="S22" s="83"/>
      <c r="T22" s="80">
        <f t="shared" si="2"/>
        <v>6000</v>
      </c>
      <c r="U22" s="80">
        <v>6000</v>
      </c>
      <c r="V22" s="80">
        <f t="shared" si="4"/>
        <v>0</v>
      </c>
      <c r="W22" s="80"/>
      <c r="X22" s="80"/>
      <c r="Y22" s="69"/>
      <c r="Z22">
        <f>2500+2500+1500</f>
        <v>6500</v>
      </c>
    </row>
    <row r="23" spans="1:26" ht="15.75" x14ac:dyDescent="0.25">
      <c r="A23" s="22" t="s">
        <v>118</v>
      </c>
      <c r="B23" s="20"/>
      <c r="C23" s="17"/>
      <c r="D23" s="17"/>
      <c r="E23" s="17">
        <v>14097</v>
      </c>
      <c r="F23" s="17"/>
      <c r="G23" s="22" t="s">
        <v>118</v>
      </c>
      <c r="H23" s="20"/>
      <c r="I23" s="17">
        <v>14097</v>
      </c>
      <c r="J23" s="17"/>
      <c r="M23" s="82" t="s">
        <v>114</v>
      </c>
      <c r="N23" s="77">
        <v>18</v>
      </c>
      <c r="O23" s="78"/>
      <c r="P23" s="79">
        <f>'FEBRUARY 21'!V23:V58</f>
        <v>0</v>
      </c>
      <c r="Q23" s="83">
        <v>4500</v>
      </c>
      <c r="R23" s="81">
        <v>350</v>
      </c>
      <c r="S23" s="83">
        <v>200</v>
      </c>
      <c r="T23" s="80">
        <f t="shared" si="2"/>
        <v>5050</v>
      </c>
      <c r="U23" s="80">
        <v>5050</v>
      </c>
      <c r="V23" s="80">
        <f t="shared" si="4"/>
        <v>0</v>
      </c>
      <c r="W23" s="80"/>
      <c r="X23" s="80"/>
      <c r="Y23" s="69">
        <f>1500+2500+1500</f>
        <v>5500</v>
      </c>
    </row>
    <row r="24" spans="1:26" ht="15.75" x14ac:dyDescent="0.25">
      <c r="A24" s="23"/>
      <c r="B24" s="23"/>
      <c r="C24" s="17"/>
      <c r="D24" s="17"/>
      <c r="E24" s="17"/>
      <c r="F24" s="17"/>
      <c r="G24" s="23"/>
      <c r="H24" s="23"/>
      <c r="I24" s="17"/>
      <c r="J24" s="17"/>
      <c r="M24" s="76" t="s">
        <v>76</v>
      </c>
      <c r="N24" s="77">
        <v>19</v>
      </c>
      <c r="O24" s="78"/>
      <c r="P24" s="79">
        <f>'FEBRUARY 21'!V24:V59</f>
        <v>0</v>
      </c>
      <c r="Q24" s="83">
        <v>2500</v>
      </c>
      <c r="R24" s="81">
        <v>350</v>
      </c>
      <c r="S24" s="83">
        <v>200</v>
      </c>
      <c r="T24" s="80">
        <f t="shared" si="2"/>
        <v>3050</v>
      </c>
      <c r="U24" s="80">
        <v>3050</v>
      </c>
      <c r="V24" s="80">
        <f>T24-U24</f>
        <v>0</v>
      </c>
      <c r="W24" s="80"/>
      <c r="X24" s="80"/>
      <c r="Y24" s="69">
        <f>2000+1500+2500</f>
        <v>6000</v>
      </c>
    </row>
    <row r="25" spans="1:26" ht="15.75" x14ac:dyDescent="0.25">
      <c r="A25" s="23" t="s">
        <v>127</v>
      </c>
      <c r="B25" s="23"/>
      <c r="C25" s="17"/>
      <c r="D25" s="17"/>
      <c r="E25" s="17">
        <v>24405</v>
      </c>
      <c r="F25" s="17"/>
      <c r="G25" s="23" t="s">
        <v>127</v>
      </c>
      <c r="H25" s="23"/>
      <c r="I25" s="17">
        <v>24405</v>
      </c>
      <c r="J25" s="17"/>
      <c r="K25" s="17"/>
      <c r="M25" s="76" t="s">
        <v>101</v>
      </c>
      <c r="N25" s="77">
        <v>20</v>
      </c>
      <c r="O25" s="78"/>
      <c r="P25" s="79">
        <f>'FEBRUARY 21'!V25:V60</f>
        <v>0</v>
      </c>
      <c r="Q25" s="83">
        <v>2500</v>
      </c>
      <c r="R25" s="81">
        <v>350</v>
      </c>
      <c r="S25" s="83">
        <v>200</v>
      </c>
      <c r="T25" s="80">
        <f t="shared" si="2"/>
        <v>3050</v>
      </c>
      <c r="U25" s="80">
        <f>2700</f>
        <v>2700</v>
      </c>
      <c r="V25" s="80">
        <f t="shared" si="4"/>
        <v>350</v>
      </c>
      <c r="W25" s="80"/>
      <c r="X25" s="80"/>
      <c r="Y25" s="69"/>
    </row>
    <row r="26" spans="1:26" ht="15.75" x14ac:dyDescent="0.25">
      <c r="A26" s="23"/>
      <c r="B26" s="23"/>
      <c r="C26" s="17"/>
      <c r="D26" s="17"/>
      <c r="E26" s="17"/>
      <c r="F26" s="17"/>
      <c r="G26" s="23"/>
      <c r="H26" s="23"/>
      <c r="I26" s="17"/>
      <c r="J26" s="17"/>
      <c r="M26" s="76" t="s">
        <v>78</v>
      </c>
      <c r="N26" s="77">
        <v>21</v>
      </c>
      <c r="O26" s="78"/>
      <c r="P26" s="79">
        <f>'FEBRUARY 21'!V26:V61</f>
        <v>0</v>
      </c>
      <c r="Q26" s="83">
        <v>2500</v>
      </c>
      <c r="R26" s="81">
        <v>350</v>
      </c>
      <c r="S26" s="83">
        <v>200</v>
      </c>
      <c r="T26" s="80">
        <f t="shared" si="2"/>
        <v>3050</v>
      </c>
      <c r="U26" s="80">
        <v>3050</v>
      </c>
      <c r="V26" s="80">
        <f t="shared" si="4"/>
        <v>0</v>
      </c>
      <c r="W26" s="80"/>
      <c r="X26" s="80"/>
      <c r="Y26" s="87"/>
    </row>
    <row r="27" spans="1:26" ht="15.75" x14ac:dyDescent="0.25">
      <c r="A27" s="24"/>
      <c r="B27" s="24"/>
      <c r="C27" s="17"/>
      <c r="D27" s="17"/>
      <c r="E27" s="17"/>
      <c r="F27" s="17"/>
      <c r="H27" s="23"/>
      <c r="I27" s="25"/>
      <c r="J27" s="17"/>
      <c r="M27" s="76" t="s">
        <v>79</v>
      </c>
      <c r="N27" s="77">
        <v>22</v>
      </c>
      <c r="O27" s="78"/>
      <c r="P27" s="79">
        <f>'FEBRUARY 21'!V27:V62</f>
        <v>1100</v>
      </c>
      <c r="Q27" s="83">
        <v>4500</v>
      </c>
      <c r="R27" s="81">
        <v>350</v>
      </c>
      <c r="S27" s="83">
        <v>200</v>
      </c>
      <c r="T27" s="80">
        <f t="shared" si="2"/>
        <v>6150</v>
      </c>
      <c r="U27" s="80">
        <v>6000</v>
      </c>
      <c r="V27" s="80">
        <f>T27-U27</f>
        <v>150</v>
      </c>
      <c r="W27" s="80"/>
      <c r="X27" s="80"/>
      <c r="Y27" s="69"/>
    </row>
    <row r="28" spans="1:26" ht="15.75" x14ac:dyDescent="0.25">
      <c r="A28" s="23"/>
      <c r="B28" s="23"/>
      <c r="C28" s="17"/>
      <c r="D28" s="17"/>
      <c r="E28" s="25"/>
      <c r="F28" s="17"/>
      <c r="G28" s="17"/>
      <c r="H28" s="17"/>
      <c r="I28" s="17"/>
      <c r="J28" s="17"/>
      <c r="M28" s="76" t="s">
        <v>80</v>
      </c>
      <c r="N28" s="77">
        <v>23</v>
      </c>
      <c r="O28" s="78"/>
      <c r="P28" s="79">
        <f>'FEBRUARY 21'!V28:V63</f>
        <v>0</v>
      </c>
      <c r="Q28" s="83">
        <v>2500</v>
      </c>
      <c r="R28" s="81">
        <v>350</v>
      </c>
      <c r="S28" s="83">
        <v>200</v>
      </c>
      <c r="T28" s="80">
        <f t="shared" si="2"/>
        <v>3050</v>
      </c>
      <c r="U28" s="80">
        <v>3050</v>
      </c>
      <c r="V28" s="80">
        <f t="shared" si="4"/>
        <v>0</v>
      </c>
      <c r="W28" s="80"/>
      <c r="X28" s="80"/>
      <c r="Y28" s="69"/>
    </row>
    <row r="29" spans="1:26" ht="15.75" x14ac:dyDescent="0.25">
      <c r="A29" s="16" t="s">
        <v>20</v>
      </c>
      <c r="B29" s="16"/>
      <c r="C29" s="21">
        <f>C16+C17+C18+C19+C20-E21</f>
        <v>39240</v>
      </c>
      <c r="D29" s="21"/>
      <c r="E29" s="21">
        <f>SUM(E23:E28)</f>
        <v>38502</v>
      </c>
      <c r="F29" s="21">
        <f>C29-E29</f>
        <v>738</v>
      </c>
      <c r="G29" s="16" t="s">
        <v>20</v>
      </c>
      <c r="H29" s="21">
        <f>H16+H17-I21</f>
        <v>27790</v>
      </c>
      <c r="I29" s="21">
        <f>SUM(I23:I28)</f>
        <v>38502</v>
      </c>
      <c r="J29" s="21">
        <f>H29-I29</f>
        <v>-10712</v>
      </c>
      <c r="M29" s="76" t="s">
        <v>81</v>
      </c>
      <c r="N29" s="77">
        <v>24</v>
      </c>
      <c r="O29" s="78"/>
      <c r="P29" s="79">
        <f>'FEBRUARY 21'!V29:V64</f>
        <v>1578</v>
      </c>
      <c r="Q29" s="83">
        <v>2500</v>
      </c>
      <c r="R29" s="81">
        <v>350</v>
      </c>
      <c r="S29" s="83"/>
      <c r="T29" s="80">
        <f t="shared" si="2"/>
        <v>4428</v>
      </c>
      <c r="U29" s="80">
        <v>2850</v>
      </c>
      <c r="V29" s="80">
        <f t="shared" si="4"/>
        <v>1578</v>
      </c>
      <c r="W29" s="80"/>
      <c r="X29" s="80"/>
      <c r="Y29" s="69"/>
    </row>
    <row r="30" spans="1:26" ht="15.75" x14ac:dyDescent="0.25">
      <c r="M30" s="76" t="s">
        <v>82</v>
      </c>
      <c r="N30" s="77">
        <v>25</v>
      </c>
      <c r="O30" s="78"/>
      <c r="P30" s="79">
        <f>'FEBRUARY 21'!V30:V65</f>
        <v>0</v>
      </c>
      <c r="Q30" s="83">
        <f>2700+400</f>
        <v>3100</v>
      </c>
      <c r="R30" s="81">
        <v>350</v>
      </c>
      <c r="S30" s="83">
        <v>200</v>
      </c>
      <c r="T30" s="80">
        <f t="shared" si="2"/>
        <v>3650</v>
      </c>
      <c r="U30" s="80">
        <v>3650</v>
      </c>
      <c r="V30" s="80">
        <f t="shared" si="4"/>
        <v>0</v>
      </c>
      <c r="W30" s="80"/>
      <c r="X30" s="80"/>
      <c r="Y30" s="69"/>
    </row>
    <row r="31" spans="1:26" ht="15.75" x14ac:dyDescent="0.25">
      <c r="A31" t="s">
        <v>21</v>
      </c>
      <c r="E31" t="s">
        <v>22</v>
      </c>
      <c r="H31" t="s">
        <v>23</v>
      </c>
      <c r="M31" s="76" t="s">
        <v>83</v>
      </c>
      <c r="N31" s="77">
        <v>26</v>
      </c>
      <c r="O31" s="78"/>
      <c r="P31" s="79">
        <f>'FEBRUARY 21'!V31:V66</f>
        <v>708</v>
      </c>
      <c r="Q31" s="83">
        <v>4500</v>
      </c>
      <c r="R31" s="81">
        <v>350</v>
      </c>
      <c r="S31" s="83">
        <v>200</v>
      </c>
      <c r="T31" s="80">
        <f t="shared" si="2"/>
        <v>5758</v>
      </c>
      <c r="U31" s="80">
        <v>5050</v>
      </c>
      <c r="V31" s="80">
        <f>T31-U31</f>
        <v>708</v>
      </c>
      <c r="W31" s="80"/>
      <c r="X31" s="80"/>
      <c r="Y31" s="69"/>
    </row>
    <row r="32" spans="1:26" ht="15.75" x14ac:dyDescent="0.25">
      <c r="M32" s="76" t="s">
        <v>84</v>
      </c>
      <c r="N32" s="77">
        <v>27</v>
      </c>
      <c r="O32" s="78"/>
      <c r="P32" s="79">
        <f>'FEBRUARY 21'!V32:V67</f>
        <v>4450</v>
      </c>
      <c r="Q32" s="83">
        <v>4500</v>
      </c>
      <c r="R32" s="81">
        <v>350</v>
      </c>
      <c r="S32" s="83">
        <v>200</v>
      </c>
      <c r="T32" s="80">
        <f t="shared" si="2"/>
        <v>9500</v>
      </c>
      <c r="U32" s="80">
        <f>2000+3000</f>
        <v>5000</v>
      </c>
      <c r="V32" s="80">
        <f>T32-U32</f>
        <v>4500</v>
      </c>
      <c r="W32" s="80"/>
      <c r="X32" s="69"/>
      <c r="Y32" s="69"/>
    </row>
    <row r="33" spans="1:26" ht="15.75" x14ac:dyDescent="0.25">
      <c r="A33" t="s">
        <v>24</v>
      </c>
      <c r="E33" t="s">
        <v>25</v>
      </c>
      <c r="H33" t="s">
        <v>34</v>
      </c>
      <c r="M33" s="88" t="s">
        <v>40</v>
      </c>
      <c r="N33" s="77">
        <v>28</v>
      </c>
      <c r="O33" s="78"/>
      <c r="P33" s="79">
        <f>'FEBRUARY 21'!V33:V68</f>
        <v>0</v>
      </c>
      <c r="Q33" s="83"/>
      <c r="R33" s="81"/>
      <c r="S33" s="83"/>
      <c r="T33" s="80">
        <f t="shared" si="2"/>
        <v>0</v>
      </c>
      <c r="U33" s="80"/>
      <c r="V33" s="80">
        <f t="shared" si="4"/>
        <v>0</v>
      </c>
      <c r="W33" s="80"/>
      <c r="X33" s="80"/>
      <c r="Y33" s="69"/>
    </row>
    <row r="34" spans="1:26" ht="15.75" x14ac:dyDescent="0.25">
      <c r="L34">
        <v>7500</v>
      </c>
      <c r="M34" s="76" t="s">
        <v>85</v>
      </c>
      <c r="N34" s="77">
        <v>29</v>
      </c>
      <c r="O34" s="78"/>
      <c r="P34" s="79">
        <f>'FEBRUARY 21'!V34:V69</f>
        <v>20</v>
      </c>
      <c r="Q34" s="83">
        <v>4500</v>
      </c>
      <c r="R34" s="81">
        <v>350</v>
      </c>
      <c r="S34" s="83">
        <v>200</v>
      </c>
      <c r="T34" s="80">
        <f t="shared" si="2"/>
        <v>5070</v>
      </c>
      <c r="U34" s="80">
        <v>5050</v>
      </c>
      <c r="V34" s="80">
        <f t="shared" si="4"/>
        <v>20</v>
      </c>
      <c r="W34" s="80"/>
      <c r="X34" s="80"/>
      <c r="Y34" s="69"/>
    </row>
    <row r="35" spans="1:26" ht="15.75" x14ac:dyDescent="0.25">
      <c r="J35">
        <f>I35*18</f>
        <v>0</v>
      </c>
      <c r="L35">
        <f>L34/26</f>
        <v>288.46153846153845</v>
      </c>
      <c r="M35" s="76"/>
      <c r="N35" s="77"/>
      <c r="O35" s="78"/>
      <c r="P35" s="79">
        <f>'FEBRUARY 21'!V35:V70</f>
        <v>0</v>
      </c>
      <c r="Q35" s="83"/>
      <c r="R35" s="81"/>
      <c r="S35" s="83"/>
      <c r="T35" s="80">
        <f t="shared" si="2"/>
        <v>0</v>
      </c>
      <c r="U35" s="80"/>
      <c r="V35" s="80">
        <f t="shared" si="4"/>
        <v>0</v>
      </c>
      <c r="W35" s="80"/>
      <c r="X35" s="80"/>
      <c r="Y35" s="69"/>
    </row>
    <row r="36" spans="1:26" ht="15.75" x14ac:dyDescent="0.25">
      <c r="M36" s="76"/>
      <c r="N36" s="77" t="s">
        <v>86</v>
      </c>
      <c r="O36" s="78"/>
      <c r="P36" s="79">
        <f>'FEBRUARY 21'!V36:V71</f>
        <v>0</v>
      </c>
      <c r="Q36" s="83"/>
      <c r="R36" s="81"/>
      <c r="S36" s="83"/>
      <c r="T36" s="80">
        <f t="shared" si="2"/>
        <v>0</v>
      </c>
      <c r="U36" s="80"/>
      <c r="V36" s="80">
        <f t="shared" si="4"/>
        <v>0</v>
      </c>
      <c r="W36" s="80"/>
      <c r="X36" s="80"/>
      <c r="Y36" s="69"/>
    </row>
    <row r="37" spans="1:26" ht="15.75" x14ac:dyDescent="0.25">
      <c r="C37" s="119"/>
      <c r="E37" s="119"/>
      <c r="M37" s="76" t="s">
        <v>93</v>
      </c>
      <c r="N37" s="77" t="s">
        <v>87</v>
      </c>
      <c r="O37" s="78"/>
      <c r="P37" s="79">
        <f>'FEBRUARY 21'!V37:V72</f>
        <v>0</v>
      </c>
      <c r="Q37" s="83">
        <v>7000</v>
      </c>
      <c r="R37" s="81"/>
      <c r="S37" s="83"/>
      <c r="T37" s="80">
        <f t="shared" si="2"/>
        <v>7000</v>
      </c>
      <c r="U37" s="80">
        <v>7000</v>
      </c>
      <c r="V37" s="80">
        <f t="shared" si="4"/>
        <v>0</v>
      </c>
      <c r="W37" s="80"/>
      <c r="X37" s="80"/>
      <c r="Y37" s="69"/>
    </row>
    <row r="38" spans="1:26" ht="15.75" x14ac:dyDescent="0.25">
      <c r="C38" s="119"/>
      <c r="E38" s="119"/>
      <c r="M38" s="76" t="s">
        <v>92</v>
      </c>
      <c r="N38" s="77" t="s">
        <v>88</v>
      </c>
      <c r="O38" s="78"/>
      <c r="P38" s="79">
        <f>'FEBRUARY 21'!V38:V73</f>
        <v>0</v>
      </c>
      <c r="Q38" s="83">
        <v>7000</v>
      </c>
      <c r="R38" s="81"/>
      <c r="S38" s="83"/>
      <c r="T38" s="80">
        <f>P38+Q38+R38+S38+O38</f>
        <v>7000</v>
      </c>
      <c r="U38" s="80">
        <v>7000</v>
      </c>
      <c r="V38" s="80">
        <f t="shared" si="4"/>
        <v>0</v>
      </c>
      <c r="W38" s="80"/>
      <c r="X38" s="80"/>
      <c r="Y38" s="69"/>
    </row>
    <row r="39" spans="1:26" ht="15.75" x14ac:dyDescent="0.25">
      <c r="C39" s="119"/>
      <c r="E39" s="119"/>
      <c r="M39" s="90" t="s">
        <v>51</v>
      </c>
      <c r="N39" s="76"/>
      <c r="O39" s="78">
        <f t="shared" ref="O39:X39" si="5">SUM(O6:O38)</f>
        <v>13200</v>
      </c>
      <c r="P39" s="79">
        <f>SUM(P6:P38)</f>
        <v>19580</v>
      </c>
      <c r="Q39" s="91">
        <f>SUM(Q6:Q38)</f>
        <v>96900</v>
      </c>
      <c r="R39" s="92">
        <f t="shared" si="5"/>
        <v>7350</v>
      </c>
      <c r="S39" s="93">
        <f t="shared" si="5"/>
        <v>4600</v>
      </c>
      <c r="T39" s="80">
        <f>SUM(T6:T38)</f>
        <v>141630</v>
      </c>
      <c r="U39" s="80">
        <f t="shared" si="5"/>
        <v>120580</v>
      </c>
      <c r="V39" s="80">
        <f t="shared" si="5"/>
        <v>21050</v>
      </c>
      <c r="W39" s="80">
        <f>SUM(W6:W38)</f>
        <v>520</v>
      </c>
      <c r="X39" s="80">
        <f t="shared" si="5"/>
        <v>1500</v>
      </c>
      <c r="Y39" s="69"/>
    </row>
    <row r="40" spans="1:26" ht="15.75" x14ac:dyDescent="0.25">
      <c r="K40">
        <f>9450-3750</f>
        <v>5700</v>
      </c>
      <c r="M40" s="94" t="s">
        <v>12</v>
      </c>
      <c r="N40" s="94"/>
      <c r="O40" s="94"/>
      <c r="P40" s="95"/>
      <c r="Q40" s="118">
        <f>Q39-Q38-Q37</f>
        <v>82900</v>
      </c>
      <c r="R40" s="94" t="s">
        <v>8</v>
      </c>
      <c r="S40" s="94"/>
      <c r="T40" s="94"/>
      <c r="U40" s="70"/>
      <c r="V40" s="70"/>
      <c r="W40" s="70"/>
      <c r="X40" s="71"/>
      <c r="Y40" s="69"/>
      <c r="Z40">
        <f>AA37</f>
        <v>0</v>
      </c>
    </row>
    <row r="41" spans="1:26" ht="15.75" x14ac:dyDescent="0.25"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  <c r="Y41" s="69"/>
    </row>
    <row r="42" spans="1:26" ht="15.75" x14ac:dyDescent="0.25">
      <c r="M42" s="76" t="s">
        <v>112</v>
      </c>
      <c r="N42" s="98">
        <f>Q39</f>
        <v>96900</v>
      </c>
      <c r="O42" s="76"/>
      <c r="P42" s="76"/>
      <c r="Q42" s="76"/>
      <c r="R42" s="76" t="s">
        <v>112</v>
      </c>
      <c r="S42" s="76"/>
      <c r="T42" s="99">
        <f>U39</f>
        <v>120580</v>
      </c>
      <c r="U42" s="76"/>
      <c r="V42" s="76"/>
      <c r="W42" s="76"/>
      <c r="X42" s="100"/>
      <c r="Y42" s="69"/>
    </row>
    <row r="43" spans="1:26" ht="15.75" x14ac:dyDescent="0.25">
      <c r="I43" s="119"/>
      <c r="M43" s="76" t="s">
        <v>120</v>
      </c>
      <c r="N43" s="98">
        <f>'FEBRUARY 21'!P56</f>
        <v>-2611</v>
      </c>
      <c r="O43" s="76"/>
      <c r="P43" s="76"/>
      <c r="Q43" s="76"/>
      <c r="R43" s="76" t="s">
        <v>5</v>
      </c>
      <c r="S43" s="76"/>
      <c r="T43" s="98">
        <f>'FEBRUARY 21'!V56</f>
        <v>-10991</v>
      </c>
      <c r="U43" s="76"/>
      <c r="V43" s="76"/>
      <c r="W43" s="76"/>
      <c r="X43" s="100"/>
      <c r="Y43" s="69"/>
    </row>
    <row r="44" spans="1:26" ht="15.75" x14ac:dyDescent="0.25">
      <c r="M44" s="76" t="s">
        <v>4</v>
      </c>
      <c r="N44" s="98">
        <f>O39</f>
        <v>13200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  <c r="Y44" s="69"/>
    </row>
    <row r="45" spans="1:26" ht="15.75" x14ac:dyDescent="0.25">
      <c r="L45">
        <f>2800/30</f>
        <v>93.333333333333329</v>
      </c>
      <c r="M45" s="76" t="s">
        <v>41</v>
      </c>
      <c r="N45" s="98">
        <f>R39</f>
        <v>7350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  <c r="Y45" s="69"/>
    </row>
    <row r="46" spans="1:26" ht="15.75" x14ac:dyDescent="0.25">
      <c r="L46">
        <f>L45*8</f>
        <v>746.66666666666663</v>
      </c>
      <c r="M46" s="76" t="s">
        <v>53</v>
      </c>
      <c r="N46" s="98">
        <f>W39</f>
        <v>520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  <c r="Y46" s="69"/>
    </row>
    <row r="47" spans="1:26" ht="15.75" x14ac:dyDescent="0.25">
      <c r="M47" s="76" t="s">
        <v>42</v>
      </c>
      <c r="N47" s="98">
        <f>S39</f>
        <v>4600</v>
      </c>
      <c r="O47" s="76"/>
      <c r="P47" s="76"/>
      <c r="Q47" s="76"/>
      <c r="R47" s="76" t="s">
        <v>126</v>
      </c>
      <c r="S47" s="76"/>
      <c r="T47" s="99">
        <f>X39</f>
        <v>1500</v>
      </c>
      <c r="U47" s="76"/>
      <c r="V47" s="76"/>
      <c r="W47" s="76"/>
      <c r="X47" s="100"/>
      <c r="Y47" s="69"/>
    </row>
    <row r="48" spans="1:26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  <c r="Y48" s="69"/>
    </row>
    <row r="49" spans="10:25" ht="15.75" x14ac:dyDescent="0.25">
      <c r="M49" s="76" t="s">
        <v>126</v>
      </c>
      <c r="N49" s="99">
        <f>X39</f>
        <v>1500</v>
      </c>
      <c r="O49" s="98"/>
      <c r="P49" s="76"/>
      <c r="Q49" s="76"/>
      <c r="R49" s="76"/>
      <c r="S49" s="76"/>
      <c r="T49" s="76"/>
      <c r="U49" s="98"/>
      <c r="V49" s="98"/>
      <c r="W49" s="98"/>
      <c r="X49" s="101"/>
      <c r="Y49" s="69"/>
    </row>
    <row r="50" spans="10:25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  <c r="Y50" s="69"/>
    </row>
    <row r="51" spans="10:25" ht="15.75" x14ac:dyDescent="0.25">
      <c r="M51" s="102" t="s">
        <v>55</v>
      </c>
      <c r="N51" s="103">
        <v>7.0000000000000007E-2</v>
      </c>
      <c r="O51" s="99">
        <f>N51*Q40</f>
        <v>5803.0000000000009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T51*Q40</f>
        <v>5803.0000000000009</v>
      </c>
      <c r="V51" s="76"/>
      <c r="W51" s="76"/>
      <c r="X51" s="100"/>
      <c r="Y51" s="69"/>
    </row>
    <row r="52" spans="10:25" ht="15.75" x14ac:dyDescent="0.25">
      <c r="M52" s="104" t="s">
        <v>128</v>
      </c>
      <c r="N52" s="105">
        <v>0.3</v>
      </c>
      <c r="O52" s="69">
        <f>(N52*O7)+(N52*O14)+(N52*O12)+(N52*O18)+(N52*O22)</f>
        <v>3960</v>
      </c>
      <c r="P52" s="99"/>
      <c r="Q52" s="99"/>
      <c r="R52" s="104" t="s">
        <v>128</v>
      </c>
      <c r="S52" s="105">
        <v>0.3</v>
      </c>
      <c r="T52" s="87"/>
      <c r="U52" s="69">
        <f>S52*O39</f>
        <v>3960</v>
      </c>
      <c r="V52" s="69"/>
      <c r="W52" s="99"/>
      <c r="X52" s="106"/>
      <c r="Y52" s="87"/>
    </row>
    <row r="53" spans="10:25" ht="15.75" x14ac:dyDescent="0.25">
      <c r="M53" s="104" t="s">
        <v>117</v>
      </c>
      <c r="N53" s="105"/>
      <c r="O53" s="69">
        <v>30105</v>
      </c>
      <c r="P53" s="99"/>
      <c r="Q53" s="99"/>
      <c r="R53" s="104" t="s">
        <v>117</v>
      </c>
      <c r="S53" s="105"/>
      <c r="T53" s="69"/>
      <c r="U53" s="69">
        <v>30105</v>
      </c>
      <c r="V53" s="76"/>
      <c r="W53" s="76"/>
      <c r="X53" s="100"/>
      <c r="Y53" s="69"/>
    </row>
    <row r="54" spans="10:25" ht="15.75" x14ac:dyDescent="0.25">
      <c r="M54" s="104" t="s">
        <v>119</v>
      </c>
      <c r="N54" s="103"/>
      <c r="O54" s="99">
        <v>67000</v>
      </c>
      <c r="P54" s="76"/>
      <c r="Q54" s="76"/>
      <c r="R54" s="104" t="s">
        <v>119</v>
      </c>
      <c r="S54" s="103"/>
      <c r="T54" s="99"/>
      <c r="U54" s="99">
        <v>67000</v>
      </c>
      <c r="V54" s="76"/>
      <c r="W54" s="76"/>
      <c r="X54" s="100"/>
      <c r="Y54" s="87"/>
    </row>
    <row r="55" spans="10:25" ht="15.75" x14ac:dyDescent="0.25">
      <c r="M55" s="108" t="s">
        <v>132</v>
      </c>
      <c r="N55" s="76"/>
      <c r="O55" s="99">
        <v>14687</v>
      </c>
      <c r="P55" s="76"/>
      <c r="Q55" s="76"/>
      <c r="R55" s="108" t="s">
        <v>132</v>
      </c>
      <c r="S55" s="76"/>
      <c r="T55" s="99"/>
      <c r="U55" s="99">
        <v>14687</v>
      </c>
      <c r="V55" s="99"/>
      <c r="W55" s="99"/>
      <c r="X55" s="106"/>
      <c r="Y55" s="87"/>
    </row>
    <row r="56" spans="10:25" ht="15.75" x14ac:dyDescent="0.25">
      <c r="J56" t="s">
        <v>116</v>
      </c>
      <c r="M56" s="90" t="s">
        <v>20</v>
      </c>
      <c r="N56" s="109">
        <f>N42+N43+N44+N45+N46+N47+N49+N48</f>
        <v>121459</v>
      </c>
      <c r="O56" s="109">
        <f>SUM(O51:O55)</f>
        <v>121555</v>
      </c>
      <c r="P56" s="109">
        <f>N56-O56</f>
        <v>-96</v>
      </c>
      <c r="Q56" s="109"/>
      <c r="R56" s="90"/>
      <c r="S56" s="90"/>
      <c r="T56" s="109">
        <f>T42+T43+T45+T47+T48</f>
        <v>111089</v>
      </c>
      <c r="U56" s="109">
        <f>SUM(U51:U55)</f>
        <v>121555</v>
      </c>
      <c r="V56" s="109">
        <f>T56-U56</f>
        <v>-10466</v>
      </c>
      <c r="W56" s="109"/>
      <c r="X56" s="110"/>
      <c r="Y56" s="69"/>
    </row>
    <row r="57" spans="10:25" ht="15.75" x14ac:dyDescent="0.25">
      <c r="M57" s="70"/>
      <c r="N57" s="70"/>
      <c r="O57" s="70"/>
      <c r="P57" s="70"/>
      <c r="Q57" s="70"/>
      <c r="R57" s="70"/>
      <c r="S57" s="70"/>
      <c r="T57" s="70"/>
      <c r="U57" s="111">
        <f>U56-U51</f>
        <v>115752</v>
      </c>
      <c r="V57" s="70"/>
      <c r="W57" s="70"/>
      <c r="X57" s="71"/>
      <c r="Y57" s="69"/>
    </row>
    <row r="58" spans="10:25" ht="15.75" x14ac:dyDescent="0.25">
      <c r="M58" s="112" t="s">
        <v>56</v>
      </c>
      <c r="N58" s="113"/>
      <c r="O58" s="113" t="s">
        <v>22</v>
      </c>
      <c r="P58" s="114"/>
      <c r="Q58" s="114"/>
      <c r="R58" s="112"/>
      <c r="S58" s="112"/>
      <c r="T58" s="112" t="s">
        <v>57</v>
      </c>
      <c r="U58" s="70"/>
      <c r="V58" s="70"/>
      <c r="W58" s="70"/>
      <c r="X58" s="71"/>
      <c r="Y58" s="69"/>
    </row>
    <row r="59" spans="10:25" ht="15.75" x14ac:dyDescent="0.25">
      <c r="M59" s="70" t="s">
        <v>24</v>
      </c>
      <c r="N59" s="70"/>
      <c r="O59" s="70" t="s">
        <v>25</v>
      </c>
      <c r="P59" s="70"/>
      <c r="Q59" s="70"/>
      <c r="R59" s="70"/>
      <c r="S59" s="70"/>
      <c r="T59" s="70" t="s">
        <v>34</v>
      </c>
      <c r="U59" s="70"/>
      <c r="V59" s="70"/>
      <c r="W59" s="111"/>
      <c r="X59" s="71"/>
      <c r="Y59" s="69"/>
    </row>
    <row r="60" spans="10:25" ht="15.75" x14ac:dyDescent="0.25"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 spans="10:25" ht="15.75" x14ac:dyDescent="0.25">
      <c r="M61" s="69"/>
      <c r="N61" s="69"/>
      <c r="O61" s="69"/>
      <c r="P61" s="69"/>
      <c r="Q61" s="69"/>
      <c r="R61" s="115"/>
      <c r="S61" s="69"/>
      <c r="T61" s="69"/>
      <c r="U61" s="69"/>
      <c r="V61" s="69"/>
      <c r="W61" s="69"/>
      <c r="X61" s="69"/>
      <c r="Y61" s="69"/>
    </row>
    <row r="66" spans="18:18" x14ac:dyDescent="0.25">
      <c r="R66" s="119"/>
    </row>
    <row r="68" spans="18:18" x14ac:dyDescent="0.25">
      <c r="R68" s="119"/>
    </row>
  </sheetData>
  <pageMargins left="0" right="0" top="0" bottom="0" header="0" footer="0"/>
  <pageSetup paperSize="28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H7" workbookViewId="0">
      <selection activeCell="M22" sqref="M22:T22"/>
    </sheetView>
  </sheetViews>
  <sheetFormatPr defaultRowHeight="15" x14ac:dyDescent="0.25"/>
  <cols>
    <col min="13" max="13" width="20.5703125" customWidth="1"/>
    <col min="20" max="20" width="10.5703125" customWidth="1"/>
    <col min="21" max="21" width="11.42578125" customWidth="1"/>
    <col min="22" max="22" width="12.28515625" customWidth="1"/>
  </cols>
  <sheetData>
    <row r="1" spans="1:25" ht="15.75" x14ac:dyDescent="0.25">
      <c r="A1" s="1"/>
      <c r="B1" s="1"/>
      <c r="C1" s="1"/>
      <c r="D1" s="1" t="s">
        <v>29</v>
      </c>
      <c r="E1" s="1"/>
      <c r="F1" s="1"/>
      <c r="G1" s="1"/>
      <c r="H1" s="1"/>
      <c r="I1" s="1"/>
      <c r="J1" s="1"/>
      <c r="M1" s="69"/>
      <c r="N1" s="69"/>
      <c r="O1" s="71"/>
      <c r="P1" s="71"/>
      <c r="Q1" s="71"/>
      <c r="R1" s="71"/>
      <c r="S1" s="71"/>
      <c r="T1" s="69"/>
      <c r="U1" s="71"/>
      <c r="V1" s="71"/>
      <c r="W1" s="71"/>
      <c r="X1" s="71"/>
      <c r="Y1" s="69"/>
    </row>
    <row r="2" spans="1:25" ht="15.75" x14ac:dyDescent="0.25">
      <c r="A2" s="1"/>
      <c r="B2" s="1"/>
      <c r="C2" s="1"/>
      <c r="D2" s="1" t="s">
        <v>0</v>
      </c>
      <c r="E2" s="1"/>
      <c r="F2" s="1"/>
      <c r="G2" s="1"/>
      <c r="H2" s="1"/>
      <c r="I2" s="1"/>
      <c r="J2" s="1"/>
      <c r="M2" s="69"/>
      <c r="N2" s="69"/>
      <c r="O2" s="27"/>
      <c r="P2" s="69"/>
      <c r="Q2" s="27" t="s">
        <v>58</v>
      </c>
      <c r="R2" s="70"/>
      <c r="S2" s="27"/>
      <c r="T2" s="28"/>
      <c r="U2" s="70"/>
      <c r="V2" s="70"/>
      <c r="W2" s="70"/>
      <c r="X2" s="70"/>
      <c r="Y2" s="69"/>
    </row>
    <row r="3" spans="1:25" ht="15.75" x14ac:dyDescent="0.25">
      <c r="A3" s="1"/>
      <c r="B3" s="1"/>
      <c r="C3" s="1"/>
      <c r="D3" s="1" t="s">
        <v>130</v>
      </c>
      <c r="E3" s="1"/>
      <c r="F3" s="1"/>
      <c r="G3" s="1"/>
      <c r="H3" s="1"/>
      <c r="I3" s="1"/>
      <c r="J3" s="1"/>
      <c r="M3" s="70"/>
      <c r="N3" s="27"/>
      <c r="O3" s="27"/>
      <c r="P3" s="27"/>
      <c r="Q3" s="27" t="s">
        <v>0</v>
      </c>
      <c r="R3" s="27"/>
      <c r="S3" s="71"/>
      <c r="T3" s="29"/>
      <c r="U3" s="70"/>
      <c r="V3" s="70"/>
      <c r="W3" s="70"/>
      <c r="X3" s="70"/>
      <c r="Y3" s="69"/>
    </row>
    <row r="4" spans="1:25" ht="15.7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41</v>
      </c>
      <c r="F4" s="2" t="s">
        <v>42</v>
      </c>
      <c r="G4" s="2" t="s">
        <v>6</v>
      </c>
      <c r="H4" s="2" t="s">
        <v>7</v>
      </c>
      <c r="I4" s="2" t="s">
        <v>8</v>
      </c>
      <c r="J4" s="2" t="s">
        <v>9</v>
      </c>
      <c r="M4" s="27"/>
      <c r="N4" s="70"/>
      <c r="O4" s="69"/>
      <c r="P4" s="27" t="s">
        <v>130</v>
      </c>
      <c r="Q4" s="27"/>
      <c r="R4" s="69"/>
      <c r="S4" s="27"/>
      <c r="T4" s="31"/>
      <c r="U4" s="31"/>
      <c r="V4" s="31"/>
      <c r="W4" s="31"/>
      <c r="X4" s="31"/>
      <c r="Y4" s="69"/>
    </row>
    <row r="5" spans="1:25" ht="15.75" x14ac:dyDescent="0.25">
      <c r="A5" s="3">
        <v>1</v>
      </c>
      <c r="B5" s="3" t="s">
        <v>26</v>
      </c>
      <c r="C5" s="3"/>
      <c r="D5" s="3">
        <f>'MARCH 21'!J5:J10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123</v>
      </c>
      <c r="Y5" s="69"/>
    </row>
    <row r="6" spans="1:25" ht="15.75" x14ac:dyDescent="0.25">
      <c r="A6" s="3">
        <v>2</v>
      </c>
      <c r="B6" s="3" t="s">
        <v>26</v>
      </c>
      <c r="C6" s="3"/>
      <c r="D6" s="3">
        <f>'MARCH 21'!J6:J11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>
        <f>'MARCH 21'!V6:V36</f>
        <v>0</v>
      </c>
      <c r="Q6" s="80"/>
      <c r="R6" s="81"/>
      <c r="S6" s="80"/>
      <c r="T6" s="80">
        <f>P6+Q6+R6+S6+O6</f>
        <v>0</v>
      </c>
      <c r="U6" s="80"/>
      <c r="V6" s="80">
        <f>T6-U6</f>
        <v>0</v>
      </c>
      <c r="W6" s="80"/>
      <c r="X6" s="80"/>
      <c r="Y6" s="69"/>
    </row>
    <row r="7" spans="1:25" ht="15.75" x14ac:dyDescent="0.25">
      <c r="A7" s="3">
        <v>3</v>
      </c>
      <c r="B7" s="3" t="s">
        <v>31</v>
      </c>
      <c r="C7" s="3"/>
      <c r="D7" s="3">
        <f>'MARCH 21'!J7:J12</f>
        <v>11050</v>
      </c>
      <c r="E7" s="3">
        <v>450</v>
      </c>
      <c r="F7" s="3">
        <v>200</v>
      </c>
      <c r="G7" s="3">
        <v>8000</v>
      </c>
      <c r="H7" s="3">
        <f t="shared" si="0"/>
        <v>19700</v>
      </c>
      <c r="I7" s="3">
        <f>8000+6000+600+3000</f>
        <v>17600</v>
      </c>
      <c r="J7" s="3">
        <f t="shared" si="1"/>
        <v>2100</v>
      </c>
      <c r="M7" s="82" t="s">
        <v>115</v>
      </c>
      <c r="N7" s="77">
        <v>2</v>
      </c>
      <c r="O7" s="78"/>
      <c r="P7" s="79">
        <f>'MARCH 21'!V7:V37</f>
        <v>0</v>
      </c>
      <c r="Q7" s="83">
        <v>2500</v>
      </c>
      <c r="R7" s="81">
        <v>350</v>
      </c>
      <c r="S7" s="83">
        <v>200</v>
      </c>
      <c r="T7" s="80">
        <f t="shared" ref="T7:T37" si="2">P7+Q7+R7+S7+O7</f>
        <v>3050</v>
      </c>
      <c r="U7" s="80">
        <f>2700</f>
        <v>2700</v>
      </c>
      <c r="V7" s="80">
        <f>T7-U7</f>
        <v>350</v>
      </c>
      <c r="W7" s="80"/>
      <c r="X7" s="80"/>
      <c r="Y7" s="69"/>
    </row>
    <row r="8" spans="1:25" ht="15.75" x14ac:dyDescent="0.25">
      <c r="A8" s="3">
        <v>4</v>
      </c>
      <c r="B8" s="3" t="s">
        <v>134</v>
      </c>
      <c r="C8" s="3">
        <v>9000</v>
      </c>
      <c r="D8" s="3">
        <f>'MARCH 21'!J8:J13</f>
        <v>0</v>
      </c>
      <c r="E8" s="3"/>
      <c r="F8" s="3"/>
      <c r="G8" s="3">
        <v>9000</v>
      </c>
      <c r="H8" s="3">
        <f t="shared" si="0"/>
        <v>18000</v>
      </c>
      <c r="I8" s="3">
        <f>12000</f>
        <v>12000</v>
      </c>
      <c r="J8" s="3">
        <f t="shared" si="1"/>
        <v>6000</v>
      </c>
      <c r="M8" s="82" t="s">
        <v>60</v>
      </c>
      <c r="N8" s="77">
        <v>3</v>
      </c>
      <c r="O8" s="78"/>
      <c r="P8" s="79">
        <f>'MARCH 21'!V8:V38</f>
        <v>1790</v>
      </c>
      <c r="Q8" s="83">
        <v>2500</v>
      </c>
      <c r="R8" s="81">
        <v>350</v>
      </c>
      <c r="S8" s="83">
        <v>200</v>
      </c>
      <c r="T8" s="80">
        <f t="shared" si="2"/>
        <v>4840</v>
      </c>
      <c r="U8" s="80">
        <f>1000+1500+500</f>
        <v>3000</v>
      </c>
      <c r="V8" s="80">
        <f>T8-U8</f>
        <v>1840</v>
      </c>
      <c r="W8" s="80"/>
      <c r="X8" s="80"/>
      <c r="Y8" s="69"/>
    </row>
    <row r="9" spans="1:25" ht="15.75" x14ac:dyDescent="0.25">
      <c r="A9" s="3">
        <v>5</v>
      </c>
      <c r="B9" s="3" t="s">
        <v>95</v>
      </c>
      <c r="C9" s="3"/>
      <c r="D9" s="3">
        <f>'MARCH 21'!J9:J14</f>
        <v>400</v>
      </c>
      <c r="E9" s="3">
        <v>300</v>
      </c>
      <c r="F9" s="3">
        <v>200</v>
      </c>
      <c r="G9" s="3">
        <v>8000</v>
      </c>
      <c r="H9" s="3">
        <f t="shared" si="0"/>
        <v>8900</v>
      </c>
      <c r="I9" s="3">
        <f>8000+500</f>
        <v>8500</v>
      </c>
      <c r="J9" s="3">
        <f t="shared" si="1"/>
        <v>400</v>
      </c>
      <c r="M9" s="88" t="s">
        <v>26</v>
      </c>
      <c r="N9" s="77">
        <v>4</v>
      </c>
      <c r="O9" s="78"/>
      <c r="P9" s="79"/>
      <c r="Q9" s="83"/>
      <c r="R9" s="81"/>
      <c r="S9" s="83"/>
      <c r="T9" s="80">
        <f t="shared" si="2"/>
        <v>0</v>
      </c>
      <c r="U9" s="80"/>
      <c r="V9" s="80">
        <f>T9-U9</f>
        <v>0</v>
      </c>
      <c r="W9" s="80"/>
      <c r="X9" s="80"/>
      <c r="Y9" s="69"/>
    </row>
    <row r="10" spans="1:25" ht="15.75" x14ac:dyDescent="0.25">
      <c r="A10" s="3">
        <v>6</v>
      </c>
      <c r="B10" s="4" t="s">
        <v>28</v>
      </c>
      <c r="C10" s="4"/>
      <c r="D10" s="3">
        <f>'MARCH 21'!J10:J15</f>
        <v>4150</v>
      </c>
      <c r="E10" s="3">
        <v>450</v>
      </c>
      <c r="F10" s="3">
        <v>200</v>
      </c>
      <c r="G10" s="3">
        <v>8000</v>
      </c>
      <c r="H10" s="3">
        <f t="shared" si="0"/>
        <v>12800</v>
      </c>
      <c r="I10" s="3">
        <f>9650</f>
        <v>9650</v>
      </c>
      <c r="J10" s="3">
        <f t="shared" si="1"/>
        <v>3150</v>
      </c>
      <c r="M10" s="116" t="s">
        <v>26</v>
      </c>
      <c r="N10" s="77">
        <v>5</v>
      </c>
      <c r="O10" s="78"/>
      <c r="P10" s="79">
        <f>'MARCH 21'!V10:V40</f>
        <v>0</v>
      </c>
      <c r="Q10" s="83"/>
      <c r="R10" s="81"/>
      <c r="S10" s="83"/>
      <c r="T10" s="80">
        <f t="shared" si="2"/>
        <v>0</v>
      </c>
      <c r="U10" s="80"/>
      <c r="V10" s="80">
        <f>T10-U10</f>
        <v>0</v>
      </c>
      <c r="W10" s="80"/>
      <c r="X10" s="80"/>
      <c r="Y10" s="69"/>
    </row>
    <row r="11" spans="1:25" ht="15.75" x14ac:dyDescent="0.25">
      <c r="A11" s="3"/>
      <c r="B11" s="2" t="s">
        <v>10</v>
      </c>
      <c r="C11" s="2">
        <f t="shared" ref="C11:J11" si="3">SUM(C5:C10)</f>
        <v>9000</v>
      </c>
      <c r="D11" s="3">
        <f t="shared" si="3"/>
        <v>15600</v>
      </c>
      <c r="E11" s="3">
        <f t="shared" si="3"/>
        <v>1200</v>
      </c>
      <c r="F11" s="3">
        <f t="shared" si="3"/>
        <v>600</v>
      </c>
      <c r="G11" s="2">
        <f t="shared" si="3"/>
        <v>33000</v>
      </c>
      <c r="H11" s="3">
        <f t="shared" si="3"/>
        <v>59400</v>
      </c>
      <c r="I11" s="2">
        <f t="shared" si="3"/>
        <v>47750</v>
      </c>
      <c r="J11" s="2">
        <f t="shared" si="3"/>
        <v>11650</v>
      </c>
      <c r="M11" s="85" t="s">
        <v>63</v>
      </c>
      <c r="N11" s="77">
        <v>6</v>
      </c>
      <c r="O11" s="78"/>
      <c r="P11" s="79">
        <f>'MARCH 21'!V11:V41</f>
        <v>0</v>
      </c>
      <c r="Q11" s="83">
        <v>2500</v>
      </c>
      <c r="R11" s="81">
        <v>350</v>
      </c>
      <c r="S11" s="83">
        <v>200</v>
      </c>
      <c r="T11" s="80">
        <f t="shared" si="2"/>
        <v>3050</v>
      </c>
      <c r="U11" s="80">
        <v>3050</v>
      </c>
      <c r="V11" s="80">
        <f t="shared" ref="V11:V38" si="4">T11-U11</f>
        <v>0</v>
      </c>
      <c r="W11" s="80"/>
      <c r="X11" s="80"/>
      <c r="Y11" s="69"/>
    </row>
    <row r="12" spans="1:25" ht="15.75" x14ac:dyDescent="0.25">
      <c r="A12" s="5"/>
      <c r="B12" s="6"/>
      <c r="C12" s="6"/>
      <c r="D12" s="3"/>
      <c r="E12" s="5"/>
      <c r="F12" s="5"/>
      <c r="G12" s="6" t="s">
        <v>10</v>
      </c>
      <c r="H12" s="6"/>
      <c r="I12" s="6"/>
      <c r="J12" s="7"/>
      <c r="M12" s="76" t="s">
        <v>61</v>
      </c>
      <c r="N12" s="77">
        <v>7</v>
      </c>
      <c r="O12" s="78"/>
      <c r="P12" s="79">
        <v>350</v>
      </c>
      <c r="Q12" s="83">
        <v>3000</v>
      </c>
      <c r="R12" s="81">
        <v>350</v>
      </c>
      <c r="S12" s="83">
        <v>200</v>
      </c>
      <c r="T12" s="80">
        <f>P12+Q12+R12+S12+O12</f>
        <v>3900</v>
      </c>
      <c r="U12" s="80">
        <f>3500</f>
        <v>3500</v>
      </c>
      <c r="V12" s="80">
        <f t="shared" si="4"/>
        <v>400</v>
      </c>
      <c r="W12" s="80"/>
      <c r="X12" s="80"/>
      <c r="Y12" s="69"/>
    </row>
    <row r="13" spans="1:25" ht="15.75" x14ac:dyDescent="0.25">
      <c r="A13" s="8" t="s">
        <v>11</v>
      </c>
      <c r="B13" s="8"/>
      <c r="C13" s="9"/>
      <c r="D13" s="9"/>
      <c r="G13" s="10"/>
      <c r="H13" s="13"/>
      <c r="I13" s="12"/>
      <c r="J13" s="8"/>
      <c r="M13" s="86" t="s">
        <v>124</v>
      </c>
      <c r="N13" s="77">
        <v>8</v>
      </c>
      <c r="O13" s="78"/>
      <c r="P13" s="79">
        <f>'MARCH 21'!V13:V43</f>
        <v>1050</v>
      </c>
      <c r="Q13" s="83">
        <v>2500</v>
      </c>
      <c r="R13" s="81">
        <v>350</v>
      </c>
      <c r="S13" s="83">
        <v>200</v>
      </c>
      <c r="T13" s="80">
        <f t="shared" si="2"/>
        <v>4100</v>
      </c>
      <c r="U13" s="80">
        <f>2500+700</f>
        <v>3200</v>
      </c>
      <c r="V13" s="80">
        <f t="shared" si="4"/>
        <v>900</v>
      </c>
      <c r="W13" s="80"/>
      <c r="X13" s="80"/>
      <c r="Y13" s="69"/>
    </row>
    <row r="14" spans="1:25" ht="15.75" x14ac:dyDescent="0.25">
      <c r="A14" s="14" t="s">
        <v>12</v>
      </c>
      <c r="B14" s="14"/>
      <c r="C14" s="14"/>
      <c r="D14" s="14"/>
      <c r="F14" s="14" t="s">
        <v>8</v>
      </c>
      <c r="I14" s="8"/>
      <c r="J14" s="8"/>
      <c r="M14" s="76" t="s">
        <v>122</v>
      </c>
      <c r="N14" s="77">
        <v>9</v>
      </c>
      <c r="O14" s="78"/>
      <c r="P14" s="79">
        <f>'MARCH 21'!V14:V44</f>
        <v>0</v>
      </c>
      <c r="Q14" s="83">
        <v>2500</v>
      </c>
      <c r="R14" s="81">
        <v>350</v>
      </c>
      <c r="S14" s="83">
        <v>200</v>
      </c>
      <c r="T14" s="80">
        <f>P14+Q14+R14+S14+O14</f>
        <v>3050</v>
      </c>
      <c r="U14" s="80">
        <v>3050</v>
      </c>
      <c r="V14" s="80">
        <f>T14-U14</f>
        <v>0</v>
      </c>
      <c r="W14" s="80"/>
      <c r="X14" s="80"/>
      <c r="Y14" s="69"/>
    </row>
    <row r="15" spans="1:25" ht="15.75" x14ac:dyDescent="0.25">
      <c r="A15" s="16" t="s">
        <v>13</v>
      </c>
      <c r="B15" s="16"/>
      <c r="C15" s="16" t="s">
        <v>14</v>
      </c>
      <c r="D15" s="16"/>
      <c r="E15" s="16" t="s">
        <v>15</v>
      </c>
      <c r="F15" s="16" t="s">
        <v>16</v>
      </c>
      <c r="G15" s="16" t="s">
        <v>13</v>
      </c>
      <c r="H15" s="16" t="s">
        <v>14</v>
      </c>
      <c r="I15" s="16" t="s">
        <v>15</v>
      </c>
      <c r="J15" s="16" t="s">
        <v>16</v>
      </c>
      <c r="K15">
        <f>G10+F10+E10</f>
        <v>8650</v>
      </c>
      <c r="M15" s="82" t="s">
        <v>99</v>
      </c>
      <c r="N15" s="77">
        <v>10</v>
      </c>
      <c r="O15" s="78"/>
      <c r="P15" s="79">
        <f>'MARCH 21'!V15:V45</f>
        <v>4614</v>
      </c>
      <c r="Q15" s="83">
        <v>2500</v>
      </c>
      <c r="R15" s="81">
        <v>350</v>
      </c>
      <c r="S15" s="83">
        <v>200</v>
      </c>
      <c r="T15" s="80">
        <f t="shared" si="2"/>
        <v>7664</v>
      </c>
      <c r="U15" s="80">
        <f>1000+1000</f>
        <v>2000</v>
      </c>
      <c r="V15" s="80">
        <f>T15-U15</f>
        <v>5664</v>
      </c>
      <c r="W15" s="80"/>
      <c r="X15" s="80"/>
      <c r="Y15" s="69"/>
    </row>
    <row r="16" spans="1:25" ht="15.75" x14ac:dyDescent="0.25">
      <c r="A16" s="17" t="s">
        <v>129</v>
      </c>
      <c r="B16" s="17"/>
      <c r="C16" s="18">
        <f>G11</f>
        <v>33000</v>
      </c>
      <c r="D16" s="18"/>
      <c r="E16" s="17"/>
      <c r="F16" s="17"/>
      <c r="G16" s="17" t="s">
        <v>129</v>
      </c>
      <c r="H16" s="18">
        <f>I11</f>
        <v>47750</v>
      </c>
      <c r="I16" s="17"/>
      <c r="J16" s="17"/>
      <c r="K16">
        <f>I10-K15</f>
        <v>1000</v>
      </c>
      <c r="M16" s="76" t="s">
        <v>68</v>
      </c>
      <c r="N16" s="77">
        <v>11</v>
      </c>
      <c r="O16" s="78"/>
      <c r="P16" s="79">
        <f>'MARCH 21'!V16:V46</f>
        <v>0</v>
      </c>
      <c r="Q16" s="83">
        <v>4500</v>
      </c>
      <c r="R16" s="81">
        <v>350</v>
      </c>
      <c r="S16" s="83">
        <v>200</v>
      </c>
      <c r="T16" s="80">
        <f t="shared" si="2"/>
        <v>5050</v>
      </c>
      <c r="U16" s="80">
        <f>2500</f>
        <v>2500</v>
      </c>
      <c r="V16" s="80">
        <f>T16-U16</f>
        <v>2550</v>
      </c>
      <c r="W16" s="80"/>
      <c r="X16" s="80"/>
      <c r="Y16" s="69"/>
    </row>
    <row r="17" spans="1:26" ht="15.75" x14ac:dyDescent="0.25">
      <c r="A17" s="17" t="s">
        <v>5</v>
      </c>
      <c r="B17" s="17"/>
      <c r="C17" s="18">
        <f>'MARCH 21'!F29</f>
        <v>738</v>
      </c>
      <c r="D17" s="18"/>
      <c r="E17" s="17"/>
      <c r="F17" s="17"/>
      <c r="G17" s="17" t="s">
        <v>5</v>
      </c>
      <c r="H17" s="18">
        <f>'MARCH 21'!J29</f>
        <v>-10712</v>
      </c>
      <c r="I17" s="17"/>
      <c r="J17" s="17"/>
      <c r="M17" s="82" t="s">
        <v>69</v>
      </c>
      <c r="N17" s="77">
        <v>12</v>
      </c>
      <c r="O17" s="78"/>
      <c r="P17" s="79">
        <f>'MARCH 21'!V17:V47</f>
        <v>110</v>
      </c>
      <c r="Q17" s="83">
        <v>2500</v>
      </c>
      <c r="R17" s="81">
        <v>350</v>
      </c>
      <c r="S17" s="83">
        <v>200</v>
      </c>
      <c r="T17" s="80">
        <f t="shared" si="2"/>
        <v>3160</v>
      </c>
      <c r="U17" s="80">
        <v>3050</v>
      </c>
      <c r="V17" s="80">
        <f t="shared" si="4"/>
        <v>110</v>
      </c>
      <c r="W17" s="80"/>
      <c r="X17" s="80"/>
      <c r="Y17" s="69"/>
      <c r="Z17" s="120"/>
    </row>
    <row r="18" spans="1:26" ht="15.75" x14ac:dyDescent="0.25">
      <c r="A18" s="25" t="s">
        <v>139</v>
      </c>
      <c r="B18" s="3"/>
      <c r="C18" s="3">
        <f>3000+1000</f>
        <v>4000</v>
      </c>
      <c r="D18" s="3"/>
      <c r="E18" s="3"/>
      <c r="F18" s="3"/>
      <c r="G18" s="3"/>
      <c r="I18" s="17"/>
      <c r="J18" s="17"/>
      <c r="M18" s="76" t="s">
        <v>131</v>
      </c>
      <c r="N18" s="77">
        <v>13</v>
      </c>
      <c r="O18" s="78"/>
      <c r="P18" s="79">
        <f>'MARCH 21'!V18:V48</f>
        <v>1150</v>
      </c>
      <c r="Q18" s="83">
        <v>2500</v>
      </c>
      <c r="R18" s="81">
        <v>350</v>
      </c>
      <c r="S18" s="83">
        <v>200</v>
      </c>
      <c r="T18" s="80">
        <f t="shared" si="2"/>
        <v>4200</v>
      </c>
      <c r="U18" s="80">
        <v>3000</v>
      </c>
      <c r="V18" s="80">
        <f t="shared" si="4"/>
        <v>1200</v>
      </c>
      <c r="W18" s="80"/>
      <c r="X18" s="80"/>
      <c r="Y18" s="69"/>
    </row>
    <row r="19" spans="1:26" ht="15.75" x14ac:dyDescent="0.25">
      <c r="A19" s="25" t="s">
        <v>41</v>
      </c>
      <c r="B19" s="3"/>
      <c r="C19" s="3">
        <f>E11</f>
        <v>1200</v>
      </c>
      <c r="D19" s="3"/>
      <c r="E19" s="3"/>
      <c r="F19" s="3"/>
      <c r="G19" s="3"/>
      <c r="H19" s="14"/>
      <c r="I19" s="17"/>
      <c r="J19" s="17"/>
      <c r="M19" s="76" t="s">
        <v>71</v>
      </c>
      <c r="N19" s="77">
        <v>14</v>
      </c>
      <c r="O19" s="78"/>
      <c r="P19" s="79">
        <f>'MARCH 21'!V19:V49</f>
        <v>0</v>
      </c>
      <c r="Q19" s="83">
        <v>2700</v>
      </c>
      <c r="R19" s="81">
        <v>320</v>
      </c>
      <c r="S19" s="83">
        <v>200</v>
      </c>
      <c r="T19" s="80">
        <f t="shared" si="2"/>
        <v>3220</v>
      </c>
      <c r="U19" s="80">
        <v>3220</v>
      </c>
      <c r="V19" s="80">
        <f t="shared" si="4"/>
        <v>0</v>
      </c>
      <c r="W19" s="80"/>
      <c r="X19" s="80"/>
      <c r="Y19" s="87"/>
    </row>
    <row r="20" spans="1:26" ht="15.75" x14ac:dyDescent="0.25">
      <c r="A20" s="25" t="s">
        <v>42</v>
      </c>
      <c r="B20" s="3"/>
      <c r="C20" s="3">
        <f>F11</f>
        <v>600</v>
      </c>
      <c r="D20" s="3"/>
      <c r="E20" s="3"/>
      <c r="F20" s="3"/>
      <c r="G20" s="3"/>
      <c r="H20" s="3"/>
      <c r="I20" s="17"/>
      <c r="J20" s="17"/>
      <c r="L20">
        <f>9650-8000-200-450</f>
        <v>1000</v>
      </c>
      <c r="M20" s="82" t="s">
        <v>72</v>
      </c>
      <c r="N20" s="77">
        <v>15</v>
      </c>
      <c r="O20" s="78"/>
      <c r="P20" s="79">
        <f>'MARCH 21'!V20:V50</f>
        <v>80</v>
      </c>
      <c r="Q20" s="83">
        <v>4500</v>
      </c>
      <c r="R20" s="81">
        <v>320</v>
      </c>
      <c r="S20" s="83">
        <v>200</v>
      </c>
      <c r="T20" s="80">
        <f t="shared" si="2"/>
        <v>5100</v>
      </c>
      <c r="U20" s="80">
        <v>5050</v>
      </c>
      <c r="V20" s="80">
        <f t="shared" si="4"/>
        <v>50</v>
      </c>
      <c r="W20" s="80"/>
      <c r="X20" s="80"/>
      <c r="Y20" s="69"/>
    </row>
    <row r="21" spans="1:26" ht="15.75" x14ac:dyDescent="0.25">
      <c r="A21" s="17" t="s">
        <v>18</v>
      </c>
      <c r="B21" s="17"/>
      <c r="C21" s="20">
        <v>7.0000000000000007E-2</v>
      </c>
      <c r="D21" s="20"/>
      <c r="E21" s="18">
        <f>C16*C21</f>
        <v>2310</v>
      </c>
      <c r="F21" s="17"/>
      <c r="G21" s="17" t="s">
        <v>18</v>
      </c>
      <c r="H21" s="20">
        <v>7.0000000000000007E-2</v>
      </c>
      <c r="I21" s="18">
        <f>E21</f>
        <v>2310</v>
      </c>
      <c r="J21" s="17"/>
      <c r="M21" s="76" t="s">
        <v>73</v>
      </c>
      <c r="N21" s="77">
        <v>16</v>
      </c>
      <c r="O21" s="78"/>
      <c r="P21" s="79">
        <f>'MARCH 21'!V21:V51</f>
        <v>4600</v>
      </c>
      <c r="Q21" s="83">
        <v>4500</v>
      </c>
      <c r="R21" s="81">
        <v>350</v>
      </c>
      <c r="S21" s="83">
        <v>200</v>
      </c>
      <c r="T21" s="80">
        <f t="shared" si="2"/>
        <v>9650</v>
      </c>
      <c r="U21" s="80">
        <f>5050</f>
        <v>5050</v>
      </c>
      <c r="V21" s="80">
        <f t="shared" si="4"/>
        <v>4600</v>
      </c>
      <c r="W21" s="80"/>
      <c r="X21" s="80"/>
      <c r="Y21" s="69"/>
    </row>
    <row r="22" spans="1:26" ht="15.75" x14ac:dyDescent="0.25">
      <c r="A22" s="16" t="s">
        <v>19</v>
      </c>
      <c r="C22" s="18"/>
      <c r="D22" s="18"/>
      <c r="E22" s="16"/>
      <c r="F22" s="16"/>
      <c r="G22" s="16" t="s">
        <v>19</v>
      </c>
      <c r="H22" s="21"/>
      <c r="I22" s="16"/>
      <c r="J22" s="16"/>
      <c r="M22" s="76" t="s">
        <v>125</v>
      </c>
      <c r="N22" s="77">
        <v>17</v>
      </c>
      <c r="O22" s="78"/>
      <c r="P22" s="79"/>
      <c r="Q22" s="83">
        <v>3000</v>
      </c>
      <c r="R22" s="81">
        <v>350</v>
      </c>
      <c r="S22" s="83">
        <v>200</v>
      </c>
      <c r="T22" s="80">
        <f t="shared" si="2"/>
        <v>3550</v>
      </c>
      <c r="U22" s="80">
        <f>3000</f>
        <v>3000</v>
      </c>
      <c r="V22" s="80">
        <f t="shared" si="4"/>
        <v>550</v>
      </c>
      <c r="W22" s="80"/>
      <c r="X22" s="80"/>
      <c r="Y22" s="69"/>
    </row>
    <row r="23" spans="1:26" ht="15.75" x14ac:dyDescent="0.25">
      <c r="A23" s="22" t="s">
        <v>136</v>
      </c>
      <c r="B23" s="20"/>
      <c r="C23" s="17"/>
      <c r="D23" s="17"/>
      <c r="E23" s="17">
        <v>32678</v>
      </c>
      <c r="F23" s="17"/>
      <c r="G23" s="22" t="s">
        <v>136</v>
      </c>
      <c r="H23" s="20"/>
      <c r="I23" s="17">
        <f>E23</f>
        <v>32678</v>
      </c>
      <c r="J23" s="17"/>
      <c r="M23" s="82" t="s">
        <v>114</v>
      </c>
      <c r="N23" s="77">
        <v>18</v>
      </c>
      <c r="O23" s="78"/>
      <c r="P23" s="79">
        <f>'MARCH 21'!V23:V53</f>
        <v>0</v>
      </c>
      <c r="Q23" s="83">
        <v>4500</v>
      </c>
      <c r="R23" s="81">
        <v>350</v>
      </c>
      <c r="S23" s="83">
        <v>200</v>
      </c>
      <c r="T23" s="80">
        <f t="shared" si="2"/>
        <v>5050</v>
      </c>
      <c r="U23" s="80">
        <v>5050</v>
      </c>
      <c r="V23" s="80">
        <f t="shared" si="4"/>
        <v>0</v>
      </c>
      <c r="W23" s="80"/>
      <c r="X23" s="80"/>
      <c r="Y23" s="69"/>
    </row>
    <row r="24" spans="1:26" ht="15.75" x14ac:dyDescent="0.25">
      <c r="A24" s="23" t="s">
        <v>141</v>
      </c>
      <c r="B24" s="23"/>
      <c r="C24" s="17"/>
      <c r="D24" s="17"/>
      <c r="E24" s="17">
        <v>2100</v>
      </c>
      <c r="F24" s="17"/>
      <c r="G24" s="23"/>
      <c r="H24" s="23"/>
      <c r="I24" s="17"/>
      <c r="J24" s="17"/>
      <c r="M24" s="76" t="s">
        <v>76</v>
      </c>
      <c r="N24" s="77">
        <v>19</v>
      </c>
      <c r="O24" s="78"/>
      <c r="P24" s="79">
        <f>'MARCH 21'!V24:V54</f>
        <v>0</v>
      </c>
      <c r="Q24" s="83">
        <v>2500</v>
      </c>
      <c r="R24" s="81">
        <v>320</v>
      </c>
      <c r="S24" s="83">
        <v>200</v>
      </c>
      <c r="T24" s="80">
        <f t="shared" si="2"/>
        <v>3020</v>
      </c>
      <c r="U24" s="80">
        <f>3000</f>
        <v>3000</v>
      </c>
      <c r="V24" s="80">
        <f>T24-U24</f>
        <v>20</v>
      </c>
      <c r="W24" s="80"/>
      <c r="X24" s="80"/>
      <c r="Y24" s="69"/>
    </row>
    <row r="25" spans="1:26" ht="15.75" x14ac:dyDescent="0.25">
      <c r="A25" s="23"/>
      <c r="B25" s="23"/>
      <c r="C25" s="17"/>
      <c r="D25" s="17"/>
      <c r="E25" s="17"/>
      <c r="F25" s="17"/>
      <c r="G25" s="23"/>
      <c r="H25" s="23"/>
      <c r="I25" s="17"/>
      <c r="J25" s="17"/>
      <c r="K25" s="17"/>
      <c r="M25" s="76" t="s">
        <v>101</v>
      </c>
      <c r="N25" s="77">
        <v>20</v>
      </c>
      <c r="O25" s="78"/>
      <c r="P25" s="79">
        <f>'MARCH 21'!V25:V55</f>
        <v>350</v>
      </c>
      <c r="Q25" s="83">
        <v>2500</v>
      </c>
      <c r="R25" s="81">
        <v>350</v>
      </c>
      <c r="S25" s="83">
        <v>200</v>
      </c>
      <c r="T25" s="80">
        <f t="shared" si="2"/>
        <v>3400</v>
      </c>
      <c r="U25" s="80">
        <f>3050</f>
        <v>3050</v>
      </c>
      <c r="V25" s="80">
        <f t="shared" si="4"/>
        <v>350</v>
      </c>
      <c r="W25" s="80"/>
      <c r="X25" s="80"/>
      <c r="Y25" s="69"/>
    </row>
    <row r="26" spans="1:26" ht="15.75" x14ac:dyDescent="0.25">
      <c r="A26" s="23"/>
      <c r="B26" s="23"/>
      <c r="C26" s="17"/>
      <c r="D26" s="17"/>
      <c r="E26" s="17"/>
      <c r="F26" s="17"/>
      <c r="G26" s="23"/>
      <c r="H26" s="23"/>
      <c r="I26" s="17"/>
      <c r="J26" s="17"/>
      <c r="M26" s="76" t="s">
        <v>78</v>
      </c>
      <c r="N26" s="77">
        <v>21</v>
      </c>
      <c r="O26" s="78"/>
      <c r="P26" s="79">
        <f>'MARCH 21'!V26:V56</f>
        <v>0</v>
      </c>
      <c r="Q26" s="83">
        <v>2500</v>
      </c>
      <c r="R26" s="81">
        <v>320</v>
      </c>
      <c r="S26" s="83">
        <v>200</v>
      </c>
      <c r="T26" s="80">
        <f t="shared" si="2"/>
        <v>3020</v>
      </c>
      <c r="U26" s="80">
        <v>3020</v>
      </c>
      <c r="V26" s="80">
        <f t="shared" si="4"/>
        <v>0</v>
      </c>
      <c r="W26" s="80"/>
      <c r="X26" s="80"/>
      <c r="Y26" s="87"/>
    </row>
    <row r="27" spans="1:26" ht="15.75" x14ac:dyDescent="0.25">
      <c r="A27" s="24"/>
      <c r="B27" s="24"/>
      <c r="C27" s="17"/>
      <c r="D27" s="17"/>
      <c r="E27" s="17"/>
      <c r="F27" s="17"/>
      <c r="H27" s="23"/>
      <c r="I27" s="25"/>
      <c r="J27" s="17"/>
      <c r="M27" s="76" t="s">
        <v>79</v>
      </c>
      <c r="N27" s="77">
        <v>22</v>
      </c>
      <c r="O27" s="78"/>
      <c r="P27" s="79">
        <f>'MARCH 21'!V27:V57</f>
        <v>150</v>
      </c>
      <c r="Q27" s="83">
        <v>4500</v>
      </c>
      <c r="R27" s="81">
        <v>350</v>
      </c>
      <c r="S27" s="83">
        <v>200</v>
      </c>
      <c r="T27" s="80">
        <f t="shared" si="2"/>
        <v>5200</v>
      </c>
      <c r="U27" s="80">
        <v>5050</v>
      </c>
      <c r="V27" s="80">
        <f>T27-U27</f>
        <v>150</v>
      </c>
      <c r="W27" s="80"/>
      <c r="X27" s="80"/>
      <c r="Y27" s="69"/>
    </row>
    <row r="28" spans="1:26" ht="15.75" x14ac:dyDescent="0.25">
      <c r="A28" s="23"/>
      <c r="B28" s="23"/>
      <c r="C28" s="17"/>
      <c r="D28" s="17"/>
      <c r="E28" s="25"/>
      <c r="F28" s="17"/>
      <c r="G28" s="17"/>
      <c r="H28" s="17"/>
      <c r="I28" s="17"/>
      <c r="J28" s="17"/>
      <c r="M28" s="76" t="s">
        <v>80</v>
      </c>
      <c r="N28" s="77">
        <v>23</v>
      </c>
      <c r="O28" s="78"/>
      <c r="P28" s="79">
        <f>'MARCH 21'!V28:V58</f>
        <v>0</v>
      </c>
      <c r="Q28" s="83">
        <v>2500</v>
      </c>
      <c r="R28" s="81">
        <v>350</v>
      </c>
      <c r="S28" s="83">
        <v>200</v>
      </c>
      <c r="T28" s="80">
        <f t="shared" si="2"/>
        <v>3050</v>
      </c>
      <c r="U28" s="80">
        <v>3050</v>
      </c>
      <c r="V28" s="80">
        <f t="shared" si="4"/>
        <v>0</v>
      </c>
      <c r="W28" s="80"/>
      <c r="X28" s="80"/>
      <c r="Y28" s="69"/>
    </row>
    <row r="29" spans="1:26" ht="15.75" x14ac:dyDescent="0.25">
      <c r="A29" s="16" t="s">
        <v>20</v>
      </c>
      <c r="B29" s="16"/>
      <c r="C29" s="21">
        <f>C16+C17+C18+C19+C20-E21</f>
        <v>37228</v>
      </c>
      <c r="D29" s="21"/>
      <c r="E29" s="21">
        <f>SUM(E23:E28)</f>
        <v>34778</v>
      </c>
      <c r="F29" s="21">
        <f>C29-E29</f>
        <v>2450</v>
      </c>
      <c r="G29" s="16" t="s">
        <v>20</v>
      </c>
      <c r="H29" s="21">
        <f>H16+H17-I21</f>
        <v>34728</v>
      </c>
      <c r="I29" s="21">
        <f>SUM(I23:I28)</f>
        <v>32678</v>
      </c>
      <c r="J29" s="21">
        <f>H29-I29</f>
        <v>2050</v>
      </c>
      <c r="M29" s="76" t="s">
        <v>81</v>
      </c>
      <c r="N29" s="77">
        <v>24</v>
      </c>
      <c r="O29" s="78"/>
      <c r="P29" s="79">
        <f>'MARCH 21'!V29:V59</f>
        <v>1578</v>
      </c>
      <c r="Q29" s="83">
        <v>2500</v>
      </c>
      <c r="R29" s="81">
        <v>320</v>
      </c>
      <c r="S29" s="83"/>
      <c r="T29" s="80">
        <f t="shared" si="2"/>
        <v>4398</v>
      </c>
      <c r="U29" s="80">
        <v>3020</v>
      </c>
      <c r="V29" s="80">
        <f t="shared" si="4"/>
        <v>1378</v>
      </c>
      <c r="W29" s="80">
        <v>200</v>
      </c>
      <c r="X29" s="80"/>
      <c r="Y29" s="69"/>
    </row>
    <row r="30" spans="1:26" ht="15.75" x14ac:dyDescent="0.25">
      <c r="M30" s="76" t="s">
        <v>82</v>
      </c>
      <c r="N30" s="77">
        <v>25</v>
      </c>
      <c r="O30" s="78"/>
      <c r="P30" s="79">
        <f>'MARCH 21'!V30:V60</f>
        <v>0</v>
      </c>
      <c r="Q30" s="83">
        <v>2700</v>
      </c>
      <c r="R30" s="81">
        <v>350</v>
      </c>
      <c r="S30" s="83">
        <v>200</v>
      </c>
      <c r="T30" s="80">
        <f t="shared" si="2"/>
        <v>3250</v>
      </c>
      <c r="U30" s="80">
        <f>3250</f>
        <v>3250</v>
      </c>
      <c r="V30" s="80">
        <f t="shared" si="4"/>
        <v>0</v>
      </c>
      <c r="W30" s="80"/>
      <c r="X30" s="80"/>
      <c r="Y30" s="69"/>
    </row>
    <row r="31" spans="1:26" ht="15.75" x14ac:dyDescent="0.25">
      <c r="A31" t="s">
        <v>21</v>
      </c>
      <c r="E31" t="s">
        <v>22</v>
      </c>
      <c r="H31" t="s">
        <v>23</v>
      </c>
      <c r="M31" s="76" t="s">
        <v>83</v>
      </c>
      <c r="N31" s="77">
        <v>26</v>
      </c>
      <c r="O31" s="78"/>
      <c r="P31" s="79">
        <f>'MARCH 21'!V31:V61</f>
        <v>708</v>
      </c>
      <c r="Q31" s="83">
        <v>4500</v>
      </c>
      <c r="R31" s="81">
        <v>350</v>
      </c>
      <c r="S31" s="83">
        <v>200</v>
      </c>
      <c r="T31" s="80">
        <f t="shared" si="2"/>
        <v>5758</v>
      </c>
      <c r="U31" s="80">
        <v>5050</v>
      </c>
      <c r="V31" s="80">
        <f>T31-U31</f>
        <v>708</v>
      </c>
      <c r="W31" s="80"/>
      <c r="X31" s="80"/>
      <c r="Y31" s="69"/>
    </row>
    <row r="32" spans="1:26" ht="15.75" x14ac:dyDescent="0.25">
      <c r="M32" s="76" t="s">
        <v>84</v>
      </c>
      <c r="N32" s="77">
        <v>27</v>
      </c>
      <c r="O32" s="78"/>
      <c r="P32" s="79">
        <f>'MARCH 21'!V32:V62</f>
        <v>4500</v>
      </c>
      <c r="Q32" s="83">
        <v>4500</v>
      </c>
      <c r="R32" s="81">
        <v>320</v>
      </c>
      <c r="S32" s="83">
        <v>200</v>
      </c>
      <c r="T32" s="80">
        <f t="shared" si="2"/>
        <v>9520</v>
      </c>
      <c r="U32" s="80">
        <f>1000+4000+3000</f>
        <v>8000</v>
      </c>
      <c r="V32" s="80">
        <f>T32-U32</f>
        <v>1520</v>
      </c>
      <c r="W32" s="80"/>
      <c r="X32" s="69"/>
      <c r="Y32" s="69"/>
    </row>
    <row r="33" spans="1:26" ht="15.75" x14ac:dyDescent="0.25">
      <c r="A33" t="s">
        <v>24</v>
      </c>
      <c r="E33" t="s">
        <v>25</v>
      </c>
      <c r="H33" t="s">
        <v>34</v>
      </c>
      <c r="M33" s="88" t="s">
        <v>40</v>
      </c>
      <c r="N33" s="77">
        <v>28</v>
      </c>
      <c r="O33" s="78"/>
      <c r="P33" s="79">
        <f>'MARCH 21'!V33:V63</f>
        <v>0</v>
      </c>
      <c r="Q33" s="83"/>
      <c r="R33" s="81"/>
      <c r="S33" s="83"/>
      <c r="T33" s="80">
        <f t="shared" si="2"/>
        <v>0</v>
      </c>
      <c r="U33" s="80"/>
      <c r="V33" s="80">
        <f t="shared" si="4"/>
        <v>0</v>
      </c>
      <c r="W33" s="80"/>
      <c r="X33" s="80"/>
      <c r="Y33" s="69"/>
    </row>
    <row r="34" spans="1:26" ht="15.75" x14ac:dyDescent="0.25">
      <c r="J34" s="119"/>
      <c r="M34" s="76" t="s">
        <v>85</v>
      </c>
      <c r="N34" s="77">
        <v>29</v>
      </c>
      <c r="O34" s="78"/>
      <c r="P34" s="79">
        <f>'MARCH 21'!V34:V64</f>
        <v>20</v>
      </c>
      <c r="Q34" s="83">
        <v>4500</v>
      </c>
      <c r="R34" s="81">
        <v>350</v>
      </c>
      <c r="S34" s="83">
        <v>200</v>
      </c>
      <c r="T34" s="80">
        <f t="shared" si="2"/>
        <v>5070</v>
      </c>
      <c r="U34" s="80">
        <f>2000</f>
        <v>2000</v>
      </c>
      <c r="V34" s="80">
        <f t="shared" si="4"/>
        <v>3070</v>
      </c>
      <c r="W34" s="80"/>
      <c r="X34" s="80"/>
      <c r="Y34" s="69"/>
    </row>
    <row r="35" spans="1:26" ht="15.75" x14ac:dyDescent="0.25">
      <c r="J35">
        <f>I34*18</f>
        <v>0</v>
      </c>
      <c r="M35" s="76"/>
      <c r="N35" s="77"/>
      <c r="O35" s="78"/>
      <c r="P35" s="79">
        <f>'MARCH 21'!V35:V65</f>
        <v>0</v>
      </c>
      <c r="Q35" s="83"/>
      <c r="R35" s="81"/>
      <c r="S35" s="83"/>
      <c r="T35" s="80">
        <f t="shared" si="2"/>
        <v>0</v>
      </c>
      <c r="U35" s="80"/>
      <c r="V35" s="80">
        <f t="shared" si="4"/>
        <v>0</v>
      </c>
      <c r="W35" s="80"/>
      <c r="X35" s="80"/>
      <c r="Y35" s="69"/>
    </row>
    <row r="36" spans="1:26" ht="15.75" x14ac:dyDescent="0.25">
      <c r="C36" s="119">
        <f>C16+C19+C20</f>
        <v>34800</v>
      </c>
      <c r="E36" s="119"/>
      <c r="M36" s="76"/>
      <c r="N36" s="77" t="s">
        <v>86</v>
      </c>
      <c r="O36" s="78"/>
      <c r="P36" s="79">
        <f>'MARCH 21'!V36:V66</f>
        <v>0</v>
      </c>
      <c r="Q36" s="83"/>
      <c r="R36" s="81"/>
      <c r="S36" s="83"/>
      <c r="T36" s="80">
        <f t="shared" si="2"/>
        <v>0</v>
      </c>
      <c r="U36" s="80"/>
      <c r="V36" s="80">
        <f t="shared" si="4"/>
        <v>0</v>
      </c>
      <c r="W36" s="80"/>
      <c r="X36" s="80"/>
      <c r="Y36" s="69"/>
    </row>
    <row r="37" spans="1:26" ht="15.75" x14ac:dyDescent="0.25">
      <c r="C37" s="119">
        <f>C36-E21</f>
        <v>32490</v>
      </c>
      <c r="E37" s="119"/>
      <c r="M37" s="76" t="s">
        <v>93</v>
      </c>
      <c r="N37" s="77" t="s">
        <v>87</v>
      </c>
      <c r="O37" s="78"/>
      <c r="P37" s="79">
        <f>'MARCH 21'!V37:V67</f>
        <v>0</v>
      </c>
      <c r="Q37" s="83">
        <v>7000</v>
      </c>
      <c r="R37" s="81"/>
      <c r="S37" s="83"/>
      <c r="T37" s="80">
        <f t="shared" si="2"/>
        <v>7000</v>
      </c>
      <c r="U37" s="80">
        <v>7000</v>
      </c>
      <c r="V37" s="80">
        <f t="shared" si="4"/>
        <v>0</v>
      </c>
      <c r="W37" s="80"/>
      <c r="X37" s="80"/>
      <c r="Y37" s="69"/>
    </row>
    <row r="38" spans="1:26" ht="15.75" x14ac:dyDescent="0.25">
      <c r="C38" s="119">
        <f>C37-E25</f>
        <v>32490</v>
      </c>
      <c r="E38" s="119"/>
      <c r="M38" s="76" t="s">
        <v>92</v>
      </c>
      <c r="N38" s="77" t="s">
        <v>88</v>
      </c>
      <c r="O38" s="78"/>
      <c r="P38" s="79">
        <f>'MARCH 21'!V38:V68</f>
        <v>0</v>
      </c>
      <c r="Q38" s="83">
        <v>7000</v>
      </c>
      <c r="R38" s="81"/>
      <c r="S38" s="83"/>
      <c r="T38" s="80">
        <f>P38+Q38+R38+S38+O38</f>
        <v>7000</v>
      </c>
      <c r="U38" s="80">
        <v>7000</v>
      </c>
      <c r="V38" s="80">
        <f t="shared" si="4"/>
        <v>0</v>
      </c>
      <c r="W38" s="80"/>
      <c r="X38" s="80"/>
      <c r="Y38" s="69"/>
    </row>
    <row r="39" spans="1:26" ht="15.75" x14ac:dyDescent="0.25">
      <c r="M39" s="90" t="s">
        <v>51</v>
      </c>
      <c r="N39" s="76"/>
      <c r="O39" s="78">
        <f t="shared" ref="O39:X39" si="5">SUM(O6:O38)</f>
        <v>0</v>
      </c>
      <c r="P39" s="79">
        <f>SUM(P6:P38)</f>
        <v>21050</v>
      </c>
      <c r="Q39" s="91">
        <f>SUM(Q6:Q38)</f>
        <v>93900</v>
      </c>
      <c r="R39" s="92">
        <f t="shared" si="5"/>
        <v>8570</v>
      </c>
      <c r="S39" s="93">
        <f t="shared" si="5"/>
        <v>4800</v>
      </c>
      <c r="T39" s="80">
        <f>SUM(T6:T38)</f>
        <v>128320</v>
      </c>
      <c r="U39" s="80">
        <f t="shared" si="5"/>
        <v>102910</v>
      </c>
      <c r="V39" s="80">
        <f t="shared" si="5"/>
        <v>25410</v>
      </c>
      <c r="W39" s="80">
        <f>SUM(W6:W38)</f>
        <v>200</v>
      </c>
      <c r="X39" s="80">
        <f t="shared" si="5"/>
        <v>0</v>
      </c>
      <c r="Y39" s="69"/>
    </row>
    <row r="40" spans="1:26" ht="15.75" x14ac:dyDescent="0.25">
      <c r="M40" s="94" t="s">
        <v>12</v>
      </c>
      <c r="N40" s="94"/>
      <c r="O40" s="94"/>
      <c r="P40" s="95"/>
      <c r="Q40" s="118">
        <f>Q39-Q38-Q37</f>
        <v>79900</v>
      </c>
      <c r="R40" s="94" t="s">
        <v>8</v>
      </c>
      <c r="S40" s="94"/>
      <c r="T40" s="94"/>
      <c r="U40" s="70"/>
      <c r="V40" s="70"/>
      <c r="W40" s="70"/>
      <c r="X40" s="71"/>
      <c r="Y40" s="69"/>
      <c r="Z40">
        <f>AA37</f>
        <v>0</v>
      </c>
    </row>
    <row r="41" spans="1:26" ht="15.75" x14ac:dyDescent="0.25"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  <c r="Y41" s="69"/>
    </row>
    <row r="42" spans="1:26" ht="15.75" x14ac:dyDescent="0.25">
      <c r="M42" s="76" t="s">
        <v>129</v>
      </c>
      <c r="N42" s="98">
        <f>Q39</f>
        <v>93900</v>
      </c>
      <c r="O42" s="76"/>
      <c r="P42" s="76"/>
      <c r="Q42" s="76"/>
      <c r="R42" s="76" t="s">
        <v>129</v>
      </c>
      <c r="S42" s="76"/>
      <c r="T42" s="99">
        <f>U39</f>
        <v>102910</v>
      </c>
      <c r="U42" s="76"/>
      <c r="V42" s="76"/>
      <c r="W42" s="76"/>
      <c r="X42" s="100"/>
      <c r="Y42" s="69"/>
    </row>
    <row r="43" spans="1:26" ht="15.75" x14ac:dyDescent="0.25">
      <c r="I43" s="119"/>
      <c r="M43" s="76" t="s">
        <v>5</v>
      </c>
      <c r="N43" s="98">
        <f>'MARCH 21'!P56</f>
        <v>-96</v>
      </c>
      <c r="O43" s="76"/>
      <c r="P43" s="76"/>
      <c r="Q43" s="76"/>
      <c r="R43" s="76" t="s">
        <v>5</v>
      </c>
      <c r="S43" s="76"/>
      <c r="T43" s="98">
        <f>'MARCH 21'!V56</f>
        <v>-10466</v>
      </c>
      <c r="U43" s="76"/>
      <c r="V43" s="76"/>
      <c r="W43" s="76"/>
      <c r="X43" s="100"/>
      <c r="Y43" s="69"/>
    </row>
    <row r="44" spans="1:26" ht="15.75" x14ac:dyDescent="0.25">
      <c r="M44" s="76" t="s">
        <v>4</v>
      </c>
      <c r="N44" s="98">
        <f>O39</f>
        <v>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  <c r="Y44" s="69"/>
    </row>
    <row r="45" spans="1:26" ht="15.75" x14ac:dyDescent="0.25">
      <c r="M45" s="76" t="s">
        <v>41</v>
      </c>
      <c r="N45" s="98">
        <f>R39</f>
        <v>8570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  <c r="Y45" s="69"/>
    </row>
    <row r="46" spans="1:26" ht="15.75" x14ac:dyDescent="0.25">
      <c r="M46" s="76" t="s">
        <v>53</v>
      </c>
      <c r="N46" s="98">
        <f>W39</f>
        <v>200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  <c r="Y46" s="69"/>
    </row>
    <row r="47" spans="1:26" ht="15.75" x14ac:dyDescent="0.25">
      <c r="M47" s="76" t="s">
        <v>42</v>
      </c>
      <c r="N47" s="98">
        <f>S39</f>
        <v>4800</v>
      </c>
      <c r="O47" s="76"/>
      <c r="P47" s="76"/>
      <c r="Q47" s="76"/>
      <c r="R47" s="76" t="s">
        <v>126</v>
      </c>
      <c r="S47" s="76"/>
      <c r="T47" s="99">
        <f>X39</f>
        <v>0</v>
      </c>
      <c r="U47" s="76"/>
      <c r="V47" s="76"/>
      <c r="W47" s="76"/>
      <c r="X47" s="100"/>
      <c r="Y47" s="69"/>
    </row>
    <row r="48" spans="1:26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  <c r="Y48" s="69"/>
    </row>
    <row r="49" spans="10:25" ht="15.75" x14ac:dyDescent="0.25">
      <c r="M49" s="76" t="s">
        <v>126</v>
      </c>
      <c r="N49" s="99">
        <f>X39</f>
        <v>0</v>
      </c>
      <c r="O49" s="98"/>
      <c r="P49" s="76"/>
      <c r="Q49" s="76"/>
      <c r="R49" s="76"/>
      <c r="S49" s="76"/>
      <c r="T49" s="76"/>
      <c r="U49" s="98"/>
      <c r="V49" s="98"/>
      <c r="W49" s="98"/>
      <c r="X49" s="101"/>
      <c r="Y49" s="69"/>
    </row>
    <row r="50" spans="10:25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  <c r="Y50" s="69"/>
    </row>
    <row r="51" spans="10:25" ht="15.75" x14ac:dyDescent="0.25">
      <c r="M51" s="102" t="s">
        <v>55</v>
      </c>
      <c r="N51" s="103">
        <v>7.0000000000000007E-2</v>
      </c>
      <c r="O51" s="99">
        <f>N51*Q40</f>
        <v>5593.0000000000009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T51*Q40</f>
        <v>5593.0000000000009</v>
      </c>
      <c r="V51" s="76"/>
      <c r="W51" s="76"/>
      <c r="X51" s="100"/>
      <c r="Y51" s="69"/>
    </row>
    <row r="52" spans="10:25" ht="15.75" x14ac:dyDescent="0.25">
      <c r="M52" s="104" t="s">
        <v>128</v>
      </c>
      <c r="N52" s="105">
        <v>0.3</v>
      </c>
      <c r="O52" s="69">
        <f>N52*O7+(N52*O120)+(N52*O22)</f>
        <v>0</v>
      </c>
      <c r="P52" s="99"/>
      <c r="Q52" s="99"/>
      <c r="R52" s="104" t="s">
        <v>133</v>
      </c>
      <c r="S52" s="105"/>
      <c r="T52" s="69"/>
      <c r="U52" s="69">
        <v>9110</v>
      </c>
      <c r="V52" s="69"/>
      <c r="W52" s="99"/>
      <c r="X52" s="106"/>
      <c r="Y52" s="87"/>
    </row>
    <row r="53" spans="10:25" ht="15.75" x14ac:dyDescent="0.25">
      <c r="M53" s="104" t="s">
        <v>133</v>
      </c>
      <c r="N53" s="105"/>
      <c r="O53" s="69">
        <f>4555+4555</f>
        <v>9110</v>
      </c>
      <c r="P53" s="99"/>
      <c r="Q53" s="99"/>
      <c r="R53" s="104"/>
      <c r="S53" s="105"/>
      <c r="T53" s="69"/>
      <c r="U53" s="69"/>
      <c r="V53" s="76"/>
      <c r="W53" s="76"/>
      <c r="X53" s="100"/>
      <c r="Y53" s="69"/>
    </row>
    <row r="54" spans="10:25" ht="15.75" x14ac:dyDescent="0.25">
      <c r="M54" s="104" t="s">
        <v>135</v>
      </c>
      <c r="N54" s="103"/>
      <c r="O54" s="99">
        <v>93800</v>
      </c>
      <c r="P54" s="76"/>
      <c r="Q54" s="76"/>
      <c r="R54" s="104" t="s">
        <v>135</v>
      </c>
      <c r="S54" s="103"/>
      <c r="T54" s="99"/>
      <c r="U54" s="99">
        <v>93800</v>
      </c>
      <c r="V54" s="76"/>
      <c r="W54" s="76"/>
      <c r="X54" s="100"/>
      <c r="Y54" s="87"/>
    </row>
    <row r="55" spans="10:25" ht="15.75" x14ac:dyDescent="0.25">
      <c r="M55" s="108"/>
      <c r="N55" s="76"/>
      <c r="O55" s="99"/>
      <c r="P55" s="76"/>
      <c r="Q55" s="76"/>
      <c r="R55" s="76"/>
      <c r="S55" s="99"/>
      <c r="T55" s="102"/>
      <c r="U55" s="99"/>
      <c r="V55" s="99"/>
      <c r="W55" s="99"/>
      <c r="X55" s="106"/>
      <c r="Y55" s="87"/>
    </row>
    <row r="56" spans="10:25" ht="15.75" x14ac:dyDescent="0.25">
      <c r="J56" t="s">
        <v>116</v>
      </c>
      <c r="M56" s="90" t="s">
        <v>20</v>
      </c>
      <c r="N56" s="109">
        <f>N42+N43+N44+N45+N46+N47+N49+N48</f>
        <v>107374</v>
      </c>
      <c r="O56" s="109">
        <f>SUM(O51:O55)</f>
        <v>108503</v>
      </c>
      <c r="P56" s="109">
        <f>N56-O56</f>
        <v>-1129</v>
      </c>
      <c r="Q56" s="109"/>
      <c r="R56" s="90"/>
      <c r="S56" s="90"/>
      <c r="T56" s="109">
        <f>T42+T43+T45+T47+T48</f>
        <v>92444</v>
      </c>
      <c r="U56" s="109">
        <f>SUM(U51:U55)</f>
        <v>108503</v>
      </c>
      <c r="V56" s="109">
        <f>T56-U56</f>
        <v>-16059</v>
      </c>
      <c r="W56" s="109"/>
      <c r="X56" s="110"/>
      <c r="Y56" s="69"/>
    </row>
    <row r="57" spans="10:25" ht="15.75" x14ac:dyDescent="0.25">
      <c r="M57" s="70"/>
      <c r="N57" s="70"/>
      <c r="O57" s="70"/>
      <c r="P57" s="70"/>
      <c r="Q57" s="70"/>
      <c r="R57" s="70"/>
      <c r="S57" s="70"/>
      <c r="T57" s="70"/>
      <c r="U57" s="111">
        <f>U56-U51</f>
        <v>102910</v>
      </c>
      <c r="V57" s="70"/>
      <c r="W57" s="70"/>
      <c r="X57" s="71"/>
      <c r="Y57" s="69"/>
    </row>
    <row r="58" spans="10:25" ht="15.75" x14ac:dyDescent="0.25">
      <c r="M58" s="112" t="s">
        <v>56</v>
      </c>
      <c r="N58" s="113"/>
      <c r="O58" s="113" t="s">
        <v>22</v>
      </c>
      <c r="P58" s="114"/>
      <c r="Q58" s="114"/>
      <c r="R58" s="112"/>
      <c r="S58" s="112"/>
      <c r="T58" s="112" t="s">
        <v>57</v>
      </c>
      <c r="U58" s="70"/>
      <c r="V58" s="70"/>
      <c r="W58" s="70"/>
      <c r="X58" s="71"/>
      <c r="Y58" s="69"/>
    </row>
    <row r="59" spans="10:25" ht="15.75" x14ac:dyDescent="0.25">
      <c r="M59" s="70" t="s">
        <v>24</v>
      </c>
      <c r="N59" s="70"/>
      <c r="O59" s="70" t="s">
        <v>25</v>
      </c>
      <c r="P59" s="70"/>
      <c r="Q59" s="70"/>
      <c r="R59" s="70"/>
      <c r="S59" s="70"/>
      <c r="T59" s="70" t="s">
        <v>34</v>
      </c>
      <c r="U59" s="70"/>
      <c r="V59" s="70"/>
      <c r="W59" s="111"/>
      <c r="X59" s="71"/>
      <c r="Y59" s="69"/>
    </row>
    <row r="60" spans="10:25" ht="15.75" x14ac:dyDescent="0.25"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 spans="10:25" ht="15.75" x14ac:dyDescent="0.25">
      <c r="M61" s="69"/>
      <c r="N61" s="69"/>
      <c r="O61" s="69"/>
      <c r="P61" s="69"/>
      <c r="Q61" s="69"/>
      <c r="R61" s="115"/>
      <c r="S61" s="69"/>
      <c r="T61" s="69"/>
      <c r="U61" s="69"/>
      <c r="V61" s="69"/>
      <c r="W61" s="69"/>
      <c r="X61" s="69"/>
      <c r="Y61" s="69"/>
    </row>
    <row r="66" spans="14:18" x14ac:dyDescent="0.25">
      <c r="R66" s="119"/>
    </row>
    <row r="68" spans="14:18" x14ac:dyDescent="0.25">
      <c r="N68">
        <f>6500/30</f>
        <v>216.66666666666666</v>
      </c>
    </row>
    <row r="69" spans="14:18" x14ac:dyDescent="0.25">
      <c r="N69">
        <f>N68*5</f>
        <v>1083.3333333333333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opLeftCell="J1" workbookViewId="0">
      <selection activeCell="U15" sqref="U15"/>
    </sheetView>
  </sheetViews>
  <sheetFormatPr defaultRowHeight="15" x14ac:dyDescent="0.25"/>
  <cols>
    <col min="2" max="2" width="19.42578125" customWidth="1"/>
    <col min="13" max="13" width="22.5703125" customWidth="1"/>
    <col min="20" max="20" width="10.5703125" customWidth="1"/>
    <col min="21" max="22" width="10.42578125" customWidth="1"/>
  </cols>
  <sheetData>
    <row r="1" spans="1:25" ht="15.75" x14ac:dyDescent="0.25">
      <c r="A1" s="1"/>
      <c r="B1" s="1"/>
      <c r="C1" s="1"/>
      <c r="D1" s="1" t="s">
        <v>29</v>
      </c>
      <c r="E1" s="1"/>
      <c r="F1" s="1"/>
      <c r="G1" s="1"/>
      <c r="H1" s="1"/>
      <c r="I1" s="1"/>
      <c r="J1" s="1"/>
      <c r="M1" s="69"/>
      <c r="N1" s="69"/>
      <c r="O1" s="71"/>
      <c r="P1" s="71"/>
      <c r="Q1" s="71"/>
      <c r="R1" s="71"/>
      <c r="S1" s="71"/>
      <c r="T1" s="69"/>
      <c r="U1" s="71"/>
      <c r="V1" s="71"/>
      <c r="W1" s="71"/>
      <c r="X1" s="71"/>
      <c r="Y1" s="69"/>
    </row>
    <row r="2" spans="1:25" ht="15.75" x14ac:dyDescent="0.25">
      <c r="A2" s="1"/>
      <c r="B2" s="1"/>
      <c r="C2" s="1"/>
      <c r="D2" s="1" t="s">
        <v>0</v>
      </c>
      <c r="E2" s="1"/>
      <c r="F2" s="1"/>
      <c r="G2" s="1"/>
      <c r="H2" s="1"/>
      <c r="I2" s="1"/>
      <c r="J2" s="1"/>
      <c r="M2" s="69"/>
      <c r="N2" s="69"/>
      <c r="O2" s="27"/>
      <c r="P2" s="69"/>
      <c r="Q2" s="27" t="s">
        <v>58</v>
      </c>
      <c r="R2" s="70"/>
      <c r="S2" s="27"/>
      <c r="T2" s="28"/>
      <c r="U2" s="70"/>
      <c r="V2" s="70"/>
      <c r="W2" s="70"/>
      <c r="X2" s="70"/>
      <c r="Y2" s="69"/>
    </row>
    <row r="3" spans="1:25" ht="15.75" x14ac:dyDescent="0.25">
      <c r="A3" s="1"/>
      <c r="B3" s="1"/>
      <c r="C3" s="1"/>
      <c r="D3" s="1" t="s">
        <v>137</v>
      </c>
      <c r="E3" s="1"/>
      <c r="F3" s="1"/>
      <c r="G3" s="1"/>
      <c r="H3" s="1"/>
      <c r="I3" s="1"/>
      <c r="J3" s="1"/>
      <c r="M3" s="70"/>
      <c r="N3" s="27"/>
      <c r="O3" s="27"/>
      <c r="P3" s="27"/>
      <c r="Q3" s="27" t="s">
        <v>0</v>
      </c>
      <c r="R3" s="27"/>
      <c r="S3" s="71"/>
      <c r="T3" s="29"/>
      <c r="U3" s="70"/>
      <c r="V3" s="70"/>
      <c r="W3" s="70"/>
      <c r="X3" s="70"/>
      <c r="Y3" s="69"/>
    </row>
    <row r="4" spans="1:25" ht="15.7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41</v>
      </c>
      <c r="F4" s="2" t="s">
        <v>42</v>
      </c>
      <c r="G4" s="2" t="s">
        <v>6</v>
      </c>
      <c r="H4" s="2" t="s">
        <v>7</v>
      </c>
      <c r="I4" s="2" t="s">
        <v>8</v>
      </c>
      <c r="J4" s="2" t="s">
        <v>9</v>
      </c>
      <c r="M4" s="27"/>
      <c r="N4" s="70"/>
      <c r="O4" s="69"/>
      <c r="P4" s="27" t="s">
        <v>137</v>
      </c>
      <c r="Q4" s="27"/>
      <c r="R4" s="69"/>
      <c r="S4" s="27"/>
      <c r="T4" s="31"/>
      <c r="U4" s="31"/>
      <c r="V4" s="31"/>
      <c r="W4" s="31"/>
      <c r="X4" s="31"/>
      <c r="Y4" s="69"/>
    </row>
    <row r="5" spans="1:25" ht="15.75" x14ac:dyDescent="0.25">
      <c r="A5" s="3">
        <v>1</v>
      </c>
      <c r="B5" s="3" t="s">
        <v>26</v>
      </c>
      <c r="C5" s="3"/>
      <c r="D5" s="3">
        <f>'APRIL 21'!J5:J11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123</v>
      </c>
      <c r="Y5" s="69"/>
    </row>
    <row r="6" spans="1:25" ht="15.75" x14ac:dyDescent="0.25">
      <c r="A6" s="3">
        <v>2</v>
      </c>
      <c r="B6" s="3" t="s">
        <v>26</v>
      </c>
      <c r="C6" s="3"/>
      <c r="D6" s="3">
        <f>'APRIL 21'!J6:J12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>
        <f>'APRIL 21'!V6:V39</f>
        <v>0</v>
      </c>
      <c r="Q6" s="80"/>
      <c r="R6" s="81"/>
      <c r="S6" s="80"/>
      <c r="T6" s="80">
        <f>P6+Q6+R6+S6+O6</f>
        <v>0</v>
      </c>
      <c r="U6" s="80"/>
      <c r="V6" s="80">
        <f>T6-U6</f>
        <v>0</v>
      </c>
      <c r="W6" s="80"/>
      <c r="X6" s="80"/>
      <c r="Y6" s="69"/>
    </row>
    <row r="7" spans="1:25" ht="15.75" x14ac:dyDescent="0.25">
      <c r="A7" s="3">
        <v>3</v>
      </c>
      <c r="B7" s="3" t="s">
        <v>40</v>
      </c>
      <c r="C7" s="3"/>
      <c r="D7" s="3"/>
      <c r="E7" s="3"/>
      <c r="F7" s="3"/>
      <c r="G7" s="3"/>
      <c r="H7" s="3">
        <f t="shared" si="0"/>
        <v>0</v>
      </c>
      <c r="I7" s="3"/>
      <c r="J7" s="3">
        <f t="shared" si="1"/>
        <v>0</v>
      </c>
      <c r="M7" s="82" t="s">
        <v>115</v>
      </c>
      <c r="N7" s="77">
        <v>2</v>
      </c>
      <c r="O7" s="78"/>
      <c r="P7" s="79">
        <f>'APRIL 21'!V7:V40</f>
        <v>350</v>
      </c>
      <c r="Q7" s="83">
        <v>2500</v>
      </c>
      <c r="R7" s="81">
        <v>350</v>
      </c>
      <c r="S7" s="83">
        <v>200</v>
      </c>
      <c r="T7" s="80">
        <f t="shared" ref="T7:T37" si="2">P7+Q7+R7+S7+O7</f>
        <v>3400</v>
      </c>
      <c r="U7" s="80">
        <f>2700</f>
        <v>2700</v>
      </c>
      <c r="V7" s="80">
        <f>T7-U7</f>
        <v>700</v>
      </c>
      <c r="W7" s="80"/>
      <c r="X7" s="80"/>
      <c r="Y7" s="69"/>
    </row>
    <row r="8" spans="1:25" ht="15.75" x14ac:dyDescent="0.25">
      <c r="A8" s="3">
        <v>4</v>
      </c>
      <c r="B8" s="3" t="s">
        <v>134</v>
      </c>
      <c r="C8" s="3"/>
      <c r="D8" s="3"/>
      <c r="E8" s="3"/>
      <c r="F8" s="3">
        <v>200</v>
      </c>
      <c r="G8" s="3">
        <v>9000</v>
      </c>
      <c r="H8" s="3">
        <f t="shared" si="0"/>
        <v>9200</v>
      </c>
      <c r="I8" s="3">
        <f>8000</f>
        <v>8000</v>
      </c>
      <c r="J8" s="3">
        <f t="shared" si="1"/>
        <v>1200</v>
      </c>
      <c r="M8" s="82" t="s">
        <v>60</v>
      </c>
      <c r="N8" s="77">
        <v>3</v>
      </c>
      <c r="O8" s="78"/>
      <c r="P8" s="79">
        <f>'APRIL 21'!V8:V41</f>
        <v>1840</v>
      </c>
      <c r="Q8" s="83">
        <v>2500</v>
      </c>
      <c r="R8" s="81">
        <v>350</v>
      </c>
      <c r="S8" s="83">
        <v>200</v>
      </c>
      <c r="T8" s="80">
        <f t="shared" si="2"/>
        <v>4890</v>
      </c>
      <c r="U8" s="80">
        <f>1000+1000+530</f>
        <v>2530</v>
      </c>
      <c r="V8" s="80">
        <f>T8-U8</f>
        <v>2360</v>
      </c>
      <c r="W8" s="80"/>
      <c r="X8" s="80"/>
      <c r="Y8" s="69"/>
    </row>
    <row r="9" spans="1:25" ht="15.75" x14ac:dyDescent="0.25">
      <c r="A9" s="3">
        <v>5</v>
      </c>
      <c r="B9" s="3" t="s">
        <v>95</v>
      </c>
      <c r="C9" s="3"/>
      <c r="D9" s="3">
        <f>'APRIL 21'!J9:J15</f>
        <v>400</v>
      </c>
      <c r="E9" s="3">
        <v>300</v>
      </c>
      <c r="F9" s="3">
        <v>200</v>
      </c>
      <c r="G9" s="3">
        <v>8000</v>
      </c>
      <c r="H9" s="3">
        <f t="shared" si="0"/>
        <v>8900</v>
      </c>
      <c r="I9" s="3">
        <v>8500</v>
      </c>
      <c r="J9" s="3">
        <f t="shared" si="1"/>
        <v>400</v>
      </c>
      <c r="M9" s="88" t="s">
        <v>26</v>
      </c>
      <c r="N9" s="77">
        <v>4</v>
      </c>
      <c r="O9" s="78"/>
      <c r="P9" s="79">
        <f>'APRIL 21'!V9:V42</f>
        <v>0</v>
      </c>
      <c r="Q9" s="83"/>
      <c r="R9" s="81"/>
      <c r="S9" s="83"/>
      <c r="T9" s="80">
        <f t="shared" si="2"/>
        <v>0</v>
      </c>
      <c r="U9" s="80"/>
      <c r="V9" s="80">
        <f>T9-U9</f>
        <v>0</v>
      </c>
      <c r="W9" s="80"/>
      <c r="X9" s="80"/>
      <c r="Y9" s="69"/>
    </row>
    <row r="10" spans="1:25" ht="15.75" x14ac:dyDescent="0.25">
      <c r="A10" s="3">
        <v>6</v>
      </c>
      <c r="B10" s="4" t="s">
        <v>28</v>
      </c>
      <c r="C10" s="4"/>
      <c r="D10" s="3">
        <f>'APRIL 21'!J10:J16</f>
        <v>3150</v>
      </c>
      <c r="E10" s="3">
        <v>150</v>
      </c>
      <c r="F10" s="3">
        <v>200</v>
      </c>
      <c r="G10" s="3">
        <v>8000</v>
      </c>
      <c r="H10" s="3">
        <f t="shared" si="0"/>
        <v>11500</v>
      </c>
      <c r="I10" s="3">
        <v>8350</v>
      </c>
      <c r="J10" s="3">
        <f t="shared" si="1"/>
        <v>3150</v>
      </c>
      <c r="M10" s="121" t="s">
        <v>140</v>
      </c>
      <c r="N10" s="77">
        <v>5</v>
      </c>
      <c r="O10" s="78"/>
      <c r="P10" s="79">
        <f>'APRIL 21'!V10:V43</f>
        <v>0</v>
      </c>
      <c r="Q10" s="83">
        <v>2500</v>
      </c>
      <c r="R10" s="81">
        <v>350</v>
      </c>
      <c r="S10" s="83">
        <v>200</v>
      </c>
      <c r="T10" s="80">
        <f t="shared" si="2"/>
        <v>3050</v>
      </c>
      <c r="U10" s="80">
        <v>3050</v>
      </c>
      <c r="V10" s="80">
        <f>T10-U10</f>
        <v>0</v>
      </c>
      <c r="W10" s="80"/>
      <c r="X10" s="80"/>
      <c r="Y10" s="69"/>
    </row>
    <row r="11" spans="1:25" ht="15.75" x14ac:dyDescent="0.25">
      <c r="A11" s="3"/>
      <c r="B11" s="2" t="s">
        <v>10</v>
      </c>
      <c r="C11" s="2">
        <f t="shared" ref="C11:J11" si="3">SUM(C5:C10)</f>
        <v>0</v>
      </c>
      <c r="D11" s="3">
        <f t="shared" si="3"/>
        <v>3550</v>
      </c>
      <c r="E11" s="3">
        <f t="shared" si="3"/>
        <v>450</v>
      </c>
      <c r="F11" s="3">
        <f t="shared" si="3"/>
        <v>600</v>
      </c>
      <c r="G11" s="2">
        <f t="shared" si="3"/>
        <v>25000</v>
      </c>
      <c r="H11" s="3">
        <f t="shared" si="3"/>
        <v>29600</v>
      </c>
      <c r="I11" s="2">
        <f t="shared" si="3"/>
        <v>24850</v>
      </c>
      <c r="J11" s="2">
        <f t="shared" si="3"/>
        <v>4750</v>
      </c>
      <c r="M11" s="85" t="s">
        <v>63</v>
      </c>
      <c r="N11" s="77">
        <v>6</v>
      </c>
      <c r="O11" s="78"/>
      <c r="P11" s="79">
        <f>'APRIL 21'!V11:V44</f>
        <v>0</v>
      </c>
      <c r="Q11" s="83">
        <v>2500</v>
      </c>
      <c r="R11" s="81">
        <v>350</v>
      </c>
      <c r="S11" s="83">
        <v>200</v>
      </c>
      <c r="T11" s="80">
        <f t="shared" si="2"/>
        <v>3050</v>
      </c>
      <c r="U11" s="80">
        <v>3050</v>
      </c>
      <c r="V11" s="80">
        <f t="shared" ref="V11:V38" si="4">T11-U11</f>
        <v>0</v>
      </c>
      <c r="W11" s="80"/>
      <c r="X11" s="80"/>
      <c r="Y11" s="69"/>
    </row>
    <row r="12" spans="1:25" ht="15.75" x14ac:dyDescent="0.25">
      <c r="A12" s="5"/>
      <c r="B12" s="6"/>
      <c r="C12" s="6"/>
      <c r="D12" s="3"/>
      <c r="E12" s="5"/>
      <c r="F12" s="5"/>
      <c r="G12" s="6" t="s">
        <v>10</v>
      </c>
      <c r="H12" s="6"/>
      <c r="I12" s="6"/>
      <c r="J12" s="7"/>
      <c r="M12" s="76" t="s">
        <v>61</v>
      </c>
      <c r="N12" s="77">
        <v>7</v>
      </c>
      <c r="O12" s="78"/>
      <c r="P12" s="79">
        <f>'APRIL 21'!V12:V45</f>
        <v>400</v>
      </c>
      <c r="Q12" s="83">
        <v>3000</v>
      </c>
      <c r="R12" s="81">
        <v>350</v>
      </c>
      <c r="S12" s="83">
        <v>200</v>
      </c>
      <c r="T12" s="80">
        <f>P12+Q12+R12+S12+O12</f>
        <v>3950</v>
      </c>
      <c r="U12" s="80">
        <f>3550</f>
        <v>3550</v>
      </c>
      <c r="V12" s="80">
        <f t="shared" si="4"/>
        <v>400</v>
      </c>
      <c r="W12" s="80"/>
      <c r="X12" s="80"/>
      <c r="Y12" s="69"/>
    </row>
    <row r="13" spans="1:25" ht="15.75" x14ac:dyDescent="0.25">
      <c r="A13" s="8" t="s">
        <v>11</v>
      </c>
      <c r="B13" s="8"/>
      <c r="C13" s="9"/>
      <c r="D13" s="9"/>
      <c r="G13" s="10"/>
      <c r="H13" s="13"/>
      <c r="I13" s="12"/>
      <c r="J13" s="8"/>
      <c r="M13" s="86" t="s">
        <v>124</v>
      </c>
      <c r="N13" s="77">
        <v>8</v>
      </c>
      <c r="O13" s="78"/>
      <c r="P13" s="79">
        <f>'APRIL 21'!V13:V46</f>
        <v>900</v>
      </c>
      <c r="Q13" s="83">
        <v>2500</v>
      </c>
      <c r="R13" s="81">
        <v>350</v>
      </c>
      <c r="S13" s="83">
        <v>200</v>
      </c>
      <c r="T13" s="80">
        <f t="shared" si="2"/>
        <v>3950</v>
      </c>
      <c r="U13" s="80">
        <f>1000+1800</f>
        <v>2800</v>
      </c>
      <c r="V13" s="80">
        <f t="shared" si="4"/>
        <v>1150</v>
      </c>
      <c r="W13" s="80"/>
      <c r="X13" s="80"/>
      <c r="Y13" s="69"/>
    </row>
    <row r="14" spans="1:25" ht="15.75" x14ac:dyDescent="0.25">
      <c r="A14" s="14" t="s">
        <v>12</v>
      </c>
      <c r="B14" s="14"/>
      <c r="C14" s="14"/>
      <c r="D14" s="14"/>
      <c r="F14" s="14" t="s">
        <v>8</v>
      </c>
      <c r="I14" s="8"/>
      <c r="J14" s="8"/>
      <c r="M14" s="76" t="s">
        <v>122</v>
      </c>
      <c r="N14" s="77">
        <v>9</v>
      </c>
      <c r="O14" s="78"/>
      <c r="P14" s="79">
        <f>'APRIL 21'!V14:V47</f>
        <v>0</v>
      </c>
      <c r="Q14" s="83">
        <v>1250</v>
      </c>
      <c r="R14" s="81">
        <v>350</v>
      </c>
      <c r="S14" s="83">
        <v>200</v>
      </c>
      <c r="T14" s="80">
        <f>P14+Q14+R14+S14+O14</f>
        <v>1800</v>
      </c>
      <c r="U14" s="80">
        <f>1500</f>
        <v>1500</v>
      </c>
      <c r="V14" s="80">
        <f>T14-U14</f>
        <v>300</v>
      </c>
      <c r="W14" s="80"/>
      <c r="X14" s="80"/>
      <c r="Y14" s="69"/>
    </row>
    <row r="15" spans="1:25" ht="15.75" x14ac:dyDescent="0.25">
      <c r="A15" s="16" t="s">
        <v>13</v>
      </c>
      <c r="B15" s="16"/>
      <c r="C15" s="16" t="s">
        <v>14</v>
      </c>
      <c r="D15" s="16"/>
      <c r="E15" s="16" t="s">
        <v>15</v>
      </c>
      <c r="F15" s="16" t="s">
        <v>16</v>
      </c>
      <c r="G15" s="16" t="s">
        <v>13</v>
      </c>
      <c r="H15" s="16" t="s">
        <v>14</v>
      </c>
      <c r="I15" s="16" t="s">
        <v>15</v>
      </c>
      <c r="J15" s="16" t="s">
        <v>16</v>
      </c>
      <c r="M15" s="82" t="s">
        <v>99</v>
      </c>
      <c r="N15" s="77">
        <v>10</v>
      </c>
      <c r="O15" s="78"/>
      <c r="P15" s="79">
        <f>'APRIL 21'!V15:V48</f>
        <v>5664</v>
      </c>
      <c r="Q15" s="83">
        <v>2500</v>
      </c>
      <c r="R15" s="81">
        <v>350</v>
      </c>
      <c r="S15" s="83">
        <v>200</v>
      </c>
      <c r="T15" s="80">
        <f t="shared" si="2"/>
        <v>8714</v>
      </c>
      <c r="U15" s="80">
        <f>1000+1000</f>
        <v>2000</v>
      </c>
      <c r="V15" s="80">
        <f>T15-U15</f>
        <v>6714</v>
      </c>
      <c r="W15" s="80"/>
      <c r="X15" s="80"/>
      <c r="Y15" s="69"/>
    </row>
    <row r="16" spans="1:25" ht="15.75" x14ac:dyDescent="0.25">
      <c r="A16" s="17" t="s">
        <v>138</v>
      </c>
      <c r="B16" s="17"/>
      <c r="C16" s="18">
        <f>G11</f>
        <v>25000</v>
      </c>
      <c r="D16" s="18"/>
      <c r="E16" s="17"/>
      <c r="F16" s="17"/>
      <c r="G16" s="17" t="s">
        <v>138</v>
      </c>
      <c r="H16" s="18">
        <f>I11</f>
        <v>24850</v>
      </c>
      <c r="I16" s="17"/>
      <c r="J16" s="17"/>
      <c r="M16" s="76" t="s">
        <v>68</v>
      </c>
      <c r="N16" s="77">
        <v>11</v>
      </c>
      <c r="O16" s="78"/>
      <c r="P16" s="79">
        <f>'APRIL 21'!V16:V49</f>
        <v>2550</v>
      </c>
      <c r="Q16" s="83">
        <v>4500</v>
      </c>
      <c r="R16" s="81">
        <v>350</v>
      </c>
      <c r="S16" s="83">
        <v>200</v>
      </c>
      <c r="T16" s="80">
        <f t="shared" si="2"/>
        <v>7600</v>
      </c>
      <c r="U16" s="80">
        <f>4000</f>
        <v>4000</v>
      </c>
      <c r="V16" s="80">
        <f>T16-U16</f>
        <v>3600</v>
      </c>
      <c r="W16" s="80"/>
      <c r="X16" s="80"/>
      <c r="Y16" s="69"/>
    </row>
    <row r="17" spans="1:26" ht="15.75" x14ac:dyDescent="0.25">
      <c r="A17" s="17" t="s">
        <v>5</v>
      </c>
      <c r="B17" s="17"/>
      <c r="C17" s="18">
        <f>'APRIL 21'!F29</f>
        <v>2450</v>
      </c>
      <c r="D17" s="18"/>
      <c r="E17" s="17"/>
      <c r="F17" s="17"/>
      <c r="G17" s="17" t="s">
        <v>5</v>
      </c>
      <c r="H17" s="18">
        <f>'APRIL 21'!J29</f>
        <v>2050</v>
      </c>
      <c r="I17" s="17"/>
      <c r="J17" s="17"/>
      <c r="M17" s="82" t="s">
        <v>69</v>
      </c>
      <c r="N17" s="77">
        <v>12</v>
      </c>
      <c r="O17" s="78"/>
      <c r="P17" s="79">
        <f>'APRIL 21'!V17:V50</f>
        <v>110</v>
      </c>
      <c r="Q17" s="83">
        <v>2500</v>
      </c>
      <c r="R17" s="81">
        <v>350</v>
      </c>
      <c r="S17" s="83">
        <v>200</v>
      </c>
      <c r="T17" s="80">
        <f t="shared" si="2"/>
        <v>3160</v>
      </c>
      <c r="U17" s="80">
        <f>3050</f>
        <v>3050</v>
      </c>
      <c r="V17" s="80">
        <f t="shared" si="4"/>
        <v>110</v>
      </c>
      <c r="W17" s="80"/>
      <c r="X17" s="80"/>
      <c r="Y17" s="69"/>
      <c r="Z17" s="120"/>
    </row>
    <row r="18" spans="1:26" ht="15.75" x14ac:dyDescent="0.25">
      <c r="A18" s="25" t="s">
        <v>139</v>
      </c>
      <c r="B18" s="3"/>
      <c r="C18" s="3"/>
      <c r="D18" s="3"/>
      <c r="E18" s="3"/>
      <c r="F18" s="3"/>
      <c r="G18" s="3"/>
      <c r="I18" s="17"/>
      <c r="J18" s="17"/>
      <c r="M18" s="76" t="s">
        <v>131</v>
      </c>
      <c r="N18" s="77">
        <v>13</v>
      </c>
      <c r="O18" s="78"/>
      <c r="P18" s="79">
        <f>'APRIL 21'!V18:V51</f>
        <v>1200</v>
      </c>
      <c r="Q18" s="83">
        <v>2500</v>
      </c>
      <c r="R18" s="81">
        <v>350</v>
      </c>
      <c r="S18" s="83">
        <v>200</v>
      </c>
      <c r="T18" s="80">
        <f t="shared" si="2"/>
        <v>4250</v>
      </c>
      <c r="U18" s="80">
        <f>3000</f>
        <v>3000</v>
      </c>
      <c r="V18" s="80">
        <f t="shared" si="4"/>
        <v>1250</v>
      </c>
      <c r="W18" s="80"/>
      <c r="X18" s="80"/>
      <c r="Y18" s="69"/>
    </row>
    <row r="19" spans="1:26" ht="15.75" x14ac:dyDescent="0.25">
      <c r="A19" s="25" t="s">
        <v>41</v>
      </c>
      <c r="B19" s="3"/>
      <c r="C19" s="3">
        <f>E11</f>
        <v>450</v>
      </c>
      <c r="D19" s="3"/>
      <c r="E19" s="3"/>
      <c r="F19" s="3"/>
      <c r="G19" s="3"/>
      <c r="H19" s="14"/>
      <c r="I19" s="17"/>
      <c r="J19" s="17"/>
      <c r="M19" s="76" t="s">
        <v>71</v>
      </c>
      <c r="N19" s="77">
        <v>14</v>
      </c>
      <c r="O19" s="78"/>
      <c r="P19" s="79">
        <f>'APRIL 21'!V19:V52</f>
        <v>0</v>
      </c>
      <c r="Q19" s="83">
        <v>2700</v>
      </c>
      <c r="R19" s="81">
        <v>320</v>
      </c>
      <c r="S19" s="83">
        <v>200</v>
      </c>
      <c r="T19" s="80">
        <f t="shared" si="2"/>
        <v>3220</v>
      </c>
      <c r="U19" s="80">
        <f>3220</f>
        <v>3220</v>
      </c>
      <c r="V19" s="80">
        <f t="shared" si="4"/>
        <v>0</v>
      </c>
      <c r="W19" s="80"/>
      <c r="X19" s="80"/>
      <c r="Y19" s="87"/>
    </row>
    <row r="20" spans="1:26" ht="15.75" x14ac:dyDescent="0.25">
      <c r="A20" s="25" t="s">
        <v>42</v>
      </c>
      <c r="B20" s="3"/>
      <c r="C20" s="3">
        <f>F11</f>
        <v>600</v>
      </c>
      <c r="D20" s="3"/>
      <c r="E20" s="3"/>
      <c r="F20" s="3"/>
      <c r="G20" s="3"/>
      <c r="H20" s="3"/>
      <c r="I20" s="17"/>
      <c r="J20" s="17"/>
      <c r="M20" s="82" t="s">
        <v>72</v>
      </c>
      <c r="N20" s="77">
        <v>15</v>
      </c>
      <c r="O20" s="78"/>
      <c r="P20" s="79">
        <f>'APRIL 21'!V20:V53</f>
        <v>50</v>
      </c>
      <c r="Q20" s="83">
        <v>4500</v>
      </c>
      <c r="R20" s="81">
        <v>320</v>
      </c>
      <c r="S20" s="83">
        <v>200</v>
      </c>
      <c r="T20" s="80">
        <f t="shared" si="2"/>
        <v>5070</v>
      </c>
      <c r="U20" s="80">
        <f>5050</f>
        <v>5050</v>
      </c>
      <c r="V20" s="80">
        <f t="shared" si="4"/>
        <v>20</v>
      </c>
      <c r="W20" s="80"/>
      <c r="X20" s="80"/>
      <c r="Y20" s="69"/>
    </row>
    <row r="21" spans="1:26" ht="15.75" x14ac:dyDescent="0.25">
      <c r="A21" s="17" t="s">
        <v>18</v>
      </c>
      <c r="B21" s="17"/>
      <c r="C21" s="20">
        <v>7.0000000000000007E-2</v>
      </c>
      <c r="D21" s="20"/>
      <c r="E21" s="18">
        <f>C16*C21</f>
        <v>1750.0000000000002</v>
      </c>
      <c r="F21" s="17"/>
      <c r="G21" s="17" t="s">
        <v>18</v>
      </c>
      <c r="H21" s="20">
        <v>7.0000000000000007E-2</v>
      </c>
      <c r="I21" s="18">
        <f>E21</f>
        <v>1750.0000000000002</v>
      </c>
      <c r="J21" s="17"/>
      <c r="M21" s="76" t="s">
        <v>73</v>
      </c>
      <c r="N21" s="77">
        <v>16</v>
      </c>
      <c r="O21" s="78"/>
      <c r="P21" s="79">
        <f>'APRIL 21'!V21:V54</f>
        <v>4600</v>
      </c>
      <c r="Q21" s="83">
        <v>4500</v>
      </c>
      <c r="R21" s="81">
        <v>350</v>
      </c>
      <c r="S21" s="83">
        <v>200</v>
      </c>
      <c r="T21" s="80">
        <f t="shared" si="2"/>
        <v>9650</v>
      </c>
      <c r="U21" s="80">
        <f>4100</f>
        <v>4100</v>
      </c>
      <c r="V21" s="80">
        <f t="shared" si="4"/>
        <v>5550</v>
      </c>
      <c r="W21" s="80"/>
      <c r="X21" s="80"/>
      <c r="Y21" s="69"/>
    </row>
    <row r="22" spans="1:26" ht="15.75" x14ac:dyDescent="0.25">
      <c r="A22" s="16" t="s">
        <v>19</v>
      </c>
      <c r="C22" s="18"/>
      <c r="D22" s="18"/>
      <c r="E22" s="16"/>
      <c r="F22" s="16"/>
      <c r="G22" s="16" t="s">
        <v>19</v>
      </c>
      <c r="H22" s="21"/>
      <c r="I22" s="16"/>
      <c r="J22" s="16"/>
      <c r="M22" s="76" t="s">
        <v>125</v>
      </c>
      <c r="N22" s="77">
        <v>17</v>
      </c>
      <c r="O22" s="78"/>
      <c r="P22" s="79">
        <f>'APRIL 21'!V22:V55</f>
        <v>550</v>
      </c>
      <c r="Q22" s="83">
        <v>1100</v>
      </c>
      <c r="R22" s="81">
        <v>350</v>
      </c>
      <c r="S22" s="83">
        <v>200</v>
      </c>
      <c r="T22" s="80">
        <f t="shared" si="2"/>
        <v>2200</v>
      </c>
      <c r="U22" s="80">
        <v>2200</v>
      </c>
      <c r="V22" s="80">
        <f t="shared" si="4"/>
        <v>0</v>
      </c>
      <c r="W22" s="80"/>
      <c r="X22" s="80">
        <v>500</v>
      </c>
      <c r="Y22" s="69"/>
    </row>
    <row r="23" spans="1:26" ht="15.75" x14ac:dyDescent="0.25">
      <c r="A23" s="22" t="s">
        <v>143</v>
      </c>
      <c r="B23" s="20"/>
      <c r="C23" s="17"/>
      <c r="D23" s="17"/>
      <c r="E23" s="17">
        <v>25500</v>
      </c>
      <c r="F23" s="17"/>
      <c r="G23" s="22" t="s">
        <v>143</v>
      </c>
      <c r="H23" s="20"/>
      <c r="I23" s="17">
        <v>25500</v>
      </c>
      <c r="J23" s="17"/>
      <c r="K23" s="17"/>
      <c r="M23" s="82" t="s">
        <v>114</v>
      </c>
      <c r="N23" s="77">
        <v>18</v>
      </c>
      <c r="O23" s="78"/>
      <c r="P23" s="79">
        <f>'APRIL 21'!V23:V56</f>
        <v>0</v>
      </c>
      <c r="Q23" s="83">
        <v>4500</v>
      </c>
      <c r="R23" s="81">
        <v>350</v>
      </c>
      <c r="S23" s="83">
        <v>200</v>
      </c>
      <c r="T23" s="80">
        <f t="shared" si="2"/>
        <v>5050</v>
      </c>
      <c r="U23" s="80">
        <v>5050</v>
      </c>
      <c r="V23" s="80">
        <f t="shared" si="4"/>
        <v>0</v>
      </c>
      <c r="W23" s="80"/>
      <c r="X23" s="80"/>
      <c r="Y23" s="69"/>
    </row>
    <row r="24" spans="1:26" ht="15.75" x14ac:dyDescent="0.25">
      <c r="A24" s="23"/>
      <c r="B24" s="23"/>
      <c r="C24" s="17"/>
      <c r="D24" s="17"/>
      <c r="E24" s="17"/>
      <c r="F24" s="17"/>
      <c r="G24" s="23"/>
      <c r="H24" s="23"/>
      <c r="I24" s="17"/>
      <c r="J24" s="17"/>
      <c r="M24" s="76" t="s">
        <v>76</v>
      </c>
      <c r="N24" s="77">
        <v>19</v>
      </c>
      <c r="O24" s="78"/>
      <c r="P24" s="79">
        <f>'APRIL 21'!V24:V57</f>
        <v>20</v>
      </c>
      <c r="Q24" s="83">
        <v>2500</v>
      </c>
      <c r="R24" s="81">
        <v>320</v>
      </c>
      <c r="S24" s="83">
        <v>200</v>
      </c>
      <c r="T24" s="80">
        <f t="shared" si="2"/>
        <v>3040</v>
      </c>
      <c r="U24" s="80">
        <v>3040</v>
      </c>
      <c r="V24" s="80">
        <f>T24-U24</f>
        <v>0</v>
      </c>
      <c r="W24" s="80"/>
      <c r="X24" s="80"/>
      <c r="Y24" s="69"/>
    </row>
    <row r="25" spans="1:26" ht="15.75" x14ac:dyDescent="0.25">
      <c r="A25" s="23"/>
      <c r="B25" s="23"/>
      <c r="C25" s="17"/>
      <c r="D25" s="17"/>
      <c r="E25" s="17"/>
      <c r="F25" s="17"/>
      <c r="G25" s="23"/>
      <c r="H25" s="23"/>
      <c r="I25" s="17"/>
      <c r="J25" s="17"/>
      <c r="K25" s="17"/>
      <c r="M25" s="76" t="s">
        <v>101</v>
      </c>
      <c r="N25" s="77">
        <v>20</v>
      </c>
      <c r="O25" s="78"/>
      <c r="P25" s="79">
        <f>'APRIL 21'!V25:V58</f>
        <v>350</v>
      </c>
      <c r="Q25" s="83">
        <v>2500</v>
      </c>
      <c r="R25" s="81">
        <v>350</v>
      </c>
      <c r="S25" s="83">
        <v>200</v>
      </c>
      <c r="T25" s="80">
        <f t="shared" si="2"/>
        <v>3400</v>
      </c>
      <c r="U25" s="80">
        <f>3050</f>
        <v>3050</v>
      </c>
      <c r="V25" s="80">
        <f t="shared" si="4"/>
        <v>350</v>
      </c>
      <c r="W25" s="80"/>
      <c r="X25" s="80"/>
      <c r="Y25" s="69"/>
    </row>
    <row r="26" spans="1:26" ht="15.75" x14ac:dyDescent="0.25">
      <c r="A26" s="23"/>
      <c r="B26" s="23"/>
      <c r="C26" s="17"/>
      <c r="D26" s="17"/>
      <c r="E26" s="17"/>
      <c r="F26" s="17"/>
      <c r="G26" s="23"/>
      <c r="H26" s="23"/>
      <c r="I26" s="17"/>
      <c r="J26" s="17"/>
      <c r="M26" s="76" t="s">
        <v>78</v>
      </c>
      <c r="N26" s="77">
        <v>21</v>
      </c>
      <c r="O26" s="78"/>
      <c r="P26" s="79">
        <f>'APRIL 21'!V26:V59</f>
        <v>0</v>
      </c>
      <c r="Q26" s="83">
        <v>2500</v>
      </c>
      <c r="R26" s="81">
        <v>320</v>
      </c>
      <c r="S26" s="83">
        <v>200</v>
      </c>
      <c r="T26" s="80">
        <f t="shared" si="2"/>
        <v>3020</v>
      </c>
      <c r="U26" s="80">
        <v>3020</v>
      </c>
      <c r="V26" s="80">
        <f t="shared" si="4"/>
        <v>0</v>
      </c>
      <c r="W26" s="80"/>
      <c r="X26" s="80">
        <v>500</v>
      </c>
      <c r="Y26" s="87"/>
    </row>
    <row r="27" spans="1:26" ht="15.75" x14ac:dyDescent="0.25">
      <c r="A27" s="24"/>
      <c r="B27" s="24"/>
      <c r="C27" s="17"/>
      <c r="D27" s="17"/>
      <c r="E27" s="17"/>
      <c r="F27" s="17"/>
      <c r="H27" s="23"/>
      <c r="I27" s="25"/>
      <c r="J27" s="17"/>
      <c r="M27" s="76" t="s">
        <v>79</v>
      </c>
      <c r="N27" s="77">
        <v>22</v>
      </c>
      <c r="O27" s="78"/>
      <c r="P27" s="79">
        <f>'APRIL 21'!V27:V60</f>
        <v>150</v>
      </c>
      <c r="Q27" s="83">
        <v>4500</v>
      </c>
      <c r="R27" s="81">
        <v>350</v>
      </c>
      <c r="S27" s="83">
        <v>200</v>
      </c>
      <c r="T27" s="80">
        <f t="shared" si="2"/>
        <v>5200</v>
      </c>
      <c r="U27" s="80">
        <f>5050</f>
        <v>5050</v>
      </c>
      <c r="V27" s="80">
        <f>T27-U27</f>
        <v>150</v>
      </c>
      <c r="W27" s="80"/>
      <c r="X27" s="80"/>
      <c r="Y27" s="69"/>
    </row>
    <row r="28" spans="1:26" ht="15.75" x14ac:dyDescent="0.25">
      <c r="A28" s="23"/>
      <c r="B28" s="23"/>
      <c r="C28" s="17"/>
      <c r="D28" s="17"/>
      <c r="E28" s="25"/>
      <c r="F28" s="17"/>
      <c r="G28" s="17"/>
      <c r="H28" s="17"/>
      <c r="I28" s="17"/>
      <c r="J28" s="17"/>
      <c r="M28" s="76" t="s">
        <v>80</v>
      </c>
      <c r="N28" s="77">
        <v>23</v>
      </c>
      <c r="O28" s="78"/>
      <c r="P28" s="79">
        <f>'APRIL 21'!V28:V61</f>
        <v>0</v>
      </c>
      <c r="Q28" s="83">
        <v>2500</v>
      </c>
      <c r="R28" s="81">
        <v>350</v>
      </c>
      <c r="S28" s="83">
        <v>200</v>
      </c>
      <c r="T28" s="80">
        <f t="shared" si="2"/>
        <v>3050</v>
      </c>
      <c r="U28" s="80">
        <v>3050</v>
      </c>
      <c r="V28" s="80">
        <f t="shared" si="4"/>
        <v>0</v>
      </c>
      <c r="W28" s="80"/>
      <c r="X28" s="80"/>
      <c r="Y28" s="69"/>
    </row>
    <row r="29" spans="1:26" ht="15.75" x14ac:dyDescent="0.25">
      <c r="A29" s="16" t="s">
        <v>20</v>
      </c>
      <c r="B29" s="16"/>
      <c r="C29" s="21">
        <f>C16+C17+C18+C19+C20-E21</f>
        <v>26750</v>
      </c>
      <c r="D29" s="21"/>
      <c r="E29" s="21">
        <f>SUM(E23:E28)</f>
        <v>25500</v>
      </c>
      <c r="F29" s="21">
        <f>C29-E29</f>
        <v>1250</v>
      </c>
      <c r="G29" s="16" t="s">
        <v>20</v>
      </c>
      <c r="H29" s="21">
        <f>H16+H17-I21</f>
        <v>25150</v>
      </c>
      <c r="I29" s="21">
        <f>SUM(I23:I28)</f>
        <v>25500</v>
      </c>
      <c r="J29" s="21">
        <f>H29-I29</f>
        <v>-350</v>
      </c>
      <c r="M29" s="76" t="s">
        <v>81</v>
      </c>
      <c r="N29" s="77">
        <v>24</v>
      </c>
      <c r="O29" s="78"/>
      <c r="P29" s="79">
        <f>'APRIL 21'!V29:V62</f>
        <v>1378</v>
      </c>
      <c r="Q29" s="83">
        <v>2500</v>
      </c>
      <c r="R29" s="81">
        <v>320</v>
      </c>
      <c r="S29" s="83"/>
      <c r="T29" s="80">
        <f t="shared" si="2"/>
        <v>4198</v>
      </c>
      <c r="U29" s="80">
        <f>3500+168</f>
        <v>3668</v>
      </c>
      <c r="V29" s="80">
        <f t="shared" si="4"/>
        <v>530</v>
      </c>
      <c r="W29" s="80">
        <v>848</v>
      </c>
      <c r="X29" s="80"/>
      <c r="Y29" s="69"/>
    </row>
    <row r="30" spans="1:26" ht="15.75" x14ac:dyDescent="0.25">
      <c r="M30" s="76" t="s">
        <v>82</v>
      </c>
      <c r="N30" s="77">
        <v>25</v>
      </c>
      <c r="O30" s="78"/>
      <c r="P30" s="79">
        <f>'APRIL 21'!V30:V63</f>
        <v>0</v>
      </c>
      <c r="Q30" s="83">
        <v>2700</v>
      </c>
      <c r="R30" s="81">
        <v>350</v>
      </c>
      <c r="S30" s="83">
        <v>200</v>
      </c>
      <c r="T30" s="80">
        <f t="shared" si="2"/>
        <v>3250</v>
      </c>
      <c r="U30" s="80">
        <v>3250</v>
      </c>
      <c r="V30" s="80">
        <f t="shared" si="4"/>
        <v>0</v>
      </c>
      <c r="W30" s="80"/>
      <c r="X30" s="80"/>
      <c r="Y30" s="69"/>
    </row>
    <row r="31" spans="1:26" ht="15.75" x14ac:dyDescent="0.25">
      <c r="A31" t="s">
        <v>21</v>
      </c>
      <c r="E31" t="s">
        <v>22</v>
      </c>
      <c r="H31" t="s">
        <v>23</v>
      </c>
      <c r="M31" s="76" t="s">
        <v>83</v>
      </c>
      <c r="N31" s="77">
        <v>26</v>
      </c>
      <c r="O31" s="78"/>
      <c r="P31" s="79">
        <f>'APRIL 21'!V31:V64</f>
        <v>708</v>
      </c>
      <c r="Q31" s="83">
        <v>4500</v>
      </c>
      <c r="R31" s="81">
        <v>350</v>
      </c>
      <c r="S31" s="83">
        <v>200</v>
      </c>
      <c r="T31" s="80">
        <f t="shared" si="2"/>
        <v>5758</v>
      </c>
      <c r="U31" s="80">
        <v>5050</v>
      </c>
      <c r="V31" s="80">
        <f>T31-U31</f>
        <v>708</v>
      </c>
      <c r="W31" s="80"/>
      <c r="X31" s="80"/>
      <c r="Y31" s="69"/>
    </row>
    <row r="32" spans="1:26" ht="15.75" x14ac:dyDescent="0.25">
      <c r="M32" s="76" t="s">
        <v>84</v>
      </c>
      <c r="N32" s="77">
        <v>27</v>
      </c>
      <c r="O32" s="78"/>
      <c r="P32" s="79">
        <f>'APRIL 21'!V32:V65</f>
        <v>1520</v>
      </c>
      <c r="Q32" s="83">
        <v>4500</v>
      </c>
      <c r="R32" s="81">
        <v>320</v>
      </c>
      <c r="S32" s="83">
        <v>200</v>
      </c>
      <c r="T32" s="80">
        <f t="shared" si="2"/>
        <v>6540</v>
      </c>
      <c r="U32" s="80">
        <f>4000</f>
        <v>4000</v>
      </c>
      <c r="V32" s="80">
        <f>T32-U32</f>
        <v>2540</v>
      </c>
      <c r="W32" s="80"/>
      <c r="X32" s="69"/>
      <c r="Y32" s="69"/>
    </row>
    <row r="33" spans="1:26" ht="15.75" x14ac:dyDescent="0.25">
      <c r="A33" t="s">
        <v>24</v>
      </c>
      <c r="E33" t="s">
        <v>25</v>
      </c>
      <c r="H33" t="s">
        <v>34</v>
      </c>
      <c r="M33" s="88" t="s">
        <v>40</v>
      </c>
      <c r="N33" s="77">
        <v>28</v>
      </c>
      <c r="O33" s="78"/>
      <c r="P33" s="79">
        <f>'APRIL 21'!V33:V66</f>
        <v>0</v>
      </c>
      <c r="Q33" s="83"/>
      <c r="R33" s="81"/>
      <c r="S33" s="83"/>
      <c r="T33" s="80">
        <f t="shared" si="2"/>
        <v>0</v>
      </c>
      <c r="U33" s="80"/>
      <c r="V33" s="80">
        <f t="shared" si="4"/>
        <v>0</v>
      </c>
      <c r="W33" s="80"/>
      <c r="X33" s="80"/>
      <c r="Y33" s="69"/>
    </row>
    <row r="34" spans="1:26" ht="15.75" x14ac:dyDescent="0.25">
      <c r="M34" s="76" t="s">
        <v>85</v>
      </c>
      <c r="N34" s="77">
        <v>29</v>
      </c>
      <c r="O34" s="78"/>
      <c r="P34" s="79">
        <f>'APRIL 21'!V34:V67</f>
        <v>3070</v>
      </c>
      <c r="Q34" s="83">
        <v>4500</v>
      </c>
      <c r="R34" s="81">
        <v>350</v>
      </c>
      <c r="S34" s="83">
        <v>200</v>
      </c>
      <c r="T34" s="80">
        <f t="shared" si="2"/>
        <v>8120</v>
      </c>
      <c r="U34" s="80">
        <f>8100</f>
        <v>8100</v>
      </c>
      <c r="V34" s="80">
        <f t="shared" si="4"/>
        <v>20</v>
      </c>
      <c r="W34" s="80"/>
      <c r="X34" s="80"/>
      <c r="Y34" s="69"/>
    </row>
    <row r="35" spans="1:26" ht="15.75" x14ac:dyDescent="0.25">
      <c r="J35">
        <f>I34*18</f>
        <v>0</v>
      </c>
      <c r="M35" s="76"/>
      <c r="N35" s="77"/>
      <c r="O35" s="78"/>
      <c r="P35" s="79">
        <f>'APRIL 21'!V35:V68</f>
        <v>0</v>
      </c>
      <c r="Q35" s="83"/>
      <c r="R35" s="81"/>
      <c r="S35" s="83"/>
      <c r="T35" s="80">
        <f t="shared" si="2"/>
        <v>0</v>
      </c>
      <c r="U35" s="80"/>
      <c r="V35" s="80">
        <f t="shared" si="4"/>
        <v>0</v>
      </c>
      <c r="W35" s="80"/>
      <c r="X35" s="80"/>
      <c r="Y35" s="69"/>
    </row>
    <row r="36" spans="1:26" ht="15.75" x14ac:dyDescent="0.25">
      <c r="C36" s="119">
        <f>C16+C19+C20</f>
        <v>26050</v>
      </c>
      <c r="E36" s="119"/>
      <c r="M36" s="76"/>
      <c r="N36" s="77" t="s">
        <v>86</v>
      </c>
      <c r="O36" s="78"/>
      <c r="P36" s="79">
        <f>'APRIL 21'!V36:V69</f>
        <v>0</v>
      </c>
      <c r="Q36" s="83"/>
      <c r="R36" s="81"/>
      <c r="S36" s="83"/>
      <c r="T36" s="80">
        <f t="shared" si="2"/>
        <v>0</v>
      </c>
      <c r="U36" s="80"/>
      <c r="V36" s="80">
        <f t="shared" si="4"/>
        <v>0</v>
      </c>
      <c r="W36" s="80"/>
      <c r="X36" s="80"/>
      <c r="Y36" s="69"/>
    </row>
    <row r="37" spans="1:26" ht="15.75" x14ac:dyDescent="0.25">
      <c r="C37" s="119">
        <f>C36-E21</f>
        <v>24300</v>
      </c>
      <c r="E37" s="119"/>
      <c r="M37" s="76" t="s">
        <v>93</v>
      </c>
      <c r="N37" s="77" t="s">
        <v>87</v>
      </c>
      <c r="O37" s="78"/>
      <c r="P37" s="79">
        <f>'APRIL 21'!V37:V70</f>
        <v>0</v>
      </c>
      <c r="Q37" s="83">
        <v>7000</v>
      </c>
      <c r="R37" s="81"/>
      <c r="S37" s="83"/>
      <c r="T37" s="80">
        <f t="shared" si="2"/>
        <v>7000</v>
      </c>
      <c r="U37" s="80">
        <v>7000</v>
      </c>
      <c r="V37" s="80">
        <f t="shared" si="4"/>
        <v>0</v>
      </c>
      <c r="W37" s="80"/>
      <c r="X37" s="80"/>
      <c r="Y37" s="69"/>
    </row>
    <row r="38" spans="1:26" ht="15.75" x14ac:dyDescent="0.25">
      <c r="C38" s="119">
        <f>C37-E25</f>
        <v>24300</v>
      </c>
      <c r="E38" s="119"/>
      <c r="M38" s="76" t="s">
        <v>92</v>
      </c>
      <c r="N38" s="77" t="s">
        <v>88</v>
      </c>
      <c r="O38" s="78"/>
      <c r="P38" s="79">
        <f>'APRIL 21'!V38:V71</f>
        <v>0</v>
      </c>
      <c r="Q38" s="83">
        <v>7000</v>
      </c>
      <c r="R38" s="81"/>
      <c r="S38" s="83"/>
      <c r="T38" s="80">
        <f>P38+Q38+R38+S38+O38</f>
        <v>7000</v>
      </c>
      <c r="U38" s="80">
        <v>7000</v>
      </c>
      <c r="V38" s="80">
        <f t="shared" si="4"/>
        <v>0</v>
      </c>
      <c r="W38" s="80"/>
      <c r="X38" s="80"/>
      <c r="Y38" s="69"/>
    </row>
    <row r="39" spans="1:26" ht="15.75" x14ac:dyDescent="0.25">
      <c r="M39" s="90" t="s">
        <v>51</v>
      </c>
      <c r="N39" s="76"/>
      <c r="O39" s="78">
        <f t="shared" ref="O39:X39" si="5">SUM(O6:O38)</f>
        <v>0</v>
      </c>
      <c r="P39" s="79">
        <f>'APRIL 21'!V39:V72</f>
        <v>25410</v>
      </c>
      <c r="Q39" s="91">
        <f>SUM(Q6:Q38)</f>
        <v>93250</v>
      </c>
      <c r="R39" s="92">
        <f t="shared" si="5"/>
        <v>8920</v>
      </c>
      <c r="S39" s="93">
        <f t="shared" si="5"/>
        <v>5000</v>
      </c>
      <c r="T39" s="80">
        <f>SUM(T6:T38)</f>
        <v>132580</v>
      </c>
      <c r="U39" s="80">
        <f t="shared" si="5"/>
        <v>106128</v>
      </c>
      <c r="V39" s="80">
        <f t="shared" si="5"/>
        <v>26452</v>
      </c>
      <c r="W39" s="80">
        <f>SUM(W6:W38)</f>
        <v>848</v>
      </c>
      <c r="X39" s="80">
        <f t="shared" si="5"/>
        <v>1000</v>
      </c>
      <c r="Y39" s="69"/>
    </row>
    <row r="40" spans="1:26" ht="15.75" x14ac:dyDescent="0.25">
      <c r="M40" s="94" t="s">
        <v>12</v>
      </c>
      <c r="N40" s="94"/>
      <c r="O40" s="94"/>
      <c r="P40" s="95"/>
      <c r="Q40" s="118">
        <f>Q39-Q38-Q37</f>
        <v>79250</v>
      </c>
      <c r="R40" s="94" t="s">
        <v>8</v>
      </c>
      <c r="S40" s="94"/>
      <c r="T40" s="94"/>
      <c r="U40" s="70"/>
      <c r="V40" s="70"/>
      <c r="W40" s="70"/>
      <c r="X40" s="71"/>
      <c r="Y40" s="69"/>
      <c r="Z40">
        <f>AA37</f>
        <v>0</v>
      </c>
    </row>
    <row r="41" spans="1:26" ht="15.75" x14ac:dyDescent="0.25"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  <c r="Y41" s="69"/>
    </row>
    <row r="42" spans="1:26" ht="15.75" x14ac:dyDescent="0.25">
      <c r="M42" s="76" t="s">
        <v>138</v>
      </c>
      <c r="N42" s="98">
        <f>Q39</f>
        <v>93250</v>
      </c>
      <c r="O42" s="76"/>
      <c r="P42" s="76"/>
      <c r="Q42" s="76"/>
      <c r="R42" s="76" t="s">
        <v>138</v>
      </c>
      <c r="S42" s="76"/>
      <c r="T42" s="99">
        <f>U39</f>
        <v>106128</v>
      </c>
      <c r="U42" s="76"/>
      <c r="V42" s="76"/>
      <c r="W42" s="76"/>
      <c r="X42" s="100"/>
      <c r="Y42" s="69"/>
    </row>
    <row r="43" spans="1:26" ht="15.75" x14ac:dyDescent="0.25">
      <c r="I43" s="119"/>
      <c r="M43" s="76" t="s">
        <v>5</v>
      </c>
      <c r="N43" s="98">
        <f>'APRIL 21'!P56</f>
        <v>-1129</v>
      </c>
      <c r="O43" s="76"/>
      <c r="P43" s="76"/>
      <c r="Q43" s="76"/>
      <c r="R43" s="76" t="s">
        <v>5</v>
      </c>
      <c r="S43" s="76"/>
      <c r="T43" s="98">
        <f>'APRIL 21'!V56</f>
        <v>-16059</v>
      </c>
      <c r="U43" s="76"/>
      <c r="V43" s="76"/>
      <c r="W43" s="76"/>
      <c r="X43" s="100"/>
      <c r="Y43" s="69"/>
    </row>
    <row r="44" spans="1:26" ht="15.75" x14ac:dyDescent="0.25">
      <c r="M44" s="76" t="s">
        <v>4</v>
      </c>
      <c r="N44" s="98">
        <f>O39</f>
        <v>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  <c r="Y44" s="69"/>
    </row>
    <row r="45" spans="1:26" ht="15.75" x14ac:dyDescent="0.25">
      <c r="M45" s="76" t="s">
        <v>41</v>
      </c>
      <c r="N45" s="98">
        <f>R39</f>
        <v>8920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  <c r="Y45" s="69"/>
    </row>
    <row r="46" spans="1:26" ht="15.75" x14ac:dyDescent="0.25">
      <c r="M46" s="76" t="s">
        <v>53</v>
      </c>
      <c r="N46" s="98">
        <f>W39</f>
        <v>848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  <c r="Y46" s="69"/>
    </row>
    <row r="47" spans="1:26" ht="15.75" x14ac:dyDescent="0.25">
      <c r="M47" s="76" t="s">
        <v>42</v>
      </c>
      <c r="N47" s="98">
        <f>S39</f>
        <v>5000</v>
      </c>
      <c r="O47" s="76"/>
      <c r="P47" s="76"/>
      <c r="Q47" s="76"/>
      <c r="R47" s="76" t="s">
        <v>126</v>
      </c>
      <c r="S47" s="76"/>
      <c r="T47" s="99">
        <f>X39</f>
        <v>1000</v>
      </c>
      <c r="U47" s="76"/>
      <c r="V47" s="76"/>
      <c r="W47" s="76"/>
      <c r="X47" s="100"/>
      <c r="Y47" s="69"/>
    </row>
    <row r="48" spans="1:26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  <c r="Y48" s="69"/>
    </row>
    <row r="49" spans="10:25" ht="15.75" x14ac:dyDescent="0.25">
      <c r="M49" s="76" t="s">
        <v>126</v>
      </c>
      <c r="N49" s="99">
        <f>X39</f>
        <v>1000</v>
      </c>
      <c r="O49" s="98"/>
      <c r="P49" s="76"/>
      <c r="Q49" s="76"/>
      <c r="R49" s="76"/>
      <c r="S49" s="76"/>
      <c r="T49" s="76"/>
      <c r="U49" s="98"/>
      <c r="V49" s="98"/>
      <c r="W49" s="98"/>
      <c r="X49" s="101"/>
      <c r="Y49" s="69"/>
    </row>
    <row r="50" spans="10:25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  <c r="Y50" s="69"/>
    </row>
    <row r="51" spans="10:25" ht="15.75" x14ac:dyDescent="0.25">
      <c r="M51" s="102" t="s">
        <v>55</v>
      </c>
      <c r="N51" s="103">
        <v>7.0000000000000007E-2</v>
      </c>
      <c r="O51" s="99">
        <f>N51*Q40</f>
        <v>5547.5000000000009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T51*Q40</f>
        <v>5547.5000000000009</v>
      </c>
      <c r="V51" s="76"/>
      <c r="W51" s="76"/>
      <c r="X51" s="100"/>
      <c r="Y51" s="69"/>
    </row>
    <row r="52" spans="10:25" ht="15.75" x14ac:dyDescent="0.25">
      <c r="M52" s="104" t="s">
        <v>128</v>
      </c>
      <c r="N52" s="105">
        <v>0.3</v>
      </c>
      <c r="O52" s="69">
        <f>N52*O7+(N52*O120)+(N52*O22)</f>
        <v>0</v>
      </c>
      <c r="P52" s="99"/>
      <c r="Q52" s="99"/>
      <c r="R52" s="104"/>
      <c r="S52" s="105"/>
      <c r="T52" s="69"/>
      <c r="U52" s="69"/>
      <c r="V52" s="69"/>
      <c r="W52" s="99"/>
      <c r="X52" s="106"/>
      <c r="Y52" s="87"/>
    </row>
    <row r="53" spans="10:25" ht="15.75" x14ac:dyDescent="0.25">
      <c r="M53" s="104" t="s">
        <v>142</v>
      </c>
      <c r="N53" s="105"/>
      <c r="O53" s="69">
        <v>104771</v>
      </c>
      <c r="P53" s="99"/>
      <c r="Q53" s="99"/>
      <c r="R53" s="104" t="s">
        <v>142</v>
      </c>
      <c r="S53" s="105"/>
      <c r="T53" s="69"/>
      <c r="U53" s="69">
        <v>104771</v>
      </c>
      <c r="V53" s="76"/>
      <c r="W53" s="76"/>
      <c r="X53" s="100"/>
      <c r="Y53" s="69"/>
    </row>
    <row r="54" spans="10:25" ht="15.75" x14ac:dyDescent="0.25">
      <c r="M54" s="104"/>
      <c r="N54" s="103"/>
      <c r="O54" s="99"/>
      <c r="P54" s="76"/>
      <c r="Q54" s="76"/>
      <c r="R54" s="104"/>
      <c r="S54" s="103"/>
      <c r="T54" s="99"/>
      <c r="U54" s="99"/>
      <c r="V54" s="76"/>
      <c r="W54" s="76"/>
      <c r="X54" s="100"/>
      <c r="Y54" s="87"/>
    </row>
    <row r="55" spans="10:25" ht="15.75" x14ac:dyDescent="0.25">
      <c r="M55" s="108"/>
      <c r="N55" s="76"/>
      <c r="O55" s="99"/>
      <c r="P55" s="76"/>
      <c r="Q55" s="76"/>
      <c r="R55" s="76"/>
      <c r="S55" s="99"/>
      <c r="T55" s="102"/>
      <c r="U55" s="99"/>
      <c r="V55" s="99"/>
      <c r="W55" s="99"/>
      <c r="X55" s="106"/>
      <c r="Y55" s="87"/>
    </row>
    <row r="56" spans="10:25" ht="15.75" x14ac:dyDescent="0.25">
      <c r="J56" t="s">
        <v>116</v>
      </c>
      <c r="M56" s="90" t="s">
        <v>20</v>
      </c>
      <c r="N56" s="109">
        <f>N42+N43+N44+N45+N46+N47+N49+N48</f>
        <v>107889</v>
      </c>
      <c r="O56" s="109">
        <f>SUM(O51:O55)</f>
        <v>110318.5</v>
      </c>
      <c r="P56" s="109">
        <f>N56-O56</f>
        <v>-2429.5</v>
      </c>
      <c r="Q56" s="109"/>
      <c r="R56" s="90"/>
      <c r="S56" s="90"/>
      <c r="T56" s="109">
        <f>T42+T43+T45+T47+T48</f>
        <v>91069</v>
      </c>
      <c r="U56" s="109">
        <f>SUM(U51:U55)</f>
        <v>110318.5</v>
      </c>
      <c r="V56" s="109">
        <f>T56-U56</f>
        <v>-19249.5</v>
      </c>
      <c r="W56" s="109"/>
      <c r="X56" s="110"/>
      <c r="Y56" s="69"/>
    </row>
    <row r="57" spans="10:25" ht="15.75" x14ac:dyDescent="0.25">
      <c r="M57" s="70"/>
      <c r="N57" s="70"/>
      <c r="O57" s="70"/>
      <c r="P57" s="70"/>
      <c r="Q57" s="70"/>
      <c r="R57" s="70"/>
      <c r="S57" s="70"/>
      <c r="T57" s="70"/>
      <c r="U57" s="111">
        <f>U56-U51</f>
        <v>104771</v>
      </c>
      <c r="V57" s="70"/>
      <c r="W57" s="70"/>
      <c r="X57" s="71"/>
      <c r="Y57" s="69"/>
    </row>
    <row r="58" spans="10:25" ht="15.75" x14ac:dyDescent="0.25">
      <c r="M58" s="112" t="s">
        <v>56</v>
      </c>
      <c r="N58" s="113"/>
      <c r="O58" s="113" t="s">
        <v>22</v>
      </c>
      <c r="P58" s="114"/>
      <c r="Q58" s="114"/>
      <c r="R58" s="112"/>
      <c r="S58" s="112"/>
      <c r="T58" s="112" t="s">
        <v>57</v>
      </c>
      <c r="U58" s="70"/>
      <c r="V58" s="70"/>
      <c r="W58" s="70"/>
      <c r="X58" s="71"/>
      <c r="Y58" s="69"/>
    </row>
    <row r="59" spans="10:25" ht="15.75" x14ac:dyDescent="0.25">
      <c r="M59" s="70" t="s">
        <v>24</v>
      </c>
      <c r="N59" s="70"/>
      <c r="O59" s="70" t="s">
        <v>25</v>
      </c>
      <c r="P59" s="70"/>
      <c r="Q59" s="70"/>
      <c r="R59" s="70"/>
      <c r="S59" s="70"/>
      <c r="T59" s="70" t="s">
        <v>34</v>
      </c>
      <c r="U59" s="70"/>
      <c r="V59" s="70"/>
      <c r="W59" s="111"/>
      <c r="X59" s="71"/>
      <c r="Y59" s="69"/>
    </row>
    <row r="60" spans="10:25" ht="15.75" x14ac:dyDescent="0.25"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 spans="10:25" ht="15.75" x14ac:dyDescent="0.25">
      <c r="M61" s="69"/>
      <c r="N61" s="69"/>
      <c r="O61" s="69"/>
      <c r="P61" s="69"/>
      <c r="Q61" s="69"/>
      <c r="R61" s="115"/>
      <c r="S61" s="69"/>
      <c r="T61" s="69"/>
      <c r="U61" s="69"/>
      <c r="V61" s="69"/>
      <c r="W61" s="69"/>
      <c r="X61" s="69"/>
      <c r="Y61" s="69"/>
    </row>
    <row r="66" spans="18:18" x14ac:dyDescent="0.25">
      <c r="R66" s="119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I7" workbookViewId="0">
      <selection activeCell="N24" sqref="N24"/>
    </sheetView>
  </sheetViews>
  <sheetFormatPr defaultRowHeight="15" x14ac:dyDescent="0.25"/>
  <cols>
    <col min="2" max="2" width="17.140625" customWidth="1"/>
    <col min="3" max="3" width="12.5703125" customWidth="1"/>
    <col min="13" max="13" width="22.5703125" bestFit="1" customWidth="1"/>
    <col min="15" max="15" width="13.140625" customWidth="1"/>
    <col min="20" max="20" width="10.85546875" customWidth="1"/>
    <col min="21" max="21" width="12.28515625" customWidth="1"/>
    <col min="22" max="23" width="11.140625" customWidth="1"/>
    <col min="24" max="24" width="12.28515625" customWidth="1"/>
  </cols>
  <sheetData>
    <row r="1" spans="1:25" ht="15.75" x14ac:dyDescent="0.25">
      <c r="A1" s="1"/>
      <c r="B1" s="1"/>
      <c r="C1" s="1"/>
      <c r="D1" s="1" t="s">
        <v>29</v>
      </c>
      <c r="E1" s="1"/>
      <c r="F1" s="1"/>
      <c r="G1" s="1"/>
      <c r="H1" s="1"/>
      <c r="I1" s="1"/>
      <c r="J1" s="1"/>
      <c r="M1" s="69"/>
      <c r="N1" s="69"/>
      <c r="O1" s="71"/>
      <c r="P1" s="71"/>
      <c r="Q1" s="71"/>
      <c r="R1" s="71"/>
      <c r="S1" s="71"/>
      <c r="T1" s="69"/>
      <c r="U1" s="71"/>
      <c r="V1" s="71"/>
      <c r="W1" s="71"/>
      <c r="X1" s="71"/>
      <c r="Y1" s="69"/>
    </row>
    <row r="2" spans="1:25" ht="15.75" x14ac:dyDescent="0.25">
      <c r="A2" s="1"/>
      <c r="B2" s="1"/>
      <c r="C2" s="1"/>
      <c r="D2" s="1" t="s">
        <v>0</v>
      </c>
      <c r="E2" s="1"/>
      <c r="F2" s="1"/>
      <c r="G2" s="1"/>
      <c r="H2" s="1"/>
      <c r="I2" s="1"/>
      <c r="J2" s="1"/>
      <c r="M2" s="69"/>
      <c r="N2" s="69"/>
      <c r="O2" s="27"/>
      <c r="P2" s="69"/>
      <c r="Q2" s="27" t="s">
        <v>58</v>
      </c>
      <c r="R2" s="70"/>
      <c r="S2" s="27"/>
      <c r="T2" s="28"/>
      <c r="U2" s="70"/>
      <c r="V2" s="70"/>
      <c r="W2" s="70"/>
      <c r="X2" s="70"/>
      <c r="Y2" s="69"/>
    </row>
    <row r="3" spans="1:25" ht="15.75" x14ac:dyDescent="0.25">
      <c r="A3" s="1"/>
      <c r="B3" s="1"/>
      <c r="C3" s="1"/>
      <c r="D3" s="1" t="s">
        <v>144</v>
      </c>
      <c r="E3" s="1"/>
      <c r="F3" s="1"/>
      <c r="G3" s="1"/>
      <c r="H3" s="1"/>
      <c r="I3" s="1"/>
      <c r="J3" s="1"/>
      <c r="M3" s="70"/>
      <c r="N3" s="27"/>
      <c r="O3" s="27"/>
      <c r="P3" s="27"/>
      <c r="Q3" s="27" t="s">
        <v>0</v>
      </c>
      <c r="R3" s="27"/>
      <c r="S3" s="71"/>
      <c r="T3" s="29"/>
      <c r="U3" s="70"/>
      <c r="V3" s="70"/>
      <c r="W3" s="70"/>
      <c r="X3" s="70"/>
      <c r="Y3" s="69"/>
    </row>
    <row r="4" spans="1:25" ht="15.7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41</v>
      </c>
      <c r="F4" s="2" t="s">
        <v>42</v>
      </c>
      <c r="G4" s="2" t="s">
        <v>6</v>
      </c>
      <c r="H4" s="2" t="s">
        <v>7</v>
      </c>
      <c r="I4" s="2" t="s">
        <v>8</v>
      </c>
      <c r="J4" s="2" t="s">
        <v>9</v>
      </c>
      <c r="M4" s="27"/>
      <c r="N4" s="70"/>
      <c r="O4" s="69"/>
      <c r="P4" s="27" t="s">
        <v>144</v>
      </c>
      <c r="Q4" s="27"/>
      <c r="R4" s="69"/>
      <c r="S4" s="27"/>
      <c r="T4" s="31"/>
      <c r="U4" s="31"/>
      <c r="V4" s="31"/>
      <c r="W4" s="31"/>
      <c r="X4" s="31"/>
      <c r="Y4" s="69"/>
    </row>
    <row r="5" spans="1:25" ht="15.75" x14ac:dyDescent="0.25">
      <c r="A5" s="3">
        <v>1</v>
      </c>
      <c r="B5" s="3" t="s">
        <v>26</v>
      </c>
      <c r="C5" s="3"/>
      <c r="D5" s="3">
        <f>'MAY 21'!J5:J11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123</v>
      </c>
      <c r="Y5" s="69"/>
    </row>
    <row r="6" spans="1:25" ht="15.75" x14ac:dyDescent="0.25">
      <c r="A6" s="3">
        <v>2</v>
      </c>
      <c r="B6" s="3" t="s">
        <v>26</v>
      </c>
      <c r="C6" s="3"/>
      <c r="D6" s="3">
        <f>'MAY 21'!J6:J12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>
        <f>'MAY 21'!V6:V39</f>
        <v>0</v>
      </c>
      <c r="Q6" s="80"/>
      <c r="R6" s="81"/>
      <c r="S6" s="80"/>
      <c r="T6" s="80">
        <f>P6+Q6+R6+S6+O6</f>
        <v>0</v>
      </c>
      <c r="U6" s="80"/>
      <c r="V6" s="80">
        <f>T6-U6</f>
        <v>0</v>
      </c>
      <c r="W6" s="80"/>
      <c r="X6" s="80"/>
      <c r="Y6" s="69"/>
    </row>
    <row r="7" spans="1:25" ht="15.75" x14ac:dyDescent="0.25">
      <c r="A7" s="3">
        <v>3</v>
      </c>
      <c r="B7" s="3" t="s">
        <v>40</v>
      </c>
      <c r="C7" s="3"/>
      <c r="D7" s="3">
        <f>'MAY 21'!J7:J13</f>
        <v>0</v>
      </c>
      <c r="E7" s="3"/>
      <c r="F7" s="3"/>
      <c r="G7" s="3"/>
      <c r="H7" s="3">
        <f t="shared" si="0"/>
        <v>0</v>
      </c>
      <c r="I7" s="3"/>
      <c r="J7" s="3">
        <f t="shared" si="1"/>
        <v>0</v>
      </c>
      <c r="M7" s="82" t="s">
        <v>115</v>
      </c>
      <c r="N7" s="77">
        <v>2</v>
      </c>
      <c r="O7" s="78"/>
      <c r="P7" s="79">
        <f>'MAY 21'!V7:V40</f>
        <v>700</v>
      </c>
      <c r="Q7" s="83">
        <v>2500</v>
      </c>
      <c r="R7" s="81">
        <v>350</v>
      </c>
      <c r="S7" s="83">
        <v>200</v>
      </c>
      <c r="T7" s="80">
        <f t="shared" ref="T7:T37" si="2">P7+Q7+R7+S7+O7</f>
        <v>3750</v>
      </c>
      <c r="U7" s="80">
        <f>3400</f>
        <v>3400</v>
      </c>
      <c r="V7" s="80">
        <f>T7-U7</f>
        <v>350</v>
      </c>
      <c r="W7" s="80"/>
      <c r="X7" s="80"/>
      <c r="Y7" s="69"/>
    </row>
    <row r="8" spans="1:25" ht="15.75" x14ac:dyDescent="0.25">
      <c r="A8" s="3">
        <v>4</v>
      </c>
      <c r="B8" s="3" t="s">
        <v>134</v>
      </c>
      <c r="C8" s="3"/>
      <c r="D8" s="3">
        <f>'MAY 21'!J8:J14</f>
        <v>1200</v>
      </c>
      <c r="E8" s="3"/>
      <c r="F8" s="3"/>
      <c r="G8" s="3"/>
      <c r="H8" s="3">
        <f t="shared" si="0"/>
        <v>1200</v>
      </c>
      <c r="I8" s="3"/>
      <c r="J8" s="3">
        <f t="shared" si="1"/>
        <v>1200</v>
      </c>
      <c r="M8" s="82" t="s">
        <v>60</v>
      </c>
      <c r="N8" s="77">
        <v>3</v>
      </c>
      <c r="O8" s="78"/>
      <c r="P8" s="79">
        <f>'MAY 21'!V8:V41</f>
        <v>2360</v>
      </c>
      <c r="Q8" s="83">
        <v>2500</v>
      </c>
      <c r="R8" s="81">
        <v>350</v>
      </c>
      <c r="S8" s="83">
        <v>200</v>
      </c>
      <c r="T8" s="80">
        <f t="shared" si="2"/>
        <v>5410</v>
      </c>
      <c r="U8" s="80">
        <f>400+2500+500</f>
        <v>3400</v>
      </c>
      <c r="V8" s="80">
        <f>T8-U8</f>
        <v>2010</v>
      </c>
      <c r="W8" s="80"/>
      <c r="X8" s="80"/>
      <c r="Y8" s="69"/>
    </row>
    <row r="9" spans="1:25" ht="15.75" x14ac:dyDescent="0.25">
      <c r="A9" s="3">
        <v>5</v>
      </c>
      <c r="B9" s="3" t="s">
        <v>95</v>
      </c>
      <c r="C9" s="3"/>
      <c r="D9" s="3">
        <f>'MAY 21'!J9:J15</f>
        <v>400</v>
      </c>
      <c r="E9" s="3">
        <v>300</v>
      </c>
      <c r="F9" s="3">
        <v>200</v>
      </c>
      <c r="G9" s="3">
        <v>8000</v>
      </c>
      <c r="H9" s="3">
        <f t="shared" si="0"/>
        <v>8900</v>
      </c>
      <c r="I9" s="3">
        <f>8500</f>
        <v>8500</v>
      </c>
      <c r="J9" s="3">
        <f t="shared" si="1"/>
        <v>400</v>
      </c>
      <c r="M9" s="88"/>
      <c r="N9" s="77">
        <v>4</v>
      </c>
      <c r="O9" s="78"/>
      <c r="P9" s="79">
        <f>'MAY 21'!V9:V42</f>
        <v>0</v>
      </c>
      <c r="Q9" s="83"/>
      <c r="R9" s="81"/>
      <c r="S9" s="83"/>
      <c r="T9" s="80">
        <f t="shared" si="2"/>
        <v>0</v>
      </c>
      <c r="U9" s="80"/>
      <c r="V9" s="80">
        <f>T9-U9</f>
        <v>0</v>
      </c>
      <c r="W9" s="80"/>
      <c r="X9" s="80"/>
      <c r="Y9" s="69"/>
    </row>
    <row r="10" spans="1:25" ht="15.75" x14ac:dyDescent="0.25">
      <c r="A10" s="3">
        <v>6</v>
      </c>
      <c r="B10" s="4" t="s">
        <v>28</v>
      </c>
      <c r="C10" s="4"/>
      <c r="D10" s="3">
        <f>'MAY 21'!J10:J16</f>
        <v>3150</v>
      </c>
      <c r="E10" s="3">
        <v>450</v>
      </c>
      <c r="F10" s="3">
        <v>200</v>
      </c>
      <c r="G10" s="3">
        <v>8000</v>
      </c>
      <c r="H10" s="3">
        <f t="shared" si="0"/>
        <v>11800</v>
      </c>
      <c r="I10" s="3">
        <v>9500</v>
      </c>
      <c r="J10" s="3">
        <f t="shared" si="1"/>
        <v>2300</v>
      </c>
      <c r="M10" s="121"/>
      <c r="N10" s="77">
        <v>5</v>
      </c>
      <c r="O10" s="78"/>
      <c r="P10" s="79">
        <f>'MAY 21'!V10:V43</f>
        <v>0</v>
      </c>
      <c r="Q10" s="83"/>
      <c r="R10" s="81"/>
      <c r="S10" s="83"/>
      <c r="T10" s="80">
        <f t="shared" si="2"/>
        <v>0</v>
      </c>
      <c r="U10" s="80"/>
      <c r="V10" s="80">
        <f>T10-U10</f>
        <v>0</v>
      </c>
      <c r="W10" s="80"/>
      <c r="X10" s="80"/>
      <c r="Y10" s="69"/>
    </row>
    <row r="11" spans="1:25" ht="15.75" x14ac:dyDescent="0.25">
      <c r="A11" s="3"/>
      <c r="B11" s="2" t="s">
        <v>10</v>
      </c>
      <c r="C11" s="2">
        <f>SUM(C5:C10)</f>
        <v>0</v>
      </c>
      <c r="D11" s="3">
        <f>'MAY 21'!J11:J17</f>
        <v>4750</v>
      </c>
      <c r="E11" s="3">
        <f t="shared" ref="E11:J11" si="3">SUM(E5:E10)</f>
        <v>750</v>
      </c>
      <c r="F11" s="3">
        <f t="shared" si="3"/>
        <v>400</v>
      </c>
      <c r="G11" s="2">
        <f t="shared" si="3"/>
        <v>16000</v>
      </c>
      <c r="H11" s="3">
        <f t="shared" si="3"/>
        <v>21900</v>
      </c>
      <c r="I11" s="2">
        <f t="shared" si="3"/>
        <v>18000</v>
      </c>
      <c r="J11" s="2">
        <f t="shared" si="3"/>
        <v>3900</v>
      </c>
      <c r="M11" s="85" t="s">
        <v>63</v>
      </c>
      <c r="N11" s="77">
        <v>6</v>
      </c>
      <c r="O11" s="78"/>
      <c r="P11" s="79">
        <f>'MAY 21'!V11:V44</f>
        <v>0</v>
      </c>
      <c r="Q11" s="83">
        <v>2500</v>
      </c>
      <c r="R11" s="81">
        <v>350</v>
      </c>
      <c r="S11" s="83">
        <v>200</v>
      </c>
      <c r="T11" s="80">
        <f t="shared" si="2"/>
        <v>3050</v>
      </c>
      <c r="U11" s="80">
        <f>3050</f>
        <v>3050</v>
      </c>
      <c r="V11" s="80">
        <f t="shared" ref="V11:V38" si="4">T11-U11</f>
        <v>0</v>
      </c>
      <c r="W11" s="80"/>
      <c r="X11" s="80"/>
      <c r="Y11" s="69"/>
    </row>
    <row r="12" spans="1:25" ht="15.75" x14ac:dyDescent="0.25">
      <c r="A12" s="5"/>
      <c r="B12" s="6"/>
      <c r="C12" s="6"/>
      <c r="D12" s="3"/>
      <c r="E12" s="5"/>
      <c r="F12" s="5"/>
      <c r="G12" s="6" t="s">
        <v>10</v>
      </c>
      <c r="H12" s="6"/>
      <c r="I12" s="6"/>
      <c r="J12" s="7"/>
      <c r="M12" s="76" t="s">
        <v>61</v>
      </c>
      <c r="N12" s="77">
        <v>7</v>
      </c>
      <c r="O12" s="78"/>
      <c r="P12" s="79">
        <f>'MAY 21'!V12:V45</f>
        <v>400</v>
      </c>
      <c r="Q12" s="83">
        <v>3000</v>
      </c>
      <c r="R12" s="81">
        <v>350</v>
      </c>
      <c r="S12" s="83">
        <v>200</v>
      </c>
      <c r="T12" s="80">
        <f>P12+Q12+R12+S12+O12</f>
        <v>3950</v>
      </c>
      <c r="U12" s="80">
        <f>3550</f>
        <v>3550</v>
      </c>
      <c r="V12" s="80">
        <f t="shared" si="4"/>
        <v>400</v>
      </c>
      <c r="W12" s="80"/>
      <c r="X12" s="80"/>
      <c r="Y12" s="69"/>
    </row>
    <row r="13" spans="1:25" ht="15.75" x14ac:dyDescent="0.25">
      <c r="A13" s="8" t="s">
        <v>11</v>
      </c>
      <c r="B13" s="8"/>
      <c r="C13" s="9"/>
      <c r="D13" s="9"/>
      <c r="G13" s="10"/>
      <c r="H13" s="13"/>
      <c r="I13" s="12"/>
      <c r="J13" s="8"/>
      <c r="M13" s="86" t="s">
        <v>124</v>
      </c>
      <c r="N13" s="77">
        <v>8</v>
      </c>
      <c r="O13" s="78"/>
      <c r="P13" s="79">
        <f>'MAY 21'!V13:V46</f>
        <v>1150</v>
      </c>
      <c r="Q13" s="83">
        <v>2500</v>
      </c>
      <c r="R13" s="81">
        <v>350</v>
      </c>
      <c r="S13" s="83">
        <v>200</v>
      </c>
      <c r="T13" s="80">
        <f>P13+Q13+R13+S13+O13</f>
        <v>4200</v>
      </c>
      <c r="U13" s="80"/>
      <c r="V13" s="80">
        <f t="shared" si="4"/>
        <v>4200</v>
      </c>
      <c r="W13" s="80"/>
      <c r="X13" s="80"/>
      <c r="Y13" s="69"/>
    </row>
    <row r="14" spans="1:25" ht="15.75" x14ac:dyDescent="0.25">
      <c r="A14" s="14" t="s">
        <v>12</v>
      </c>
      <c r="B14" s="14"/>
      <c r="C14" s="14"/>
      <c r="D14" s="14"/>
      <c r="F14" s="14" t="s">
        <v>8</v>
      </c>
      <c r="I14" s="8"/>
      <c r="J14" s="8"/>
      <c r="M14" s="76" t="s">
        <v>122</v>
      </c>
      <c r="N14" s="77">
        <v>9</v>
      </c>
      <c r="O14" s="78"/>
      <c r="P14" s="79">
        <f>'MAY 21'!V14:V47</f>
        <v>300</v>
      </c>
      <c r="Q14" s="83">
        <v>2500</v>
      </c>
      <c r="R14" s="81">
        <v>350</v>
      </c>
      <c r="S14" s="83">
        <v>200</v>
      </c>
      <c r="T14" s="80">
        <f>P14+Q14+R14+S14+O14</f>
        <v>3350</v>
      </c>
      <c r="U14" s="80">
        <f>3000</f>
        <v>3000</v>
      </c>
      <c r="V14" s="80">
        <f>T14-U14</f>
        <v>350</v>
      </c>
      <c r="W14" s="80"/>
      <c r="X14" s="80"/>
      <c r="Y14" s="69"/>
    </row>
    <row r="15" spans="1:25" ht="15.75" x14ac:dyDescent="0.25">
      <c r="A15" s="16" t="s">
        <v>13</v>
      </c>
      <c r="B15" s="16"/>
      <c r="C15" s="16" t="s">
        <v>14</v>
      </c>
      <c r="D15" s="16"/>
      <c r="E15" s="16" t="s">
        <v>15</v>
      </c>
      <c r="F15" s="16" t="s">
        <v>16</v>
      </c>
      <c r="G15" s="16" t="s">
        <v>13</v>
      </c>
      <c r="H15" s="16" t="s">
        <v>14</v>
      </c>
      <c r="I15" s="16" t="s">
        <v>15</v>
      </c>
      <c r="J15" s="16" t="s">
        <v>16</v>
      </c>
      <c r="M15" s="82" t="s">
        <v>99</v>
      </c>
      <c r="N15" s="77">
        <v>10</v>
      </c>
      <c r="O15" s="78"/>
      <c r="P15" s="79">
        <f>'MAY 21'!V15:V48</f>
        <v>6714</v>
      </c>
      <c r="Q15" s="83">
        <v>2500</v>
      </c>
      <c r="R15" s="81">
        <f>350+300</f>
        <v>650</v>
      </c>
      <c r="S15" s="83">
        <v>200</v>
      </c>
      <c r="T15" s="80">
        <f t="shared" si="2"/>
        <v>10064</v>
      </c>
      <c r="U15" s="80">
        <f>1000+1000+500+3000+1000</f>
        <v>6500</v>
      </c>
      <c r="V15" s="80">
        <f>T15-U15</f>
        <v>3564</v>
      </c>
      <c r="W15" s="80">
        <v>1530</v>
      </c>
      <c r="X15" s="80"/>
      <c r="Y15" s="69"/>
    </row>
    <row r="16" spans="1:25" ht="15.75" x14ac:dyDescent="0.25">
      <c r="A16" s="17" t="s">
        <v>145</v>
      </c>
      <c r="B16" s="17"/>
      <c r="C16" s="18">
        <f>G11</f>
        <v>16000</v>
      </c>
      <c r="D16" s="18"/>
      <c r="E16" s="17"/>
      <c r="F16" s="17"/>
      <c r="G16" s="17" t="s">
        <v>145</v>
      </c>
      <c r="H16" s="18">
        <f>I11</f>
        <v>18000</v>
      </c>
      <c r="I16" s="17"/>
      <c r="J16" s="17"/>
      <c r="K16">
        <f>G10+F10+E10+1000</f>
        <v>9650</v>
      </c>
      <c r="M16" s="76" t="s">
        <v>68</v>
      </c>
      <c r="N16" s="77">
        <v>11</v>
      </c>
      <c r="O16" s="78"/>
      <c r="P16" s="79">
        <f>'MAY 21'!V16:V49</f>
        <v>3600</v>
      </c>
      <c r="Q16" s="83">
        <v>4500</v>
      </c>
      <c r="R16" s="81">
        <v>350</v>
      </c>
      <c r="S16" s="83">
        <v>200</v>
      </c>
      <c r="T16" s="80">
        <f t="shared" si="2"/>
        <v>8650</v>
      </c>
      <c r="U16" s="80">
        <f>3000</f>
        <v>3000</v>
      </c>
      <c r="V16" s="80">
        <f>T16-U16</f>
        <v>5650</v>
      </c>
      <c r="W16" s="80"/>
      <c r="X16" s="80"/>
      <c r="Y16" s="69"/>
    </row>
    <row r="17" spans="1:26" ht="15.75" x14ac:dyDescent="0.25">
      <c r="A17" s="17" t="s">
        <v>5</v>
      </c>
      <c r="B17" s="17"/>
      <c r="C17" s="18">
        <f>'MAY 21'!F29</f>
        <v>1250</v>
      </c>
      <c r="D17" s="18"/>
      <c r="E17" s="17"/>
      <c r="F17" s="17"/>
      <c r="G17" s="17" t="s">
        <v>5</v>
      </c>
      <c r="H17" s="18">
        <f>'MAY 21'!J29</f>
        <v>-350</v>
      </c>
      <c r="I17" s="17"/>
      <c r="J17" s="17"/>
      <c r="M17" s="82" t="s">
        <v>69</v>
      </c>
      <c r="N17" s="77">
        <v>12</v>
      </c>
      <c r="O17" s="78"/>
      <c r="P17" s="79">
        <f>'MAY 21'!V17:V50</f>
        <v>110</v>
      </c>
      <c r="Q17" s="83">
        <v>2500</v>
      </c>
      <c r="R17" s="81">
        <v>350</v>
      </c>
      <c r="S17" s="83">
        <v>200</v>
      </c>
      <c r="T17" s="80">
        <f t="shared" si="2"/>
        <v>3160</v>
      </c>
      <c r="U17" s="80">
        <f>3050</f>
        <v>3050</v>
      </c>
      <c r="V17" s="80">
        <f t="shared" si="4"/>
        <v>110</v>
      </c>
      <c r="W17" s="80"/>
      <c r="X17" s="80"/>
      <c r="Y17" s="69"/>
      <c r="Z17" s="120"/>
    </row>
    <row r="18" spans="1:26" ht="15.75" x14ac:dyDescent="0.25">
      <c r="A18" s="25" t="s">
        <v>150</v>
      </c>
      <c r="B18" s="3"/>
      <c r="C18" s="3">
        <v>850</v>
      </c>
      <c r="D18" s="3"/>
      <c r="E18" s="3"/>
      <c r="F18" s="3"/>
      <c r="G18" s="3"/>
      <c r="I18" s="17"/>
      <c r="J18" s="17"/>
      <c r="M18" s="76" t="s">
        <v>131</v>
      </c>
      <c r="N18" s="77">
        <v>13</v>
      </c>
      <c r="O18" s="78"/>
      <c r="P18" s="79">
        <f>'MAY 21'!V18:V51</f>
        <v>1250</v>
      </c>
      <c r="Q18" s="83">
        <v>2500</v>
      </c>
      <c r="R18" s="81">
        <v>350</v>
      </c>
      <c r="S18" s="83">
        <v>200</v>
      </c>
      <c r="T18" s="80">
        <f t="shared" si="2"/>
        <v>4300</v>
      </c>
      <c r="U18" s="80">
        <f>3050</f>
        <v>3050</v>
      </c>
      <c r="V18" s="80">
        <f t="shared" si="4"/>
        <v>1250</v>
      </c>
      <c r="W18" s="80"/>
      <c r="X18" s="80"/>
      <c r="Y18" s="69"/>
    </row>
    <row r="19" spans="1:26" ht="15.75" x14ac:dyDescent="0.25">
      <c r="A19" s="25" t="s">
        <v>41</v>
      </c>
      <c r="B19" s="3"/>
      <c r="C19" s="3">
        <f>E11</f>
        <v>750</v>
      </c>
      <c r="D19" s="3"/>
      <c r="E19" s="3"/>
      <c r="F19" s="3"/>
      <c r="G19" s="3"/>
      <c r="H19" s="14"/>
      <c r="I19" s="17"/>
      <c r="J19" s="17"/>
      <c r="M19" s="76" t="s">
        <v>71</v>
      </c>
      <c r="N19" s="77">
        <v>14</v>
      </c>
      <c r="O19" s="78"/>
      <c r="P19" s="79">
        <f>'MAY 21'!V19:V52</f>
        <v>0</v>
      </c>
      <c r="Q19" s="83">
        <v>2700</v>
      </c>
      <c r="R19" s="81">
        <v>320</v>
      </c>
      <c r="S19" s="83">
        <v>200</v>
      </c>
      <c r="T19" s="80">
        <f t="shared" si="2"/>
        <v>3220</v>
      </c>
      <c r="U19" s="80">
        <v>3220</v>
      </c>
      <c r="V19" s="80">
        <f t="shared" si="4"/>
        <v>0</v>
      </c>
      <c r="W19" s="80"/>
      <c r="X19" s="80">
        <v>780</v>
      </c>
      <c r="Y19" s="87"/>
    </row>
    <row r="20" spans="1:26" ht="15.75" x14ac:dyDescent="0.25">
      <c r="A20" s="25" t="s">
        <v>42</v>
      </c>
      <c r="B20" s="3"/>
      <c r="C20" s="3">
        <f>F11</f>
        <v>400</v>
      </c>
      <c r="D20" s="3"/>
      <c r="E20" s="3"/>
      <c r="F20" s="3"/>
      <c r="G20" s="3"/>
      <c r="H20" s="3"/>
      <c r="I20" s="17"/>
      <c r="J20" s="17"/>
      <c r="M20" s="82" t="s">
        <v>72</v>
      </c>
      <c r="N20" s="77">
        <v>15</v>
      </c>
      <c r="O20" s="78"/>
      <c r="P20" s="79">
        <f>'MAY 21'!V20:V53</f>
        <v>20</v>
      </c>
      <c r="Q20" s="83">
        <v>4500</v>
      </c>
      <c r="R20" s="81">
        <v>350</v>
      </c>
      <c r="S20" s="83">
        <v>200</v>
      </c>
      <c r="T20" s="80">
        <f t="shared" si="2"/>
        <v>5070</v>
      </c>
      <c r="U20" s="80">
        <f>5050</f>
        <v>5050</v>
      </c>
      <c r="V20" s="80">
        <f t="shared" si="4"/>
        <v>20</v>
      </c>
      <c r="W20" s="80"/>
      <c r="X20" s="80"/>
      <c r="Y20" s="69"/>
    </row>
    <row r="21" spans="1:26" ht="15.75" x14ac:dyDescent="0.25">
      <c r="A21" s="17" t="s">
        <v>18</v>
      </c>
      <c r="B21" s="17"/>
      <c r="C21" s="20">
        <v>7.0000000000000007E-2</v>
      </c>
      <c r="D21" s="20"/>
      <c r="E21" s="18">
        <f>C16*C21</f>
        <v>1120</v>
      </c>
      <c r="F21" s="17"/>
      <c r="G21" s="17" t="s">
        <v>18</v>
      </c>
      <c r="H21" s="20">
        <v>7.0000000000000007E-2</v>
      </c>
      <c r="I21" s="18">
        <f>E21</f>
        <v>1120</v>
      </c>
      <c r="J21" s="17"/>
      <c r="M21" s="76" t="s">
        <v>73</v>
      </c>
      <c r="N21" s="77">
        <v>16</v>
      </c>
      <c r="O21" s="78"/>
      <c r="P21" s="79">
        <f>'MAY 21'!V21:V54</f>
        <v>5550</v>
      </c>
      <c r="Q21" s="83">
        <v>4500</v>
      </c>
      <c r="R21" s="81">
        <v>350</v>
      </c>
      <c r="S21" s="83">
        <v>200</v>
      </c>
      <c r="T21" s="80">
        <f t="shared" si="2"/>
        <v>10600</v>
      </c>
      <c r="U21" s="80">
        <f>4100+1250</f>
        <v>5350</v>
      </c>
      <c r="V21" s="80">
        <f t="shared" si="4"/>
        <v>5250</v>
      </c>
      <c r="W21" s="80"/>
      <c r="X21" s="80"/>
      <c r="Y21" s="69"/>
    </row>
    <row r="22" spans="1:26" ht="15.75" x14ac:dyDescent="0.25">
      <c r="A22" s="16" t="s">
        <v>19</v>
      </c>
      <c r="C22" s="18"/>
      <c r="D22" s="18"/>
      <c r="E22" s="16"/>
      <c r="F22" s="16"/>
      <c r="G22" s="16" t="s">
        <v>19</v>
      </c>
      <c r="H22" s="21"/>
      <c r="I22" s="16"/>
      <c r="J22" s="16"/>
      <c r="M22" s="76" t="s">
        <v>125</v>
      </c>
      <c r="N22" s="77">
        <v>17</v>
      </c>
      <c r="O22" s="78"/>
      <c r="P22" s="79">
        <f>'MAY 21'!V22:V55</f>
        <v>0</v>
      </c>
      <c r="Q22" s="83">
        <v>3000</v>
      </c>
      <c r="R22" s="81">
        <v>350</v>
      </c>
      <c r="S22" s="83">
        <v>200</v>
      </c>
      <c r="T22" s="80">
        <f t="shared" si="2"/>
        <v>3550</v>
      </c>
      <c r="U22" s="80">
        <f>3550</f>
        <v>3550</v>
      </c>
      <c r="V22" s="80">
        <f t="shared" si="4"/>
        <v>0</v>
      </c>
      <c r="W22" s="80"/>
      <c r="X22" s="80"/>
      <c r="Y22" s="69"/>
    </row>
    <row r="23" spans="1:26" ht="15.75" x14ac:dyDescent="0.25">
      <c r="A23" s="22" t="s">
        <v>147</v>
      </c>
      <c r="B23" s="20"/>
      <c r="C23" s="17"/>
      <c r="D23" s="17"/>
      <c r="E23" s="17">
        <v>1200</v>
      </c>
      <c r="F23" s="17"/>
      <c r="G23" s="22"/>
      <c r="H23" s="20"/>
      <c r="I23" s="17"/>
      <c r="J23" s="17"/>
      <c r="K23" s="17"/>
      <c r="M23" s="82" t="s">
        <v>114</v>
      </c>
      <c r="N23" s="77">
        <v>18</v>
      </c>
      <c r="O23" s="78"/>
      <c r="P23" s="79">
        <f>'MAY 21'!V23:V56</f>
        <v>0</v>
      </c>
      <c r="Q23" s="83">
        <v>4500</v>
      </c>
      <c r="R23" s="81">
        <v>350</v>
      </c>
      <c r="S23" s="83">
        <v>200</v>
      </c>
      <c r="T23" s="80">
        <f t="shared" si="2"/>
        <v>5050</v>
      </c>
      <c r="U23" s="80">
        <f>5050</f>
        <v>5050</v>
      </c>
      <c r="V23" s="80">
        <f t="shared" si="4"/>
        <v>0</v>
      </c>
      <c r="W23" s="80"/>
      <c r="X23" s="80"/>
      <c r="Y23" s="87">
        <f>V21-2550</f>
        <v>2700</v>
      </c>
    </row>
    <row r="24" spans="1:26" ht="15.75" x14ac:dyDescent="0.25">
      <c r="A24" s="23"/>
      <c r="B24" s="23"/>
      <c r="C24" s="17"/>
      <c r="D24" s="17"/>
      <c r="E24" s="17"/>
      <c r="F24" s="17"/>
      <c r="G24" s="23"/>
      <c r="H24" s="23"/>
      <c r="I24" s="17"/>
      <c r="J24" s="17"/>
      <c r="M24" s="76" t="s">
        <v>76</v>
      </c>
      <c r="N24" s="77">
        <v>19</v>
      </c>
      <c r="O24" s="78"/>
      <c r="P24" s="79">
        <f>'MAY 21'!V24:V57</f>
        <v>0</v>
      </c>
      <c r="Q24" s="83">
        <v>2500</v>
      </c>
      <c r="R24" s="81">
        <v>320</v>
      </c>
      <c r="S24" s="83">
        <v>200</v>
      </c>
      <c r="T24" s="80">
        <f t="shared" si="2"/>
        <v>3020</v>
      </c>
      <c r="U24" s="80">
        <v>3020</v>
      </c>
      <c r="V24" s="80">
        <f>T24-U24</f>
        <v>0</v>
      </c>
      <c r="W24" s="80"/>
      <c r="X24" s="80">
        <v>200</v>
      </c>
      <c r="Y24" s="87">
        <f>Y23+350</f>
        <v>3050</v>
      </c>
    </row>
    <row r="25" spans="1:26" ht="15.75" x14ac:dyDescent="0.25">
      <c r="A25" s="23"/>
      <c r="B25" s="23"/>
      <c r="C25" s="17"/>
      <c r="D25" s="17"/>
      <c r="E25" s="17"/>
      <c r="F25" s="17"/>
      <c r="G25" s="23"/>
      <c r="H25" s="23"/>
      <c r="I25" s="17"/>
      <c r="J25" s="17"/>
      <c r="K25" s="17"/>
      <c r="M25" s="76" t="s">
        <v>101</v>
      </c>
      <c r="N25" s="77">
        <v>20</v>
      </c>
      <c r="O25" s="78"/>
      <c r="P25" s="79">
        <f>'MAY 21'!V25:V58</f>
        <v>350</v>
      </c>
      <c r="Q25" s="83">
        <v>2500</v>
      </c>
      <c r="R25" s="81">
        <v>350</v>
      </c>
      <c r="S25" s="83">
        <v>200</v>
      </c>
      <c r="T25" s="80">
        <f t="shared" si="2"/>
        <v>3400</v>
      </c>
      <c r="U25" s="80">
        <v>3400</v>
      </c>
      <c r="V25" s="80">
        <f t="shared" si="4"/>
        <v>0</v>
      </c>
      <c r="W25" s="80"/>
      <c r="X25" s="80"/>
      <c r="Y25" s="69"/>
    </row>
    <row r="26" spans="1:26" ht="15.75" x14ac:dyDescent="0.25">
      <c r="A26" s="23"/>
      <c r="B26" s="23"/>
      <c r="C26" s="17"/>
      <c r="D26" s="17"/>
      <c r="E26" s="17"/>
      <c r="F26" s="17"/>
      <c r="G26" s="23"/>
      <c r="H26" s="23"/>
      <c r="I26" s="17"/>
      <c r="J26" s="17"/>
      <c r="M26" s="76" t="s">
        <v>78</v>
      </c>
      <c r="N26" s="77">
        <v>21</v>
      </c>
      <c r="O26" s="78"/>
      <c r="P26" s="79">
        <f>'MAY 21'!V26:V59</f>
        <v>0</v>
      </c>
      <c r="Q26" s="83">
        <v>2500</v>
      </c>
      <c r="R26" s="81">
        <v>320</v>
      </c>
      <c r="S26" s="83">
        <v>200</v>
      </c>
      <c r="T26" s="80">
        <f t="shared" si="2"/>
        <v>3020</v>
      </c>
      <c r="U26" s="80">
        <f>3020</f>
        <v>3020</v>
      </c>
      <c r="V26" s="80">
        <f t="shared" si="4"/>
        <v>0</v>
      </c>
      <c r="W26" s="80"/>
      <c r="X26" s="80"/>
      <c r="Y26" s="87"/>
    </row>
    <row r="27" spans="1:26" ht="15.75" x14ac:dyDescent="0.25">
      <c r="A27" s="24"/>
      <c r="B27" s="24"/>
      <c r="C27" s="17"/>
      <c r="D27" s="17"/>
      <c r="E27" s="17"/>
      <c r="F27" s="17"/>
      <c r="H27" s="23"/>
      <c r="I27" s="25"/>
      <c r="J27" s="17"/>
      <c r="M27" s="76" t="s">
        <v>79</v>
      </c>
      <c r="N27" s="77">
        <v>22</v>
      </c>
      <c r="O27" s="78"/>
      <c r="P27" s="79">
        <f>'MAY 21'!V27:V60</f>
        <v>150</v>
      </c>
      <c r="Q27" s="83">
        <v>4500</v>
      </c>
      <c r="R27" s="81">
        <v>350</v>
      </c>
      <c r="S27" s="83">
        <v>200</v>
      </c>
      <c r="T27" s="80">
        <f t="shared" si="2"/>
        <v>5200</v>
      </c>
      <c r="U27" s="80">
        <f>5050</f>
        <v>5050</v>
      </c>
      <c r="V27" s="80">
        <f>T27-U27</f>
        <v>150</v>
      </c>
      <c r="W27" s="80"/>
      <c r="X27" s="80"/>
      <c r="Y27" s="69"/>
    </row>
    <row r="28" spans="1:26" ht="15.75" x14ac:dyDescent="0.25">
      <c r="A28" s="23"/>
      <c r="B28" s="23"/>
      <c r="C28" s="17"/>
      <c r="D28" s="17"/>
      <c r="E28" s="25"/>
      <c r="F28" s="17"/>
      <c r="G28" s="17"/>
      <c r="H28" s="17"/>
      <c r="I28" s="17"/>
      <c r="J28" s="17"/>
      <c r="M28" s="76" t="s">
        <v>80</v>
      </c>
      <c r="N28" s="77">
        <v>23</v>
      </c>
      <c r="O28" s="78"/>
      <c r="P28" s="79">
        <f>'MAY 21'!V28:V61</f>
        <v>0</v>
      </c>
      <c r="Q28" s="83">
        <v>2500</v>
      </c>
      <c r="R28" s="81">
        <v>350</v>
      </c>
      <c r="S28" s="83">
        <v>200</v>
      </c>
      <c r="T28" s="80">
        <f t="shared" si="2"/>
        <v>3050</v>
      </c>
      <c r="U28" s="80">
        <f>3050</f>
        <v>3050</v>
      </c>
      <c r="V28" s="80">
        <f t="shared" si="4"/>
        <v>0</v>
      </c>
      <c r="W28" s="80"/>
      <c r="X28" s="80"/>
      <c r="Y28" s="69"/>
    </row>
    <row r="29" spans="1:26" ht="15.75" x14ac:dyDescent="0.25">
      <c r="A29" s="16" t="s">
        <v>20</v>
      </c>
      <c r="B29" s="16"/>
      <c r="C29" s="21">
        <f>C16+C17+C18+C19+C20-E21</f>
        <v>18130</v>
      </c>
      <c r="D29" s="21"/>
      <c r="E29" s="21">
        <f>SUM(E23:E28)</f>
        <v>1200</v>
      </c>
      <c r="F29" s="21">
        <f>C29-E29</f>
        <v>16930</v>
      </c>
      <c r="G29" s="16" t="s">
        <v>20</v>
      </c>
      <c r="H29" s="21">
        <f>H16+H17-I21</f>
        <v>16530</v>
      </c>
      <c r="I29" s="21">
        <f>SUM(I23:I28)</f>
        <v>0</v>
      </c>
      <c r="J29" s="21">
        <f>H29-I29</f>
        <v>16530</v>
      </c>
      <c r="M29" s="76" t="s">
        <v>81</v>
      </c>
      <c r="N29" s="77">
        <v>24</v>
      </c>
      <c r="O29" s="78"/>
      <c r="P29" s="79">
        <f>'MAY 21'!V29:V62</f>
        <v>530</v>
      </c>
      <c r="Q29" s="83">
        <v>2500</v>
      </c>
      <c r="R29" s="81">
        <v>320</v>
      </c>
      <c r="S29" s="83"/>
      <c r="T29" s="80">
        <f t="shared" si="2"/>
        <v>3350</v>
      </c>
      <c r="U29" s="80">
        <f>3320</f>
        <v>3320</v>
      </c>
      <c r="V29" s="80">
        <f t="shared" si="4"/>
        <v>30</v>
      </c>
      <c r="W29" s="80"/>
      <c r="X29" s="80"/>
      <c r="Y29" s="69"/>
    </row>
    <row r="30" spans="1:26" ht="15.75" x14ac:dyDescent="0.25">
      <c r="M30" s="76" t="s">
        <v>82</v>
      </c>
      <c r="N30" s="77">
        <v>25</v>
      </c>
      <c r="O30" s="78"/>
      <c r="P30" s="79">
        <f>'MAY 21'!V30:V63</f>
        <v>0</v>
      </c>
      <c r="Q30" s="83">
        <v>2700</v>
      </c>
      <c r="R30" s="81">
        <v>320</v>
      </c>
      <c r="S30" s="83">
        <v>200</v>
      </c>
      <c r="T30" s="80">
        <f t="shared" si="2"/>
        <v>3220</v>
      </c>
      <c r="U30" s="80">
        <v>3220</v>
      </c>
      <c r="V30" s="80">
        <f t="shared" si="4"/>
        <v>0</v>
      </c>
      <c r="W30" s="80"/>
      <c r="X30" s="80"/>
      <c r="Y30" s="69"/>
    </row>
    <row r="31" spans="1:26" ht="15.75" x14ac:dyDescent="0.25">
      <c r="A31" t="s">
        <v>21</v>
      </c>
      <c r="E31" t="s">
        <v>22</v>
      </c>
      <c r="H31" t="s">
        <v>23</v>
      </c>
      <c r="M31" s="76" t="s">
        <v>83</v>
      </c>
      <c r="N31" s="77">
        <v>26</v>
      </c>
      <c r="O31" s="78"/>
      <c r="P31" s="79">
        <f>'MAY 21'!V31:V64</f>
        <v>708</v>
      </c>
      <c r="Q31" s="83">
        <v>4500</v>
      </c>
      <c r="R31" s="81">
        <f>350+300</f>
        <v>650</v>
      </c>
      <c r="S31" s="83">
        <v>200</v>
      </c>
      <c r="T31" s="80">
        <f t="shared" si="2"/>
        <v>6058</v>
      </c>
      <c r="U31" s="80">
        <f>5500</f>
        <v>5500</v>
      </c>
      <c r="V31" s="80">
        <f>T31-U31</f>
        <v>558</v>
      </c>
      <c r="W31" s="80">
        <v>150</v>
      </c>
      <c r="X31" s="80"/>
      <c r="Y31" s="69"/>
    </row>
    <row r="32" spans="1:26" ht="15.75" x14ac:dyDescent="0.25">
      <c r="M32" s="76" t="s">
        <v>84</v>
      </c>
      <c r="N32" s="77">
        <v>27</v>
      </c>
      <c r="O32" s="78"/>
      <c r="P32" s="79">
        <f>'MAY 21'!V32:V65</f>
        <v>2540</v>
      </c>
      <c r="Q32" s="83">
        <v>4500</v>
      </c>
      <c r="R32" s="81">
        <v>320</v>
      </c>
      <c r="S32" s="83">
        <v>200</v>
      </c>
      <c r="T32" s="80">
        <f t="shared" si="2"/>
        <v>7560</v>
      </c>
      <c r="U32" s="80">
        <f>2000+2400+2000</f>
        <v>6400</v>
      </c>
      <c r="V32" s="80">
        <f>T32-U32</f>
        <v>1160</v>
      </c>
      <c r="W32" s="80">
        <v>220</v>
      </c>
      <c r="X32" s="69"/>
      <c r="Y32" s="69"/>
    </row>
    <row r="33" spans="1:26" ht="15.75" x14ac:dyDescent="0.25">
      <c r="A33" t="s">
        <v>24</v>
      </c>
      <c r="E33" t="s">
        <v>25</v>
      </c>
      <c r="H33" t="s">
        <v>34</v>
      </c>
      <c r="M33" s="88" t="s">
        <v>40</v>
      </c>
      <c r="N33" s="77">
        <v>28</v>
      </c>
      <c r="O33" s="78"/>
      <c r="P33" s="79">
        <f>'MAY 21'!V33:V66</f>
        <v>0</v>
      </c>
      <c r="Q33" s="83"/>
      <c r="R33" s="81"/>
      <c r="S33" s="83"/>
      <c r="T33" s="80">
        <f t="shared" si="2"/>
        <v>0</v>
      </c>
      <c r="U33" s="80"/>
      <c r="V33" s="80">
        <f t="shared" si="4"/>
        <v>0</v>
      </c>
      <c r="W33" s="80"/>
      <c r="X33" s="80"/>
      <c r="Y33" s="69"/>
    </row>
    <row r="34" spans="1:26" ht="15.75" x14ac:dyDescent="0.25">
      <c r="M34" s="76" t="s">
        <v>85</v>
      </c>
      <c r="N34" s="77">
        <v>29</v>
      </c>
      <c r="O34" s="78"/>
      <c r="P34" s="79">
        <f>'MAY 21'!V34:V67</f>
        <v>20</v>
      </c>
      <c r="Q34" s="83">
        <v>4500</v>
      </c>
      <c r="R34" s="81">
        <f>350</f>
        <v>350</v>
      </c>
      <c r="S34" s="83">
        <v>200</v>
      </c>
      <c r="T34" s="80">
        <f t="shared" si="2"/>
        <v>5070</v>
      </c>
      <c r="U34" s="80">
        <f>4050+1000</f>
        <v>5050</v>
      </c>
      <c r="V34" s="80">
        <f t="shared" si="4"/>
        <v>20</v>
      </c>
      <c r="W34" s="80"/>
      <c r="X34" s="80"/>
      <c r="Y34" s="69"/>
    </row>
    <row r="35" spans="1:26" ht="15.75" x14ac:dyDescent="0.25">
      <c r="M35" s="76"/>
      <c r="N35" s="77"/>
      <c r="O35" s="78"/>
      <c r="P35" s="79">
        <f>'MAY 21'!V35:V68</f>
        <v>0</v>
      </c>
      <c r="Q35" s="83"/>
      <c r="R35" s="81"/>
      <c r="S35" s="83"/>
      <c r="T35" s="80">
        <f t="shared" si="2"/>
        <v>0</v>
      </c>
      <c r="U35" s="80"/>
      <c r="V35" s="80">
        <f t="shared" si="4"/>
        <v>0</v>
      </c>
      <c r="W35" s="80"/>
      <c r="X35" s="80"/>
      <c r="Y35" s="69"/>
    </row>
    <row r="36" spans="1:26" ht="15.75" x14ac:dyDescent="0.25">
      <c r="C36" s="119">
        <f>C16+C19+C20</f>
        <v>17150</v>
      </c>
      <c r="E36" s="119"/>
      <c r="M36" s="76"/>
      <c r="N36" s="77" t="s">
        <v>86</v>
      </c>
      <c r="O36" s="78"/>
      <c r="P36" s="79">
        <f>'MAY 21'!V36:V69</f>
        <v>0</v>
      </c>
      <c r="Q36" s="83"/>
      <c r="R36" s="81"/>
      <c r="S36" s="83"/>
      <c r="T36" s="80">
        <f t="shared" si="2"/>
        <v>0</v>
      </c>
      <c r="U36" s="80"/>
      <c r="V36" s="80">
        <f t="shared" si="4"/>
        <v>0</v>
      </c>
      <c r="W36" s="80"/>
      <c r="X36" s="80"/>
      <c r="Y36" s="69"/>
    </row>
    <row r="37" spans="1:26" ht="15.75" x14ac:dyDescent="0.25">
      <c r="C37" s="119">
        <f>C36-E21</f>
        <v>16030</v>
      </c>
      <c r="E37" s="119"/>
      <c r="M37" s="76" t="s">
        <v>93</v>
      </c>
      <c r="N37" s="77" t="s">
        <v>87</v>
      </c>
      <c r="O37" s="78"/>
      <c r="P37" s="79">
        <f>'MAY 21'!V37:V70</f>
        <v>0</v>
      </c>
      <c r="Q37" s="83">
        <v>7000</v>
      </c>
      <c r="R37" s="81"/>
      <c r="S37" s="83"/>
      <c r="T37" s="80">
        <f t="shared" si="2"/>
        <v>7000</v>
      </c>
      <c r="U37" s="80">
        <f>7000</f>
        <v>7000</v>
      </c>
      <c r="V37" s="80">
        <f t="shared" si="4"/>
        <v>0</v>
      </c>
      <c r="W37" s="80"/>
      <c r="X37" s="80"/>
      <c r="Y37" s="69"/>
    </row>
    <row r="38" spans="1:26" ht="15.75" x14ac:dyDescent="0.25">
      <c r="C38" s="119">
        <f>C37-E25</f>
        <v>16030</v>
      </c>
      <c r="E38" s="119"/>
      <c r="M38" s="76" t="s">
        <v>92</v>
      </c>
      <c r="N38" s="77" t="s">
        <v>88</v>
      </c>
      <c r="O38" s="78"/>
      <c r="P38" s="79">
        <f>'MAY 21'!V38:V71</f>
        <v>0</v>
      </c>
      <c r="Q38" s="83">
        <v>7000</v>
      </c>
      <c r="R38" s="81"/>
      <c r="S38" s="83"/>
      <c r="T38" s="80">
        <f>P38+Q38+R38+S38+O38</f>
        <v>7000</v>
      </c>
      <c r="U38" s="80">
        <f>7000</f>
        <v>7000</v>
      </c>
      <c r="V38" s="80">
        <f t="shared" si="4"/>
        <v>0</v>
      </c>
      <c r="W38" s="80"/>
      <c r="X38" s="80"/>
      <c r="Y38" s="69"/>
    </row>
    <row r="39" spans="1:26" ht="15.75" x14ac:dyDescent="0.25">
      <c r="M39" s="90" t="s">
        <v>51</v>
      </c>
      <c r="N39" s="76"/>
      <c r="O39" s="78">
        <f t="shared" ref="O39:X39" si="5">SUM(O6:O38)</f>
        <v>0</v>
      </c>
      <c r="P39" s="79">
        <f>'MAY 21'!V39:V72</f>
        <v>26452</v>
      </c>
      <c r="Q39" s="91">
        <f>SUM(Q6:Q38)</f>
        <v>93900</v>
      </c>
      <c r="R39" s="92">
        <f t="shared" si="5"/>
        <v>9170</v>
      </c>
      <c r="S39" s="93">
        <f t="shared" si="5"/>
        <v>4800</v>
      </c>
      <c r="T39" s="80">
        <f>SUM(T6:T38)</f>
        <v>134322</v>
      </c>
      <c r="U39" s="80">
        <f t="shared" si="5"/>
        <v>109250</v>
      </c>
      <c r="V39" s="80">
        <f t="shared" si="5"/>
        <v>25072</v>
      </c>
      <c r="W39" s="80">
        <f>SUM(W6:W38)</f>
        <v>1900</v>
      </c>
      <c r="X39" s="80">
        <f t="shared" si="5"/>
        <v>980</v>
      </c>
      <c r="Y39" s="69"/>
    </row>
    <row r="40" spans="1:26" ht="15.75" x14ac:dyDescent="0.25">
      <c r="M40" s="94" t="s">
        <v>12</v>
      </c>
      <c r="N40" s="94"/>
      <c r="O40" s="94"/>
      <c r="P40" s="95"/>
      <c r="Q40" s="118">
        <f>Q39-Q38-Q37</f>
        <v>79900</v>
      </c>
      <c r="R40" s="94" t="s">
        <v>8</v>
      </c>
      <c r="S40" s="94"/>
      <c r="T40" s="94"/>
      <c r="U40" s="70"/>
      <c r="V40" s="70"/>
      <c r="W40" s="70"/>
      <c r="X40" s="71"/>
      <c r="Y40" s="69"/>
      <c r="Z40">
        <f>AA37</f>
        <v>0</v>
      </c>
    </row>
    <row r="41" spans="1:26" ht="15.75" x14ac:dyDescent="0.25"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  <c r="Y41" s="69"/>
    </row>
    <row r="42" spans="1:26" ht="15.75" x14ac:dyDescent="0.25">
      <c r="M42" s="76" t="s">
        <v>145</v>
      </c>
      <c r="N42" s="98">
        <f>Q39</f>
        <v>93900</v>
      </c>
      <c r="O42" s="76"/>
      <c r="P42" s="76"/>
      <c r="Q42" s="76"/>
      <c r="R42" s="76" t="s">
        <v>145</v>
      </c>
      <c r="S42" s="76"/>
      <c r="T42" s="99">
        <f>U39</f>
        <v>109250</v>
      </c>
      <c r="U42" s="76"/>
      <c r="V42" s="76"/>
      <c r="W42" s="76"/>
      <c r="X42" s="100"/>
      <c r="Y42" s="69"/>
    </row>
    <row r="43" spans="1:26" ht="15.75" x14ac:dyDescent="0.25">
      <c r="I43" s="119"/>
      <c r="M43" s="76" t="s">
        <v>5</v>
      </c>
      <c r="N43" s="98">
        <f>'MAY 21'!P56</f>
        <v>-2429.5</v>
      </c>
      <c r="O43" s="76"/>
      <c r="P43" s="76"/>
      <c r="Q43" s="76"/>
      <c r="R43" s="76" t="s">
        <v>5</v>
      </c>
      <c r="S43" s="76"/>
      <c r="T43" s="98">
        <f>'MAY 21'!V56</f>
        <v>-19249.5</v>
      </c>
      <c r="U43" s="76"/>
      <c r="V43" s="76"/>
      <c r="W43" s="76"/>
      <c r="X43" s="100"/>
      <c r="Y43" s="69"/>
    </row>
    <row r="44" spans="1:26" ht="15.75" x14ac:dyDescent="0.25">
      <c r="M44" s="76" t="s">
        <v>4</v>
      </c>
      <c r="N44" s="98">
        <f>O39</f>
        <v>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  <c r="Y44" s="69"/>
    </row>
    <row r="45" spans="1:26" ht="15.75" x14ac:dyDescent="0.25">
      <c r="M45" s="76" t="s">
        <v>41</v>
      </c>
      <c r="N45" s="98">
        <f>R39</f>
        <v>9170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  <c r="Y45" s="69"/>
    </row>
    <row r="46" spans="1:26" ht="15.75" x14ac:dyDescent="0.25">
      <c r="M46" s="76" t="s">
        <v>53</v>
      </c>
      <c r="N46" s="98">
        <f>W39</f>
        <v>1900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  <c r="Y46" s="69"/>
    </row>
    <row r="47" spans="1:26" ht="15.75" x14ac:dyDescent="0.25">
      <c r="M47" s="76" t="s">
        <v>42</v>
      </c>
      <c r="N47" s="98">
        <f>S39</f>
        <v>4800</v>
      </c>
      <c r="O47" s="76"/>
      <c r="P47" s="76"/>
      <c r="Q47" s="76"/>
      <c r="R47" s="76" t="s">
        <v>126</v>
      </c>
      <c r="S47" s="76"/>
      <c r="T47" s="99">
        <f>X39</f>
        <v>980</v>
      </c>
      <c r="U47" s="76"/>
      <c r="V47" s="76"/>
      <c r="W47" s="76"/>
      <c r="X47" s="100"/>
      <c r="Y47" s="69"/>
    </row>
    <row r="48" spans="1:26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  <c r="Y48" s="69"/>
    </row>
    <row r="49" spans="10:25" ht="15.75" x14ac:dyDescent="0.25">
      <c r="M49" s="76" t="s">
        <v>126</v>
      </c>
      <c r="N49" s="99">
        <f>X39</f>
        <v>980</v>
      </c>
      <c r="O49" s="98"/>
      <c r="P49" s="76"/>
      <c r="Q49" s="76"/>
      <c r="R49" s="76"/>
      <c r="S49" s="76"/>
      <c r="T49" s="76"/>
      <c r="U49" s="98"/>
      <c r="V49" s="98"/>
      <c r="W49" s="98"/>
      <c r="X49" s="101"/>
      <c r="Y49" s="69"/>
    </row>
    <row r="50" spans="10:25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  <c r="Y50" s="69"/>
    </row>
    <row r="51" spans="10:25" ht="15.75" x14ac:dyDescent="0.25">
      <c r="M51" s="102" t="s">
        <v>55</v>
      </c>
      <c r="N51" s="103">
        <v>7.0000000000000007E-2</v>
      </c>
      <c r="O51" s="99">
        <f>N51*Q40</f>
        <v>5593.0000000000009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T51*Q40</f>
        <v>5593.0000000000009</v>
      </c>
      <c r="V51" s="76"/>
      <c r="W51" s="76"/>
      <c r="X51" s="100"/>
      <c r="Y51" s="69"/>
    </row>
    <row r="52" spans="10:25" ht="15.75" x14ac:dyDescent="0.25">
      <c r="M52" s="104" t="s">
        <v>128</v>
      </c>
      <c r="N52" s="105">
        <v>0.3</v>
      </c>
      <c r="O52" s="69">
        <f>N52*O7+(N52*O120)+(N52*O22)</f>
        <v>0</v>
      </c>
      <c r="P52" s="99"/>
      <c r="Q52" s="99"/>
      <c r="R52" s="104"/>
      <c r="S52" s="105"/>
      <c r="T52" s="69"/>
      <c r="U52" s="69"/>
      <c r="V52" s="69"/>
      <c r="W52" s="99"/>
      <c r="X52" s="106"/>
      <c r="Y52" s="87"/>
    </row>
    <row r="53" spans="10:25" ht="15.75" x14ac:dyDescent="0.25">
      <c r="M53" s="104" t="s">
        <v>146</v>
      </c>
      <c r="N53" s="105"/>
      <c r="O53" s="69">
        <v>98115</v>
      </c>
      <c r="P53" s="99"/>
      <c r="Q53" s="99"/>
      <c r="R53" s="104" t="s">
        <v>146</v>
      </c>
      <c r="S53" s="105"/>
      <c r="T53" s="69"/>
      <c r="U53" s="69">
        <v>98115</v>
      </c>
      <c r="V53" s="76"/>
      <c r="W53" s="76"/>
      <c r="X53" s="100"/>
      <c r="Y53" s="69"/>
    </row>
    <row r="54" spans="10:25" ht="15.75" x14ac:dyDescent="0.25">
      <c r="M54" s="104"/>
      <c r="N54" s="103"/>
      <c r="O54" s="99"/>
      <c r="P54" s="76"/>
      <c r="Q54" s="76"/>
      <c r="R54" s="104"/>
      <c r="S54" s="103"/>
      <c r="T54" s="99"/>
      <c r="U54" s="99"/>
      <c r="V54" s="76"/>
      <c r="W54" s="76"/>
      <c r="X54" s="100"/>
      <c r="Y54" s="87"/>
    </row>
    <row r="55" spans="10:25" ht="15.75" x14ac:dyDescent="0.25">
      <c r="M55" s="108"/>
      <c r="N55" s="76"/>
      <c r="O55" s="99"/>
      <c r="P55" s="76"/>
      <c r="Q55" s="76"/>
      <c r="R55" s="76"/>
      <c r="S55" s="99"/>
      <c r="T55" s="102"/>
      <c r="U55" s="99"/>
      <c r="V55" s="99"/>
      <c r="W55" s="99"/>
      <c r="X55" s="106"/>
      <c r="Y55" s="87"/>
    </row>
    <row r="56" spans="10:25" ht="15.75" x14ac:dyDescent="0.25">
      <c r="J56" t="s">
        <v>116</v>
      </c>
      <c r="M56" s="90" t="s">
        <v>20</v>
      </c>
      <c r="N56" s="109">
        <f>N42+N43+N44+N45+N46+N47+N49+N48</f>
        <v>108320.5</v>
      </c>
      <c r="O56" s="109">
        <f>SUM(O51:O55)</f>
        <v>103708</v>
      </c>
      <c r="P56" s="109">
        <f>N56-O56</f>
        <v>4612.5</v>
      </c>
      <c r="Q56" s="109"/>
      <c r="R56" s="90"/>
      <c r="S56" s="90"/>
      <c r="T56" s="109">
        <f>T42+T43+T45+T47+T48</f>
        <v>90980.5</v>
      </c>
      <c r="U56" s="109">
        <f>SUM(U51:U55)</f>
        <v>103708</v>
      </c>
      <c r="V56" s="109">
        <f>T56-U56</f>
        <v>-12727.5</v>
      </c>
      <c r="W56" s="109"/>
      <c r="X56" s="110"/>
      <c r="Y56" s="69"/>
    </row>
    <row r="57" spans="10:25" ht="15.75" x14ac:dyDescent="0.25">
      <c r="M57" s="70"/>
      <c r="N57" s="70"/>
      <c r="O57" s="70"/>
      <c r="P57" s="70"/>
      <c r="Q57" s="70"/>
      <c r="R57" s="70"/>
      <c r="S57" s="70"/>
      <c r="T57" s="70"/>
      <c r="U57" s="111">
        <f>U56-U51</f>
        <v>98115</v>
      </c>
      <c r="V57" s="70"/>
      <c r="W57" s="70"/>
      <c r="X57" s="71"/>
      <c r="Y57" s="69"/>
    </row>
    <row r="58" spans="10:25" ht="15.75" x14ac:dyDescent="0.25">
      <c r="M58" s="112" t="s">
        <v>56</v>
      </c>
      <c r="N58" s="113"/>
      <c r="O58" s="113" t="s">
        <v>22</v>
      </c>
      <c r="P58" s="114"/>
      <c r="Q58" s="114"/>
      <c r="R58" s="112"/>
      <c r="S58" s="112"/>
      <c r="T58" s="112" t="s">
        <v>57</v>
      </c>
      <c r="U58" s="70"/>
      <c r="V58" s="70"/>
      <c r="W58" s="70"/>
      <c r="X58" s="71"/>
      <c r="Y58" s="69"/>
    </row>
    <row r="59" spans="10:25" ht="15.75" x14ac:dyDescent="0.25">
      <c r="M59" s="70" t="s">
        <v>24</v>
      </c>
      <c r="N59" s="70"/>
      <c r="O59" s="70" t="s">
        <v>25</v>
      </c>
      <c r="P59" s="70"/>
      <c r="Q59" s="70"/>
      <c r="R59" s="70"/>
      <c r="S59" s="70"/>
      <c r="T59" s="70" t="s">
        <v>34</v>
      </c>
      <c r="U59" s="70"/>
      <c r="V59" s="70"/>
      <c r="W59" s="111"/>
      <c r="X59" s="71"/>
      <c r="Y59" s="69"/>
    </row>
    <row r="60" spans="10:25" ht="15.75" x14ac:dyDescent="0.25"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 spans="10:25" ht="15.75" x14ac:dyDescent="0.25">
      <c r="M61" s="69"/>
      <c r="N61" s="69"/>
      <c r="O61" s="69"/>
      <c r="P61" s="69"/>
      <c r="Q61" s="69"/>
      <c r="R61" s="115"/>
      <c r="S61" s="69"/>
      <c r="T61" s="69"/>
      <c r="U61" s="69"/>
      <c r="V61" s="69"/>
      <c r="W61" s="69"/>
      <c r="X61" s="69"/>
      <c r="Y61" s="6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C31" workbookViewId="0">
      <selection activeCell="J12" sqref="J12"/>
    </sheetView>
  </sheetViews>
  <sheetFormatPr defaultRowHeight="15" x14ac:dyDescent="0.25"/>
  <cols>
    <col min="2" max="2" width="20" customWidth="1"/>
    <col min="13" max="13" width="22.5703125" bestFit="1" customWidth="1"/>
    <col min="18" max="18" width="10.5703125" customWidth="1"/>
    <col min="19" max="19" width="12.28515625" bestFit="1" customWidth="1"/>
    <col min="20" max="20" width="16" bestFit="1" customWidth="1"/>
    <col min="21" max="21" width="12.5703125" customWidth="1"/>
    <col min="22" max="22" width="11.140625" customWidth="1"/>
  </cols>
  <sheetData>
    <row r="1" spans="1:25" ht="15.75" x14ac:dyDescent="0.25">
      <c r="A1" s="1"/>
      <c r="B1" s="1"/>
      <c r="C1" s="1"/>
      <c r="D1" s="1" t="s">
        <v>29</v>
      </c>
      <c r="E1" s="1"/>
      <c r="F1" s="1"/>
      <c r="G1" s="1"/>
      <c r="H1" s="1"/>
      <c r="I1" s="1"/>
      <c r="J1" s="1"/>
      <c r="M1" s="69"/>
      <c r="N1" s="69"/>
      <c r="O1" s="71"/>
      <c r="P1" s="71"/>
      <c r="Q1" s="71"/>
      <c r="R1" s="71"/>
      <c r="S1" s="71"/>
      <c r="T1" s="69"/>
      <c r="U1" s="71"/>
      <c r="V1" s="71"/>
      <c r="W1" s="71"/>
      <c r="X1" s="71"/>
      <c r="Y1" s="69"/>
    </row>
    <row r="2" spans="1:25" ht="15.75" x14ac:dyDescent="0.25">
      <c r="A2" s="1"/>
      <c r="B2" s="1"/>
      <c r="C2" s="1"/>
      <c r="D2" s="1" t="s">
        <v>0</v>
      </c>
      <c r="E2" s="1"/>
      <c r="F2" s="1"/>
      <c r="G2" s="1"/>
      <c r="H2" s="1"/>
      <c r="I2" s="1"/>
      <c r="J2" s="1"/>
      <c r="M2" s="69"/>
      <c r="N2" s="69"/>
      <c r="O2" s="27"/>
      <c r="P2" s="69"/>
      <c r="Q2" s="27" t="s">
        <v>58</v>
      </c>
      <c r="R2" s="70"/>
      <c r="S2" s="27"/>
      <c r="T2" s="28"/>
      <c r="U2" s="70"/>
      <c r="V2" s="70"/>
      <c r="W2" s="70"/>
      <c r="X2" s="70"/>
      <c r="Y2" s="69"/>
    </row>
    <row r="3" spans="1:25" ht="15.75" x14ac:dyDescent="0.25">
      <c r="A3" s="1"/>
      <c r="B3" s="1"/>
      <c r="C3" s="1"/>
      <c r="D3" s="1" t="s">
        <v>149</v>
      </c>
      <c r="E3" s="1"/>
      <c r="F3" s="1"/>
      <c r="G3" s="1"/>
      <c r="H3" s="1"/>
      <c r="I3" s="1"/>
      <c r="J3" s="1"/>
      <c r="M3" s="70"/>
      <c r="N3" s="27"/>
      <c r="O3" s="27"/>
      <c r="P3" s="27"/>
      <c r="Q3" s="27" t="s">
        <v>0</v>
      </c>
      <c r="R3" s="27"/>
      <c r="S3" s="71"/>
      <c r="T3" s="29"/>
      <c r="U3" s="70"/>
      <c r="V3" s="70"/>
      <c r="W3" s="70"/>
      <c r="X3" s="70"/>
      <c r="Y3" s="69"/>
    </row>
    <row r="4" spans="1:25" ht="15.7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41</v>
      </c>
      <c r="F4" s="2" t="s">
        <v>42</v>
      </c>
      <c r="G4" s="2" t="s">
        <v>6</v>
      </c>
      <c r="H4" s="2" t="s">
        <v>7</v>
      </c>
      <c r="I4" s="2" t="s">
        <v>8</v>
      </c>
      <c r="J4" s="2" t="s">
        <v>9</v>
      </c>
      <c r="M4" s="27"/>
      <c r="N4" s="70"/>
      <c r="O4" s="69"/>
      <c r="P4" s="27" t="s">
        <v>149</v>
      </c>
      <c r="Q4" s="27"/>
      <c r="R4" s="69"/>
      <c r="S4" s="27"/>
      <c r="T4" s="31"/>
      <c r="U4" s="31"/>
      <c r="V4" s="31"/>
      <c r="W4" s="31"/>
      <c r="X4" s="31"/>
      <c r="Y4" s="69"/>
    </row>
    <row r="5" spans="1:25" ht="15.75" x14ac:dyDescent="0.25">
      <c r="A5" s="3">
        <v>1</v>
      </c>
      <c r="B5" s="3" t="s">
        <v>26</v>
      </c>
      <c r="C5" s="3"/>
      <c r="D5" s="3">
        <f>'JUNE 21'!J5:J11</f>
        <v>0</v>
      </c>
      <c r="E5" s="3"/>
      <c r="F5" s="3"/>
      <c r="G5" s="3"/>
      <c r="H5" s="3">
        <f t="shared" ref="H5:H10" si="0">C5+D5+G5+E5+F5</f>
        <v>0</v>
      </c>
      <c r="I5" s="3"/>
      <c r="J5" s="3">
        <f t="shared" ref="J5:J10" si="1">H5-I5</f>
        <v>0</v>
      </c>
      <c r="M5" s="72" t="s">
        <v>3</v>
      </c>
      <c r="N5" s="72" t="s">
        <v>45</v>
      </c>
      <c r="O5" s="72" t="s">
        <v>46</v>
      </c>
      <c r="P5" s="73" t="s">
        <v>47</v>
      </c>
      <c r="Q5" s="72" t="s">
        <v>6</v>
      </c>
      <c r="R5" s="74" t="s">
        <v>41</v>
      </c>
      <c r="S5" s="72" t="s">
        <v>42</v>
      </c>
      <c r="T5" s="75" t="s">
        <v>48</v>
      </c>
      <c r="U5" s="72" t="s">
        <v>8</v>
      </c>
      <c r="V5" s="72" t="s">
        <v>9</v>
      </c>
      <c r="W5" s="72" t="s">
        <v>49</v>
      </c>
      <c r="X5" s="72" t="s">
        <v>123</v>
      </c>
      <c r="Y5" s="69"/>
    </row>
    <row r="6" spans="1:25" ht="15.75" x14ac:dyDescent="0.25">
      <c r="A6" s="3">
        <v>2</v>
      </c>
      <c r="B6" s="3" t="s">
        <v>26</v>
      </c>
      <c r="C6" s="3"/>
      <c r="D6" s="3">
        <f>'JUNE 21'!J6:J12</f>
        <v>0</v>
      </c>
      <c r="E6" s="3"/>
      <c r="F6" s="3"/>
      <c r="G6" s="3"/>
      <c r="H6" s="3">
        <f t="shared" si="0"/>
        <v>0</v>
      </c>
      <c r="I6" s="3"/>
      <c r="J6" s="3">
        <f t="shared" si="1"/>
        <v>0</v>
      </c>
      <c r="M6" s="76" t="s">
        <v>26</v>
      </c>
      <c r="N6" s="77">
        <v>1</v>
      </c>
      <c r="O6" s="78"/>
      <c r="P6" s="79">
        <f>'JUNE 21'!V6:V38</f>
        <v>0</v>
      </c>
      <c r="Q6" s="80"/>
      <c r="R6" s="81"/>
      <c r="S6" s="80"/>
      <c r="T6" s="80">
        <f>P6+Q6+R6+S6+O6</f>
        <v>0</v>
      </c>
      <c r="U6" s="80"/>
      <c r="V6" s="80">
        <f>T6-U6</f>
        <v>0</v>
      </c>
      <c r="W6" s="80"/>
      <c r="X6" s="80"/>
      <c r="Y6" s="69"/>
    </row>
    <row r="7" spans="1:25" ht="15.75" x14ac:dyDescent="0.25">
      <c r="A7" s="3">
        <v>3</v>
      </c>
      <c r="B7" s="3" t="s">
        <v>155</v>
      </c>
      <c r="C7" s="3"/>
      <c r="D7" s="3">
        <f>'JUNE 21'!J7:J13</f>
        <v>0</v>
      </c>
      <c r="E7" s="3">
        <v>450</v>
      </c>
      <c r="F7" s="3">
        <v>200</v>
      </c>
      <c r="G7" s="3">
        <v>8000</v>
      </c>
      <c r="H7" s="3">
        <f t="shared" si="0"/>
        <v>8650</v>
      </c>
      <c r="I7" s="3">
        <v>8650</v>
      </c>
      <c r="J7" s="3">
        <f t="shared" si="1"/>
        <v>0</v>
      </c>
      <c r="M7" s="82" t="s">
        <v>115</v>
      </c>
      <c r="N7" s="77">
        <v>2</v>
      </c>
      <c r="O7" s="78"/>
      <c r="P7" s="79">
        <f>'JUNE 21'!V7:V39</f>
        <v>350</v>
      </c>
      <c r="Q7" s="83">
        <v>2500</v>
      </c>
      <c r="R7" s="81">
        <v>350</v>
      </c>
      <c r="S7" s="83">
        <v>200</v>
      </c>
      <c r="T7" s="80">
        <f t="shared" ref="T7:T37" si="2">P7+Q7+R7+S7+O7</f>
        <v>3400</v>
      </c>
      <c r="U7" s="80">
        <f>3050</f>
        <v>3050</v>
      </c>
      <c r="V7" s="80">
        <f>T7-U7</f>
        <v>350</v>
      </c>
      <c r="W7" s="80"/>
      <c r="X7" s="80"/>
      <c r="Y7" s="69"/>
    </row>
    <row r="8" spans="1:25" ht="15.75" x14ac:dyDescent="0.25">
      <c r="A8" s="3">
        <v>4</v>
      </c>
      <c r="B8" s="3"/>
      <c r="C8" s="3"/>
      <c r="D8" s="3"/>
      <c r="E8" s="3"/>
      <c r="F8" s="3"/>
      <c r="G8" s="3"/>
      <c r="H8" s="3">
        <f t="shared" si="0"/>
        <v>0</v>
      </c>
      <c r="I8" s="3"/>
      <c r="J8" s="3">
        <f t="shared" si="1"/>
        <v>0</v>
      </c>
      <c r="M8" s="82" t="s">
        <v>60</v>
      </c>
      <c r="N8" s="77">
        <v>3</v>
      </c>
      <c r="O8" s="78"/>
      <c r="P8" s="79">
        <f>'JUNE 21'!V8:V40</f>
        <v>2010</v>
      </c>
      <c r="Q8" s="83">
        <v>2500</v>
      </c>
      <c r="R8" s="81">
        <v>350</v>
      </c>
      <c r="S8" s="83">
        <v>200</v>
      </c>
      <c r="T8" s="80">
        <f t="shared" si="2"/>
        <v>5060</v>
      </c>
      <c r="U8" s="80">
        <f>3050+1500</f>
        <v>4550</v>
      </c>
      <c r="V8" s="80">
        <f>T8-U8</f>
        <v>510</v>
      </c>
      <c r="W8" s="80">
        <v>500</v>
      </c>
      <c r="X8" s="80"/>
      <c r="Y8" s="69"/>
    </row>
    <row r="9" spans="1:25" ht="15.75" x14ac:dyDescent="0.25">
      <c r="A9" s="3">
        <v>5</v>
      </c>
      <c r="B9" s="3" t="s">
        <v>95</v>
      </c>
      <c r="C9" s="3"/>
      <c r="D9" s="3">
        <f>'JUNE 21'!J9:J15</f>
        <v>400</v>
      </c>
      <c r="E9" s="3">
        <v>150</v>
      </c>
      <c r="F9" s="3">
        <v>200</v>
      </c>
      <c r="G9" s="3">
        <v>8000</v>
      </c>
      <c r="H9" s="3">
        <f t="shared" si="0"/>
        <v>8750</v>
      </c>
      <c r="I9" s="3">
        <v>8350</v>
      </c>
      <c r="J9" s="3">
        <f t="shared" si="1"/>
        <v>400</v>
      </c>
      <c r="M9" s="88" t="s">
        <v>134</v>
      </c>
      <c r="N9" s="77">
        <v>4</v>
      </c>
      <c r="O9" s="78"/>
      <c r="P9" s="79"/>
      <c r="Q9" s="83">
        <v>2500</v>
      </c>
      <c r="R9" s="81">
        <v>350</v>
      </c>
      <c r="S9" s="83">
        <v>200</v>
      </c>
      <c r="T9" s="80">
        <f t="shared" si="2"/>
        <v>3050</v>
      </c>
      <c r="U9" s="80">
        <f>2000+1000</f>
        <v>3000</v>
      </c>
      <c r="V9" s="80">
        <f>T9-U9</f>
        <v>50</v>
      </c>
      <c r="W9" s="80"/>
      <c r="X9" s="80"/>
      <c r="Y9" s="69"/>
    </row>
    <row r="10" spans="1:25" ht="15.75" x14ac:dyDescent="0.25">
      <c r="A10" s="3">
        <v>6</v>
      </c>
      <c r="B10" s="4" t="s">
        <v>28</v>
      </c>
      <c r="C10" s="4"/>
      <c r="D10" s="3">
        <f>SUM(D5:D9)</f>
        <v>400</v>
      </c>
      <c r="E10" s="3">
        <v>450</v>
      </c>
      <c r="F10" s="3">
        <v>200</v>
      </c>
      <c r="G10" s="3">
        <v>8000</v>
      </c>
      <c r="H10" s="3">
        <f t="shared" si="0"/>
        <v>9050</v>
      </c>
      <c r="I10" s="3">
        <f>8650+150</f>
        <v>8800</v>
      </c>
      <c r="J10" s="3">
        <f t="shared" si="1"/>
        <v>250</v>
      </c>
      <c r="M10" s="121"/>
      <c r="N10" s="77">
        <v>5</v>
      </c>
      <c r="O10" s="78"/>
      <c r="P10" s="79">
        <f>'JUNE 21'!V10:V42</f>
        <v>0</v>
      </c>
      <c r="Q10" s="83"/>
      <c r="R10" s="81"/>
      <c r="S10" s="83"/>
      <c r="T10" s="80">
        <f t="shared" si="2"/>
        <v>0</v>
      </c>
      <c r="U10" s="80"/>
      <c r="V10" s="80">
        <f>T10-U10</f>
        <v>0</v>
      </c>
      <c r="W10" s="80"/>
      <c r="X10" s="80"/>
      <c r="Y10" s="69"/>
    </row>
    <row r="11" spans="1:25" ht="15.75" x14ac:dyDescent="0.25">
      <c r="A11" s="3"/>
      <c r="B11" s="2" t="s">
        <v>10</v>
      </c>
      <c r="C11" s="2">
        <f>SUM(C5:C10)</f>
        <v>0</v>
      </c>
      <c r="D11" s="3">
        <f>'MAY 21'!J11:J17</f>
        <v>4750</v>
      </c>
      <c r="E11" s="3">
        <f t="shared" ref="E11:I11" si="3">SUM(E5:E10)</f>
        <v>1050</v>
      </c>
      <c r="F11" s="3">
        <f t="shared" si="3"/>
        <v>600</v>
      </c>
      <c r="G11" s="2">
        <f t="shared" si="3"/>
        <v>24000</v>
      </c>
      <c r="H11" s="3">
        <f t="shared" si="3"/>
        <v>26450</v>
      </c>
      <c r="I11" s="2">
        <f t="shared" si="3"/>
        <v>25800</v>
      </c>
      <c r="J11" s="2">
        <f>SUM(J5:J10)</f>
        <v>650</v>
      </c>
      <c r="M11" s="85" t="s">
        <v>63</v>
      </c>
      <c r="N11" s="77">
        <v>6</v>
      </c>
      <c r="O11" s="78"/>
      <c r="P11" s="79">
        <f>'JUNE 21'!V11:V43</f>
        <v>0</v>
      </c>
      <c r="Q11" s="83">
        <v>2500</v>
      </c>
      <c r="R11" s="81">
        <v>350</v>
      </c>
      <c r="S11" s="83">
        <v>200</v>
      </c>
      <c r="T11" s="80">
        <f t="shared" si="2"/>
        <v>3050</v>
      </c>
      <c r="U11" s="80">
        <v>3050</v>
      </c>
      <c r="V11" s="80">
        <f t="shared" ref="V11:V38" si="4">T11-U11</f>
        <v>0</v>
      </c>
      <c r="W11" s="80"/>
      <c r="X11" s="80"/>
      <c r="Y11" s="69"/>
    </row>
    <row r="12" spans="1:25" ht="15.75" x14ac:dyDescent="0.25">
      <c r="A12" s="5"/>
      <c r="B12" s="6"/>
      <c r="C12" s="6"/>
      <c r="D12" s="3"/>
      <c r="E12" s="5"/>
      <c r="F12" s="5"/>
      <c r="G12" s="6" t="s">
        <v>10</v>
      </c>
      <c r="H12" s="6"/>
      <c r="I12" s="6"/>
      <c r="J12" s="7"/>
      <c r="M12" s="76" t="s">
        <v>125</v>
      </c>
      <c r="N12" s="77">
        <v>7</v>
      </c>
      <c r="O12" s="78"/>
      <c r="P12" s="79"/>
      <c r="Q12" s="83">
        <v>3000</v>
      </c>
      <c r="R12" s="81">
        <v>350</v>
      </c>
      <c r="S12" s="83">
        <v>200</v>
      </c>
      <c r="T12" s="80">
        <f>P12+Q12+R12+S12+O12</f>
        <v>3550</v>
      </c>
      <c r="U12" s="80">
        <v>3500</v>
      </c>
      <c r="V12" s="80">
        <f t="shared" si="4"/>
        <v>50</v>
      </c>
      <c r="W12" s="80"/>
      <c r="X12" s="80"/>
      <c r="Y12" s="69"/>
    </row>
    <row r="13" spans="1:25" ht="15.75" x14ac:dyDescent="0.25">
      <c r="A13" s="8" t="s">
        <v>11</v>
      </c>
      <c r="B13" s="8"/>
      <c r="C13" s="9"/>
      <c r="D13" s="9"/>
      <c r="G13" s="10"/>
      <c r="H13" s="13"/>
      <c r="I13" s="12"/>
      <c r="J13" s="8"/>
      <c r="M13" s="86" t="s">
        <v>124</v>
      </c>
      <c r="N13" s="77">
        <v>8</v>
      </c>
      <c r="O13" s="78"/>
      <c r="P13" s="79">
        <f>'JUNE 21'!V13:V45</f>
        <v>4200</v>
      </c>
      <c r="Q13" s="83">
        <v>2500</v>
      </c>
      <c r="R13" s="81">
        <v>350</v>
      </c>
      <c r="S13" s="83">
        <v>200</v>
      </c>
      <c r="T13" s="80">
        <f>P13+Q13+R13+S13+O13</f>
        <v>7250</v>
      </c>
      <c r="U13" s="80">
        <f>2800</f>
        <v>2800</v>
      </c>
      <c r="V13" s="80">
        <f t="shared" si="4"/>
        <v>4450</v>
      </c>
      <c r="W13" s="80"/>
      <c r="X13" s="80"/>
      <c r="Y13" s="69"/>
    </row>
    <row r="14" spans="1:25" ht="15.75" x14ac:dyDescent="0.25">
      <c r="A14" s="14" t="s">
        <v>12</v>
      </c>
      <c r="B14" s="14"/>
      <c r="C14" s="14"/>
      <c r="D14" s="14"/>
      <c r="F14" s="14" t="s">
        <v>8</v>
      </c>
      <c r="I14" s="8"/>
      <c r="J14" s="8"/>
      <c r="M14" s="76" t="s">
        <v>122</v>
      </c>
      <c r="N14" s="77">
        <v>9</v>
      </c>
      <c r="O14" s="78"/>
      <c r="P14" s="79">
        <f>'JUNE 21'!V14:V46</f>
        <v>350</v>
      </c>
      <c r="Q14" s="83">
        <v>2500</v>
      </c>
      <c r="R14" s="81">
        <v>350</v>
      </c>
      <c r="S14" s="83">
        <v>200</v>
      </c>
      <c r="T14" s="80">
        <f>P14+Q14+R14+S14+O14</f>
        <v>3400</v>
      </c>
      <c r="U14" s="80">
        <v>3400</v>
      </c>
      <c r="V14" s="80">
        <f>T14-U14</f>
        <v>0</v>
      </c>
      <c r="W14" s="80"/>
      <c r="X14" s="80"/>
      <c r="Y14" s="69"/>
    </row>
    <row r="15" spans="1:25" ht="15.75" x14ac:dyDescent="0.25">
      <c r="A15" s="16" t="s">
        <v>13</v>
      </c>
      <c r="B15" s="16"/>
      <c r="C15" s="16" t="s">
        <v>14</v>
      </c>
      <c r="D15" s="16"/>
      <c r="E15" s="16" t="s">
        <v>15</v>
      </c>
      <c r="F15" s="16" t="s">
        <v>16</v>
      </c>
      <c r="G15" s="16" t="s">
        <v>13</v>
      </c>
      <c r="H15" s="16" t="s">
        <v>14</v>
      </c>
      <c r="I15" s="16" t="s">
        <v>15</v>
      </c>
      <c r="J15" s="16" t="s">
        <v>16</v>
      </c>
      <c r="M15" s="82" t="s">
        <v>99</v>
      </c>
      <c r="N15" s="77">
        <v>10</v>
      </c>
      <c r="O15" s="78"/>
      <c r="P15" s="79">
        <f>'JUNE 21'!V15:V47</f>
        <v>3564</v>
      </c>
      <c r="Q15" s="83">
        <v>2500</v>
      </c>
      <c r="R15" s="81">
        <v>350</v>
      </c>
      <c r="S15" s="83">
        <v>200</v>
      </c>
      <c r="T15" s="80">
        <f t="shared" si="2"/>
        <v>6614</v>
      </c>
      <c r="U15" s="80">
        <v>3050</v>
      </c>
      <c r="V15" s="80">
        <f>T15-U15</f>
        <v>3564</v>
      </c>
      <c r="W15" s="80"/>
      <c r="X15" s="80"/>
      <c r="Y15" s="69"/>
    </row>
    <row r="16" spans="1:25" ht="15.75" x14ac:dyDescent="0.25">
      <c r="A16" s="17" t="s">
        <v>148</v>
      </c>
      <c r="B16" s="17"/>
      <c r="C16" s="18">
        <f>G11</f>
        <v>24000</v>
      </c>
      <c r="D16" s="18"/>
      <c r="E16" s="17"/>
      <c r="F16" s="17"/>
      <c r="G16" s="17" t="s">
        <v>148</v>
      </c>
      <c r="H16" s="18">
        <f>I11</f>
        <v>25800</v>
      </c>
      <c r="I16" s="17"/>
      <c r="J16" s="17"/>
      <c r="M16" s="76" t="s">
        <v>61</v>
      </c>
      <c r="N16" s="77">
        <v>11</v>
      </c>
      <c r="O16" s="84"/>
      <c r="P16" s="124">
        <v>400</v>
      </c>
      <c r="Q16" s="83">
        <v>4500</v>
      </c>
      <c r="R16" s="81">
        <v>350</v>
      </c>
      <c r="S16" s="83">
        <v>200</v>
      </c>
      <c r="T16" s="80">
        <f t="shared" si="2"/>
        <v>5450</v>
      </c>
      <c r="U16" s="80">
        <v>5050</v>
      </c>
      <c r="V16" s="80">
        <f>T16-U16</f>
        <v>400</v>
      </c>
      <c r="W16" s="80"/>
      <c r="X16" s="80"/>
      <c r="Y16" s="69" t="s">
        <v>38</v>
      </c>
    </row>
    <row r="17" spans="1:26" ht="15.75" x14ac:dyDescent="0.25">
      <c r="A17" s="17" t="s">
        <v>5</v>
      </c>
      <c r="B17" s="17"/>
      <c r="C17" s="18">
        <f>'JUNE 21'!F29</f>
        <v>16930</v>
      </c>
      <c r="D17" s="18"/>
      <c r="E17" s="17"/>
      <c r="F17" s="17"/>
      <c r="G17" s="17" t="s">
        <v>5</v>
      </c>
      <c r="H17" s="18">
        <f>'JUNE 21'!J29</f>
        <v>16530</v>
      </c>
      <c r="I17" s="17"/>
      <c r="J17" s="17"/>
      <c r="M17" s="82" t="s">
        <v>69</v>
      </c>
      <c r="N17" s="77">
        <v>12</v>
      </c>
      <c r="O17" s="84"/>
      <c r="P17" s="124"/>
      <c r="Q17" s="83">
        <v>2500</v>
      </c>
      <c r="R17" s="81">
        <v>350</v>
      </c>
      <c r="S17" s="83">
        <v>200</v>
      </c>
      <c r="T17" s="80">
        <f t="shared" si="2"/>
        <v>3050</v>
      </c>
      <c r="U17" s="80">
        <f>2400</f>
        <v>2400</v>
      </c>
      <c r="V17" s="80">
        <f t="shared" si="4"/>
        <v>650</v>
      </c>
      <c r="W17" s="80"/>
      <c r="X17" s="80"/>
      <c r="Y17" s="69"/>
      <c r="Z17" s="120"/>
    </row>
    <row r="18" spans="1:26" ht="15.75" x14ac:dyDescent="0.25">
      <c r="A18" s="25" t="s">
        <v>150</v>
      </c>
      <c r="B18" s="3"/>
      <c r="C18" s="3">
        <f>150</f>
        <v>150</v>
      </c>
      <c r="D18" s="3"/>
      <c r="E18" s="3"/>
      <c r="F18" s="3"/>
      <c r="G18" s="3"/>
      <c r="I18" s="17"/>
      <c r="J18" s="17"/>
      <c r="M18" s="76" t="s">
        <v>131</v>
      </c>
      <c r="N18" s="77">
        <v>13</v>
      </c>
      <c r="O18" s="78"/>
      <c r="P18" s="79">
        <f>'JUNE 21'!V18:V50</f>
        <v>1250</v>
      </c>
      <c r="Q18" s="83">
        <v>2500</v>
      </c>
      <c r="R18" s="81">
        <v>350</v>
      </c>
      <c r="S18" s="83">
        <v>200</v>
      </c>
      <c r="T18" s="80">
        <f t="shared" si="2"/>
        <v>4300</v>
      </c>
      <c r="U18" s="80">
        <f>3050</f>
        <v>3050</v>
      </c>
      <c r="V18" s="80">
        <f t="shared" si="4"/>
        <v>1250</v>
      </c>
      <c r="W18" s="80"/>
      <c r="X18" s="80"/>
      <c r="Y18" s="69"/>
    </row>
    <row r="19" spans="1:26" ht="15.75" x14ac:dyDescent="0.25">
      <c r="A19" s="25" t="s">
        <v>41</v>
      </c>
      <c r="B19" s="3"/>
      <c r="C19" s="3">
        <f>E11</f>
        <v>1050</v>
      </c>
      <c r="D19" s="3"/>
      <c r="E19" s="3"/>
      <c r="F19" s="3"/>
      <c r="G19" s="3"/>
      <c r="H19" s="14"/>
      <c r="I19" s="17"/>
      <c r="J19" s="17"/>
      <c r="M19" s="76" t="s">
        <v>71</v>
      </c>
      <c r="N19" s="77">
        <v>14</v>
      </c>
      <c r="O19" s="78"/>
      <c r="P19" s="79">
        <f>'JUNE 21'!V19:V51</f>
        <v>0</v>
      </c>
      <c r="Q19" s="83">
        <v>2700</v>
      </c>
      <c r="R19" s="81">
        <v>320</v>
      </c>
      <c r="S19" s="83">
        <v>200</v>
      </c>
      <c r="T19" s="80">
        <f t="shared" si="2"/>
        <v>3220</v>
      </c>
      <c r="U19" s="80">
        <f>3220</f>
        <v>3220</v>
      </c>
      <c r="V19" s="80">
        <f t="shared" si="4"/>
        <v>0</v>
      </c>
      <c r="W19" s="80">
        <v>280</v>
      </c>
      <c r="X19" s="80"/>
      <c r="Y19" s="87"/>
    </row>
    <row r="20" spans="1:26" ht="15.75" x14ac:dyDescent="0.25">
      <c r="A20" s="25" t="s">
        <v>42</v>
      </c>
      <c r="B20" s="3"/>
      <c r="C20" s="3">
        <f>F11</f>
        <v>600</v>
      </c>
      <c r="D20" s="3"/>
      <c r="E20" s="3"/>
      <c r="F20" s="3"/>
      <c r="G20" s="3"/>
      <c r="H20" s="3"/>
      <c r="I20" s="17"/>
      <c r="J20" s="17"/>
      <c r="M20" s="82" t="s">
        <v>72</v>
      </c>
      <c r="N20" s="77">
        <v>15</v>
      </c>
      <c r="O20" s="78"/>
      <c r="P20" s="79">
        <f>'JUNE 21'!V20:V52</f>
        <v>20</v>
      </c>
      <c r="Q20" s="83">
        <v>4500</v>
      </c>
      <c r="R20" s="81">
        <v>350</v>
      </c>
      <c r="S20" s="83">
        <v>200</v>
      </c>
      <c r="T20" s="80">
        <f t="shared" si="2"/>
        <v>5070</v>
      </c>
      <c r="U20" s="80">
        <v>5050</v>
      </c>
      <c r="V20" s="80">
        <f t="shared" si="4"/>
        <v>20</v>
      </c>
      <c r="W20" s="80"/>
      <c r="X20" s="80"/>
      <c r="Y20" s="69"/>
    </row>
    <row r="21" spans="1:26" ht="15.75" x14ac:dyDescent="0.25">
      <c r="A21" s="17" t="s">
        <v>18</v>
      </c>
      <c r="B21" s="17"/>
      <c r="C21" s="20">
        <v>7.0000000000000007E-2</v>
      </c>
      <c r="D21" s="20"/>
      <c r="E21" s="18">
        <f>C16*C21</f>
        <v>1680.0000000000002</v>
      </c>
      <c r="F21" s="17"/>
      <c r="G21" s="17" t="s">
        <v>18</v>
      </c>
      <c r="H21" s="20">
        <v>7.0000000000000007E-2</v>
      </c>
      <c r="I21" s="18">
        <f>E21</f>
        <v>1680.0000000000002</v>
      </c>
      <c r="J21" s="17"/>
      <c r="M21" s="88" t="s">
        <v>73</v>
      </c>
      <c r="N21" s="123">
        <v>16</v>
      </c>
      <c r="O21" s="84"/>
      <c r="P21" s="124">
        <f>'JUNE 21'!V21:V53</f>
        <v>5250</v>
      </c>
      <c r="Q21" s="83"/>
      <c r="R21" s="81"/>
      <c r="S21" s="83"/>
      <c r="T21" s="80">
        <f>P21+Q21+R21+S21+O21-2550</f>
        <v>2700</v>
      </c>
      <c r="U21" s="80"/>
      <c r="V21" s="80">
        <f t="shared" si="4"/>
        <v>2700</v>
      </c>
      <c r="W21" s="80"/>
      <c r="X21" s="80"/>
      <c r="Y21" s="69"/>
    </row>
    <row r="22" spans="1:26" ht="15.75" x14ac:dyDescent="0.25">
      <c r="A22" s="16" t="s">
        <v>19</v>
      </c>
      <c r="C22" s="18"/>
      <c r="D22" s="18"/>
      <c r="E22" s="16"/>
      <c r="F22" s="16"/>
      <c r="G22" s="16" t="s">
        <v>19</v>
      </c>
      <c r="H22" s="21"/>
      <c r="I22" s="16"/>
      <c r="J22" s="16"/>
      <c r="M22" s="88" t="s">
        <v>40</v>
      </c>
      <c r="N22" s="77">
        <v>17</v>
      </c>
      <c r="O22" s="78"/>
      <c r="P22" s="79">
        <f>'JUNE 21'!V22:V54</f>
        <v>0</v>
      </c>
      <c r="Q22" s="83"/>
      <c r="R22" s="81"/>
      <c r="S22" s="83"/>
      <c r="T22" s="80">
        <f t="shared" si="2"/>
        <v>0</v>
      </c>
      <c r="U22" s="80"/>
      <c r="V22" s="80">
        <f t="shared" si="4"/>
        <v>0</v>
      </c>
      <c r="W22" s="80"/>
      <c r="X22" s="80"/>
      <c r="Y22" s="69"/>
    </row>
    <row r="23" spans="1:26" ht="15.75" x14ac:dyDescent="0.25">
      <c r="A23" s="22" t="s">
        <v>151</v>
      </c>
      <c r="B23" s="20"/>
      <c r="C23" s="17"/>
      <c r="D23" s="17"/>
      <c r="E23" s="17">
        <v>16997</v>
      </c>
      <c r="F23" s="17"/>
      <c r="G23" s="22" t="s">
        <v>151</v>
      </c>
      <c r="H23" s="20"/>
      <c r="I23" s="17">
        <v>16997</v>
      </c>
      <c r="J23" s="17"/>
      <c r="K23" s="17"/>
      <c r="M23" s="82" t="s">
        <v>114</v>
      </c>
      <c r="N23" s="77">
        <v>18</v>
      </c>
      <c r="O23" s="78"/>
      <c r="P23" s="79">
        <f>'JUNE 21'!V23:V55</f>
        <v>0</v>
      </c>
      <c r="Q23" s="83">
        <v>4500</v>
      </c>
      <c r="R23" s="81">
        <v>350</v>
      </c>
      <c r="S23" s="83">
        <v>200</v>
      </c>
      <c r="T23" s="80">
        <f t="shared" si="2"/>
        <v>5050</v>
      </c>
      <c r="U23" s="80">
        <f>5050</f>
        <v>5050</v>
      </c>
      <c r="V23" s="80">
        <f t="shared" si="4"/>
        <v>0</v>
      </c>
      <c r="W23" s="80"/>
      <c r="X23" s="80"/>
      <c r="Y23" s="69"/>
    </row>
    <row r="24" spans="1:26" ht="15.75" x14ac:dyDescent="0.25">
      <c r="A24" s="23" t="s">
        <v>157</v>
      </c>
      <c r="B24" s="23"/>
      <c r="C24" s="17"/>
      <c r="D24" s="17"/>
      <c r="E24" s="17">
        <v>24050</v>
      </c>
      <c r="F24" s="17"/>
      <c r="G24" s="23" t="s">
        <v>157</v>
      </c>
      <c r="H24" s="23"/>
      <c r="I24" s="17">
        <v>24050</v>
      </c>
      <c r="J24" s="17"/>
      <c r="K24" s="17"/>
      <c r="M24" s="76" t="s">
        <v>76</v>
      </c>
      <c r="N24" s="77">
        <v>19</v>
      </c>
      <c r="O24" s="78"/>
      <c r="P24" s="79">
        <f>'JUNE 21'!V24:V56</f>
        <v>0</v>
      </c>
      <c r="Q24" s="83">
        <v>2500</v>
      </c>
      <c r="R24" s="81">
        <v>320</v>
      </c>
      <c r="S24" s="83">
        <v>200</v>
      </c>
      <c r="T24" s="80">
        <f t="shared" si="2"/>
        <v>3020</v>
      </c>
      <c r="U24" s="80">
        <f>3020</f>
        <v>3020</v>
      </c>
      <c r="V24" s="80">
        <f>T24-U24</f>
        <v>0</v>
      </c>
      <c r="W24" s="80"/>
      <c r="X24" s="80"/>
      <c r="Y24" s="69"/>
    </row>
    <row r="25" spans="1:26" ht="15.75" x14ac:dyDescent="0.25">
      <c r="A25" s="23"/>
      <c r="B25" s="23"/>
      <c r="C25" s="17"/>
      <c r="D25" s="17"/>
      <c r="E25" s="17"/>
      <c r="F25" s="17"/>
      <c r="G25" s="23"/>
      <c r="H25" s="23"/>
      <c r="I25" s="17"/>
      <c r="J25" s="17"/>
      <c r="K25" s="17"/>
      <c r="M25" s="76" t="s">
        <v>101</v>
      </c>
      <c r="N25" s="77">
        <v>20</v>
      </c>
      <c r="O25" s="78"/>
      <c r="P25" s="79">
        <f>'JUNE 21'!V25:V57</f>
        <v>0</v>
      </c>
      <c r="Q25" s="83">
        <v>2500</v>
      </c>
      <c r="R25" s="81">
        <v>350</v>
      </c>
      <c r="S25" s="83">
        <v>200</v>
      </c>
      <c r="T25" s="80">
        <f t="shared" si="2"/>
        <v>3050</v>
      </c>
      <c r="U25" s="80">
        <v>3050</v>
      </c>
      <c r="V25" s="80">
        <f t="shared" si="4"/>
        <v>0</v>
      </c>
      <c r="W25" s="80"/>
      <c r="X25" s="80"/>
      <c r="Y25" s="69"/>
    </row>
    <row r="26" spans="1:26" ht="15.75" x14ac:dyDescent="0.25">
      <c r="A26" s="23"/>
      <c r="B26" s="23"/>
      <c r="C26" s="17"/>
      <c r="D26" s="17"/>
      <c r="E26" s="17"/>
      <c r="F26" s="17"/>
      <c r="G26" s="23"/>
      <c r="H26" s="23"/>
      <c r="I26" s="17"/>
      <c r="J26" s="17"/>
      <c r="M26" s="76" t="s">
        <v>78</v>
      </c>
      <c r="N26" s="77">
        <v>21</v>
      </c>
      <c r="O26" s="78"/>
      <c r="P26" s="79">
        <f>'JUNE 21'!V26:V58</f>
        <v>0</v>
      </c>
      <c r="Q26" s="83">
        <v>2500</v>
      </c>
      <c r="R26" s="81">
        <v>320</v>
      </c>
      <c r="S26" s="83">
        <v>200</v>
      </c>
      <c r="T26" s="80">
        <f t="shared" si="2"/>
        <v>3020</v>
      </c>
      <c r="U26" s="80">
        <f>3020</f>
        <v>3020</v>
      </c>
      <c r="V26" s="80">
        <f t="shared" si="4"/>
        <v>0</v>
      </c>
      <c r="W26" s="80"/>
      <c r="X26" s="80"/>
      <c r="Y26" s="87"/>
    </row>
    <row r="27" spans="1:26" ht="15.75" x14ac:dyDescent="0.25">
      <c r="A27" s="24"/>
      <c r="B27" s="24"/>
      <c r="C27" s="17"/>
      <c r="D27" s="17"/>
      <c r="E27" s="17"/>
      <c r="F27" s="17"/>
      <c r="H27" s="23"/>
      <c r="I27" s="25"/>
      <c r="J27" s="17"/>
      <c r="M27" s="76" t="s">
        <v>79</v>
      </c>
      <c r="N27" s="77">
        <v>22</v>
      </c>
      <c r="O27" s="78"/>
      <c r="P27" s="79">
        <f>'JUNE 21'!V27:V59</f>
        <v>150</v>
      </c>
      <c r="Q27" s="83">
        <v>4500</v>
      </c>
      <c r="R27" s="81">
        <v>350</v>
      </c>
      <c r="S27" s="83">
        <v>200</v>
      </c>
      <c r="T27" s="80">
        <f t="shared" si="2"/>
        <v>5200</v>
      </c>
      <c r="U27" s="80">
        <v>5050</v>
      </c>
      <c r="V27" s="80">
        <f>T27-U27</f>
        <v>150</v>
      </c>
      <c r="W27" s="80"/>
      <c r="X27" s="80"/>
      <c r="Y27" s="69"/>
    </row>
    <row r="28" spans="1:26" ht="15.75" x14ac:dyDescent="0.25">
      <c r="A28" s="23"/>
      <c r="B28" s="23"/>
      <c r="C28" s="17"/>
      <c r="D28" s="17"/>
      <c r="E28" s="25"/>
      <c r="F28" s="17"/>
      <c r="G28" s="17"/>
      <c r="H28" s="17"/>
      <c r="I28" s="17"/>
      <c r="J28" s="17"/>
      <c r="M28" s="76" t="s">
        <v>80</v>
      </c>
      <c r="N28" s="77">
        <v>23</v>
      </c>
      <c r="O28" s="78"/>
      <c r="P28" s="79">
        <f>'JUNE 21'!V28:V60</f>
        <v>0</v>
      </c>
      <c r="Q28" s="83">
        <v>2500</v>
      </c>
      <c r="R28" s="81">
        <v>350</v>
      </c>
      <c r="S28" s="83">
        <v>200</v>
      </c>
      <c r="T28" s="80">
        <f t="shared" si="2"/>
        <v>3050</v>
      </c>
      <c r="U28" s="80">
        <v>3050</v>
      </c>
      <c r="V28" s="80">
        <f t="shared" si="4"/>
        <v>0</v>
      </c>
      <c r="W28" s="80"/>
      <c r="X28" s="80"/>
      <c r="Y28" s="69"/>
    </row>
    <row r="29" spans="1:26" ht="15.75" x14ac:dyDescent="0.25">
      <c r="A29" s="16" t="s">
        <v>20</v>
      </c>
      <c r="B29" s="16"/>
      <c r="C29" s="21">
        <f>C16+C17+C18+C19+C20-E21</f>
        <v>41050</v>
      </c>
      <c r="D29" s="21"/>
      <c r="E29" s="21">
        <f>SUM(E23:E28)</f>
        <v>41047</v>
      </c>
      <c r="F29" s="21">
        <f>C29-E29</f>
        <v>3</v>
      </c>
      <c r="G29" s="16" t="s">
        <v>20</v>
      </c>
      <c r="H29" s="21">
        <f>H16+H17-I21</f>
        <v>40650</v>
      </c>
      <c r="I29" s="21">
        <f>SUM(I23:I28)</f>
        <v>41047</v>
      </c>
      <c r="J29" s="21">
        <f>H29-I29</f>
        <v>-397</v>
      </c>
      <c r="M29" s="76" t="s">
        <v>81</v>
      </c>
      <c r="N29" s="77">
        <v>24</v>
      </c>
      <c r="O29" s="78"/>
      <c r="P29" s="79">
        <f>'JUNE 21'!V29:V61</f>
        <v>30</v>
      </c>
      <c r="Q29" s="83">
        <v>2500</v>
      </c>
      <c r="R29" s="81">
        <v>320</v>
      </c>
      <c r="S29" s="83"/>
      <c r="T29" s="80">
        <f t="shared" si="2"/>
        <v>2850</v>
      </c>
      <c r="U29" s="80">
        <f>2850</f>
        <v>2850</v>
      </c>
      <c r="V29" s="80">
        <f t="shared" si="4"/>
        <v>0</v>
      </c>
      <c r="W29" s="80"/>
      <c r="X29" s="80">
        <v>498</v>
      </c>
      <c r="Y29" s="69"/>
    </row>
    <row r="30" spans="1:26" ht="15.75" x14ac:dyDescent="0.25">
      <c r="M30" s="76" t="s">
        <v>82</v>
      </c>
      <c r="N30" s="77">
        <v>25</v>
      </c>
      <c r="O30" s="78"/>
      <c r="P30" s="79">
        <f>'JUNE 21'!V30:V62</f>
        <v>0</v>
      </c>
      <c r="Q30" s="83">
        <v>2700</v>
      </c>
      <c r="R30" s="81">
        <v>320</v>
      </c>
      <c r="S30" s="83">
        <v>200</v>
      </c>
      <c r="T30" s="80">
        <f t="shared" si="2"/>
        <v>3220</v>
      </c>
      <c r="U30" s="80">
        <v>3220</v>
      </c>
      <c r="V30" s="80">
        <f t="shared" si="4"/>
        <v>0</v>
      </c>
      <c r="W30" s="80"/>
      <c r="X30" s="80"/>
      <c r="Y30" s="69"/>
    </row>
    <row r="31" spans="1:26" ht="15.75" x14ac:dyDescent="0.25">
      <c r="A31" t="s">
        <v>21</v>
      </c>
      <c r="E31" t="s">
        <v>22</v>
      </c>
      <c r="H31" t="s">
        <v>23</v>
      </c>
      <c r="M31" s="76" t="s">
        <v>83</v>
      </c>
      <c r="N31" s="77">
        <v>26</v>
      </c>
      <c r="O31" s="78"/>
      <c r="P31" s="79">
        <f>'JUNE 21'!V31:V63</f>
        <v>558</v>
      </c>
      <c r="Q31" s="83">
        <v>4500</v>
      </c>
      <c r="R31" s="81">
        <v>350</v>
      </c>
      <c r="S31" s="83">
        <v>200</v>
      </c>
      <c r="T31" s="80">
        <f t="shared" si="2"/>
        <v>5608</v>
      </c>
      <c r="U31" s="80">
        <v>5050</v>
      </c>
      <c r="V31" s="80">
        <f>T31-U31</f>
        <v>558</v>
      </c>
      <c r="W31" s="80"/>
      <c r="X31" s="80"/>
      <c r="Y31" s="69"/>
    </row>
    <row r="32" spans="1:26" ht="15.75" x14ac:dyDescent="0.25">
      <c r="M32" s="76" t="s">
        <v>84</v>
      </c>
      <c r="N32" s="77">
        <v>27</v>
      </c>
      <c r="O32" s="78"/>
      <c r="P32" s="79">
        <f>'JUNE 21'!V32:V64</f>
        <v>1160</v>
      </c>
      <c r="Q32" s="83">
        <v>4500</v>
      </c>
      <c r="R32" s="81">
        <v>320</v>
      </c>
      <c r="S32" s="83">
        <v>200</v>
      </c>
      <c r="T32" s="80">
        <f t="shared" si="2"/>
        <v>6180</v>
      </c>
      <c r="U32" s="80">
        <f>3000</f>
        <v>3000</v>
      </c>
      <c r="V32" s="80">
        <f>T32-U32</f>
        <v>3180</v>
      </c>
      <c r="W32" s="80"/>
      <c r="X32" s="69"/>
      <c r="Y32" s="69"/>
    </row>
    <row r="33" spans="1:26" ht="15.75" x14ac:dyDescent="0.25">
      <c r="A33" t="s">
        <v>24</v>
      </c>
      <c r="E33" t="s">
        <v>25</v>
      </c>
      <c r="H33" t="s">
        <v>34</v>
      </c>
      <c r="M33" s="88" t="s">
        <v>154</v>
      </c>
      <c r="N33" s="77">
        <v>28</v>
      </c>
      <c r="O33" s="78"/>
      <c r="P33" s="79">
        <f>'JUNE 21'!V33:V65</f>
        <v>0</v>
      </c>
      <c r="Q33" s="83">
        <v>3900</v>
      </c>
      <c r="R33" s="81">
        <v>350</v>
      </c>
      <c r="S33" s="83">
        <v>200</v>
      </c>
      <c r="T33" s="80">
        <f>P33+Q33+R33+S33+O33</f>
        <v>4450</v>
      </c>
      <c r="U33" s="80">
        <v>4450</v>
      </c>
      <c r="V33" s="80">
        <f t="shared" si="4"/>
        <v>0</v>
      </c>
      <c r="W33" s="80"/>
      <c r="X33" s="80"/>
      <c r="Y33" s="69"/>
    </row>
    <row r="34" spans="1:26" ht="15.75" x14ac:dyDescent="0.25">
      <c r="M34" s="76" t="s">
        <v>85</v>
      </c>
      <c r="N34" s="77">
        <v>29</v>
      </c>
      <c r="O34" s="78"/>
      <c r="P34" s="79">
        <f>'JUNE 21'!V34:V66</f>
        <v>20</v>
      </c>
      <c r="Q34" s="83">
        <v>4500</v>
      </c>
      <c r="R34" s="81">
        <f>350</f>
        <v>350</v>
      </c>
      <c r="S34" s="83">
        <v>200</v>
      </c>
      <c r="T34" s="80">
        <f t="shared" si="2"/>
        <v>5070</v>
      </c>
      <c r="U34" s="80">
        <f>4050</f>
        <v>4050</v>
      </c>
      <c r="V34" s="80">
        <f t="shared" si="4"/>
        <v>1020</v>
      </c>
      <c r="W34" s="80"/>
      <c r="X34" s="80"/>
      <c r="Y34" s="69"/>
    </row>
    <row r="35" spans="1:26" ht="15.75" x14ac:dyDescent="0.25">
      <c r="M35" s="76"/>
      <c r="N35" s="77"/>
      <c r="O35" s="78"/>
      <c r="P35" s="79">
        <f>'JUNE 21'!V35:V67</f>
        <v>0</v>
      </c>
      <c r="Q35" s="83"/>
      <c r="R35" s="81"/>
      <c r="S35" s="83"/>
      <c r="T35" s="80">
        <f t="shared" si="2"/>
        <v>0</v>
      </c>
      <c r="U35" s="80"/>
      <c r="V35" s="80">
        <f t="shared" si="4"/>
        <v>0</v>
      </c>
      <c r="W35" s="80"/>
      <c r="X35" s="80"/>
      <c r="Y35" s="69"/>
    </row>
    <row r="36" spans="1:26" ht="15.75" x14ac:dyDescent="0.25">
      <c r="C36" s="119"/>
      <c r="E36" s="119"/>
      <c r="M36" s="76"/>
      <c r="N36" s="77" t="s">
        <v>86</v>
      </c>
      <c r="O36" s="78"/>
      <c r="P36" s="79">
        <f>'JUNE 21'!V36:V68</f>
        <v>0</v>
      </c>
      <c r="Q36" s="83"/>
      <c r="R36" s="81"/>
      <c r="S36" s="83"/>
      <c r="T36" s="80">
        <f t="shared" si="2"/>
        <v>0</v>
      </c>
      <c r="U36" s="80"/>
      <c r="V36" s="80">
        <f t="shared" si="4"/>
        <v>0</v>
      </c>
      <c r="W36" s="80"/>
      <c r="X36" s="80"/>
      <c r="Y36" s="69"/>
    </row>
    <row r="37" spans="1:26" ht="15.75" x14ac:dyDescent="0.25">
      <c r="C37" s="119"/>
      <c r="E37" s="119"/>
      <c r="M37" s="76" t="s">
        <v>93</v>
      </c>
      <c r="N37" s="77" t="s">
        <v>87</v>
      </c>
      <c r="O37" s="78"/>
      <c r="P37" s="79">
        <f>'JUNE 21'!V37:V69</f>
        <v>0</v>
      </c>
      <c r="Q37" s="83">
        <v>7000</v>
      </c>
      <c r="R37" s="81"/>
      <c r="S37" s="83"/>
      <c r="T37" s="80">
        <f t="shared" si="2"/>
        <v>7000</v>
      </c>
      <c r="U37" s="80">
        <f>7000</f>
        <v>7000</v>
      </c>
      <c r="V37" s="80">
        <f t="shared" si="4"/>
        <v>0</v>
      </c>
      <c r="W37" s="80"/>
      <c r="X37" s="80"/>
      <c r="Y37" s="69"/>
    </row>
    <row r="38" spans="1:26" ht="15.75" x14ac:dyDescent="0.25">
      <c r="C38" s="119"/>
      <c r="E38" s="119"/>
      <c r="M38" s="76" t="s">
        <v>92</v>
      </c>
      <c r="N38" s="77" t="s">
        <v>88</v>
      </c>
      <c r="O38" s="78"/>
      <c r="P38" s="79">
        <f>'JUNE 21'!V38:V70</f>
        <v>0</v>
      </c>
      <c r="Q38" s="83">
        <v>7000</v>
      </c>
      <c r="R38" s="81"/>
      <c r="S38" s="83"/>
      <c r="T38" s="80">
        <f>P38+Q38+R38+S38+O38</f>
        <v>7000</v>
      </c>
      <c r="U38" s="80">
        <f>7000</f>
        <v>7000</v>
      </c>
      <c r="V38" s="80">
        <f t="shared" si="4"/>
        <v>0</v>
      </c>
      <c r="W38" s="80"/>
      <c r="X38" s="80"/>
      <c r="Y38" s="69"/>
    </row>
    <row r="39" spans="1:26" ht="15.75" x14ac:dyDescent="0.25">
      <c r="M39" s="90" t="s">
        <v>51</v>
      </c>
      <c r="N39" s="76"/>
      <c r="O39" s="78">
        <f t="shared" ref="O39:X39" si="5">SUM(O6:O38)</f>
        <v>0</v>
      </c>
      <c r="P39" s="79">
        <f>SUM(P6:P38)</f>
        <v>19312</v>
      </c>
      <c r="Q39" s="91">
        <f>SUM(Q6:Q38)</f>
        <v>92800</v>
      </c>
      <c r="R39" s="92">
        <f t="shared" si="5"/>
        <v>8570</v>
      </c>
      <c r="S39" s="93">
        <f t="shared" si="5"/>
        <v>4800</v>
      </c>
      <c r="T39" s="80">
        <f>SUM(T6:T38)</f>
        <v>122932</v>
      </c>
      <c r="U39" s="80">
        <f t="shared" si="5"/>
        <v>104030</v>
      </c>
      <c r="V39" s="80">
        <f t="shared" si="5"/>
        <v>18902</v>
      </c>
      <c r="W39" s="80">
        <f>SUM(W6:W38)</f>
        <v>780</v>
      </c>
      <c r="X39" s="80">
        <f t="shared" si="5"/>
        <v>498</v>
      </c>
      <c r="Y39" s="69"/>
    </row>
    <row r="40" spans="1:26" ht="15.75" x14ac:dyDescent="0.25">
      <c r="M40" s="94" t="s">
        <v>12</v>
      </c>
      <c r="N40" s="94"/>
      <c r="O40" s="94"/>
      <c r="P40" s="95"/>
      <c r="Q40" s="118">
        <f>Q39-Q38-Q37</f>
        <v>78800</v>
      </c>
      <c r="R40" s="94" t="s">
        <v>8</v>
      </c>
      <c r="S40" s="94"/>
      <c r="T40" s="94"/>
      <c r="U40" s="70"/>
      <c r="V40" s="70"/>
      <c r="W40" s="70"/>
      <c r="X40" s="71"/>
      <c r="Y40" s="69"/>
      <c r="Z40">
        <f>AA37</f>
        <v>0</v>
      </c>
    </row>
    <row r="41" spans="1:26" ht="15.75" x14ac:dyDescent="0.25">
      <c r="M41" s="90" t="s">
        <v>13</v>
      </c>
      <c r="N41" s="90" t="s">
        <v>14</v>
      </c>
      <c r="O41" s="90" t="s">
        <v>15</v>
      </c>
      <c r="P41" s="90" t="s">
        <v>16</v>
      </c>
      <c r="Q41" s="90"/>
      <c r="R41" s="90" t="s">
        <v>13</v>
      </c>
      <c r="S41" s="90"/>
      <c r="T41" s="90" t="s">
        <v>52</v>
      </c>
      <c r="U41" s="90" t="s">
        <v>15</v>
      </c>
      <c r="V41" s="90" t="s">
        <v>16</v>
      </c>
      <c r="W41" s="90"/>
      <c r="X41" s="97"/>
      <c r="Y41" s="69"/>
    </row>
    <row r="42" spans="1:26" ht="15.75" x14ac:dyDescent="0.25">
      <c r="M42" s="76" t="s">
        <v>148</v>
      </c>
      <c r="N42" s="98">
        <f>Q39</f>
        <v>92800</v>
      </c>
      <c r="O42" s="76"/>
      <c r="P42" s="76"/>
      <c r="Q42" s="76"/>
      <c r="R42" s="76" t="s">
        <v>148</v>
      </c>
      <c r="S42" s="76"/>
      <c r="T42" s="99">
        <f>U39</f>
        <v>104030</v>
      </c>
      <c r="U42" s="76"/>
      <c r="V42" s="76"/>
      <c r="W42" s="76"/>
      <c r="X42" s="100"/>
      <c r="Y42" s="69"/>
    </row>
    <row r="43" spans="1:26" ht="15.75" x14ac:dyDescent="0.25">
      <c r="I43" s="119"/>
      <c r="M43" s="76" t="s">
        <v>5</v>
      </c>
      <c r="N43" s="98">
        <f>'JUNE 21'!P56</f>
        <v>4612.5</v>
      </c>
      <c r="O43" s="76"/>
      <c r="P43" s="76"/>
      <c r="Q43" s="76"/>
      <c r="R43" s="76" t="s">
        <v>5</v>
      </c>
      <c r="S43" s="76"/>
      <c r="T43" s="98">
        <f>'JUNE 21'!V56</f>
        <v>-12727.5</v>
      </c>
      <c r="U43" s="76"/>
      <c r="V43" s="76"/>
      <c r="W43" s="76"/>
      <c r="X43" s="100"/>
      <c r="Y43" s="69"/>
    </row>
    <row r="44" spans="1:26" ht="15.75" x14ac:dyDescent="0.25">
      <c r="M44" s="76" t="s">
        <v>4</v>
      </c>
      <c r="N44" s="98">
        <f>O39</f>
        <v>0</v>
      </c>
      <c r="O44" s="76"/>
      <c r="P44" s="76"/>
      <c r="Q44" s="76"/>
      <c r="R44" s="76"/>
      <c r="S44" s="76"/>
      <c r="T44" s="76"/>
      <c r="U44" s="76"/>
      <c r="V44" s="76"/>
      <c r="W44" s="76"/>
      <c r="X44" s="100"/>
      <c r="Y44" s="69"/>
    </row>
    <row r="45" spans="1:26" ht="15.75" x14ac:dyDescent="0.25">
      <c r="M45" s="76" t="s">
        <v>41</v>
      </c>
      <c r="N45" s="98">
        <f>R39</f>
        <v>8570</v>
      </c>
      <c r="O45" s="76"/>
      <c r="P45" s="76"/>
      <c r="Q45" s="76"/>
      <c r="R45" s="76"/>
      <c r="S45" s="76"/>
      <c r="T45" s="76"/>
      <c r="U45" s="76"/>
      <c r="V45" s="76"/>
      <c r="W45" s="76"/>
      <c r="X45" s="100"/>
      <c r="Y45" s="69"/>
    </row>
    <row r="46" spans="1:26" ht="15.75" x14ac:dyDescent="0.25">
      <c r="M46" s="76" t="s">
        <v>53</v>
      </c>
      <c r="N46" s="98">
        <f>W39</f>
        <v>780</v>
      </c>
      <c r="O46" s="76"/>
      <c r="P46" s="76"/>
      <c r="Q46" s="76"/>
      <c r="R46" s="76"/>
      <c r="S46" s="76"/>
      <c r="T46" s="76"/>
      <c r="U46" s="76"/>
      <c r="V46" s="76"/>
      <c r="W46" s="76"/>
      <c r="X46" s="100"/>
      <c r="Y46" s="69"/>
    </row>
    <row r="47" spans="1:26" ht="15.75" x14ac:dyDescent="0.25">
      <c r="M47" s="76" t="s">
        <v>42</v>
      </c>
      <c r="N47" s="98">
        <f>S39</f>
        <v>4800</v>
      </c>
      <c r="O47" s="76"/>
      <c r="P47" s="76"/>
      <c r="Q47" s="76"/>
      <c r="R47" s="76" t="s">
        <v>126</v>
      </c>
      <c r="S47" s="76"/>
      <c r="T47" s="99">
        <f>X39</f>
        <v>498</v>
      </c>
      <c r="U47" s="76"/>
      <c r="V47" s="76"/>
      <c r="W47" s="76"/>
      <c r="X47" s="100"/>
      <c r="Y47" s="69"/>
    </row>
    <row r="48" spans="1:26" ht="15.75" x14ac:dyDescent="0.25">
      <c r="M48" s="76"/>
      <c r="N48" s="98"/>
      <c r="O48" s="76"/>
      <c r="P48" s="76"/>
      <c r="Q48" s="76"/>
      <c r="R48" s="76"/>
      <c r="S48" s="98"/>
      <c r="T48" s="69"/>
      <c r="U48" s="69"/>
      <c r="V48" s="76"/>
      <c r="W48" s="76"/>
      <c r="X48" s="100"/>
      <c r="Y48" s="69"/>
    </row>
    <row r="49" spans="13:25" ht="15.75" x14ac:dyDescent="0.25">
      <c r="M49" s="76" t="s">
        <v>126</v>
      </c>
      <c r="N49" s="99">
        <f>X39</f>
        <v>498</v>
      </c>
      <c r="O49" s="98"/>
      <c r="P49" s="76"/>
      <c r="Q49" s="76"/>
      <c r="R49" s="76"/>
      <c r="S49" s="76"/>
      <c r="T49" s="76"/>
      <c r="U49" s="98"/>
      <c r="V49" s="98"/>
      <c r="W49" s="98"/>
      <c r="X49" s="101"/>
      <c r="Y49" s="69"/>
    </row>
    <row r="50" spans="13:25" ht="15.75" x14ac:dyDescent="0.25">
      <c r="M50" s="90" t="s">
        <v>19</v>
      </c>
      <c r="N50" s="76" t="s">
        <v>10</v>
      </c>
      <c r="O50" s="76"/>
      <c r="P50" s="76"/>
      <c r="Q50" s="76"/>
      <c r="R50" s="90" t="s">
        <v>19</v>
      </c>
      <c r="S50" s="90"/>
      <c r="T50" s="90"/>
      <c r="U50" s="76"/>
      <c r="V50" s="76"/>
      <c r="W50" s="76"/>
      <c r="X50" s="100"/>
      <c r="Y50" s="69"/>
    </row>
    <row r="51" spans="13:25" ht="15.75" x14ac:dyDescent="0.25">
      <c r="M51" s="102" t="s">
        <v>55</v>
      </c>
      <c r="N51" s="103">
        <v>7.0000000000000007E-2</v>
      </c>
      <c r="O51" s="99">
        <f>N51*Q40</f>
        <v>5516.0000000000009</v>
      </c>
      <c r="P51" s="76"/>
      <c r="Q51" s="76"/>
      <c r="R51" s="102" t="s">
        <v>55</v>
      </c>
      <c r="S51" s="102"/>
      <c r="T51" s="103">
        <v>7.0000000000000007E-2</v>
      </c>
      <c r="U51" s="99">
        <f>T51*Q40</f>
        <v>5516.0000000000009</v>
      </c>
      <c r="V51" s="76"/>
      <c r="W51" s="76"/>
      <c r="X51" s="100"/>
      <c r="Y51" s="69"/>
    </row>
    <row r="52" spans="13:25" ht="15.75" x14ac:dyDescent="0.25">
      <c r="M52" s="104" t="s">
        <v>128</v>
      </c>
      <c r="N52" s="105">
        <v>0.3</v>
      </c>
      <c r="O52" s="69">
        <f>N52*O7+(N52*O122)+(N52*O22)</f>
        <v>0</v>
      </c>
      <c r="P52" s="99"/>
      <c r="Q52" s="99"/>
      <c r="R52" s="104"/>
      <c r="S52" s="103"/>
      <c r="T52" s="122"/>
      <c r="U52" s="122"/>
      <c r="V52" s="122"/>
      <c r="W52" s="99"/>
      <c r="X52" s="106"/>
      <c r="Y52" s="87"/>
    </row>
    <row r="53" spans="13:25" ht="15.75" x14ac:dyDescent="0.25">
      <c r="M53" s="104" t="s">
        <v>152</v>
      </c>
      <c r="N53" s="103"/>
      <c r="O53" s="122">
        <v>50105</v>
      </c>
      <c r="P53" s="99"/>
      <c r="Q53" s="99"/>
      <c r="R53" s="104" t="s">
        <v>152</v>
      </c>
      <c r="S53" s="103"/>
      <c r="T53" s="122"/>
      <c r="U53" s="122">
        <v>50105</v>
      </c>
      <c r="V53" s="122"/>
      <c r="W53" s="99"/>
      <c r="X53" s="106"/>
      <c r="Y53" s="87"/>
    </row>
    <row r="54" spans="13:25" ht="15.75" x14ac:dyDescent="0.25">
      <c r="M54" s="104" t="s">
        <v>153</v>
      </c>
      <c r="N54" s="103"/>
      <c r="O54" s="122">
        <v>5650</v>
      </c>
      <c r="P54" s="99"/>
      <c r="Q54" s="99"/>
      <c r="R54" s="104"/>
      <c r="S54" s="103"/>
      <c r="T54" s="122"/>
      <c r="U54" s="122"/>
      <c r="V54" s="122"/>
      <c r="W54" s="99"/>
      <c r="X54" s="106"/>
      <c r="Y54" s="87"/>
    </row>
    <row r="55" spans="13:25" ht="15.75" x14ac:dyDescent="0.25">
      <c r="M55" s="104" t="s">
        <v>156</v>
      </c>
      <c r="N55" s="103"/>
      <c r="O55" s="122">
        <v>46370</v>
      </c>
      <c r="P55" s="99"/>
      <c r="Q55" s="99"/>
      <c r="R55" s="104" t="s">
        <v>156</v>
      </c>
      <c r="S55" s="103"/>
      <c r="T55" s="122"/>
      <c r="U55" s="122">
        <v>46370</v>
      </c>
      <c r="V55" s="76"/>
      <c r="W55" s="76"/>
      <c r="X55" s="100"/>
      <c r="Y55" s="69"/>
    </row>
    <row r="56" spans="13:25" ht="15.75" x14ac:dyDescent="0.25">
      <c r="M56" s="104" t="s">
        <v>179</v>
      </c>
      <c r="N56" s="103"/>
      <c r="O56" s="99">
        <v>2700</v>
      </c>
      <c r="P56" s="76"/>
      <c r="Q56" s="76"/>
      <c r="R56" s="104"/>
      <c r="S56" s="103"/>
      <c r="T56" s="99"/>
      <c r="U56" s="99"/>
      <c r="V56" s="76"/>
      <c r="W56" s="76"/>
      <c r="X56" s="100"/>
      <c r="Y56" s="87"/>
    </row>
    <row r="57" spans="13:25" ht="15.75" x14ac:dyDescent="0.25">
      <c r="M57" s="108"/>
      <c r="N57" s="76"/>
      <c r="O57" s="99"/>
      <c r="P57" s="76"/>
      <c r="Q57" s="76"/>
      <c r="R57" s="76"/>
      <c r="S57" s="99"/>
      <c r="T57" s="102"/>
      <c r="U57" s="99"/>
      <c r="V57" s="99"/>
      <c r="W57" s="99"/>
      <c r="X57" s="106"/>
      <c r="Y57" s="87"/>
    </row>
    <row r="58" spans="13:25" ht="15.75" x14ac:dyDescent="0.25">
      <c r="M58" s="90" t="s">
        <v>20</v>
      </c>
      <c r="N58" s="109">
        <f>N42+N43+N44+N45+N46+N47+N49+N48</f>
        <v>112060.5</v>
      </c>
      <c r="O58" s="109">
        <f>SUM(O51:O57)</f>
        <v>110341</v>
      </c>
      <c r="P58" s="125">
        <f>N58-O58</f>
        <v>1719.5</v>
      </c>
      <c r="Q58" s="109"/>
      <c r="R58" s="90"/>
      <c r="S58" s="90"/>
      <c r="T58" s="109">
        <f>T42+T43+T45+T47+T48</f>
        <v>91800.5</v>
      </c>
      <c r="U58" s="109">
        <f>SUM(U51:U57)</f>
        <v>101991</v>
      </c>
      <c r="V58" s="109">
        <f>T58-U58</f>
        <v>-10190.5</v>
      </c>
      <c r="W58" s="109"/>
      <c r="X58" s="110"/>
      <c r="Y58" s="69"/>
    </row>
    <row r="59" spans="13:25" ht="15.75" x14ac:dyDescent="0.25">
      <c r="M59" s="70"/>
      <c r="N59" s="70"/>
      <c r="O59" s="70"/>
      <c r="P59" s="70"/>
      <c r="Q59" s="70"/>
      <c r="R59" s="70"/>
      <c r="S59" s="70"/>
      <c r="T59" s="70"/>
      <c r="U59" s="111">
        <f>U58-U51</f>
        <v>96475</v>
      </c>
      <c r="V59" s="70"/>
      <c r="W59" s="70"/>
      <c r="X59" s="71"/>
      <c r="Y59" s="69"/>
    </row>
    <row r="60" spans="13:25" ht="15.75" x14ac:dyDescent="0.25">
      <c r="M60" s="112" t="s">
        <v>56</v>
      </c>
      <c r="N60" s="113"/>
      <c r="O60" s="113" t="s">
        <v>22</v>
      </c>
      <c r="P60" s="114"/>
      <c r="Q60" s="114"/>
      <c r="R60" s="112"/>
      <c r="S60" s="112"/>
      <c r="T60" s="112" t="s">
        <v>57</v>
      </c>
      <c r="U60" s="70"/>
      <c r="V60" s="70"/>
      <c r="W60" s="70"/>
      <c r="X60" s="71"/>
      <c r="Y60" s="69"/>
    </row>
    <row r="61" spans="13:25" ht="15.75" x14ac:dyDescent="0.25">
      <c r="M61" s="70" t="s">
        <v>24</v>
      </c>
      <c r="N61" s="70"/>
      <c r="O61" s="70" t="s">
        <v>25</v>
      </c>
      <c r="P61" s="70"/>
      <c r="Q61" s="70"/>
      <c r="R61" s="70"/>
      <c r="S61" s="70"/>
      <c r="T61" s="70" t="s">
        <v>34</v>
      </c>
      <c r="U61" s="70"/>
      <c r="V61" s="70"/>
      <c r="W61" s="111"/>
      <c r="X61" s="71"/>
      <c r="Y61" s="69"/>
    </row>
    <row r="62" spans="13:25" ht="15.75" x14ac:dyDescent="0.25">
      <c r="M62" s="69"/>
      <c r="N62" s="69"/>
      <c r="O62" s="69"/>
      <c r="P62" s="69"/>
      <c r="Q62" s="69"/>
      <c r="R62" s="69"/>
      <c r="S62" s="109"/>
      <c r="T62" s="69"/>
      <c r="U62" s="69"/>
      <c r="V62" s="69"/>
      <c r="W62" s="69"/>
      <c r="X62" s="69"/>
      <c r="Y62" s="69"/>
    </row>
    <row r="63" spans="13:25" ht="15.75" x14ac:dyDescent="0.25">
      <c r="M63" s="69"/>
      <c r="N63" s="69"/>
      <c r="O63" s="69"/>
      <c r="P63" s="69"/>
      <c r="Q63" s="69"/>
      <c r="R63" s="115"/>
      <c r="T63" s="69"/>
      <c r="U63" s="69"/>
      <c r="V63" s="69"/>
      <c r="W63" s="69"/>
      <c r="X63" s="69"/>
      <c r="Y63" s="69"/>
    </row>
    <row r="64" spans="13:25" ht="15.75" x14ac:dyDescent="0.25">
      <c r="S64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NOVEMBER 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 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2021-03-12T14:42:53Z</cp:lastPrinted>
  <dcterms:created xsi:type="dcterms:W3CDTF">2020-10-29T14:35:49Z</dcterms:created>
  <dcterms:modified xsi:type="dcterms:W3CDTF">2021-12-08T08:00:38Z</dcterms:modified>
</cp:coreProperties>
</file>