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75" windowWidth="18195" windowHeight="11760" firstSheet="12" activeTab="15"/>
  </bookViews>
  <sheets>
    <sheet name="SEPTEMBER 20" sheetId="1" r:id="rId1"/>
    <sheet name="OCTOBER 20" sheetId="2" r:id="rId2"/>
    <sheet name="NOVEMBER20" sheetId="3" r:id="rId3"/>
    <sheet name="DECEMBER20" sheetId="4" r:id="rId4"/>
    <sheet name="JANUARY 21" sheetId="5" r:id="rId5"/>
    <sheet name="FEBRUARY 21" sheetId="6" r:id="rId6"/>
    <sheet name="MARCH 21" sheetId="7" r:id="rId7"/>
    <sheet name="APRIL21" sheetId="8" r:id="rId8"/>
    <sheet name="MAY 21" sheetId="9" r:id="rId9"/>
    <sheet name="JUNE 21" sheetId="10" r:id="rId10"/>
    <sheet name="JULY 21" sheetId="11" r:id="rId11"/>
    <sheet name="AUGUST 21" sheetId="12" r:id="rId12"/>
    <sheet name="SEPTEMBER 21" sheetId="13" r:id="rId13"/>
    <sheet name="OCTOBER  21" sheetId="14" r:id="rId14"/>
    <sheet name="NOVEMBER 21" sheetId="15" r:id="rId15"/>
    <sheet name="DECEMBER 21" sheetId="16" r:id="rId16"/>
  </sheets>
  <externalReferences>
    <externalReference r:id="rId17"/>
  </externalReferences>
  <calcPr calcId="162913"/>
</workbook>
</file>

<file path=xl/calcChain.xml><?xml version="1.0" encoding="utf-8"?>
<calcChain xmlns="http://schemas.openxmlformats.org/spreadsheetml/2006/main">
  <c r="H50" i="16" l="1"/>
  <c r="I47" i="16" l="1"/>
  <c r="C99" i="15" l="1"/>
  <c r="I58" i="15"/>
  <c r="I46" i="14" l="1"/>
  <c r="I84" i="16" l="1"/>
  <c r="L71" i="16"/>
  <c r="B79" i="16" s="1"/>
  <c r="K71" i="16"/>
  <c r="B78" i="16" s="1"/>
  <c r="G71" i="16"/>
  <c r="I85" i="16" s="1"/>
  <c r="F71" i="16"/>
  <c r="B77" i="16" s="1"/>
  <c r="E71" i="16"/>
  <c r="B76" i="16"/>
  <c r="I71" i="16"/>
  <c r="H74" i="16" s="1"/>
  <c r="I2" i="16"/>
  <c r="H79" i="16" l="1"/>
  <c r="C83" i="16"/>
  <c r="C99" i="16" s="1"/>
  <c r="I83" i="16"/>
  <c r="I99" i="16" s="1"/>
  <c r="B74" i="16"/>
  <c r="I46" i="15"/>
  <c r="I101" i="16" l="1"/>
  <c r="I100" i="16"/>
  <c r="I20" i="15"/>
  <c r="I68" i="15" l="1"/>
  <c r="I44" i="15" l="1"/>
  <c r="I21" i="15"/>
  <c r="I43" i="15" l="1"/>
  <c r="I53" i="15"/>
  <c r="I67" i="15"/>
  <c r="I65" i="15"/>
  <c r="I22" i="15" l="1"/>
  <c r="I34" i="15" l="1"/>
  <c r="C91" i="15"/>
  <c r="I13" i="15"/>
  <c r="I37" i="15"/>
  <c r="I62" i="15"/>
  <c r="I66" i="15"/>
  <c r="I64" i="15"/>
  <c r="O19" i="15" l="1"/>
  <c r="I19" i="15"/>
  <c r="I42" i="15"/>
  <c r="I16" i="15"/>
  <c r="I14" i="15"/>
  <c r="I48" i="15" l="1"/>
  <c r="I27" i="15" l="1"/>
  <c r="G71" i="15" l="1"/>
  <c r="I69" i="14" l="1"/>
  <c r="I43" i="14" l="1"/>
  <c r="I84" i="15" l="1"/>
  <c r="L71" i="15"/>
  <c r="H79" i="15" s="1"/>
  <c r="K71" i="15"/>
  <c r="B78" i="15" s="1"/>
  <c r="I85" i="15"/>
  <c r="F71" i="15"/>
  <c r="B77" i="15" s="1"/>
  <c r="E71" i="15"/>
  <c r="I83" i="15" s="1"/>
  <c r="C71" i="15"/>
  <c r="B76" i="15" s="1"/>
  <c r="I71" i="15"/>
  <c r="H74" i="15" s="1"/>
  <c r="I2" i="15"/>
  <c r="I100" i="15" l="1"/>
  <c r="B79" i="15"/>
  <c r="C83" i="15"/>
  <c r="B74" i="15"/>
  <c r="I7" i="14"/>
  <c r="I102" i="15" l="1"/>
  <c r="I101" i="15"/>
  <c r="I45" i="14"/>
  <c r="I53" i="14" l="1"/>
  <c r="J115" i="10" l="1"/>
  <c r="I65" i="14" l="1"/>
  <c r="I23" i="14"/>
  <c r="I32" i="14" l="1"/>
  <c r="I58" i="14" l="1"/>
  <c r="I51" i="14"/>
  <c r="I44" i="14"/>
  <c r="I39" i="14"/>
  <c r="I27" i="14"/>
  <c r="I25" i="14"/>
  <c r="I18" i="14"/>
  <c r="I13" i="14"/>
  <c r="I8" i="14"/>
  <c r="I2" i="14"/>
  <c r="I12" i="14"/>
  <c r="C98" i="13" l="1"/>
  <c r="I84" i="14" l="1"/>
  <c r="L71" i="14"/>
  <c r="B79" i="14" s="1"/>
  <c r="K71" i="14"/>
  <c r="B78" i="14" s="1"/>
  <c r="G71" i="14"/>
  <c r="I85" i="14" s="1"/>
  <c r="F71" i="14"/>
  <c r="B77" i="14" s="1"/>
  <c r="E71" i="14"/>
  <c r="C83" i="14" s="1"/>
  <c r="C99" i="14" s="1"/>
  <c r="C71" i="14"/>
  <c r="B76" i="14" s="1"/>
  <c r="H16" i="14"/>
  <c r="J16" i="14" s="1"/>
  <c r="D16" i="15" s="1"/>
  <c r="H16" i="15" s="1"/>
  <c r="J16" i="15" s="1"/>
  <c r="D16" i="16" s="1"/>
  <c r="H16" i="16" s="1"/>
  <c r="J16" i="16" s="1"/>
  <c r="I71" i="14"/>
  <c r="H74" i="14" s="1"/>
  <c r="B74" i="14" l="1"/>
  <c r="H79" i="14"/>
  <c r="I83" i="14"/>
  <c r="I99" i="14" s="1"/>
  <c r="I12" i="13"/>
  <c r="I20" i="13"/>
  <c r="I101" i="14" l="1"/>
  <c r="I100" i="14"/>
  <c r="I43" i="13"/>
  <c r="N69" i="13" l="1"/>
  <c r="N70" i="13" s="1"/>
  <c r="N71" i="13" s="1"/>
  <c r="C93" i="13"/>
  <c r="C49" i="13" l="1"/>
  <c r="I32" i="13" l="1"/>
  <c r="I30" i="13"/>
  <c r="I24" i="13"/>
  <c r="I93" i="13" l="1"/>
  <c r="I35" i="13" l="1"/>
  <c r="I54" i="13"/>
  <c r="I48" i="13" l="1"/>
  <c r="C92" i="13"/>
  <c r="I10" i="13"/>
  <c r="I22" i="13" l="1"/>
  <c r="I34" i="13" l="1"/>
  <c r="I46" i="13" l="1"/>
  <c r="I18" i="13" l="1"/>
  <c r="I68" i="13" l="1"/>
  <c r="I65" i="13"/>
  <c r="I31" i="13" l="1"/>
  <c r="I29" i="13" l="1"/>
  <c r="I27" i="13" l="1"/>
  <c r="I55" i="13" l="1"/>
  <c r="I25" i="13" l="1"/>
  <c r="I39" i="13" l="1"/>
  <c r="I44" i="13" l="1"/>
  <c r="I41" i="13" l="1"/>
  <c r="I40" i="13" l="1"/>
  <c r="I19" i="13" l="1"/>
  <c r="I58" i="13" l="1"/>
  <c r="I38" i="13" l="1"/>
  <c r="I26" i="13" l="1"/>
  <c r="I51" i="13" l="1"/>
  <c r="I17" i="13" l="1"/>
  <c r="I33" i="13" l="1"/>
  <c r="I42" i="13" l="1"/>
  <c r="N26" i="11" l="1"/>
  <c r="I7" i="13" l="1"/>
  <c r="I13" i="13" l="1"/>
  <c r="I23" i="13"/>
  <c r="I49" i="13"/>
  <c r="N17" i="12"/>
  <c r="I84" i="13"/>
  <c r="L71" i="13"/>
  <c r="H79" i="13" s="1"/>
  <c r="K71" i="13"/>
  <c r="B78" i="13" s="1"/>
  <c r="G71" i="13"/>
  <c r="I85" i="13" s="1"/>
  <c r="F71" i="13"/>
  <c r="B77" i="13" s="1"/>
  <c r="E71" i="13"/>
  <c r="I83" i="13" s="1"/>
  <c r="C71" i="13"/>
  <c r="B76" i="13" s="1"/>
  <c r="H69" i="13"/>
  <c r="J69" i="13" s="1"/>
  <c r="D69" i="14" s="1"/>
  <c r="H69" i="14" s="1"/>
  <c r="J69" i="14" s="1"/>
  <c r="D69" i="15" s="1"/>
  <c r="H69" i="15" s="1"/>
  <c r="J63" i="13"/>
  <c r="D63" i="14" s="1"/>
  <c r="H63" i="14" s="1"/>
  <c r="J63" i="14" s="1"/>
  <c r="D63" i="15" s="1"/>
  <c r="H63" i="15" s="1"/>
  <c r="J63" i="15" s="1"/>
  <c r="D63" i="16" s="1"/>
  <c r="H63" i="16" s="1"/>
  <c r="J63" i="16" s="1"/>
  <c r="H16" i="13"/>
  <c r="J16" i="13" s="1"/>
  <c r="H9" i="13"/>
  <c r="J9" i="13" s="1"/>
  <c r="D9" i="14" s="1"/>
  <c r="H9" i="14" s="1"/>
  <c r="J9" i="14" s="1"/>
  <c r="D9" i="15" s="1"/>
  <c r="H9" i="15" s="1"/>
  <c r="J9" i="15" s="1"/>
  <c r="D9" i="16" s="1"/>
  <c r="H9" i="16" s="1"/>
  <c r="J9" i="16" s="1"/>
  <c r="J69" i="15" l="1"/>
  <c r="H69" i="16" s="1"/>
  <c r="J69" i="16" s="1"/>
  <c r="C97" i="15"/>
  <c r="I71" i="13"/>
  <c r="H74" i="13" s="1"/>
  <c r="I100" i="13"/>
  <c r="I102" i="13" s="1"/>
  <c r="B79" i="13"/>
  <c r="C83" i="13"/>
  <c r="C100" i="13" s="1"/>
  <c r="B74" i="13"/>
  <c r="I12" i="12"/>
  <c r="I58" i="12"/>
  <c r="I65" i="12"/>
  <c r="I101" i="13" l="1"/>
  <c r="I67" i="12"/>
  <c r="I22" i="12" l="1"/>
  <c r="I13" i="12"/>
  <c r="I44" i="12" l="1"/>
  <c r="I41" i="12" l="1"/>
  <c r="I57" i="12" l="1"/>
  <c r="I17" i="12" l="1"/>
  <c r="I43" i="12" l="1"/>
  <c r="I32" i="12" l="1"/>
  <c r="I18" i="12" l="1"/>
  <c r="I45" i="12" l="1"/>
  <c r="I48" i="12" l="1"/>
  <c r="I26" i="12" l="1"/>
  <c r="I39" i="12" l="1"/>
  <c r="I68" i="12" l="1"/>
  <c r="I35" i="12" l="1"/>
  <c r="I55" i="12" l="1"/>
  <c r="I38" i="12" l="1"/>
  <c r="I40" i="12" l="1"/>
  <c r="I51" i="12" l="1"/>
  <c r="I54" i="12" l="1"/>
  <c r="I46" i="12" l="1"/>
  <c r="I9" i="12" l="1"/>
  <c r="I42" i="12" l="1"/>
  <c r="I70" i="12" l="1"/>
  <c r="I10" i="12" l="1"/>
  <c r="I34" i="12" l="1"/>
  <c r="I25" i="12" l="1"/>
  <c r="I19" i="12" l="1"/>
  <c r="I31" i="12" l="1"/>
  <c r="I23" i="12" l="1"/>
  <c r="C92" i="11" l="1"/>
  <c r="I52" i="10"/>
  <c r="I52" i="11"/>
  <c r="I12" i="11"/>
  <c r="D7" i="12"/>
  <c r="H7" i="12" s="1"/>
  <c r="I7" i="12"/>
  <c r="I71" i="12" s="1"/>
  <c r="H74" i="12" s="1"/>
  <c r="I84" i="12"/>
  <c r="L71" i="12"/>
  <c r="B79" i="12" s="1"/>
  <c r="K71" i="12"/>
  <c r="B78" i="12" s="1"/>
  <c r="G71" i="12"/>
  <c r="I85" i="12" s="1"/>
  <c r="F71" i="12"/>
  <c r="E71" i="12"/>
  <c r="C83" i="12" s="1"/>
  <c r="C99" i="12" s="1"/>
  <c r="C71" i="12"/>
  <c r="B76" i="12" s="1"/>
  <c r="H53" i="12"/>
  <c r="J53" i="12" s="1"/>
  <c r="D53" i="13" s="1"/>
  <c r="H53" i="13" s="1"/>
  <c r="J53" i="13" s="1"/>
  <c r="D53" i="14" s="1"/>
  <c r="H53" i="14" s="1"/>
  <c r="J53" i="14" s="1"/>
  <c r="D53" i="15" s="1"/>
  <c r="H53" i="15" s="1"/>
  <c r="J53" i="15" s="1"/>
  <c r="D53" i="16" s="1"/>
  <c r="H53" i="16" s="1"/>
  <c r="J53" i="16" s="1"/>
  <c r="H52" i="12"/>
  <c r="J52" i="12" s="1"/>
  <c r="D52" i="13" s="1"/>
  <c r="H52" i="13" s="1"/>
  <c r="J52" i="13" s="1"/>
  <c r="D52" i="14" s="1"/>
  <c r="H52" i="14" s="1"/>
  <c r="J52" i="14" s="1"/>
  <c r="H52" i="15" s="1"/>
  <c r="J52" i="15" s="1"/>
  <c r="D52" i="16" s="1"/>
  <c r="H52" i="16" s="1"/>
  <c r="J52" i="16" s="1"/>
  <c r="H47" i="12"/>
  <c r="J47" i="12" s="1"/>
  <c r="D47" i="13" s="1"/>
  <c r="H47" i="13" s="1"/>
  <c r="J47" i="13" s="1"/>
  <c r="D47" i="14" s="1"/>
  <c r="H47" i="14" s="1"/>
  <c r="J47" i="14" s="1"/>
  <c r="H47" i="15" s="1"/>
  <c r="J47" i="15" s="1"/>
  <c r="D47" i="16" s="1"/>
  <c r="H47" i="16" s="1"/>
  <c r="J47" i="16" s="1"/>
  <c r="H36" i="12"/>
  <c r="J36" i="12" s="1"/>
  <c r="D36" i="13" s="1"/>
  <c r="H36" i="13" s="1"/>
  <c r="J36" i="13" s="1"/>
  <c r="D36" i="14" s="1"/>
  <c r="H36" i="14" s="1"/>
  <c r="J36" i="14" s="1"/>
  <c r="D36" i="15" s="1"/>
  <c r="H36" i="15" s="1"/>
  <c r="J36" i="15" s="1"/>
  <c r="D36" i="16" s="1"/>
  <c r="H36" i="16" s="1"/>
  <c r="J36" i="16" s="1"/>
  <c r="H24" i="12"/>
  <c r="J24" i="12" s="1"/>
  <c r="D24" i="13" s="1"/>
  <c r="H24" i="13" s="1"/>
  <c r="J24" i="13" s="1"/>
  <c r="D24" i="14" s="1"/>
  <c r="H24" i="14" s="1"/>
  <c r="J24" i="14" s="1"/>
  <c r="D24" i="15" s="1"/>
  <c r="H24" i="15" s="1"/>
  <c r="J24" i="15" s="1"/>
  <c r="D24" i="16" s="1"/>
  <c r="H24" i="16" s="1"/>
  <c r="J24" i="16" s="1"/>
  <c r="H15" i="12"/>
  <c r="H14" i="12"/>
  <c r="J14" i="12" s="1"/>
  <c r="D14" i="13" s="1"/>
  <c r="H14" i="13" s="1"/>
  <c r="J14" i="13" s="1"/>
  <c r="D14" i="14" s="1"/>
  <c r="H14" i="14" s="1"/>
  <c r="J14" i="14" s="1"/>
  <c r="D14" i="15" s="1"/>
  <c r="H14" i="15" s="1"/>
  <c r="J14" i="15" s="1"/>
  <c r="D14" i="16" s="1"/>
  <c r="H14" i="16" s="1"/>
  <c r="J14" i="16" s="1"/>
  <c r="J7" i="12" l="1"/>
  <c r="D7" i="13" s="1"/>
  <c r="H7" i="13" s="1"/>
  <c r="J7" i="13" s="1"/>
  <c r="D7" i="14" s="1"/>
  <c r="H7" i="14" s="1"/>
  <c r="J7" i="14" s="1"/>
  <c r="D7" i="15" s="1"/>
  <c r="H7" i="15" s="1"/>
  <c r="J7" i="15" s="1"/>
  <c r="D7" i="16" s="1"/>
  <c r="H7" i="16" s="1"/>
  <c r="J7" i="16" s="1"/>
  <c r="H56" i="13"/>
  <c r="H79" i="12"/>
  <c r="J15" i="12"/>
  <c r="D15" i="13" s="1"/>
  <c r="H15" i="13" s="1"/>
  <c r="J15" i="13" s="1"/>
  <c r="D15" i="14" s="1"/>
  <c r="H15" i="14" s="1"/>
  <c r="J15" i="14" s="1"/>
  <c r="D15" i="15" s="1"/>
  <c r="H15" i="15" s="1"/>
  <c r="J15" i="15" s="1"/>
  <c r="D15" i="16" s="1"/>
  <c r="H15" i="16" s="1"/>
  <c r="J15" i="16" s="1"/>
  <c r="B74" i="12"/>
  <c r="I83" i="12"/>
  <c r="I99" i="12" s="1"/>
  <c r="I101" i="12" l="1"/>
  <c r="I100" i="12"/>
  <c r="J56" i="13"/>
  <c r="I91" i="11"/>
  <c r="D56" i="14" l="1"/>
  <c r="H56" i="14" s="1"/>
  <c r="J56" i="14" s="1"/>
  <c r="D56" i="15" s="1"/>
  <c r="H56" i="15" s="1"/>
  <c r="J56" i="15" s="1"/>
  <c r="D56" i="16" s="1"/>
  <c r="H56" i="16" s="1"/>
  <c r="J56" i="16" s="1"/>
  <c r="I68" i="11"/>
  <c r="I70" i="11"/>
  <c r="I58" i="11" l="1"/>
  <c r="I65" i="11" l="1"/>
  <c r="I50" i="11"/>
  <c r="I36" i="11"/>
  <c r="I22" i="11"/>
  <c r="I58" i="10" l="1"/>
  <c r="I51" i="10"/>
  <c r="I51" i="11"/>
  <c r="I27" i="11"/>
  <c r="I17" i="11"/>
  <c r="I46" i="11"/>
  <c r="I13" i="11"/>
  <c r="I47" i="11"/>
  <c r="I20" i="11" l="1"/>
  <c r="I30" i="11" l="1"/>
  <c r="I38" i="11" l="1"/>
  <c r="I6" i="11" l="1"/>
  <c r="I48" i="11" l="1"/>
  <c r="I32" i="11" l="1"/>
  <c r="I19" i="11" l="1"/>
  <c r="I33" i="11" l="1"/>
  <c r="I15" i="11" l="1"/>
  <c r="I34" i="11" l="1"/>
  <c r="I24" i="11" l="1"/>
  <c r="I43" i="11" l="1"/>
  <c r="I31" i="11" l="1"/>
  <c r="I25" i="11" l="1"/>
  <c r="I42" i="11" l="1"/>
  <c r="I18" i="11" l="1"/>
  <c r="D7" i="11" l="1"/>
  <c r="I84" i="11" l="1"/>
  <c r="L71" i="11"/>
  <c r="H79" i="11" s="1"/>
  <c r="K71" i="11"/>
  <c r="B78" i="11" s="1"/>
  <c r="G71" i="11"/>
  <c r="I85" i="11" s="1"/>
  <c r="F71" i="11"/>
  <c r="B77" i="11" s="1"/>
  <c r="E71" i="11"/>
  <c r="I83" i="11" s="1"/>
  <c r="H57" i="11"/>
  <c r="J57" i="11" s="1"/>
  <c r="D57" i="12" s="1"/>
  <c r="H57" i="12" s="1"/>
  <c r="J57" i="12" s="1"/>
  <c r="D57" i="13" s="1"/>
  <c r="H57" i="13" s="1"/>
  <c r="J57" i="13" s="1"/>
  <c r="D57" i="14" s="1"/>
  <c r="H57" i="14" s="1"/>
  <c r="J57" i="14" s="1"/>
  <c r="D57" i="15" s="1"/>
  <c r="H57" i="15" s="1"/>
  <c r="J57" i="15" s="1"/>
  <c r="D57" i="16" s="1"/>
  <c r="H57" i="16" s="1"/>
  <c r="J57" i="16" s="1"/>
  <c r="H48" i="11"/>
  <c r="J48" i="11" s="1"/>
  <c r="D48" i="12" s="1"/>
  <c r="H48" i="12" s="1"/>
  <c r="J48" i="12" s="1"/>
  <c r="D48" i="13" s="1"/>
  <c r="H48" i="13" s="1"/>
  <c r="J48" i="13" s="1"/>
  <c r="D48" i="14" s="1"/>
  <c r="H48" i="14" s="1"/>
  <c r="J48" i="14" s="1"/>
  <c r="D48" i="15" s="1"/>
  <c r="H48" i="15" s="1"/>
  <c r="J48" i="15" s="1"/>
  <c r="D48" i="16" s="1"/>
  <c r="H48" i="16" s="1"/>
  <c r="J48" i="16" s="1"/>
  <c r="H45" i="11"/>
  <c r="J45" i="11" s="1"/>
  <c r="D45" i="12" s="1"/>
  <c r="H45" i="12" s="1"/>
  <c r="J45" i="12" s="1"/>
  <c r="D45" i="13" s="1"/>
  <c r="H45" i="13" s="1"/>
  <c r="J45" i="13" s="1"/>
  <c r="D45" i="14" s="1"/>
  <c r="H45" i="14" s="1"/>
  <c r="J45" i="14" s="1"/>
  <c r="D45" i="15" s="1"/>
  <c r="H45" i="15" s="1"/>
  <c r="J45" i="15" s="1"/>
  <c r="D45" i="16" s="1"/>
  <c r="H45" i="16" s="1"/>
  <c r="J45" i="16" s="1"/>
  <c r="H37" i="11"/>
  <c r="J37" i="11" s="1"/>
  <c r="D37" i="12" s="1"/>
  <c r="H37" i="12" s="1"/>
  <c r="J37" i="12" s="1"/>
  <c r="D37" i="13" s="1"/>
  <c r="H37" i="13" s="1"/>
  <c r="J37" i="13" s="1"/>
  <c r="D37" i="14" s="1"/>
  <c r="H37" i="14" s="1"/>
  <c r="J37" i="14" s="1"/>
  <c r="D37" i="15" s="1"/>
  <c r="H37" i="15" s="1"/>
  <c r="J37" i="15" s="1"/>
  <c r="D37" i="16" s="1"/>
  <c r="H37" i="16" s="1"/>
  <c r="J37" i="16" s="1"/>
  <c r="H23" i="11"/>
  <c r="J23" i="11" s="1"/>
  <c r="D23" i="12" s="1"/>
  <c r="H23" i="12" s="1"/>
  <c r="J23" i="12" s="1"/>
  <c r="D23" i="13" s="1"/>
  <c r="H23" i="13" s="1"/>
  <c r="J23" i="13" s="1"/>
  <c r="D23" i="14" s="1"/>
  <c r="H23" i="14" s="1"/>
  <c r="J23" i="14" s="1"/>
  <c r="H23" i="15" s="1"/>
  <c r="J23" i="15" s="1"/>
  <c r="D23" i="16" s="1"/>
  <c r="H23" i="16" s="1"/>
  <c r="J23" i="16" s="1"/>
  <c r="I71" i="11"/>
  <c r="H74" i="11" s="1"/>
  <c r="H8" i="11"/>
  <c r="J8" i="11" s="1"/>
  <c r="D8" i="12" s="1"/>
  <c r="H8" i="12" s="1"/>
  <c r="J8" i="12" s="1"/>
  <c r="D8" i="13" s="1"/>
  <c r="H8" i="13" s="1"/>
  <c r="J8" i="13" s="1"/>
  <c r="D8" i="14" s="1"/>
  <c r="H8" i="14" s="1"/>
  <c r="J8" i="14" s="1"/>
  <c r="D8" i="15" s="1"/>
  <c r="H8" i="15" s="1"/>
  <c r="J8" i="15" s="1"/>
  <c r="D8" i="16" s="1"/>
  <c r="H8" i="16" s="1"/>
  <c r="J8" i="16" s="1"/>
  <c r="H7" i="11"/>
  <c r="I99" i="11" l="1"/>
  <c r="I100" i="11" s="1"/>
  <c r="C71" i="11"/>
  <c r="B76" i="11" s="1"/>
  <c r="H16" i="11"/>
  <c r="J16" i="11" s="1"/>
  <c r="D16" i="12" s="1"/>
  <c r="H16" i="12" s="1"/>
  <c r="J16" i="12" s="1"/>
  <c r="B79" i="11"/>
  <c r="C83" i="11"/>
  <c r="C99" i="11" s="1"/>
  <c r="B74" i="11"/>
  <c r="I24" i="10"/>
  <c r="I101" i="11" l="1"/>
  <c r="I59" i="10"/>
  <c r="C101" i="9" l="1"/>
  <c r="I99" i="8"/>
  <c r="I57" i="10"/>
  <c r="I105" i="6"/>
  <c r="C105" i="6"/>
  <c r="I92" i="7"/>
  <c r="I91" i="7"/>
  <c r="C92" i="7"/>
  <c r="C91" i="7"/>
  <c r="C105" i="3" l="1"/>
  <c r="I102" i="8"/>
  <c r="I98" i="8"/>
  <c r="C102" i="8"/>
  <c r="C99" i="8"/>
  <c r="C98" i="8"/>
  <c r="C90" i="8"/>
  <c r="I97" i="9"/>
  <c r="I96" i="9"/>
  <c r="I94" i="9"/>
  <c r="C97" i="9"/>
  <c r="C96" i="9"/>
  <c r="C94" i="9"/>
  <c r="I90" i="9"/>
  <c r="C90" i="9"/>
  <c r="H18" i="10" l="1"/>
  <c r="I39" i="10" l="1"/>
  <c r="I20" i="10" l="1"/>
  <c r="I12" i="10" l="1"/>
  <c r="I12" i="8"/>
  <c r="I6" i="8" l="1"/>
  <c r="I58" i="9" l="1"/>
  <c r="I13" i="10" l="1"/>
  <c r="I49" i="10" l="1"/>
  <c r="C16" i="10"/>
  <c r="I66" i="10" l="1"/>
  <c r="I23" i="10"/>
  <c r="I40" i="10" l="1"/>
  <c r="I54" i="10" l="1"/>
  <c r="I32" i="10" l="1"/>
  <c r="I33" i="10" l="1"/>
  <c r="I27" i="10" l="1"/>
  <c r="I41" i="10" l="1"/>
  <c r="I43" i="10" l="1"/>
  <c r="I22" i="10" l="1"/>
  <c r="I26" i="10" l="1"/>
  <c r="I29" i="10" l="1"/>
  <c r="I42" i="10" l="1"/>
  <c r="I55" i="10" l="1"/>
  <c r="I68" i="10" l="1"/>
  <c r="I9" i="10"/>
  <c r="I35" i="10" l="1"/>
  <c r="I70" i="10" l="1"/>
  <c r="H46" i="10"/>
  <c r="I44" i="10" l="1"/>
  <c r="I45" i="10" l="1"/>
  <c r="I30" i="10" l="1"/>
  <c r="I28" i="10" l="1"/>
  <c r="I17" i="10" l="1"/>
  <c r="I25" i="10" l="1"/>
  <c r="M41" i="6" l="1"/>
  <c r="O30" i="6"/>
  <c r="I45" i="9" l="1"/>
  <c r="I19" i="10"/>
  <c r="Q78" i="9" l="1"/>
  <c r="Q80" i="9"/>
  <c r="Q81" i="9"/>
  <c r="R99" i="9"/>
  <c r="Q99" i="9" l="1"/>
  <c r="I45" i="8"/>
  <c r="D7" i="10" l="1"/>
  <c r="H7" i="10" s="1"/>
  <c r="K71" i="10"/>
  <c r="B78" i="10" s="1"/>
  <c r="G71" i="10"/>
  <c r="I85" i="10" s="1"/>
  <c r="F71" i="10"/>
  <c r="B77" i="10" s="1"/>
  <c r="E71" i="10"/>
  <c r="C83" i="10" s="1"/>
  <c r="C71" i="10"/>
  <c r="B76" i="10" s="1"/>
  <c r="I84" i="10" s="1"/>
  <c r="H53" i="10"/>
  <c r="J53" i="10" s="1"/>
  <c r="D53" i="11" s="1"/>
  <c r="H53" i="11" s="1"/>
  <c r="J53" i="11" s="1"/>
  <c r="J46" i="10"/>
  <c r="D46" i="11" s="1"/>
  <c r="H46" i="11" s="1"/>
  <c r="J46" i="11" s="1"/>
  <c r="D46" i="12" s="1"/>
  <c r="H46" i="12" s="1"/>
  <c r="J46" i="12" s="1"/>
  <c r="D46" i="13" s="1"/>
  <c r="H46" i="13" s="1"/>
  <c r="J46" i="13" s="1"/>
  <c r="D46" i="14" s="1"/>
  <c r="H46" i="14" s="1"/>
  <c r="J46" i="14" s="1"/>
  <c r="D46" i="15" s="1"/>
  <c r="H46" i="15" s="1"/>
  <c r="J46" i="15" s="1"/>
  <c r="D46" i="16" s="1"/>
  <c r="H46" i="16" s="1"/>
  <c r="J46" i="16" s="1"/>
  <c r="H36" i="10"/>
  <c r="J36" i="10" s="1"/>
  <c r="D36" i="11" s="1"/>
  <c r="H36" i="11" s="1"/>
  <c r="J36" i="11" s="1"/>
  <c r="L71" i="10"/>
  <c r="J18" i="10"/>
  <c r="D18" i="11" s="1"/>
  <c r="H18" i="11" s="1"/>
  <c r="J18" i="11" s="1"/>
  <c r="D18" i="12" s="1"/>
  <c r="H18" i="12" s="1"/>
  <c r="J18" i="12" s="1"/>
  <c r="D18" i="13" s="1"/>
  <c r="H18" i="13" s="1"/>
  <c r="J18" i="13" s="1"/>
  <c r="D18" i="14" s="1"/>
  <c r="H18" i="14" s="1"/>
  <c r="J18" i="14" s="1"/>
  <c r="D18" i="15" s="1"/>
  <c r="H18" i="15" s="1"/>
  <c r="J18" i="15" s="1"/>
  <c r="D18" i="16" s="1"/>
  <c r="H18" i="16" s="1"/>
  <c r="J18" i="16" s="1"/>
  <c r="H16" i="10"/>
  <c r="J16" i="10" s="1"/>
  <c r="H14" i="10"/>
  <c r="J14" i="10" s="1"/>
  <c r="D14" i="11" s="1"/>
  <c r="H14" i="11" s="1"/>
  <c r="J14" i="11" s="1"/>
  <c r="I71" i="10"/>
  <c r="H74" i="10" s="1"/>
  <c r="B79" i="10" l="1"/>
  <c r="H79" i="10"/>
  <c r="C99" i="10"/>
  <c r="B74" i="10"/>
  <c r="I83" i="10"/>
  <c r="I99" i="10" s="1"/>
  <c r="I101" i="10" l="1"/>
  <c r="I100" i="10"/>
  <c r="I24" i="9"/>
  <c r="I56" i="9" l="1"/>
  <c r="I48" i="9"/>
  <c r="I62" i="9"/>
  <c r="I59" i="9"/>
  <c r="I54" i="9"/>
  <c r="I28" i="9" l="1"/>
  <c r="I39" i="9" l="1"/>
  <c r="L35" i="9" l="1"/>
  <c r="I35" i="9"/>
  <c r="I64" i="9" l="1"/>
  <c r="I50" i="9"/>
  <c r="I40" i="9"/>
  <c r="I37" i="9"/>
  <c r="I16" i="9" l="1"/>
  <c r="I13" i="9" l="1"/>
  <c r="I70" i="9" l="1"/>
  <c r="I18" i="9"/>
  <c r="I31" i="9"/>
  <c r="I41" i="9" l="1"/>
  <c r="I32" i="9" l="1"/>
  <c r="I44" i="9" l="1"/>
  <c r="I53" i="9" l="1"/>
  <c r="I18" i="7" l="1"/>
  <c r="N70" i="7" l="1"/>
  <c r="O67" i="7"/>
  <c r="O68" i="7" s="1"/>
  <c r="O69" i="7" s="1"/>
  <c r="O70" i="7" s="1"/>
  <c r="O62" i="7"/>
  <c r="O63" i="7" s="1"/>
  <c r="O65" i="7"/>
  <c r="O64" i="7" s="1"/>
  <c r="I20" i="9" l="1"/>
  <c r="I17" i="9" l="1"/>
  <c r="I29" i="9" l="1"/>
  <c r="I14" i="9" l="1"/>
  <c r="I10" i="9" l="1"/>
  <c r="I67" i="9" l="1"/>
  <c r="I68" i="9" l="1"/>
  <c r="I27" i="9"/>
  <c r="I26" i="9"/>
  <c r="I57" i="9"/>
  <c r="I30" i="9"/>
  <c r="I19" i="9" l="1"/>
  <c r="I51" i="9" l="1"/>
  <c r="I55" i="9" l="1"/>
  <c r="I52" i="9" l="1"/>
  <c r="I34" i="9" l="1"/>
  <c r="I42" i="9" l="1"/>
  <c r="I25" i="9" l="1"/>
  <c r="I38" i="9" l="1"/>
  <c r="I33" i="9" l="1"/>
  <c r="I69" i="9" l="1"/>
  <c r="I13" i="8" l="1"/>
  <c r="I24" i="8" l="1"/>
  <c r="P86" i="8" l="1"/>
  <c r="P83" i="8"/>
  <c r="P82" i="8"/>
  <c r="P107" i="8" l="1"/>
  <c r="I68" i="8"/>
  <c r="D7" i="9" l="1"/>
  <c r="H7" i="9" s="1"/>
  <c r="L71" i="9"/>
  <c r="H79" i="9" s="1"/>
  <c r="K71" i="9"/>
  <c r="B78" i="9" s="1"/>
  <c r="G71" i="9"/>
  <c r="I85" i="9" s="1"/>
  <c r="F71" i="9"/>
  <c r="B77" i="9" s="1"/>
  <c r="E71" i="9"/>
  <c r="I83" i="9" s="1"/>
  <c r="C71" i="9"/>
  <c r="B76" i="9" s="1"/>
  <c r="C84" i="9" s="1"/>
  <c r="I84" i="9" s="1"/>
  <c r="H48" i="9"/>
  <c r="J48" i="9" s="1"/>
  <c r="D48" i="10" s="1"/>
  <c r="H48" i="10" s="1"/>
  <c r="J48" i="10" s="1"/>
  <c r="H44" i="9"/>
  <c r="J44" i="9" s="1"/>
  <c r="D44" i="10" s="1"/>
  <c r="H44" i="10" s="1"/>
  <c r="J44" i="10" s="1"/>
  <c r="D44" i="11" s="1"/>
  <c r="H44" i="11" s="1"/>
  <c r="J44" i="11" s="1"/>
  <c r="D44" i="12" s="1"/>
  <c r="H44" i="12" s="1"/>
  <c r="J44" i="12" s="1"/>
  <c r="D44" i="13" s="1"/>
  <c r="H44" i="13" s="1"/>
  <c r="J44" i="13" s="1"/>
  <c r="D44" i="14" s="1"/>
  <c r="H44" i="14" s="1"/>
  <c r="J44" i="14" s="1"/>
  <c r="D44" i="15" s="1"/>
  <c r="H44" i="15" s="1"/>
  <c r="J44" i="15" s="1"/>
  <c r="D44" i="16" s="1"/>
  <c r="H44" i="16" s="1"/>
  <c r="J44" i="16" s="1"/>
  <c r="H40" i="9"/>
  <c r="J40" i="9" s="1"/>
  <c r="D40" i="10" s="1"/>
  <c r="H40" i="10" s="1"/>
  <c r="J40" i="10" s="1"/>
  <c r="D40" i="11" s="1"/>
  <c r="H40" i="11" s="1"/>
  <c r="J40" i="11" s="1"/>
  <c r="D40" i="12" s="1"/>
  <c r="H40" i="12" s="1"/>
  <c r="J40" i="12" s="1"/>
  <c r="D40" i="13" s="1"/>
  <c r="H40" i="13" s="1"/>
  <c r="J40" i="13" s="1"/>
  <c r="D40" i="14" s="1"/>
  <c r="H40" i="14" s="1"/>
  <c r="J40" i="14" s="1"/>
  <c r="D40" i="15" s="1"/>
  <c r="H40" i="15" s="1"/>
  <c r="J40" i="15" s="1"/>
  <c r="D40" i="16" s="1"/>
  <c r="H40" i="16" s="1"/>
  <c r="J40" i="16" s="1"/>
  <c r="H35" i="9"/>
  <c r="J35" i="9" s="1"/>
  <c r="D35" i="10" s="1"/>
  <c r="H35" i="10" s="1"/>
  <c r="J35" i="10" s="1"/>
  <c r="D35" i="11" s="1"/>
  <c r="H35" i="11" s="1"/>
  <c r="J35" i="11" s="1"/>
  <c r="D35" i="12" s="1"/>
  <c r="H35" i="12" s="1"/>
  <c r="J35" i="12" s="1"/>
  <c r="D35" i="13" s="1"/>
  <c r="H35" i="13" s="1"/>
  <c r="J35" i="13" s="1"/>
  <c r="D35" i="14" s="1"/>
  <c r="H35" i="14" s="1"/>
  <c r="J35" i="14" s="1"/>
  <c r="D35" i="15" s="1"/>
  <c r="H35" i="15" s="1"/>
  <c r="H22" i="9"/>
  <c r="J22" i="9" s="1"/>
  <c r="D22" i="10" s="1"/>
  <c r="H22" i="10" s="1"/>
  <c r="J22" i="10" s="1"/>
  <c r="D22" i="11" s="1"/>
  <c r="H22" i="11" s="1"/>
  <c r="J22" i="11" s="1"/>
  <c r="D22" i="12" s="1"/>
  <c r="H22" i="12" s="1"/>
  <c r="J22" i="12" s="1"/>
  <c r="D22" i="13" s="1"/>
  <c r="H22" i="13" s="1"/>
  <c r="J22" i="13" s="1"/>
  <c r="D22" i="14" s="1"/>
  <c r="H22" i="14" s="1"/>
  <c r="J22" i="14" s="1"/>
  <c r="D22" i="15" s="1"/>
  <c r="H22" i="15" s="1"/>
  <c r="J22" i="15" s="1"/>
  <c r="D22" i="16" s="1"/>
  <c r="H22" i="16" s="1"/>
  <c r="J22" i="16" s="1"/>
  <c r="H18" i="9"/>
  <c r="J18" i="9" s="1"/>
  <c r="I71" i="9"/>
  <c r="H74" i="9" s="1"/>
  <c r="H8" i="9"/>
  <c r="J8" i="9" s="1"/>
  <c r="D8" i="10" s="1"/>
  <c r="H8" i="10" s="1"/>
  <c r="J8" i="10" s="1"/>
  <c r="H6" i="9"/>
  <c r="J35" i="15" l="1"/>
  <c r="C96" i="15"/>
  <c r="C100" i="15" s="1"/>
  <c r="I103" i="9"/>
  <c r="J6" i="9"/>
  <c r="B79" i="9"/>
  <c r="C83" i="9"/>
  <c r="C103" i="9" s="1"/>
  <c r="B74" i="9"/>
  <c r="I70" i="8"/>
  <c r="H35" i="16" l="1"/>
  <c r="I105" i="9"/>
  <c r="I104" i="9"/>
  <c r="I16" i="8"/>
  <c r="I36" i="8"/>
  <c r="J35" i="16" l="1"/>
  <c r="I64" i="8"/>
  <c r="I50" i="8" l="1"/>
  <c r="I7" i="5" l="1"/>
  <c r="I20" i="8" l="1"/>
  <c r="I58" i="8" l="1"/>
  <c r="I66" i="7" l="1"/>
  <c r="I38" i="8"/>
  <c r="I24" i="6"/>
  <c r="H15" i="9"/>
  <c r="J15" i="9" s="1"/>
  <c r="D15" i="10" s="1"/>
  <c r="H15" i="10" s="1"/>
  <c r="J15" i="10" s="1"/>
  <c r="D15" i="11" s="1"/>
  <c r="H15" i="11" s="1"/>
  <c r="J15" i="11" s="1"/>
  <c r="I14" i="8"/>
  <c r="I54" i="8" l="1"/>
  <c r="I55" i="8" l="1"/>
  <c r="I57" i="8" l="1"/>
  <c r="I51" i="8" l="1"/>
  <c r="I44" i="8" l="1"/>
  <c r="I10" i="8" l="1"/>
  <c r="I39" i="8" l="1"/>
  <c r="I37" i="8" l="1"/>
  <c r="I52" i="8" l="1"/>
  <c r="I43" i="8" l="1"/>
  <c r="I22" i="8" l="1"/>
  <c r="I32" i="8" l="1"/>
  <c r="I23" i="8" l="1"/>
  <c r="I25" i="8" l="1"/>
  <c r="I17" i="8" l="1"/>
  <c r="I31" i="8" l="1"/>
  <c r="I26" i="8"/>
  <c r="I53" i="8" l="1"/>
  <c r="I41" i="8" l="1"/>
  <c r="P90" i="7" l="1"/>
  <c r="P86" i="7"/>
  <c r="P85" i="7"/>
  <c r="P84" i="7"/>
  <c r="P79" i="7"/>
  <c r="P78" i="7"/>
  <c r="P91" i="7" l="1"/>
  <c r="I19" i="8"/>
  <c r="I49" i="7" l="1"/>
  <c r="I65" i="8" l="1"/>
  <c r="D7" i="8" l="1"/>
  <c r="H7" i="8" s="1"/>
  <c r="L71" i="8"/>
  <c r="H79" i="8" s="1"/>
  <c r="K71" i="8"/>
  <c r="B78" i="8" s="1"/>
  <c r="G71" i="8"/>
  <c r="I85" i="8" s="1"/>
  <c r="F71" i="8"/>
  <c r="B77" i="8" s="1"/>
  <c r="E71" i="8"/>
  <c r="I83" i="8" s="1"/>
  <c r="C71" i="8"/>
  <c r="B76" i="8" s="1"/>
  <c r="C84" i="8" s="1"/>
  <c r="I84" i="8" s="1"/>
  <c r="I71" i="8"/>
  <c r="H74" i="8" s="1"/>
  <c r="I111" i="8" l="1"/>
  <c r="I113" i="8" s="1"/>
  <c r="B79" i="8"/>
  <c r="C83" i="8"/>
  <c r="C111" i="8" s="1"/>
  <c r="B74" i="8"/>
  <c r="I58" i="7"/>
  <c r="I112" i="8" l="1"/>
  <c r="I55" i="7"/>
  <c r="I42" i="7" l="1"/>
  <c r="N29" i="6" l="1"/>
  <c r="I52" i="7" l="1"/>
  <c r="I57" i="7" l="1"/>
  <c r="I16" i="7" l="1"/>
  <c r="I50" i="7"/>
  <c r="I30" i="7"/>
  <c r="I64" i="7"/>
  <c r="I38" i="7" l="1"/>
  <c r="I28" i="7"/>
  <c r="I32" i="7"/>
  <c r="I67" i="7" l="1"/>
  <c r="I37" i="7"/>
  <c r="I40" i="7" l="1"/>
  <c r="I25" i="7" l="1"/>
  <c r="I17" i="7"/>
  <c r="I35" i="7" l="1"/>
  <c r="I47" i="7" l="1"/>
  <c r="M35" i="7" l="1"/>
  <c r="O28" i="7" l="1"/>
  <c r="O29" i="7" s="1"/>
  <c r="O24" i="7"/>
  <c r="O25" i="7" s="1"/>
  <c r="O26" i="7" s="1"/>
  <c r="O27" i="7" s="1"/>
  <c r="N27" i="6"/>
  <c r="N28" i="6" s="1"/>
  <c r="N26" i="6"/>
  <c r="M40" i="5"/>
  <c r="M42" i="5" s="1"/>
  <c r="I20" i="7" l="1"/>
  <c r="I46" i="7"/>
  <c r="I45" i="7"/>
  <c r="I12" i="6"/>
  <c r="I69" i="7" l="1"/>
  <c r="I22" i="7" l="1"/>
  <c r="P43" i="7" l="1"/>
  <c r="O42" i="7"/>
  <c r="P40" i="7"/>
  <c r="P41" i="7" s="1"/>
  <c r="O40" i="7"/>
  <c r="O41" i="7" s="1"/>
  <c r="I15" i="7" l="1"/>
  <c r="I51" i="7" l="1"/>
  <c r="I54" i="7"/>
  <c r="I62" i="7"/>
  <c r="I56" i="7"/>
  <c r="N16" i="6" l="1"/>
  <c r="M38" i="5"/>
  <c r="M39" i="5" s="1"/>
  <c r="M37" i="5"/>
  <c r="M36" i="5" l="1"/>
  <c r="I9" i="7"/>
  <c r="I26" i="7" l="1"/>
  <c r="I39" i="7" l="1"/>
  <c r="I10" i="7" l="1"/>
  <c r="I23" i="7" l="1"/>
  <c r="I6" i="7" l="1"/>
  <c r="I60" i="7" l="1"/>
  <c r="I65" i="7" l="1"/>
  <c r="I53" i="7" l="1"/>
  <c r="I31" i="7" l="1"/>
  <c r="I70" i="7" l="1"/>
  <c r="I48" i="7" l="1"/>
  <c r="I14" i="7" l="1"/>
  <c r="O86" i="6" l="1"/>
  <c r="M89" i="5" l="1"/>
  <c r="M90" i="5" s="1"/>
  <c r="L71" i="7" l="1"/>
  <c r="B79" i="7" s="1"/>
  <c r="K71" i="7"/>
  <c r="B78" i="7" s="1"/>
  <c r="G71" i="7"/>
  <c r="I85" i="7" s="1"/>
  <c r="F71" i="7"/>
  <c r="B77" i="7" s="1"/>
  <c r="E71" i="7"/>
  <c r="C71" i="7"/>
  <c r="B76" i="7" s="1"/>
  <c r="C84" i="7" s="1"/>
  <c r="I84" i="7" s="1"/>
  <c r="O30" i="7"/>
  <c r="I71" i="7"/>
  <c r="H74" i="7" l="1"/>
  <c r="C83" i="7"/>
  <c r="C106" i="7" s="1"/>
  <c r="B74" i="7"/>
  <c r="H79" i="7"/>
  <c r="I83" i="7"/>
  <c r="I106" i="7" l="1"/>
  <c r="I107" i="7" l="1"/>
  <c r="I108" i="7"/>
  <c r="I18" i="4"/>
  <c r="I13" i="5"/>
  <c r="I43" i="5"/>
  <c r="Q74" i="5"/>
  <c r="I28" i="6"/>
  <c r="I68" i="6" l="1"/>
  <c r="I57" i="6" l="1"/>
  <c r="I50" i="6" l="1"/>
  <c r="I47" i="6" l="1"/>
  <c r="I32" i="6" l="1"/>
  <c r="I35" i="6" l="1"/>
  <c r="I18" i="6" l="1"/>
  <c r="I40" i="6"/>
  <c r="I20" i="6" l="1"/>
  <c r="I56" i="6" l="1"/>
  <c r="I37" i="6" l="1"/>
  <c r="I70" i="6" l="1"/>
  <c r="I43" i="6"/>
  <c r="I30" i="6" l="1"/>
  <c r="I49" i="6" l="1"/>
  <c r="I15" i="6" l="1"/>
  <c r="I8" i="6" l="1"/>
  <c r="I10" i="6" l="1"/>
  <c r="I9" i="6" l="1"/>
  <c r="I51" i="6" l="1"/>
  <c r="I6" i="6" l="1"/>
  <c r="I27" i="6" l="1"/>
  <c r="I41" i="6" l="1"/>
  <c r="I66" i="6" l="1"/>
  <c r="I31" i="6" l="1"/>
  <c r="I56" i="5" l="1"/>
  <c r="I38" i="6" l="1"/>
  <c r="I44" i="6" l="1"/>
  <c r="I58" i="6" l="1"/>
  <c r="I23" i="6" l="1"/>
  <c r="I26" i="6" l="1"/>
  <c r="I65" i="6" l="1"/>
  <c r="I29" i="6" l="1"/>
  <c r="I39" i="6" l="1"/>
  <c r="I42" i="6" l="1"/>
  <c r="I25" i="6" l="1"/>
  <c r="I24" i="5" l="1"/>
  <c r="I12" i="5" l="1"/>
  <c r="O90" i="6"/>
  <c r="L71" i="6"/>
  <c r="B79" i="6" s="1"/>
  <c r="K71" i="6"/>
  <c r="B78" i="6" s="1"/>
  <c r="G71" i="6"/>
  <c r="I85" i="6" s="1"/>
  <c r="F71" i="6"/>
  <c r="B77" i="6" s="1"/>
  <c r="E71" i="6"/>
  <c r="C83" i="6" s="1"/>
  <c r="C71" i="6"/>
  <c r="H18" i="6"/>
  <c r="J18" i="6" s="1"/>
  <c r="D18" i="7" s="1"/>
  <c r="H18" i="7" s="1"/>
  <c r="J18" i="7" s="1"/>
  <c r="D18" i="8" s="1"/>
  <c r="H18" i="8" s="1"/>
  <c r="J18" i="8" s="1"/>
  <c r="H13" i="6"/>
  <c r="J13" i="6" s="1"/>
  <c r="D13" i="7" s="1"/>
  <c r="H13" i="7" s="1"/>
  <c r="J13" i="7" s="1"/>
  <c r="D13" i="8" s="1"/>
  <c r="H13" i="8" s="1"/>
  <c r="J13" i="8" s="1"/>
  <c r="D13" i="9" s="1"/>
  <c r="H13" i="9" s="1"/>
  <c r="J13" i="9" s="1"/>
  <c r="D13" i="10" s="1"/>
  <c r="H13" i="10" s="1"/>
  <c r="J13" i="10" s="1"/>
  <c r="D13" i="11" s="1"/>
  <c r="H13" i="11" s="1"/>
  <c r="J13" i="11" s="1"/>
  <c r="D13" i="12" s="1"/>
  <c r="H13" i="12" s="1"/>
  <c r="J13" i="12" s="1"/>
  <c r="D13" i="13" s="1"/>
  <c r="H13" i="13" s="1"/>
  <c r="J13" i="13" s="1"/>
  <c r="D13" i="14" s="1"/>
  <c r="H13" i="14" s="1"/>
  <c r="J13" i="14" s="1"/>
  <c r="D13" i="15" s="1"/>
  <c r="H13" i="15" s="1"/>
  <c r="J13" i="15" s="1"/>
  <c r="D13" i="16" s="1"/>
  <c r="H13" i="16" s="1"/>
  <c r="J13" i="16" s="1"/>
  <c r="I71" i="6"/>
  <c r="H74" i="6" s="1"/>
  <c r="I57" i="5"/>
  <c r="I52" i="5"/>
  <c r="I40" i="5"/>
  <c r="I28" i="5"/>
  <c r="B76" i="6" l="1"/>
  <c r="C84" i="6" s="1"/>
  <c r="I84" i="6" s="1"/>
  <c r="B74" i="6"/>
  <c r="H79" i="6"/>
  <c r="I83" i="6"/>
  <c r="I15" i="5"/>
  <c r="C109" i="6" l="1"/>
  <c r="I109" i="6"/>
  <c r="I110" i="6" s="1"/>
  <c r="I34" i="5"/>
  <c r="I111" i="6" l="1"/>
  <c r="I36" i="5"/>
  <c r="Q76" i="5"/>
  <c r="I33" i="5" l="1"/>
  <c r="I26" i="5"/>
  <c r="I25" i="5"/>
  <c r="I29" i="5"/>
  <c r="I30" i="5"/>
  <c r="I41" i="5"/>
  <c r="I70" i="5"/>
  <c r="I50" i="5"/>
  <c r="I54" i="5"/>
  <c r="I22" i="5"/>
  <c r="I10" i="5"/>
  <c r="I39" i="5" l="1"/>
  <c r="I44" i="5" l="1"/>
  <c r="I58" i="5" l="1"/>
  <c r="I53" i="5" l="1"/>
  <c r="I17" i="5" l="1"/>
  <c r="I37" i="5" l="1"/>
  <c r="I51" i="5" l="1"/>
  <c r="I6" i="5" l="1"/>
  <c r="I35" i="5" l="1"/>
  <c r="I32" i="5" l="1"/>
  <c r="I19" i="5" l="1"/>
  <c r="I42" i="5" l="1"/>
  <c r="P84" i="4" l="1"/>
  <c r="I27" i="5" l="1"/>
  <c r="I48" i="5" l="1"/>
  <c r="P77" i="4" l="1"/>
  <c r="P91" i="4" s="1"/>
  <c r="F124" i="3"/>
  <c r="I71" i="5" l="1"/>
  <c r="I57" i="4"/>
  <c r="L71" i="5"/>
  <c r="B79" i="5" s="1"/>
  <c r="K71" i="5"/>
  <c r="B78" i="5" s="1"/>
  <c r="G71" i="5"/>
  <c r="I85" i="5" s="1"/>
  <c r="F71" i="5"/>
  <c r="B77" i="5" s="1"/>
  <c r="E71" i="5"/>
  <c r="C83" i="5" s="1"/>
  <c r="C71" i="5"/>
  <c r="B76" i="5" s="1"/>
  <c r="C84" i="5" s="1"/>
  <c r="H23" i="5"/>
  <c r="H18" i="5"/>
  <c r="J18" i="5" s="1"/>
  <c r="H74" i="5" l="1"/>
  <c r="J23" i="5"/>
  <c r="D23" i="6" s="1"/>
  <c r="H23" i="6" s="1"/>
  <c r="J23" i="6" s="1"/>
  <c r="D23" i="7" s="1"/>
  <c r="H23" i="7" s="1"/>
  <c r="J23" i="7" s="1"/>
  <c r="D23" i="8" s="1"/>
  <c r="H23" i="8" s="1"/>
  <c r="J23" i="8" s="1"/>
  <c r="D23" i="9" s="1"/>
  <c r="H23" i="9" s="1"/>
  <c r="J23" i="9" s="1"/>
  <c r="D23" i="10" s="1"/>
  <c r="H23" i="10" s="1"/>
  <c r="J23" i="10" s="1"/>
  <c r="I84" i="5"/>
  <c r="B74" i="5"/>
  <c r="H79" i="5"/>
  <c r="I83" i="5"/>
  <c r="I98" i="5" l="1"/>
  <c r="I99" i="5" s="1"/>
  <c r="C98" i="5"/>
  <c r="I55" i="4"/>
  <c r="I100" i="5" l="1"/>
  <c r="I31" i="3"/>
  <c r="I12" i="4"/>
  <c r="I49" i="4" l="1"/>
  <c r="I39" i="4"/>
  <c r="I9" i="4" l="1"/>
  <c r="I41" i="4"/>
  <c r="I46" i="4" l="1"/>
  <c r="I7" i="4" l="1"/>
  <c r="I51" i="4" l="1"/>
  <c r="I68" i="4" l="1"/>
  <c r="I58" i="4" l="1"/>
  <c r="I70" i="4" l="1"/>
  <c r="I6" i="4" l="1"/>
  <c r="I54" i="4" l="1"/>
  <c r="I27" i="4" l="1"/>
  <c r="I47" i="4"/>
  <c r="I10" i="4" l="1"/>
  <c r="I52" i="3" l="1"/>
  <c r="I52" i="2"/>
  <c r="I53" i="4" l="1"/>
  <c r="I42" i="4" l="1"/>
  <c r="I17" i="4" l="1"/>
  <c r="O40" i="1" l="1"/>
  <c r="I48" i="3" l="1"/>
  <c r="I67" i="4" l="1"/>
  <c r="I46" i="2" l="1"/>
  <c r="E46" i="2"/>
  <c r="I18" i="3" l="1"/>
  <c r="L71" i="4" l="1"/>
  <c r="H79" i="4" s="1"/>
  <c r="K71" i="4"/>
  <c r="B78" i="4" s="1"/>
  <c r="I71" i="4"/>
  <c r="H74" i="4" s="1"/>
  <c r="G71" i="4"/>
  <c r="I85" i="4" s="1"/>
  <c r="F71" i="4"/>
  <c r="B77" i="4" s="1"/>
  <c r="E71" i="4"/>
  <c r="C71" i="4"/>
  <c r="B76" i="4" s="1"/>
  <c r="C84" i="4" s="1"/>
  <c r="O16" i="1"/>
  <c r="C84" i="3"/>
  <c r="I84" i="3" s="1"/>
  <c r="I83" i="4" l="1"/>
  <c r="I84" i="4"/>
  <c r="B74" i="4"/>
  <c r="C83" i="4"/>
  <c r="C96" i="4" s="1"/>
  <c r="B79" i="4"/>
  <c r="I96" i="4" l="1"/>
  <c r="I98" i="4" s="1"/>
  <c r="N46" i="2"/>
  <c r="N47" i="2" s="1"/>
  <c r="I97" i="4" l="1"/>
  <c r="I24" i="3"/>
  <c r="I56" i="3" l="1"/>
  <c r="I9" i="3"/>
  <c r="I70" i="3"/>
  <c r="I40" i="3"/>
  <c r="H43" i="3" l="1"/>
  <c r="H19" i="1" l="1"/>
  <c r="L73" i="1"/>
  <c r="O41" i="2"/>
  <c r="E71" i="3" l="1"/>
  <c r="I83" i="3" l="1"/>
  <c r="C83" i="3"/>
  <c r="I55" i="3" l="1"/>
  <c r="I45" i="3" l="1"/>
  <c r="I60" i="2"/>
  <c r="I50" i="3" l="1"/>
  <c r="I42" i="3" l="1"/>
  <c r="I68" i="3" l="1"/>
  <c r="I39" i="3" l="1"/>
  <c r="I36" i="3" l="1"/>
  <c r="D36" i="2" l="1"/>
  <c r="I100" i="3" l="1"/>
  <c r="I58" i="3" l="1"/>
  <c r="I41" i="3"/>
  <c r="I57" i="3"/>
  <c r="C90" i="3" l="1"/>
  <c r="C108" i="3" s="1"/>
  <c r="H13" i="3" l="1"/>
  <c r="I16" i="3" l="1"/>
  <c r="C86" i="2" l="1"/>
  <c r="I100" i="2"/>
  <c r="C100" i="2"/>
  <c r="C99" i="2"/>
  <c r="I99" i="2"/>
  <c r="I98" i="2"/>
  <c r="C98" i="2"/>
  <c r="I24" i="2" l="1"/>
  <c r="I49" i="3" l="1"/>
  <c r="I7" i="2" l="1"/>
  <c r="I48" i="2" l="1"/>
  <c r="I91" i="3" l="1"/>
  <c r="I90" i="3"/>
  <c r="K71" i="3"/>
  <c r="B78" i="3" s="1"/>
  <c r="G71" i="3"/>
  <c r="I85" i="3" s="1"/>
  <c r="F71" i="3"/>
  <c r="B77" i="3" s="1"/>
  <c r="C71" i="3"/>
  <c r="B76" i="3" s="1"/>
  <c r="L71" i="3"/>
  <c r="B79" i="3" s="1"/>
  <c r="I71" i="3"/>
  <c r="H74" i="3" s="1"/>
  <c r="I108" i="3" l="1"/>
  <c r="I109" i="3" s="1"/>
  <c r="H79" i="3"/>
  <c r="B74" i="3"/>
  <c r="L16" i="2" l="1"/>
  <c r="I6" i="2" l="1"/>
  <c r="R35" i="2" l="1"/>
  <c r="R36" i="2" s="1"/>
  <c r="R40" i="2" s="1"/>
  <c r="R42" i="2" s="1"/>
  <c r="O42" i="2" l="1"/>
  <c r="I41" i="2"/>
  <c r="I55" i="2" l="1"/>
  <c r="I43" i="2" l="1"/>
  <c r="Q80" i="2" l="1"/>
  <c r="Q79" i="2"/>
  <c r="Q73" i="2"/>
  <c r="R75" i="2" l="1"/>
  <c r="Q93" i="2"/>
  <c r="I36" i="2"/>
  <c r="P59" i="2" l="1"/>
  <c r="C71" i="2"/>
  <c r="B78" i="2" s="1"/>
  <c r="C92" i="2"/>
  <c r="I92" i="2" s="1"/>
  <c r="C90" i="2" l="1"/>
  <c r="I70" i="2"/>
  <c r="E10" i="2"/>
  <c r="C87" i="1"/>
  <c r="I68" i="2" l="1"/>
  <c r="I26" i="2" l="1"/>
  <c r="I58" i="2" l="1"/>
  <c r="G71" i="2" l="1"/>
  <c r="I87" i="2" s="1"/>
  <c r="I87" i="1"/>
  <c r="I86" i="2" l="1"/>
  <c r="I65" i="1" l="1"/>
  <c r="C88" i="1" l="1"/>
  <c r="I88" i="1" s="1"/>
  <c r="O80" i="1"/>
  <c r="O24" i="1"/>
  <c r="E71" i="2"/>
  <c r="I65" i="2"/>
  <c r="H29" i="2"/>
  <c r="H51" i="2"/>
  <c r="H66" i="2"/>
  <c r="H6" i="2"/>
  <c r="C85" i="2" l="1"/>
  <c r="C104" i="2" s="1"/>
  <c r="I85" i="2"/>
  <c r="I104" i="2" s="1"/>
  <c r="I105" i="2" s="1"/>
  <c r="N74" i="2"/>
  <c r="L71" i="2"/>
  <c r="B83" i="2" s="1"/>
  <c r="K71" i="2"/>
  <c r="B80" i="2" s="1"/>
  <c r="F71" i="2"/>
  <c r="B79" i="2" s="1"/>
  <c r="J66" i="2"/>
  <c r="D66" i="3" s="1"/>
  <c r="H66" i="3" s="1"/>
  <c r="J66" i="3" s="1"/>
  <c r="D66" i="4" s="1"/>
  <c r="H66" i="4" s="1"/>
  <c r="J66" i="4" s="1"/>
  <c r="D66" i="5" s="1"/>
  <c r="H66" i="5" s="1"/>
  <c r="J66" i="5" s="1"/>
  <c r="D66" i="6" s="1"/>
  <c r="H66" i="6" s="1"/>
  <c r="J66" i="6" s="1"/>
  <c r="D66" i="7" s="1"/>
  <c r="H66" i="7" s="1"/>
  <c r="J66" i="7" s="1"/>
  <c r="H66" i="8" s="1"/>
  <c r="J66" i="8" s="1"/>
  <c r="D66" i="9" s="1"/>
  <c r="H66" i="9" s="1"/>
  <c r="J66" i="9" s="1"/>
  <c r="D66" i="10" s="1"/>
  <c r="H66" i="10" s="1"/>
  <c r="J66" i="10" s="1"/>
  <c r="D66" i="11" s="1"/>
  <c r="H66" i="11" s="1"/>
  <c r="J66" i="11" s="1"/>
  <c r="D66" i="12" s="1"/>
  <c r="H66" i="12" s="1"/>
  <c r="J66" i="12" s="1"/>
  <c r="D66" i="13" s="1"/>
  <c r="H66" i="13" s="1"/>
  <c r="J66" i="13" s="1"/>
  <c r="H66" i="14" s="1"/>
  <c r="J66" i="14" s="1"/>
  <c r="D66" i="15" s="1"/>
  <c r="H66" i="15" s="1"/>
  <c r="J66" i="15" s="1"/>
  <c r="D66" i="16" s="1"/>
  <c r="H66" i="16" s="1"/>
  <c r="J66" i="16" s="1"/>
  <c r="J51" i="2"/>
  <c r="D51" i="3" s="1"/>
  <c r="H51" i="3" s="1"/>
  <c r="J51" i="3" s="1"/>
  <c r="D51" i="4" s="1"/>
  <c r="H51" i="4" s="1"/>
  <c r="J51" i="4" s="1"/>
  <c r="D51" i="5" s="1"/>
  <c r="H51" i="5" s="1"/>
  <c r="J51" i="5" s="1"/>
  <c r="D51" i="6" s="1"/>
  <c r="H51" i="6" s="1"/>
  <c r="J51" i="6" s="1"/>
  <c r="D51" i="7" s="1"/>
  <c r="H51" i="7" s="1"/>
  <c r="J51" i="7" s="1"/>
  <c r="D51" i="8" s="1"/>
  <c r="H51" i="8" s="1"/>
  <c r="J51" i="8" s="1"/>
  <c r="D51" i="9" s="1"/>
  <c r="H51" i="9" s="1"/>
  <c r="J51" i="9" s="1"/>
  <c r="D51" i="10" s="1"/>
  <c r="H51" i="10" s="1"/>
  <c r="J51" i="10" s="1"/>
  <c r="D51" i="11" s="1"/>
  <c r="I71" i="2"/>
  <c r="J29" i="2"/>
  <c r="D29" i="3" s="1"/>
  <c r="H29" i="3" s="1"/>
  <c r="J29" i="3" s="1"/>
  <c r="D29" i="4" s="1"/>
  <c r="H29" i="4" s="1"/>
  <c r="J29" i="4" s="1"/>
  <c r="D29" i="5" s="1"/>
  <c r="H29" i="5" s="1"/>
  <c r="J29" i="5" s="1"/>
  <c r="D29" i="6" s="1"/>
  <c r="H29" i="6" s="1"/>
  <c r="J29" i="6" s="1"/>
  <c r="H29" i="7" s="1"/>
  <c r="J29" i="7" s="1"/>
  <c r="D29" i="8" s="1"/>
  <c r="H29" i="8" s="1"/>
  <c r="J29" i="8" s="1"/>
  <c r="D29" i="9" s="1"/>
  <c r="H29" i="9" s="1"/>
  <c r="J29" i="9" s="1"/>
  <c r="D29" i="10" s="1"/>
  <c r="H29" i="10" s="1"/>
  <c r="J29" i="10" s="1"/>
  <c r="D29" i="11" s="1"/>
  <c r="H29" i="11" s="1"/>
  <c r="J29" i="11" s="1"/>
  <c r="D29" i="12" s="1"/>
  <c r="H29" i="12" s="1"/>
  <c r="J29" i="12" s="1"/>
  <c r="D29" i="13" s="1"/>
  <c r="H29" i="13" s="1"/>
  <c r="J29" i="13" s="1"/>
  <c r="D29" i="14" s="1"/>
  <c r="H29" i="14" s="1"/>
  <c r="J29" i="14" s="1"/>
  <c r="D29" i="15" s="1"/>
  <c r="H29" i="15" s="1"/>
  <c r="J29" i="15" s="1"/>
  <c r="D29" i="16" s="1"/>
  <c r="H29" i="16" s="1"/>
  <c r="J29" i="16" s="1"/>
  <c r="J7" i="2"/>
  <c r="D7" i="3" s="1"/>
  <c r="H51" i="11" l="1"/>
  <c r="H44" i="3"/>
  <c r="J44" i="3" s="1"/>
  <c r="D44" i="4" s="1"/>
  <c r="H44" i="4" s="1"/>
  <c r="J44" i="4" s="1"/>
  <c r="D44" i="5" s="1"/>
  <c r="H44" i="5" s="1"/>
  <c r="J44" i="5" s="1"/>
  <c r="D44" i="6" s="1"/>
  <c r="H44" i="6" s="1"/>
  <c r="J44" i="6" s="1"/>
  <c r="D44" i="7" s="1"/>
  <c r="H44" i="7" s="1"/>
  <c r="H7" i="3"/>
  <c r="J43" i="3"/>
  <c r="D43" i="4" s="1"/>
  <c r="H43" i="4" s="1"/>
  <c r="J43" i="4" s="1"/>
  <c r="D43" i="5" s="1"/>
  <c r="H43" i="5" s="1"/>
  <c r="J43" i="5" s="1"/>
  <c r="D43" i="6" s="1"/>
  <c r="H43" i="6" s="1"/>
  <c r="J43" i="6" s="1"/>
  <c r="H43" i="7" s="1"/>
  <c r="J43" i="7" s="1"/>
  <c r="D43" i="8" s="1"/>
  <c r="H43" i="8" s="1"/>
  <c r="J43" i="8" s="1"/>
  <c r="D43" i="9" s="1"/>
  <c r="H43" i="9" s="1"/>
  <c r="J43" i="9" s="1"/>
  <c r="D43" i="10" s="1"/>
  <c r="H43" i="10" s="1"/>
  <c r="J43" i="10" s="1"/>
  <c r="D43" i="11" s="1"/>
  <c r="H43" i="11" s="1"/>
  <c r="J43" i="11" s="1"/>
  <c r="D43" i="12" s="1"/>
  <c r="H43" i="12" s="1"/>
  <c r="J43" i="12" s="1"/>
  <c r="D43" i="13" s="1"/>
  <c r="H43" i="13" s="1"/>
  <c r="J43" i="13" s="1"/>
  <c r="D43" i="14" s="1"/>
  <c r="H43" i="14" s="1"/>
  <c r="J43" i="14" s="1"/>
  <c r="D43" i="15" s="1"/>
  <c r="H43" i="15" s="1"/>
  <c r="J43" i="15" s="1"/>
  <c r="D43" i="16" s="1"/>
  <c r="H43" i="16" s="1"/>
  <c r="J43" i="16" s="1"/>
  <c r="H20" i="3"/>
  <c r="J20" i="3" s="1"/>
  <c r="D20" i="4" s="1"/>
  <c r="H20" i="4" s="1"/>
  <c r="J20" i="4" s="1"/>
  <c r="D20" i="5" s="1"/>
  <c r="H20" i="5" s="1"/>
  <c r="J20" i="5" s="1"/>
  <c r="D20" i="6" s="1"/>
  <c r="H20" i="6" s="1"/>
  <c r="J20" i="6" s="1"/>
  <c r="D20" i="7" s="1"/>
  <c r="H20" i="7" s="1"/>
  <c r="J20" i="7" s="1"/>
  <c r="D20" i="8" s="1"/>
  <c r="H20" i="8" s="1"/>
  <c r="J20" i="8" s="1"/>
  <c r="D20" i="9" s="1"/>
  <c r="H20" i="9" s="1"/>
  <c r="J20" i="9" s="1"/>
  <c r="D20" i="10" s="1"/>
  <c r="H20" i="10" s="1"/>
  <c r="J20" i="10" s="1"/>
  <c r="D20" i="11" s="1"/>
  <c r="H20" i="11" s="1"/>
  <c r="J20" i="11" s="1"/>
  <c r="D20" i="12" s="1"/>
  <c r="H20" i="12" s="1"/>
  <c r="J20" i="12" s="1"/>
  <c r="D20" i="13" s="1"/>
  <c r="H20" i="13" s="1"/>
  <c r="J20" i="13" s="1"/>
  <c r="D20" i="14" s="1"/>
  <c r="H20" i="14" s="1"/>
  <c r="J20" i="14" s="1"/>
  <c r="D20" i="15" s="1"/>
  <c r="H20" i="15" s="1"/>
  <c r="J20" i="15" s="1"/>
  <c r="D20" i="16" s="1"/>
  <c r="H20" i="16" s="1"/>
  <c r="J20" i="16" s="1"/>
  <c r="H81" i="2"/>
  <c r="H76" i="2"/>
  <c r="M86" i="2" s="1"/>
  <c r="B76" i="2"/>
  <c r="J6" i="2"/>
  <c r="D6" i="3" s="1"/>
  <c r="H6" i="3" s="1"/>
  <c r="J6" i="3" s="1"/>
  <c r="D6" i="4" s="1"/>
  <c r="N47" i="1"/>
  <c r="J51" i="11" l="1"/>
  <c r="D51" i="12" s="1"/>
  <c r="H51" i="12" s="1"/>
  <c r="J51" i="12" s="1"/>
  <c r="D51" i="13" s="1"/>
  <c r="H51" i="13" s="1"/>
  <c r="J51" i="13" s="1"/>
  <c r="D51" i="14" s="1"/>
  <c r="H51" i="14" s="1"/>
  <c r="J51" i="14" s="1"/>
  <c r="D51" i="15" s="1"/>
  <c r="H51" i="15" s="1"/>
  <c r="J51" i="15" s="1"/>
  <c r="D51" i="16" s="1"/>
  <c r="H51" i="16" s="1"/>
  <c r="J51" i="16" s="1"/>
  <c r="J44" i="7"/>
  <c r="D44" i="8" s="1"/>
  <c r="H44" i="8" s="1"/>
  <c r="J44" i="8" s="1"/>
  <c r="H6" i="4"/>
  <c r="J6" i="4" s="1"/>
  <c r="D6" i="5" s="1"/>
  <c r="J7" i="3"/>
  <c r="D7" i="4" s="1"/>
  <c r="H7" i="4" s="1"/>
  <c r="J7" i="4" s="1"/>
  <c r="D7" i="5" s="1"/>
  <c r="H7" i="5" s="1"/>
  <c r="J7" i="5" s="1"/>
  <c r="I39" i="1"/>
  <c r="D7" i="6" l="1"/>
  <c r="H7" i="6" s="1"/>
  <c r="J7" i="6" s="1"/>
  <c r="D7" i="7" s="1"/>
  <c r="H7" i="7" s="1"/>
  <c r="H6" i="5"/>
  <c r="J6" i="5" s="1"/>
  <c r="D6" i="6" s="1"/>
  <c r="I42" i="1"/>
  <c r="H6" i="6" l="1"/>
  <c r="J6" i="6" s="1"/>
  <c r="D6" i="7" s="1"/>
  <c r="H6" i="7" s="1"/>
  <c r="J6" i="7" s="1"/>
  <c r="D6" i="8" s="1"/>
  <c r="H6" i="8" s="1"/>
  <c r="J6" i="8" s="1"/>
  <c r="I41" i="1"/>
  <c r="C86" i="1"/>
  <c r="H6" i="1"/>
  <c r="M42" i="1" l="1"/>
  <c r="I71" i="1"/>
  <c r="H76" i="1" s="1"/>
  <c r="N55" i="1"/>
  <c r="O72" i="1" s="1"/>
  <c r="H34" i="1"/>
  <c r="J34" i="1" s="1"/>
  <c r="D34" i="2" s="1"/>
  <c r="H34" i="2" s="1"/>
  <c r="J34" i="2" s="1"/>
  <c r="D34" i="3" s="1"/>
  <c r="H34" i="3" s="1"/>
  <c r="J34" i="3" s="1"/>
  <c r="D34" i="4" s="1"/>
  <c r="H34" i="4" s="1"/>
  <c r="J34" i="4" s="1"/>
  <c r="D34" i="5" s="1"/>
  <c r="H34" i="5" s="1"/>
  <c r="J34" i="5" s="1"/>
  <c r="D34" i="6" s="1"/>
  <c r="H34" i="6" s="1"/>
  <c r="J34" i="6" s="1"/>
  <c r="H34" i="7" s="1"/>
  <c r="J34" i="7" s="1"/>
  <c r="D34" i="8" s="1"/>
  <c r="H34" i="8" s="1"/>
  <c r="J34" i="8" s="1"/>
  <c r="D34" i="9" s="1"/>
  <c r="H34" i="9" s="1"/>
  <c r="J34" i="9" s="1"/>
  <c r="D34" i="10" s="1"/>
  <c r="H34" i="10" s="1"/>
  <c r="J34" i="10" s="1"/>
  <c r="D34" i="11" s="1"/>
  <c r="H34" i="11" s="1"/>
  <c r="J34" i="11" s="1"/>
  <c r="D34" i="12" s="1"/>
  <c r="H34" i="12" s="1"/>
  <c r="J34" i="12" s="1"/>
  <c r="D34" i="13" s="1"/>
  <c r="H34" i="13" s="1"/>
  <c r="J34" i="13" s="1"/>
  <c r="D34" i="14" s="1"/>
  <c r="H34" i="14" s="1"/>
  <c r="J34" i="14" s="1"/>
  <c r="D34" i="15" s="1"/>
  <c r="H34" i="15" s="1"/>
  <c r="J34" i="15" s="1"/>
  <c r="D34" i="16" s="1"/>
  <c r="H34" i="16" s="1"/>
  <c r="J34" i="16" s="1"/>
  <c r="H35" i="1"/>
  <c r="J35" i="1" s="1"/>
  <c r="D35" i="2" s="1"/>
  <c r="H35" i="2" s="1"/>
  <c r="J35" i="2" s="1"/>
  <c r="D35" i="3" s="1"/>
  <c r="H36" i="1"/>
  <c r="J36" i="1" s="1"/>
  <c r="H36" i="2" s="1"/>
  <c r="H37" i="1"/>
  <c r="J37" i="1" s="1"/>
  <c r="D37" i="2" s="1"/>
  <c r="H37" i="2" s="1"/>
  <c r="J37" i="2" s="1"/>
  <c r="D37" i="3" s="1"/>
  <c r="H37" i="3" s="1"/>
  <c r="J37" i="3" s="1"/>
  <c r="D37" i="4" s="1"/>
  <c r="H37" i="4" s="1"/>
  <c r="J37" i="4" s="1"/>
  <c r="D37" i="5" s="1"/>
  <c r="H37" i="5" s="1"/>
  <c r="J37" i="5" s="1"/>
  <c r="D37" i="6" s="1"/>
  <c r="H37" i="6" s="1"/>
  <c r="J37" i="6" s="1"/>
  <c r="D37" i="7" s="1"/>
  <c r="H37" i="7" s="1"/>
  <c r="J37" i="7" s="1"/>
  <c r="D37" i="8" s="1"/>
  <c r="H37" i="8" s="1"/>
  <c r="J37" i="8" s="1"/>
  <c r="D37" i="9" s="1"/>
  <c r="H37" i="9" s="1"/>
  <c r="J37" i="9" s="1"/>
  <c r="D37" i="10" s="1"/>
  <c r="H37" i="10" s="1"/>
  <c r="J37" i="10" s="1"/>
  <c r="H38" i="1"/>
  <c r="J38" i="1" s="1"/>
  <c r="D38" i="2" s="1"/>
  <c r="H38" i="2" s="1"/>
  <c r="J38" i="2" s="1"/>
  <c r="D38" i="3" s="1"/>
  <c r="H38" i="3" s="1"/>
  <c r="H39" i="1"/>
  <c r="J39" i="1" s="1"/>
  <c r="H40" i="1"/>
  <c r="J40" i="1" s="1"/>
  <c r="D40" i="2" s="1"/>
  <c r="H40" i="2" s="1"/>
  <c r="J40" i="2" s="1"/>
  <c r="D40" i="3" s="1"/>
  <c r="H41" i="1"/>
  <c r="J41" i="1" s="1"/>
  <c r="D41" i="2" s="1"/>
  <c r="H41" i="2" s="1"/>
  <c r="J41" i="2" s="1"/>
  <c r="D41" i="3" s="1"/>
  <c r="H42" i="1"/>
  <c r="J42" i="1" s="1"/>
  <c r="H43" i="1"/>
  <c r="J43" i="1" s="1"/>
  <c r="D43" i="2" s="1"/>
  <c r="H43" i="2" s="1"/>
  <c r="J43" i="2" s="1"/>
  <c r="H44" i="1"/>
  <c r="J44" i="1" s="1"/>
  <c r="D44" i="2" s="1"/>
  <c r="H44" i="2" s="1"/>
  <c r="J44" i="2" s="1"/>
  <c r="H45" i="1"/>
  <c r="J45" i="1" s="1"/>
  <c r="D45" i="2" s="1"/>
  <c r="H45" i="2" s="1"/>
  <c r="H46" i="1"/>
  <c r="J46" i="1" s="1"/>
  <c r="D46" i="2" s="1"/>
  <c r="H46" i="2" s="1"/>
  <c r="J46" i="2" s="1"/>
  <c r="H47" i="1"/>
  <c r="J47" i="1" s="1"/>
  <c r="D47" i="2" s="1"/>
  <c r="H47" i="2" s="1"/>
  <c r="J47" i="2" s="1"/>
  <c r="D47" i="3" s="1"/>
  <c r="H47" i="3" s="1"/>
  <c r="J47" i="3" s="1"/>
  <c r="D47" i="4" s="1"/>
  <c r="H47" i="4" s="1"/>
  <c r="J47" i="4" s="1"/>
  <c r="D47" i="5" s="1"/>
  <c r="H47" i="5" s="1"/>
  <c r="J47" i="5" s="1"/>
  <c r="D47" i="6" s="1"/>
  <c r="H47" i="6" s="1"/>
  <c r="J47" i="6" s="1"/>
  <c r="D47" i="7" s="1"/>
  <c r="H47" i="7" s="1"/>
  <c r="J47" i="7" s="1"/>
  <c r="D47" i="8" s="1"/>
  <c r="H47" i="8" s="1"/>
  <c r="J47" i="8" s="1"/>
  <c r="D47" i="9" s="1"/>
  <c r="H47" i="9" s="1"/>
  <c r="J47" i="9" s="1"/>
  <c r="D47" i="10" s="1"/>
  <c r="H47" i="10" s="1"/>
  <c r="J47" i="10" s="1"/>
  <c r="D47" i="11" s="1"/>
  <c r="H47" i="11" s="1"/>
  <c r="J47" i="11" s="1"/>
  <c r="H48" i="1"/>
  <c r="J48" i="1" s="1"/>
  <c r="D48" i="2" s="1"/>
  <c r="H48" i="2" s="1"/>
  <c r="H49" i="1"/>
  <c r="J49" i="1" s="1"/>
  <c r="D49" i="2" s="1"/>
  <c r="H49" i="2" s="1"/>
  <c r="J49" i="2" s="1"/>
  <c r="D49" i="3" s="1"/>
  <c r="H49" i="3" s="1"/>
  <c r="J49" i="3" s="1"/>
  <c r="D49" i="4" s="1"/>
  <c r="H49" i="4" s="1"/>
  <c r="J49" i="4" s="1"/>
  <c r="D49" i="5" s="1"/>
  <c r="H49" i="5" s="1"/>
  <c r="J49" i="5" s="1"/>
  <c r="D49" i="6" s="1"/>
  <c r="H49" i="6" s="1"/>
  <c r="J49" i="6" s="1"/>
  <c r="D49" i="7" s="1"/>
  <c r="H49" i="7" s="1"/>
  <c r="J49" i="7" s="1"/>
  <c r="H49" i="8" s="1"/>
  <c r="J49" i="8" s="1"/>
  <c r="D49" i="9" s="1"/>
  <c r="H49" i="9" s="1"/>
  <c r="J49" i="9" s="1"/>
  <c r="D49" i="10" s="1"/>
  <c r="H49" i="10" s="1"/>
  <c r="J49" i="10" s="1"/>
  <c r="D49" i="11" s="1"/>
  <c r="H49" i="11" s="1"/>
  <c r="J49" i="11" s="1"/>
  <c r="D49" i="12" s="1"/>
  <c r="H49" i="12" s="1"/>
  <c r="J49" i="12" s="1"/>
  <c r="D49" i="13" s="1"/>
  <c r="H49" i="13" s="1"/>
  <c r="J49" i="13" s="1"/>
  <c r="D49" i="14" s="1"/>
  <c r="H49" i="14" s="1"/>
  <c r="J49" i="14" s="1"/>
  <c r="D49" i="15" s="1"/>
  <c r="H49" i="15" s="1"/>
  <c r="J49" i="15" s="1"/>
  <c r="D49" i="16" s="1"/>
  <c r="H49" i="16" s="1"/>
  <c r="J49" i="16" s="1"/>
  <c r="H50" i="1"/>
  <c r="J50" i="1" s="1"/>
  <c r="D50" i="2" s="1"/>
  <c r="H50" i="2" s="1"/>
  <c r="J50" i="2" s="1"/>
  <c r="D50" i="3" s="1"/>
  <c r="H51" i="1"/>
  <c r="J51" i="1" s="1"/>
  <c r="H52" i="1"/>
  <c r="J52" i="1" s="1"/>
  <c r="H53" i="1"/>
  <c r="J53" i="1" s="1"/>
  <c r="D53" i="2" s="1"/>
  <c r="H53" i="2" s="1"/>
  <c r="J53" i="2" s="1"/>
  <c r="D53" i="3" s="1"/>
  <c r="H54" i="1"/>
  <c r="J54" i="1" s="1"/>
  <c r="D54" i="2" s="1"/>
  <c r="H54" i="2" s="1"/>
  <c r="J54" i="2" s="1"/>
  <c r="D54" i="3" s="1"/>
  <c r="H55" i="1"/>
  <c r="J55" i="1" s="1"/>
  <c r="D55" i="2" s="1"/>
  <c r="H55" i="2" s="1"/>
  <c r="J55" i="2" s="1"/>
  <c r="D55" i="3" s="1"/>
  <c r="H55" i="3" s="1"/>
  <c r="H56" i="1"/>
  <c r="J56" i="1" s="1"/>
  <c r="D56" i="2" s="1"/>
  <c r="H56" i="2" s="1"/>
  <c r="J56" i="2" s="1"/>
  <c r="D56" i="3" s="1"/>
  <c r="H56" i="3" s="1"/>
  <c r="J56" i="3" s="1"/>
  <c r="D56" i="4" s="1"/>
  <c r="H56" i="4" s="1"/>
  <c r="J56" i="4" s="1"/>
  <c r="D56" i="5" s="1"/>
  <c r="H56" i="5" s="1"/>
  <c r="J56" i="5" s="1"/>
  <c r="D56" i="6" s="1"/>
  <c r="H56" i="6" s="1"/>
  <c r="H57" i="1"/>
  <c r="J57" i="1" s="1"/>
  <c r="D57" i="2" s="1"/>
  <c r="H57" i="2" s="1"/>
  <c r="J57" i="2" s="1"/>
  <c r="D57" i="3" s="1"/>
  <c r="H57" i="3" s="1"/>
  <c r="J57" i="3" s="1"/>
  <c r="D57" i="4" s="1"/>
  <c r="H57" i="4" s="1"/>
  <c r="J57" i="4" s="1"/>
  <c r="D57" i="5" s="1"/>
  <c r="H58" i="1"/>
  <c r="J58" i="1" s="1"/>
  <c r="D58" i="2" s="1"/>
  <c r="H58" i="2" s="1"/>
  <c r="J58" i="2" s="1"/>
  <c r="D58" i="3" s="1"/>
  <c r="H58" i="3" s="1"/>
  <c r="J58" i="3" s="1"/>
  <c r="D58" i="4" s="1"/>
  <c r="H58" i="4" s="1"/>
  <c r="J58" i="4" s="1"/>
  <c r="D58" i="5" s="1"/>
  <c r="H58" i="5" s="1"/>
  <c r="J58" i="5" s="1"/>
  <c r="D58" i="6" s="1"/>
  <c r="H58" i="6" s="1"/>
  <c r="J58" i="6" s="1"/>
  <c r="D58" i="7" s="1"/>
  <c r="H58" i="7" s="1"/>
  <c r="J58" i="7" s="1"/>
  <c r="D58" i="8" s="1"/>
  <c r="H58" i="8" s="1"/>
  <c r="J58" i="8" s="1"/>
  <c r="D58" i="9" s="1"/>
  <c r="H58" i="9" s="1"/>
  <c r="J58" i="9" s="1"/>
  <c r="D58" i="10" s="1"/>
  <c r="H58" i="10" s="1"/>
  <c r="J58" i="10" s="1"/>
  <c r="D58" i="11" s="1"/>
  <c r="H58" i="11" s="1"/>
  <c r="J58" i="11" s="1"/>
  <c r="D58" i="12" s="1"/>
  <c r="H58" i="12" s="1"/>
  <c r="J58" i="12" s="1"/>
  <c r="D58" i="13" s="1"/>
  <c r="H58" i="13" s="1"/>
  <c r="J58" i="13" s="1"/>
  <c r="D58" i="14" s="1"/>
  <c r="H58" i="14" s="1"/>
  <c r="J58" i="14" s="1"/>
  <c r="D58" i="15" s="1"/>
  <c r="H58" i="15" s="1"/>
  <c r="J58" i="15" s="1"/>
  <c r="D58" i="16" s="1"/>
  <c r="H58" i="16" s="1"/>
  <c r="J58" i="16" s="1"/>
  <c r="H59" i="1"/>
  <c r="J59" i="1" s="1"/>
  <c r="D59" i="2" s="1"/>
  <c r="H59" i="2" s="1"/>
  <c r="J59" i="2" s="1"/>
  <c r="D59" i="3" s="1"/>
  <c r="H59" i="3" s="1"/>
  <c r="J59" i="3" s="1"/>
  <c r="D59" i="4" s="1"/>
  <c r="H59" i="4" s="1"/>
  <c r="J59" i="4" s="1"/>
  <c r="D59" i="5" s="1"/>
  <c r="H59" i="5" s="1"/>
  <c r="J59" i="5" s="1"/>
  <c r="D59" i="6" s="1"/>
  <c r="H59" i="6" s="1"/>
  <c r="J59" i="6" s="1"/>
  <c r="D59" i="7" s="1"/>
  <c r="H59" i="7" s="1"/>
  <c r="J59" i="7" s="1"/>
  <c r="D59" i="8" s="1"/>
  <c r="H59" i="8" s="1"/>
  <c r="J59" i="8" s="1"/>
  <c r="D59" i="9" s="1"/>
  <c r="H59" i="9" s="1"/>
  <c r="J59" i="9" s="1"/>
  <c r="D59" i="10" s="1"/>
  <c r="H59" i="10" s="1"/>
  <c r="J59" i="10" s="1"/>
  <c r="D59" i="11" s="1"/>
  <c r="H59" i="11" s="1"/>
  <c r="J59" i="11" s="1"/>
  <c r="D59" i="12" s="1"/>
  <c r="H59" i="12" s="1"/>
  <c r="J59" i="12" s="1"/>
  <c r="D59" i="13" s="1"/>
  <c r="H59" i="13" s="1"/>
  <c r="J59" i="13" s="1"/>
  <c r="D59" i="14" s="1"/>
  <c r="H59" i="14" s="1"/>
  <c r="J59" i="14" s="1"/>
  <c r="D59" i="15" s="1"/>
  <c r="H59" i="15" s="1"/>
  <c r="J59" i="15" s="1"/>
  <c r="D59" i="16" s="1"/>
  <c r="H59" i="16" s="1"/>
  <c r="J59" i="16" s="1"/>
  <c r="H60" i="1"/>
  <c r="H61" i="1"/>
  <c r="J61" i="1" s="1"/>
  <c r="D61" i="2" s="1"/>
  <c r="H61" i="2" s="1"/>
  <c r="J61" i="2" s="1"/>
  <c r="D61" i="3" s="1"/>
  <c r="H61" i="3" s="1"/>
  <c r="J61" i="3" s="1"/>
  <c r="D61" i="4" s="1"/>
  <c r="H61" i="4" s="1"/>
  <c r="J61" i="4" s="1"/>
  <c r="D61" i="5" s="1"/>
  <c r="H61" i="5" s="1"/>
  <c r="J61" i="5" s="1"/>
  <c r="D61" i="6" s="1"/>
  <c r="H61" i="6" s="1"/>
  <c r="J61" i="6" s="1"/>
  <c r="H61" i="7" s="1"/>
  <c r="J61" i="7" s="1"/>
  <c r="D61" i="8" s="1"/>
  <c r="H61" i="8" s="1"/>
  <c r="J61" i="8" s="1"/>
  <c r="D61" i="9" s="1"/>
  <c r="H61" i="9" s="1"/>
  <c r="J61" i="9" s="1"/>
  <c r="D61" i="10" s="1"/>
  <c r="H61" i="10" s="1"/>
  <c r="J61" i="10" s="1"/>
  <c r="D61" i="11" s="1"/>
  <c r="H61" i="11" s="1"/>
  <c r="J61" i="11" s="1"/>
  <c r="D61" i="12" s="1"/>
  <c r="H61" i="12" s="1"/>
  <c r="J61" i="12" s="1"/>
  <c r="D61" i="13" s="1"/>
  <c r="H61" i="13" s="1"/>
  <c r="J61" i="13" s="1"/>
  <c r="D61" i="14" s="1"/>
  <c r="H61" i="14" s="1"/>
  <c r="J61" i="14" s="1"/>
  <c r="D61" i="15" s="1"/>
  <c r="H61" i="15" s="1"/>
  <c r="J61" i="15" s="1"/>
  <c r="D61" i="16" s="1"/>
  <c r="H61" i="16" s="1"/>
  <c r="J61" i="16" s="1"/>
  <c r="H62" i="1"/>
  <c r="J62" i="1" s="1"/>
  <c r="D62" i="2" s="1"/>
  <c r="H62" i="2" s="1"/>
  <c r="J62" i="2" s="1"/>
  <c r="D62" i="3" s="1"/>
  <c r="H62" i="3" s="1"/>
  <c r="J62" i="3" s="1"/>
  <c r="D62" i="4" s="1"/>
  <c r="H62" i="4" s="1"/>
  <c r="J62" i="4" s="1"/>
  <c r="D62" i="5" s="1"/>
  <c r="H62" i="5" s="1"/>
  <c r="J62" i="5" s="1"/>
  <c r="D62" i="6" s="1"/>
  <c r="H62" i="6" s="1"/>
  <c r="J62" i="6" s="1"/>
  <c r="D62" i="7" s="1"/>
  <c r="H62" i="7" s="1"/>
  <c r="J62" i="7" s="1"/>
  <c r="D62" i="8" s="1"/>
  <c r="H62" i="8" s="1"/>
  <c r="J62" i="8" s="1"/>
  <c r="D62" i="9" s="1"/>
  <c r="H62" i="9" s="1"/>
  <c r="J62" i="9" s="1"/>
  <c r="D62" i="10" s="1"/>
  <c r="H62" i="10" s="1"/>
  <c r="J62" i="10" s="1"/>
  <c r="D62" i="11" s="1"/>
  <c r="H62" i="11" s="1"/>
  <c r="J62" i="11" s="1"/>
  <c r="D62" i="12" s="1"/>
  <c r="H62" i="12" s="1"/>
  <c r="J62" i="12" s="1"/>
  <c r="D62" i="13" s="1"/>
  <c r="H62" i="13" s="1"/>
  <c r="J62" i="13" s="1"/>
  <c r="D62" i="14" s="1"/>
  <c r="H62" i="14" s="1"/>
  <c r="J62" i="14" s="1"/>
  <c r="D62" i="15" s="1"/>
  <c r="H62" i="15" s="1"/>
  <c r="J62" i="15" s="1"/>
  <c r="D62" i="16" s="1"/>
  <c r="H62" i="16" s="1"/>
  <c r="J62" i="16" s="1"/>
  <c r="H63" i="1"/>
  <c r="J63" i="1" s="1"/>
  <c r="D63" i="2" s="1"/>
  <c r="H63" i="2" s="1"/>
  <c r="J63" i="2" s="1"/>
  <c r="H64" i="1"/>
  <c r="J64" i="1" s="1"/>
  <c r="D64" i="2" s="1"/>
  <c r="H64" i="2" s="1"/>
  <c r="J64" i="2" s="1"/>
  <c r="D64" i="3" s="1"/>
  <c r="H64" i="3" s="1"/>
  <c r="J64" i="3" s="1"/>
  <c r="D64" i="4" s="1"/>
  <c r="H64" i="4" s="1"/>
  <c r="J64" i="4" s="1"/>
  <c r="H64" i="5" s="1"/>
  <c r="J64" i="5" s="1"/>
  <c r="D64" i="6" s="1"/>
  <c r="H64" i="6" s="1"/>
  <c r="J64" i="6" s="1"/>
  <c r="D64" i="7" s="1"/>
  <c r="H64" i="7" s="1"/>
  <c r="J64" i="7" s="1"/>
  <c r="D64" i="8" s="1"/>
  <c r="H64" i="8" s="1"/>
  <c r="J64" i="8" s="1"/>
  <c r="D64" i="9" s="1"/>
  <c r="H64" i="9" s="1"/>
  <c r="J64" i="9" s="1"/>
  <c r="D64" i="10" s="1"/>
  <c r="H64" i="10" s="1"/>
  <c r="J64" i="10" s="1"/>
  <c r="D64" i="11" s="1"/>
  <c r="H64" i="11" s="1"/>
  <c r="J64" i="11" s="1"/>
  <c r="D64" i="12" s="1"/>
  <c r="H64" i="12" s="1"/>
  <c r="J64" i="12" s="1"/>
  <c r="D64" i="13" s="1"/>
  <c r="H64" i="13" s="1"/>
  <c r="J64" i="13" s="1"/>
  <c r="D64" i="14" s="1"/>
  <c r="H64" i="14" s="1"/>
  <c r="J64" i="14" s="1"/>
  <c r="D64" i="15" s="1"/>
  <c r="H64" i="15" s="1"/>
  <c r="J64" i="15" s="1"/>
  <c r="D64" i="16" s="1"/>
  <c r="H64" i="16" s="1"/>
  <c r="J64" i="16" s="1"/>
  <c r="H65" i="1"/>
  <c r="J65" i="1" s="1"/>
  <c r="H65" i="2" s="1"/>
  <c r="J65" i="2" s="1"/>
  <c r="D65" i="3" s="1"/>
  <c r="H65" i="3" s="1"/>
  <c r="J65" i="3" s="1"/>
  <c r="D65" i="4" s="1"/>
  <c r="H65" i="4" s="1"/>
  <c r="J65" i="4" s="1"/>
  <c r="D65" i="5" s="1"/>
  <c r="H65" i="5" s="1"/>
  <c r="J65" i="5" s="1"/>
  <c r="D65" i="6" s="1"/>
  <c r="H65" i="6" s="1"/>
  <c r="J65" i="6" s="1"/>
  <c r="D65" i="7" s="1"/>
  <c r="H65" i="7" s="1"/>
  <c r="J65" i="7" s="1"/>
  <c r="D65" i="8" s="1"/>
  <c r="H65" i="8" s="1"/>
  <c r="J65" i="8" s="1"/>
  <c r="D65" i="9" s="1"/>
  <c r="H65" i="9" s="1"/>
  <c r="J65" i="9" s="1"/>
  <c r="D65" i="10" s="1"/>
  <c r="H65" i="10" s="1"/>
  <c r="J65" i="10" s="1"/>
  <c r="D65" i="11" s="1"/>
  <c r="H65" i="11" s="1"/>
  <c r="J65" i="11" s="1"/>
  <c r="D65" i="12" s="1"/>
  <c r="H65" i="12" s="1"/>
  <c r="J65" i="12" s="1"/>
  <c r="D65" i="13" s="1"/>
  <c r="H65" i="13" s="1"/>
  <c r="J65" i="13" s="1"/>
  <c r="D65" i="14" s="1"/>
  <c r="H65" i="14" s="1"/>
  <c r="J65" i="14" s="1"/>
  <c r="D65" i="15" s="1"/>
  <c r="H65" i="15" s="1"/>
  <c r="J65" i="15" s="1"/>
  <c r="D65" i="16" s="1"/>
  <c r="H65" i="16" s="1"/>
  <c r="J65" i="16" s="1"/>
  <c r="H66" i="1"/>
  <c r="J66" i="1" s="1"/>
  <c r="H67" i="1"/>
  <c r="J67" i="1" s="1"/>
  <c r="D67" i="2" s="1"/>
  <c r="H67" i="2" s="1"/>
  <c r="J67" i="2" s="1"/>
  <c r="D67" i="3" s="1"/>
  <c r="H67" i="3" s="1"/>
  <c r="J67" i="3" s="1"/>
  <c r="D67" i="4" s="1"/>
  <c r="H67" i="4" s="1"/>
  <c r="J67" i="4" s="1"/>
  <c r="D67" i="5" s="1"/>
  <c r="H67" i="5" s="1"/>
  <c r="J67" i="5" s="1"/>
  <c r="D67" i="6" s="1"/>
  <c r="H67" i="6" s="1"/>
  <c r="J67" i="6" s="1"/>
  <c r="D67" i="7" s="1"/>
  <c r="H67" i="7" s="1"/>
  <c r="J67" i="7" s="1"/>
  <c r="D67" i="8" s="1"/>
  <c r="H67" i="8" s="1"/>
  <c r="J67" i="8" s="1"/>
  <c r="D67" i="9" s="1"/>
  <c r="H67" i="9" s="1"/>
  <c r="J67" i="9" s="1"/>
  <c r="D67" i="10" s="1"/>
  <c r="H67" i="10" s="1"/>
  <c r="J67" i="10" s="1"/>
  <c r="D67" i="11" s="1"/>
  <c r="H67" i="11" s="1"/>
  <c r="J67" i="11" s="1"/>
  <c r="D67" i="12" s="1"/>
  <c r="H67" i="12" s="1"/>
  <c r="J67" i="12" s="1"/>
  <c r="D67" i="13" s="1"/>
  <c r="H67" i="13" s="1"/>
  <c r="J67" i="13" s="1"/>
  <c r="D67" i="14" s="1"/>
  <c r="H67" i="14" s="1"/>
  <c r="J67" i="14" s="1"/>
  <c r="D67" i="15" s="1"/>
  <c r="H67" i="15" s="1"/>
  <c r="J67" i="15" s="1"/>
  <c r="D67" i="16" s="1"/>
  <c r="H67" i="16" s="1"/>
  <c r="J67" i="16" s="1"/>
  <c r="H68" i="1"/>
  <c r="J68" i="1" s="1"/>
  <c r="D68" i="2" s="1"/>
  <c r="H68" i="2" s="1"/>
  <c r="J68" i="2" s="1"/>
  <c r="D68" i="3" s="1"/>
  <c r="H69" i="1"/>
  <c r="J69" i="1" s="1"/>
  <c r="D69" i="2" s="1"/>
  <c r="H69" i="2" s="1"/>
  <c r="J69" i="2" s="1"/>
  <c r="H70" i="1"/>
  <c r="H38" i="4" l="1"/>
  <c r="J38" i="4" s="1"/>
  <c r="D38" i="5" s="1"/>
  <c r="H38" i="5" s="1"/>
  <c r="J38" i="5" s="1"/>
  <c r="D38" i="6" s="1"/>
  <c r="H38" i="6" s="1"/>
  <c r="J38" i="6" s="1"/>
  <c r="D38" i="7" s="1"/>
  <c r="H38" i="7" s="1"/>
  <c r="J38" i="7" s="1"/>
  <c r="D38" i="8" s="1"/>
  <c r="H38" i="8" s="1"/>
  <c r="J38" i="8" s="1"/>
  <c r="D38" i="9" s="1"/>
  <c r="H38" i="9" s="1"/>
  <c r="J38" i="9" s="1"/>
  <c r="D38" i="10" s="1"/>
  <c r="H38" i="10" s="1"/>
  <c r="J38" i="10" s="1"/>
  <c r="D38" i="11" s="1"/>
  <c r="H38" i="11" s="1"/>
  <c r="J38" i="11" s="1"/>
  <c r="D38" i="12" s="1"/>
  <c r="H38" i="12" s="1"/>
  <c r="J38" i="12" s="1"/>
  <c r="D38" i="13" s="1"/>
  <c r="H38" i="13" s="1"/>
  <c r="J38" i="13" s="1"/>
  <c r="D38" i="14" s="1"/>
  <c r="H38" i="14" s="1"/>
  <c r="J38" i="14" s="1"/>
  <c r="D38" i="15" s="1"/>
  <c r="H38" i="15" s="1"/>
  <c r="J38" i="15" s="1"/>
  <c r="D38" i="16" s="1"/>
  <c r="H38" i="16" s="1"/>
  <c r="J38" i="16" s="1"/>
  <c r="J38" i="3"/>
  <c r="J56" i="6"/>
  <c r="D56" i="7" s="1"/>
  <c r="H56" i="7" s="1"/>
  <c r="J56" i="7" s="1"/>
  <c r="D56" i="8" s="1"/>
  <c r="H56" i="8" s="1"/>
  <c r="J56" i="8" s="1"/>
  <c r="D56" i="9" s="1"/>
  <c r="H56" i="9" s="1"/>
  <c r="J56" i="9" s="1"/>
  <c r="D56" i="10" s="1"/>
  <c r="H56" i="10" s="1"/>
  <c r="J56" i="10" s="1"/>
  <c r="D56" i="11" s="1"/>
  <c r="H56" i="11" s="1"/>
  <c r="J56" i="11" s="1"/>
  <c r="D56" i="12" s="1"/>
  <c r="H56" i="12" s="1"/>
  <c r="J56" i="12" s="1"/>
  <c r="H57" i="5"/>
  <c r="J55" i="3"/>
  <c r="D55" i="4" s="1"/>
  <c r="H52" i="2"/>
  <c r="J52" i="2" s="1"/>
  <c r="D42" i="2"/>
  <c r="H42" i="2" s="1"/>
  <c r="J42" i="2" s="1"/>
  <c r="D42" i="3" s="1"/>
  <c r="K74" i="1"/>
  <c r="D46" i="3"/>
  <c r="H46" i="3" s="1"/>
  <c r="J46" i="3" s="1"/>
  <c r="D46" i="4" s="1"/>
  <c r="H46" i="4" s="1"/>
  <c r="J46" i="4" s="1"/>
  <c r="H46" i="5" s="1"/>
  <c r="J46" i="5" s="1"/>
  <c r="D46" i="6" s="1"/>
  <c r="H46" i="6" s="1"/>
  <c r="J46" i="6" s="1"/>
  <c r="D46" i="7" s="1"/>
  <c r="H46" i="7" s="1"/>
  <c r="J46" i="7" s="1"/>
  <c r="D46" i="8" s="1"/>
  <c r="J60" i="1"/>
  <c r="D60" i="2" s="1"/>
  <c r="H60" i="2" s="1"/>
  <c r="O58" i="1"/>
  <c r="H63" i="3"/>
  <c r="J63" i="3" s="1"/>
  <c r="D63" i="4" s="1"/>
  <c r="H63" i="4" s="1"/>
  <c r="J63" i="4" s="1"/>
  <c r="D63" i="5" s="1"/>
  <c r="H63" i="5" s="1"/>
  <c r="J63" i="5" s="1"/>
  <c r="D63" i="6" s="1"/>
  <c r="H63" i="6" s="1"/>
  <c r="J63" i="6" s="1"/>
  <c r="D63" i="7" s="1"/>
  <c r="H63" i="7" s="1"/>
  <c r="J63" i="7" s="1"/>
  <c r="D63" i="8" s="1"/>
  <c r="H63" i="8" s="1"/>
  <c r="J63" i="8" s="1"/>
  <c r="D63" i="9" s="1"/>
  <c r="H63" i="9" s="1"/>
  <c r="J63" i="9" s="1"/>
  <c r="D63" i="10" s="1"/>
  <c r="H63" i="10" s="1"/>
  <c r="J63" i="10" s="1"/>
  <c r="D63" i="11" s="1"/>
  <c r="H63" i="11" s="1"/>
  <c r="J63" i="11" s="1"/>
  <c r="D63" i="12" s="1"/>
  <c r="H63" i="12" s="1"/>
  <c r="J63" i="12" s="1"/>
  <c r="D63" i="13" s="1"/>
  <c r="H53" i="3"/>
  <c r="J53" i="3" s="1"/>
  <c r="D53" i="4" s="1"/>
  <c r="H53" i="4" s="1"/>
  <c r="J53" i="4" s="1"/>
  <c r="D53" i="5" s="1"/>
  <c r="H53" i="5" s="1"/>
  <c r="J53" i="5" s="1"/>
  <c r="D53" i="6" s="1"/>
  <c r="H53" i="6" s="1"/>
  <c r="J53" i="6" s="1"/>
  <c r="D53" i="7" s="1"/>
  <c r="H53" i="7" s="1"/>
  <c r="J53" i="7" s="1"/>
  <c r="D53" i="8" s="1"/>
  <c r="H53" i="8" s="1"/>
  <c r="J53" i="8" s="1"/>
  <c r="D53" i="9" s="1"/>
  <c r="H53" i="9" s="1"/>
  <c r="J53" i="9" s="1"/>
  <c r="H41" i="3"/>
  <c r="J41" i="3" s="1"/>
  <c r="D41" i="4" s="1"/>
  <c r="H41" i="4" s="1"/>
  <c r="J41" i="4" s="1"/>
  <c r="D41" i="5" s="1"/>
  <c r="H41" i="5" s="1"/>
  <c r="J41" i="5" s="1"/>
  <c r="D41" i="6" s="1"/>
  <c r="H41" i="6" s="1"/>
  <c r="J41" i="6" s="1"/>
  <c r="D41" i="7" s="1"/>
  <c r="H41" i="7" s="1"/>
  <c r="J41" i="7" s="1"/>
  <c r="D41" i="8" s="1"/>
  <c r="H41" i="8" s="1"/>
  <c r="J41" i="8" s="1"/>
  <c r="D41" i="9" s="1"/>
  <c r="H41" i="9" s="1"/>
  <c r="J41" i="9" s="1"/>
  <c r="D41" i="10" s="1"/>
  <c r="H41" i="10" s="1"/>
  <c r="J41" i="10" s="1"/>
  <c r="D41" i="11" s="1"/>
  <c r="H41" i="11" s="1"/>
  <c r="J41" i="11" s="1"/>
  <c r="D41" i="12" s="1"/>
  <c r="H41" i="12" s="1"/>
  <c r="J41" i="12" s="1"/>
  <c r="D41" i="13" s="1"/>
  <c r="H41" i="13" s="1"/>
  <c r="J41" i="13" s="1"/>
  <c r="D41" i="14" s="1"/>
  <c r="H41" i="14" s="1"/>
  <c r="J41" i="14" s="1"/>
  <c r="D41" i="15" s="1"/>
  <c r="H41" i="15" s="1"/>
  <c r="J41" i="15" s="1"/>
  <c r="D41" i="16" s="1"/>
  <c r="H41" i="16" s="1"/>
  <c r="J41" i="16" s="1"/>
  <c r="H35" i="3"/>
  <c r="J35" i="3" s="1"/>
  <c r="D35" i="4" s="1"/>
  <c r="H35" i="4" s="1"/>
  <c r="J35" i="4" s="1"/>
  <c r="D35" i="5" s="1"/>
  <c r="H35" i="5" s="1"/>
  <c r="J35" i="5" s="1"/>
  <c r="D35" i="6" s="1"/>
  <c r="H35" i="6" s="1"/>
  <c r="J35" i="6" s="1"/>
  <c r="D35" i="7" s="1"/>
  <c r="H35" i="7" s="1"/>
  <c r="J35" i="7" s="1"/>
  <c r="D35" i="8" s="1"/>
  <c r="H35" i="8" s="1"/>
  <c r="J35" i="8" s="1"/>
  <c r="H68" i="3"/>
  <c r="J68" i="3" s="1"/>
  <c r="D68" i="4" s="1"/>
  <c r="H68" i="4" s="1"/>
  <c r="J68" i="4" s="1"/>
  <c r="D68" i="5" s="1"/>
  <c r="H54" i="3"/>
  <c r="J54" i="3" s="1"/>
  <c r="D54" i="4" s="1"/>
  <c r="H54" i="4" s="1"/>
  <c r="J54" i="4" s="1"/>
  <c r="D54" i="5" s="1"/>
  <c r="H54" i="5" s="1"/>
  <c r="J54" i="5" s="1"/>
  <c r="D54" i="6" s="1"/>
  <c r="H54" i="6" s="1"/>
  <c r="J54" i="6" s="1"/>
  <c r="D54" i="7" s="1"/>
  <c r="H54" i="7" s="1"/>
  <c r="J54" i="7" s="1"/>
  <c r="D54" i="8" s="1"/>
  <c r="H54" i="8" s="1"/>
  <c r="J54" i="8" s="1"/>
  <c r="D54" i="9" s="1"/>
  <c r="H54" i="9" s="1"/>
  <c r="J54" i="9" s="1"/>
  <c r="D54" i="10" s="1"/>
  <c r="H54" i="10" s="1"/>
  <c r="J54" i="10" s="1"/>
  <c r="D54" i="11" s="1"/>
  <c r="H54" i="11" s="1"/>
  <c r="J54" i="11" s="1"/>
  <c r="D54" i="12" s="1"/>
  <c r="H54" i="12" s="1"/>
  <c r="J54" i="12" s="1"/>
  <c r="D54" i="13" s="1"/>
  <c r="H54" i="13" s="1"/>
  <c r="J54" i="13" s="1"/>
  <c r="D54" i="14" s="1"/>
  <c r="H54" i="14" s="1"/>
  <c r="J54" i="14" s="1"/>
  <c r="D54" i="15" s="1"/>
  <c r="H54" i="15" s="1"/>
  <c r="J54" i="15" s="1"/>
  <c r="D54" i="16" s="1"/>
  <c r="H54" i="16" s="1"/>
  <c r="J54" i="16" s="1"/>
  <c r="H50" i="3"/>
  <c r="J50" i="3" s="1"/>
  <c r="D50" i="4" s="1"/>
  <c r="H50" i="4" s="1"/>
  <c r="J50" i="4" s="1"/>
  <c r="D50" i="5" s="1"/>
  <c r="H50" i="5" s="1"/>
  <c r="J50" i="5" s="1"/>
  <c r="D50" i="6" s="1"/>
  <c r="H50" i="6" s="1"/>
  <c r="J50" i="6" s="1"/>
  <c r="D50" i="7" s="1"/>
  <c r="H50" i="7" s="1"/>
  <c r="J50" i="7" s="1"/>
  <c r="D50" i="8" s="1"/>
  <c r="H50" i="8" s="1"/>
  <c r="J50" i="8" s="1"/>
  <c r="D50" i="9" s="1"/>
  <c r="H50" i="9" s="1"/>
  <c r="J50" i="9" s="1"/>
  <c r="D50" i="10" s="1"/>
  <c r="H50" i="10" s="1"/>
  <c r="J50" i="10" s="1"/>
  <c r="D50" i="11" s="1"/>
  <c r="H50" i="11" s="1"/>
  <c r="J50" i="11" s="1"/>
  <c r="D50" i="12" s="1"/>
  <c r="H50" i="12" s="1"/>
  <c r="J50" i="12" s="1"/>
  <c r="D50" i="13" s="1"/>
  <c r="H50" i="13" s="1"/>
  <c r="J50" i="13" s="1"/>
  <c r="D50" i="14" s="1"/>
  <c r="H50" i="14" s="1"/>
  <c r="J50" i="14" s="1"/>
  <c r="D50" i="15" s="1"/>
  <c r="H50" i="15" s="1"/>
  <c r="J50" i="15" s="1"/>
  <c r="H42" i="3"/>
  <c r="J42" i="3" s="1"/>
  <c r="D42" i="4" s="1"/>
  <c r="H42" i="4" s="1"/>
  <c r="J42" i="4" s="1"/>
  <c r="D42" i="5" s="1"/>
  <c r="H42" i="5" s="1"/>
  <c r="J42" i="5" s="1"/>
  <c r="D42" i="6" s="1"/>
  <c r="H42" i="6" s="1"/>
  <c r="J42" i="6" s="1"/>
  <c r="D42" i="7" s="1"/>
  <c r="H42" i="7" s="1"/>
  <c r="J42" i="7" s="1"/>
  <c r="D42" i="8" s="1"/>
  <c r="H42" i="8" s="1"/>
  <c r="J42" i="8" s="1"/>
  <c r="D42" i="9" s="1"/>
  <c r="H42" i="9" s="1"/>
  <c r="J42" i="9" s="1"/>
  <c r="D42" i="10" s="1"/>
  <c r="H42" i="10" s="1"/>
  <c r="J42" i="10" s="1"/>
  <c r="D42" i="11" s="1"/>
  <c r="H42" i="11" s="1"/>
  <c r="J42" i="11" s="1"/>
  <c r="D42" i="12" s="1"/>
  <c r="H42" i="12" s="1"/>
  <c r="J42" i="12" s="1"/>
  <c r="D42" i="13" s="1"/>
  <c r="H42" i="13" s="1"/>
  <c r="J42" i="13" s="1"/>
  <c r="D42" i="14" s="1"/>
  <c r="H42" i="14" s="1"/>
  <c r="J42" i="14" s="1"/>
  <c r="D42" i="15" s="1"/>
  <c r="H42" i="15" s="1"/>
  <c r="J42" i="15" s="1"/>
  <c r="D42" i="16" s="1"/>
  <c r="H42" i="16" s="1"/>
  <c r="J42" i="16" s="1"/>
  <c r="H40" i="3"/>
  <c r="J40" i="3" s="1"/>
  <c r="D40" i="4" s="1"/>
  <c r="H40" i="4" s="1"/>
  <c r="J40" i="4" s="1"/>
  <c r="D40" i="5" s="1"/>
  <c r="H40" i="5" s="1"/>
  <c r="J40" i="5" s="1"/>
  <c r="D40" i="6" s="1"/>
  <c r="H40" i="6" s="1"/>
  <c r="J40" i="6" s="1"/>
  <c r="D40" i="7" s="1"/>
  <c r="H40" i="7" s="1"/>
  <c r="J40" i="7" s="1"/>
  <c r="D40" i="8" s="1"/>
  <c r="H40" i="8" s="1"/>
  <c r="J40" i="8" s="1"/>
  <c r="D69" i="3"/>
  <c r="J48" i="2"/>
  <c r="J36" i="2"/>
  <c r="D36" i="3" s="1"/>
  <c r="H36" i="3" s="1"/>
  <c r="J36" i="3" s="1"/>
  <c r="D36" i="4" s="1"/>
  <c r="H36" i="4" s="1"/>
  <c r="J36" i="4" s="1"/>
  <c r="D36" i="5" s="1"/>
  <c r="H36" i="5" s="1"/>
  <c r="J36" i="5" s="1"/>
  <c r="D36" i="6" s="1"/>
  <c r="H36" i="6" s="1"/>
  <c r="J36" i="6" s="1"/>
  <c r="N40" i="6" s="1"/>
  <c r="M37" i="2"/>
  <c r="D39" i="2"/>
  <c r="H39" i="2" s="1"/>
  <c r="J39" i="2" s="1"/>
  <c r="D39" i="3" s="1"/>
  <c r="J45" i="2"/>
  <c r="D45" i="3" s="1"/>
  <c r="H46" i="8" l="1"/>
  <c r="J46" i="8" s="1"/>
  <c r="D46" i="9" s="1"/>
  <c r="H46" i="9" s="1"/>
  <c r="J46" i="9" s="1"/>
  <c r="H36" i="7"/>
  <c r="H68" i="5"/>
  <c r="J68" i="5" s="1"/>
  <c r="D68" i="6" s="1"/>
  <c r="H68" i="6" s="1"/>
  <c r="J68" i="6" s="1"/>
  <c r="D68" i="7" s="1"/>
  <c r="H68" i="7" s="1"/>
  <c r="J68" i="7" s="1"/>
  <c r="D68" i="8" s="1"/>
  <c r="H68" i="8" s="1"/>
  <c r="J68" i="8" s="1"/>
  <c r="D68" i="9" s="1"/>
  <c r="H68" i="9" s="1"/>
  <c r="J57" i="5"/>
  <c r="D57" i="6" s="1"/>
  <c r="H57" i="6" s="1"/>
  <c r="J57" i="6" s="1"/>
  <c r="D57" i="7" s="1"/>
  <c r="H57" i="7" s="1"/>
  <c r="J57" i="7" s="1"/>
  <c r="D57" i="8" s="1"/>
  <c r="H57" i="8" s="1"/>
  <c r="J57" i="8" s="1"/>
  <c r="D57" i="9" s="1"/>
  <c r="H57" i="9" s="1"/>
  <c r="J57" i="9" s="1"/>
  <c r="D57" i="10" s="1"/>
  <c r="H57" i="10" s="1"/>
  <c r="J57" i="10" s="1"/>
  <c r="H55" i="4"/>
  <c r="J55" i="4" s="1"/>
  <c r="D52" i="3"/>
  <c r="H52" i="3" s="1"/>
  <c r="J52" i="3" s="1"/>
  <c r="D52" i="4" s="1"/>
  <c r="H52" i="4" s="1"/>
  <c r="J52" i="4" s="1"/>
  <c r="D52" i="5" s="1"/>
  <c r="H52" i="5" s="1"/>
  <c r="J52" i="5" s="1"/>
  <c r="D52" i="6" s="1"/>
  <c r="H52" i="6" s="1"/>
  <c r="J52" i="6" s="1"/>
  <c r="D52" i="7" s="1"/>
  <c r="H52" i="7" s="1"/>
  <c r="J52" i="7" s="1"/>
  <c r="D52" i="8" s="1"/>
  <c r="H52" i="8" s="1"/>
  <c r="J52" i="8" s="1"/>
  <c r="D52" i="9" s="1"/>
  <c r="H52" i="9" s="1"/>
  <c r="J52" i="9" s="1"/>
  <c r="D52" i="10" s="1"/>
  <c r="H52" i="10" s="1"/>
  <c r="J52" i="10" s="1"/>
  <c r="D52" i="11" s="1"/>
  <c r="H52" i="11" s="1"/>
  <c r="J52" i="11" s="1"/>
  <c r="M52" i="2"/>
  <c r="H48" i="3"/>
  <c r="J48" i="3" s="1"/>
  <c r="D48" i="4" s="1"/>
  <c r="H45" i="3"/>
  <c r="J45" i="3" s="1"/>
  <c r="D45" i="4" s="1"/>
  <c r="H45" i="4" s="1"/>
  <c r="J45" i="4" s="1"/>
  <c r="D45" i="5" s="1"/>
  <c r="H45" i="5" s="1"/>
  <c r="J45" i="5" s="1"/>
  <c r="D45" i="6" s="1"/>
  <c r="H45" i="6" s="1"/>
  <c r="J45" i="6" s="1"/>
  <c r="D45" i="7" s="1"/>
  <c r="H45" i="7" s="1"/>
  <c r="J45" i="7" s="1"/>
  <c r="D45" i="8" s="1"/>
  <c r="H45" i="8" s="1"/>
  <c r="J45" i="8" s="1"/>
  <c r="D45" i="9" s="1"/>
  <c r="H45" i="9" s="1"/>
  <c r="J45" i="9" s="1"/>
  <c r="D45" i="10" s="1"/>
  <c r="H45" i="10" s="1"/>
  <c r="J45" i="10" s="1"/>
  <c r="H39" i="3"/>
  <c r="J39" i="3" s="1"/>
  <c r="D39" i="4" s="1"/>
  <c r="H39" i="4" s="1"/>
  <c r="J39" i="4" s="1"/>
  <c r="D39" i="5" s="1"/>
  <c r="H39" i="5" s="1"/>
  <c r="J39" i="5" s="1"/>
  <c r="D39" i="6" s="1"/>
  <c r="H39" i="6" s="1"/>
  <c r="J39" i="6" s="1"/>
  <c r="D39" i="7" s="1"/>
  <c r="H39" i="7" s="1"/>
  <c r="J39" i="7" s="1"/>
  <c r="D39" i="8" s="1"/>
  <c r="H39" i="8" s="1"/>
  <c r="J39" i="8" s="1"/>
  <c r="D39" i="9" s="1"/>
  <c r="H39" i="9" s="1"/>
  <c r="J39" i="9" s="1"/>
  <c r="D39" i="10" s="1"/>
  <c r="H39" i="10" s="1"/>
  <c r="J39" i="10" s="1"/>
  <c r="D39" i="11" s="1"/>
  <c r="H39" i="11" s="1"/>
  <c r="J39" i="11" s="1"/>
  <c r="D39" i="12" s="1"/>
  <c r="H39" i="12" s="1"/>
  <c r="J39" i="12" s="1"/>
  <c r="D39" i="13" s="1"/>
  <c r="H39" i="13" s="1"/>
  <c r="J39" i="13" s="1"/>
  <c r="D39" i="14" s="1"/>
  <c r="H39" i="14" s="1"/>
  <c r="J39" i="14" s="1"/>
  <c r="D39" i="15" s="1"/>
  <c r="H39" i="15" s="1"/>
  <c r="J39" i="15" s="1"/>
  <c r="D39" i="16" s="1"/>
  <c r="H39" i="16" s="1"/>
  <c r="J39" i="16" s="1"/>
  <c r="H69" i="3"/>
  <c r="J69" i="3" s="1"/>
  <c r="D69" i="4" s="1"/>
  <c r="H69" i="4" s="1"/>
  <c r="J69" i="4" s="1"/>
  <c r="D69" i="5" s="1"/>
  <c r="H69" i="5" s="1"/>
  <c r="J69" i="5" s="1"/>
  <c r="D69" i="6" s="1"/>
  <c r="H69" i="6" s="1"/>
  <c r="J69" i="6" s="1"/>
  <c r="D69" i="7" s="1"/>
  <c r="H69" i="7" s="1"/>
  <c r="J69" i="7" s="1"/>
  <c r="D69" i="8" s="1"/>
  <c r="H69" i="8" s="1"/>
  <c r="J69" i="8" s="1"/>
  <c r="D69" i="9" s="1"/>
  <c r="H69" i="9" s="1"/>
  <c r="J69" i="9" s="1"/>
  <c r="D69" i="10" s="1"/>
  <c r="H69" i="10" s="1"/>
  <c r="J69" i="10" s="1"/>
  <c r="D69" i="11" s="1"/>
  <c r="H69" i="11" s="1"/>
  <c r="J69" i="11" s="1"/>
  <c r="D69" i="12" s="1"/>
  <c r="H69" i="12" s="1"/>
  <c r="J69" i="12" s="1"/>
  <c r="O73" i="1"/>
  <c r="J60" i="2"/>
  <c r="D60" i="3" s="1"/>
  <c r="B77" i="1"/>
  <c r="L71" i="1"/>
  <c r="B83" i="1" s="1"/>
  <c r="K71" i="1"/>
  <c r="B80" i="1" s="1"/>
  <c r="G71" i="1"/>
  <c r="B81" i="1" s="1"/>
  <c r="F71" i="1"/>
  <c r="B79" i="1" s="1"/>
  <c r="C71" i="1"/>
  <c r="B78" i="1" s="1"/>
  <c r="J70" i="1"/>
  <c r="D70" i="2" s="1"/>
  <c r="H70" i="2" s="1"/>
  <c r="J70" i="2" s="1"/>
  <c r="D70" i="3" s="1"/>
  <c r="H33" i="1"/>
  <c r="J33" i="1" s="1"/>
  <c r="D33" i="2" s="1"/>
  <c r="H33" i="2" s="1"/>
  <c r="J33" i="2" s="1"/>
  <c r="D33" i="3" s="1"/>
  <c r="H32" i="1"/>
  <c r="J32" i="1" s="1"/>
  <c r="H31" i="1"/>
  <c r="J31" i="1" s="1"/>
  <c r="D31" i="2" s="1"/>
  <c r="H31" i="2" s="1"/>
  <c r="J31" i="2" s="1"/>
  <c r="D31" i="3" s="1"/>
  <c r="H31" i="3" s="1"/>
  <c r="J31" i="3" s="1"/>
  <c r="D31" i="4" s="1"/>
  <c r="H31" i="4" s="1"/>
  <c r="J31" i="4" s="1"/>
  <c r="D31" i="5" s="1"/>
  <c r="H31" i="5" s="1"/>
  <c r="J31" i="5" s="1"/>
  <c r="D31" i="6" s="1"/>
  <c r="H31" i="6" s="1"/>
  <c r="J31" i="6" s="1"/>
  <c r="D31" i="7" s="1"/>
  <c r="H31" i="7" s="1"/>
  <c r="J31" i="7" s="1"/>
  <c r="D31" i="8" s="1"/>
  <c r="H31" i="8" s="1"/>
  <c r="J31" i="8" s="1"/>
  <c r="D31" i="9" s="1"/>
  <c r="H31" i="9" s="1"/>
  <c r="J31" i="9" s="1"/>
  <c r="D31" i="10" s="1"/>
  <c r="H31" i="10" s="1"/>
  <c r="H30" i="1"/>
  <c r="J30" i="1" s="1"/>
  <c r="D30" i="2" s="1"/>
  <c r="H30" i="2" s="1"/>
  <c r="J30" i="2" s="1"/>
  <c r="D30" i="3" s="1"/>
  <c r="H29" i="1"/>
  <c r="H28" i="1"/>
  <c r="J28" i="1" s="1"/>
  <c r="D28" i="2" s="1"/>
  <c r="H28" i="2" s="1"/>
  <c r="J28" i="2" s="1"/>
  <c r="D28" i="3" s="1"/>
  <c r="H27" i="1"/>
  <c r="J27" i="1" s="1"/>
  <c r="D27" i="2" s="1"/>
  <c r="H27" i="2" s="1"/>
  <c r="J27" i="2" s="1"/>
  <c r="H26" i="1"/>
  <c r="H25" i="1"/>
  <c r="H24" i="1"/>
  <c r="J24" i="1" s="1"/>
  <c r="D24" i="2" s="1"/>
  <c r="H24" i="2" s="1"/>
  <c r="J24" i="2" s="1"/>
  <c r="D24" i="3" s="1"/>
  <c r="H24" i="3" s="1"/>
  <c r="J24" i="3" s="1"/>
  <c r="D24" i="4" s="1"/>
  <c r="H24" i="4" s="1"/>
  <c r="J24" i="4" s="1"/>
  <c r="D24" i="5" s="1"/>
  <c r="H24" i="5" s="1"/>
  <c r="J24" i="5" s="1"/>
  <c r="D24" i="6" s="1"/>
  <c r="H23" i="1"/>
  <c r="H22" i="1"/>
  <c r="J22" i="1" s="1"/>
  <c r="D22" i="2" s="1"/>
  <c r="H22" i="2" s="1"/>
  <c r="J22" i="2" s="1"/>
  <c r="D22" i="3" s="1"/>
  <c r="H22" i="3" s="1"/>
  <c r="J22" i="3" s="1"/>
  <c r="D22" i="4" s="1"/>
  <c r="H22" i="4" s="1"/>
  <c r="J22" i="4" s="1"/>
  <c r="D22" i="5" s="1"/>
  <c r="H22" i="5" s="1"/>
  <c r="J22" i="5" s="1"/>
  <c r="D22" i="6" s="1"/>
  <c r="H22" i="6" s="1"/>
  <c r="J22" i="6" s="1"/>
  <c r="D22" i="7" s="1"/>
  <c r="H22" i="7" s="1"/>
  <c r="J22" i="7" s="1"/>
  <c r="D22" i="8" s="1"/>
  <c r="H22" i="8" s="1"/>
  <c r="J22" i="8" s="1"/>
  <c r="H21" i="1"/>
  <c r="J21" i="1" s="1"/>
  <c r="D21" i="2" s="1"/>
  <c r="H21" i="2" s="1"/>
  <c r="J21" i="2" s="1"/>
  <c r="D21" i="3" s="1"/>
  <c r="H21" i="3" s="1"/>
  <c r="J21" i="3" s="1"/>
  <c r="D21" i="4" s="1"/>
  <c r="H21" i="4" s="1"/>
  <c r="J21" i="4" s="1"/>
  <c r="D21" i="5" s="1"/>
  <c r="H21" i="5" s="1"/>
  <c r="J21" i="5" s="1"/>
  <c r="D21" i="6" s="1"/>
  <c r="H21" i="6" s="1"/>
  <c r="J21" i="6" s="1"/>
  <c r="D21" i="7" s="1"/>
  <c r="H21" i="7" s="1"/>
  <c r="J21" i="7" s="1"/>
  <c r="D21" i="8" s="1"/>
  <c r="H21" i="8" s="1"/>
  <c r="J21" i="8" s="1"/>
  <c r="D21" i="9" s="1"/>
  <c r="H21" i="9" s="1"/>
  <c r="J21" i="9" s="1"/>
  <c r="D21" i="10" s="1"/>
  <c r="H21" i="10" s="1"/>
  <c r="J21" i="10" s="1"/>
  <c r="D21" i="11" s="1"/>
  <c r="H21" i="11" s="1"/>
  <c r="J21" i="11" s="1"/>
  <c r="D21" i="12" s="1"/>
  <c r="H21" i="12" s="1"/>
  <c r="J21" i="12" s="1"/>
  <c r="D21" i="13" s="1"/>
  <c r="H21" i="13" s="1"/>
  <c r="J21" i="13" s="1"/>
  <c r="D21" i="14" s="1"/>
  <c r="H21" i="14" s="1"/>
  <c r="J21" i="14" s="1"/>
  <c r="D21" i="15" s="1"/>
  <c r="H21" i="15" s="1"/>
  <c r="J21" i="15" s="1"/>
  <c r="D21" i="16" s="1"/>
  <c r="H21" i="16" s="1"/>
  <c r="J21" i="16" s="1"/>
  <c r="H20" i="1"/>
  <c r="J20" i="1" s="1"/>
  <c r="D20" i="2" s="1"/>
  <c r="H20" i="2" s="1"/>
  <c r="J20" i="2" s="1"/>
  <c r="J19" i="1"/>
  <c r="D19" i="2" s="1"/>
  <c r="H19" i="2" s="1"/>
  <c r="J19" i="2" s="1"/>
  <c r="D19" i="3" s="1"/>
  <c r="H19" i="3" s="1"/>
  <c r="J19" i="3" s="1"/>
  <c r="D19" i="4" s="1"/>
  <c r="H19" i="4" s="1"/>
  <c r="J19" i="4" s="1"/>
  <c r="H19" i="5" s="1"/>
  <c r="J19" i="5" s="1"/>
  <c r="D19" i="6" s="1"/>
  <c r="H19" i="6" s="1"/>
  <c r="J19" i="6" s="1"/>
  <c r="D19" i="7" s="1"/>
  <c r="H19" i="7" s="1"/>
  <c r="J19" i="7" s="1"/>
  <c r="D19" i="8" s="1"/>
  <c r="H19" i="8" s="1"/>
  <c r="J19" i="8" s="1"/>
  <c r="D19" i="9" s="1"/>
  <c r="H19" i="9" s="1"/>
  <c r="J19" i="9" s="1"/>
  <c r="D19" i="10" s="1"/>
  <c r="H19" i="10" s="1"/>
  <c r="J19" i="10" s="1"/>
  <c r="D19" i="11" s="1"/>
  <c r="H19" i="11" s="1"/>
  <c r="J19" i="11" s="1"/>
  <c r="D19" i="12" s="1"/>
  <c r="H19" i="12" s="1"/>
  <c r="J19" i="12" s="1"/>
  <c r="D19" i="13" s="1"/>
  <c r="H19" i="13" s="1"/>
  <c r="J19" i="13" s="1"/>
  <c r="D19" i="14" s="1"/>
  <c r="H19" i="14" s="1"/>
  <c r="J19" i="14" s="1"/>
  <c r="D19" i="15" s="1"/>
  <c r="H19" i="15" s="1"/>
  <c r="J19" i="15" s="1"/>
  <c r="D19" i="16" s="1"/>
  <c r="H19" i="16" s="1"/>
  <c r="J19" i="16" s="1"/>
  <c r="H18" i="1"/>
  <c r="J18" i="1" s="1"/>
  <c r="D18" i="2" s="1"/>
  <c r="H18" i="2" s="1"/>
  <c r="J18" i="2" s="1"/>
  <c r="H17" i="1"/>
  <c r="J17" i="1" s="1"/>
  <c r="D17" i="2" s="1"/>
  <c r="H17" i="2" s="1"/>
  <c r="J17" i="2" s="1"/>
  <c r="D17" i="3" s="1"/>
  <c r="H17" i="3" s="1"/>
  <c r="J17" i="3" s="1"/>
  <c r="D17" i="4" s="1"/>
  <c r="H17" i="4" s="1"/>
  <c r="J17" i="4" s="1"/>
  <c r="D17" i="5" s="1"/>
  <c r="H17" i="5" s="1"/>
  <c r="J17" i="5" s="1"/>
  <c r="D17" i="6" s="1"/>
  <c r="H17" i="6" s="1"/>
  <c r="J17" i="6" s="1"/>
  <c r="D17" i="7" s="1"/>
  <c r="H17" i="7" s="1"/>
  <c r="J17" i="7" s="1"/>
  <c r="D17" i="8" s="1"/>
  <c r="H17" i="8" s="1"/>
  <c r="J17" i="8" s="1"/>
  <c r="D17" i="9" s="1"/>
  <c r="H17" i="9" s="1"/>
  <c r="J17" i="9" s="1"/>
  <c r="D17" i="10" s="1"/>
  <c r="H17" i="10" s="1"/>
  <c r="J17" i="10" s="1"/>
  <c r="D17" i="11" s="1"/>
  <c r="H17" i="11" s="1"/>
  <c r="J17" i="11" s="1"/>
  <c r="H16" i="1"/>
  <c r="J16" i="1" s="1"/>
  <c r="D16" i="2" s="1"/>
  <c r="H16" i="2" s="1"/>
  <c r="J16" i="2" s="1"/>
  <c r="D16" i="3" s="1"/>
  <c r="H16" i="3" s="1"/>
  <c r="J16" i="3" s="1"/>
  <c r="D16" i="4" s="1"/>
  <c r="H16" i="4" s="1"/>
  <c r="J16" i="4" s="1"/>
  <c r="H16" i="5" s="1"/>
  <c r="J16" i="5" s="1"/>
  <c r="H15" i="1"/>
  <c r="J15" i="1" s="1"/>
  <c r="D15" i="2" s="1"/>
  <c r="H15" i="2" s="1"/>
  <c r="J15" i="2" s="1"/>
  <c r="D15" i="3" s="1"/>
  <c r="H15" i="3" s="1"/>
  <c r="J15" i="3" s="1"/>
  <c r="D15" i="4" s="1"/>
  <c r="H15" i="4" s="1"/>
  <c r="J15" i="4" s="1"/>
  <c r="D15" i="5" s="1"/>
  <c r="H15" i="5" s="1"/>
  <c r="J15" i="5" s="1"/>
  <c r="H14" i="1"/>
  <c r="J14" i="1" s="1"/>
  <c r="D14" i="2" s="1"/>
  <c r="H14" i="2" s="1"/>
  <c r="J14" i="2" s="1"/>
  <c r="D14" i="3" s="1"/>
  <c r="H14" i="3" s="1"/>
  <c r="J14" i="3" s="1"/>
  <c r="D14" i="4" s="1"/>
  <c r="H14" i="4" s="1"/>
  <c r="J14" i="4" s="1"/>
  <c r="D14" i="5" s="1"/>
  <c r="H14" i="5" s="1"/>
  <c r="J14" i="5" s="1"/>
  <c r="H13" i="1"/>
  <c r="H12" i="1"/>
  <c r="J12" i="1" s="1"/>
  <c r="D12" i="2" s="1"/>
  <c r="H12" i="2" s="1"/>
  <c r="J12" i="2" s="1"/>
  <c r="H12" i="3" s="1"/>
  <c r="H11" i="1"/>
  <c r="J11" i="1" s="1"/>
  <c r="D11" i="2" s="1"/>
  <c r="H11" i="2" s="1"/>
  <c r="J11" i="2" s="1"/>
  <c r="D11" i="3" s="1"/>
  <c r="H11" i="3" s="1"/>
  <c r="J11" i="3" s="1"/>
  <c r="D11" i="4" s="1"/>
  <c r="H11" i="4" s="1"/>
  <c r="J11" i="4" s="1"/>
  <c r="D11" i="5" s="1"/>
  <c r="H11" i="5" s="1"/>
  <c r="J11" i="5" s="1"/>
  <c r="E71" i="1"/>
  <c r="H10" i="1"/>
  <c r="H9" i="1"/>
  <c r="J9" i="1" s="1"/>
  <c r="D9" i="2" s="1"/>
  <c r="H9" i="2" s="1"/>
  <c r="J9" i="2" s="1"/>
  <c r="D9" i="3" s="1"/>
  <c r="H9" i="3" s="1"/>
  <c r="J9" i="3" s="1"/>
  <c r="D9" i="4" s="1"/>
  <c r="H9" i="4" s="1"/>
  <c r="J9" i="4" s="1"/>
  <c r="D9" i="5" s="1"/>
  <c r="H9" i="5" s="1"/>
  <c r="J9" i="5" s="1"/>
  <c r="H8" i="1"/>
  <c r="J8" i="1" s="1"/>
  <c r="D8" i="2" s="1"/>
  <c r="H8" i="2" s="1"/>
  <c r="J8" i="2" s="1"/>
  <c r="D8" i="3" s="1"/>
  <c r="H8" i="3" s="1"/>
  <c r="J8" i="3" s="1"/>
  <c r="D8" i="4" s="1"/>
  <c r="H8" i="4" s="1"/>
  <c r="J8" i="4" s="1"/>
  <c r="D8" i="5" s="1"/>
  <c r="H7" i="1"/>
  <c r="J7" i="1" s="1"/>
  <c r="D7" i="2" s="1"/>
  <c r="H92" i="1"/>
  <c r="D15" i="6" l="1"/>
  <c r="H15" i="6" s="1"/>
  <c r="J15" i="6" s="1"/>
  <c r="D15" i="7" s="1"/>
  <c r="H15" i="7" s="1"/>
  <c r="J15" i="7" s="1"/>
  <c r="D15" i="8" s="1"/>
  <c r="H15" i="8" s="1"/>
  <c r="J15" i="8" s="1"/>
  <c r="D9" i="6"/>
  <c r="H9" i="6" s="1"/>
  <c r="J9" i="6" s="1"/>
  <c r="D9" i="7" s="1"/>
  <c r="H9" i="7" s="1"/>
  <c r="J9" i="7" s="1"/>
  <c r="D9" i="8" s="1"/>
  <c r="H9" i="8" s="1"/>
  <c r="J9" i="8" s="1"/>
  <c r="D9" i="9" s="1"/>
  <c r="H9" i="9" s="1"/>
  <c r="J9" i="9" s="1"/>
  <c r="D9" i="10" s="1"/>
  <c r="H9" i="10" s="1"/>
  <c r="J9" i="10" s="1"/>
  <c r="D9" i="11" s="1"/>
  <c r="H9" i="11" s="1"/>
  <c r="J9" i="11" s="1"/>
  <c r="D9" i="12" s="1"/>
  <c r="H9" i="12" s="1"/>
  <c r="J9" i="12" s="1"/>
  <c r="D14" i="6"/>
  <c r="H14" i="6" s="1"/>
  <c r="J14" i="6" s="1"/>
  <c r="D14" i="7" s="1"/>
  <c r="H14" i="7" s="1"/>
  <c r="J14" i="7" s="1"/>
  <c r="D14" i="8" s="1"/>
  <c r="H14" i="8" s="1"/>
  <c r="J14" i="8" s="1"/>
  <c r="D14" i="9" s="1"/>
  <c r="H14" i="9" s="1"/>
  <c r="J14" i="9" s="1"/>
  <c r="D16" i="6"/>
  <c r="H16" i="6" s="1"/>
  <c r="J16" i="6" s="1"/>
  <c r="D16" i="7" s="1"/>
  <c r="H16" i="7" s="1"/>
  <c r="J16" i="7" s="1"/>
  <c r="D16" i="8" s="1"/>
  <c r="H16" i="8" s="1"/>
  <c r="J16" i="8" s="1"/>
  <c r="D16" i="9" s="1"/>
  <c r="H16" i="9" s="1"/>
  <c r="J16" i="9" s="1"/>
  <c r="D11" i="6"/>
  <c r="H11" i="6" s="1"/>
  <c r="J11" i="6" s="1"/>
  <c r="D11" i="7" s="1"/>
  <c r="H11" i="7" s="1"/>
  <c r="J11" i="7" s="1"/>
  <c r="D11" i="8" s="1"/>
  <c r="H11" i="8" s="1"/>
  <c r="J11" i="8" s="1"/>
  <c r="D11" i="9" s="1"/>
  <c r="H11" i="9" s="1"/>
  <c r="J11" i="9" s="1"/>
  <c r="D11" i="10" s="1"/>
  <c r="H11" i="10" s="1"/>
  <c r="J11" i="10" s="1"/>
  <c r="D11" i="11" s="1"/>
  <c r="H11" i="11" s="1"/>
  <c r="J11" i="11" s="1"/>
  <c r="D11" i="12" s="1"/>
  <c r="H11" i="12" s="1"/>
  <c r="J11" i="12" s="1"/>
  <c r="D11" i="13" s="1"/>
  <c r="H11" i="13" s="1"/>
  <c r="J11" i="13" s="1"/>
  <c r="D11" i="14" s="1"/>
  <c r="H11" i="14" s="1"/>
  <c r="J11" i="14" s="1"/>
  <c r="D11" i="15" s="1"/>
  <c r="H11" i="15" s="1"/>
  <c r="J11" i="15" s="1"/>
  <c r="D11" i="16" s="1"/>
  <c r="H11" i="16" s="1"/>
  <c r="J11" i="16" s="1"/>
  <c r="M18" i="11"/>
  <c r="D17" i="12"/>
  <c r="H17" i="12" s="1"/>
  <c r="J17" i="12" s="1"/>
  <c r="D17" i="13" s="1"/>
  <c r="H17" i="13" s="1"/>
  <c r="J17" i="13" s="1"/>
  <c r="D17" i="14" s="1"/>
  <c r="H17" i="14" s="1"/>
  <c r="J17" i="14" s="1"/>
  <c r="D17" i="15" s="1"/>
  <c r="H17" i="15" s="1"/>
  <c r="J17" i="15" s="1"/>
  <c r="D17" i="16" s="1"/>
  <c r="H17" i="16" s="1"/>
  <c r="J17" i="16" s="1"/>
  <c r="H8" i="5"/>
  <c r="J8" i="5" s="1"/>
  <c r="D8" i="6" s="1"/>
  <c r="J31" i="10"/>
  <c r="D31" i="11" s="1"/>
  <c r="H31" i="11" s="1"/>
  <c r="J31" i="11" s="1"/>
  <c r="D31" i="12" s="1"/>
  <c r="H31" i="12" s="1"/>
  <c r="J31" i="12" s="1"/>
  <c r="D31" i="13" s="1"/>
  <c r="H31" i="13" s="1"/>
  <c r="J31" i="13" s="1"/>
  <c r="D31" i="14" s="1"/>
  <c r="H31" i="14" s="1"/>
  <c r="J31" i="14" s="1"/>
  <c r="D31" i="15" s="1"/>
  <c r="H31" i="15" s="1"/>
  <c r="J31" i="15" s="1"/>
  <c r="D31" i="16" s="1"/>
  <c r="H31" i="16" s="1"/>
  <c r="J31" i="16" s="1"/>
  <c r="J68" i="9"/>
  <c r="D68" i="10" s="1"/>
  <c r="H68" i="10" s="1"/>
  <c r="J68" i="10" s="1"/>
  <c r="D68" i="11" s="1"/>
  <c r="H68" i="11" s="1"/>
  <c r="J68" i="11" s="1"/>
  <c r="D68" i="12" s="1"/>
  <c r="H68" i="12" s="1"/>
  <c r="J68" i="12" s="1"/>
  <c r="D68" i="13" s="1"/>
  <c r="H68" i="13" s="1"/>
  <c r="J68" i="13" s="1"/>
  <c r="D68" i="14" s="1"/>
  <c r="H68" i="14" s="1"/>
  <c r="J68" i="14" s="1"/>
  <c r="D68" i="15" s="1"/>
  <c r="H68" i="15" s="1"/>
  <c r="J68" i="15" s="1"/>
  <c r="D68" i="16" s="1"/>
  <c r="H68" i="16" s="1"/>
  <c r="J68" i="16" s="1"/>
  <c r="J36" i="7"/>
  <c r="D36" i="8" s="1"/>
  <c r="H36" i="8" s="1"/>
  <c r="J36" i="8" s="1"/>
  <c r="D36" i="9" s="1"/>
  <c r="H36" i="9" s="1"/>
  <c r="J36" i="9" s="1"/>
  <c r="D6" i="10" s="1"/>
  <c r="H6" i="10" s="1"/>
  <c r="J6" i="10" s="1"/>
  <c r="D6" i="11" s="1"/>
  <c r="H6" i="11" s="1"/>
  <c r="J6" i="11" s="1"/>
  <c r="D6" i="12" s="1"/>
  <c r="H24" i="6"/>
  <c r="H55" i="5"/>
  <c r="J55" i="5" s="1"/>
  <c r="D55" i="6" s="1"/>
  <c r="H55" i="6" s="1"/>
  <c r="J55" i="6" s="1"/>
  <c r="D55" i="7" s="1"/>
  <c r="H55" i="7" s="1"/>
  <c r="J55" i="7" s="1"/>
  <c r="D55" i="8" s="1"/>
  <c r="H55" i="8" s="1"/>
  <c r="J55" i="8" s="1"/>
  <c r="D55" i="9" s="1"/>
  <c r="H55" i="9" s="1"/>
  <c r="J55" i="9" s="1"/>
  <c r="D55" i="10" s="1"/>
  <c r="H55" i="10" s="1"/>
  <c r="J55" i="10" s="1"/>
  <c r="D55" i="11" s="1"/>
  <c r="H55" i="11" s="1"/>
  <c r="J55" i="11" s="1"/>
  <c r="D55" i="12" s="1"/>
  <c r="H55" i="12" s="1"/>
  <c r="J55" i="12" s="1"/>
  <c r="D55" i="13" s="1"/>
  <c r="H55" i="13" s="1"/>
  <c r="J55" i="13" s="1"/>
  <c r="D55" i="14" s="1"/>
  <c r="H55" i="14" s="1"/>
  <c r="J55" i="14" s="1"/>
  <c r="D55" i="15" s="1"/>
  <c r="H55" i="15" s="1"/>
  <c r="J55" i="15" s="1"/>
  <c r="D55" i="16" s="1"/>
  <c r="H55" i="16" s="1"/>
  <c r="J55" i="16" s="1"/>
  <c r="M32" i="1"/>
  <c r="D32" i="2"/>
  <c r="H32" i="2" s="1"/>
  <c r="J32" i="2" s="1"/>
  <c r="H48" i="4"/>
  <c r="J48" i="4" s="1"/>
  <c r="D48" i="5" s="1"/>
  <c r="H48" i="5" s="1"/>
  <c r="J48" i="5" s="1"/>
  <c r="D48" i="6" s="1"/>
  <c r="H48" i="6" s="1"/>
  <c r="J48" i="6" s="1"/>
  <c r="D48" i="7" s="1"/>
  <c r="H48" i="7" s="1"/>
  <c r="J48" i="7" s="1"/>
  <c r="D48" i="8" s="1"/>
  <c r="H48" i="8" s="1"/>
  <c r="J48" i="8" s="1"/>
  <c r="D18" i="3"/>
  <c r="H18" i="3" s="1"/>
  <c r="J18" i="3" s="1"/>
  <c r="D18" i="4" s="1"/>
  <c r="H18" i="4" s="1"/>
  <c r="H33" i="3"/>
  <c r="J33" i="3" s="1"/>
  <c r="D33" i="4" s="1"/>
  <c r="H33" i="4" s="1"/>
  <c r="J33" i="4" s="1"/>
  <c r="D33" i="5" s="1"/>
  <c r="H33" i="5" s="1"/>
  <c r="J33" i="5" s="1"/>
  <c r="D33" i="6" s="1"/>
  <c r="H33" i="6" s="1"/>
  <c r="J33" i="6" s="1"/>
  <c r="D33" i="7" s="1"/>
  <c r="H33" i="7" s="1"/>
  <c r="J33" i="7" s="1"/>
  <c r="D33" i="8" s="1"/>
  <c r="H33" i="8" s="1"/>
  <c r="J33" i="8" s="1"/>
  <c r="D33" i="9" s="1"/>
  <c r="H33" i="9" s="1"/>
  <c r="J33" i="9" s="1"/>
  <c r="D33" i="10" s="1"/>
  <c r="H33" i="10" s="1"/>
  <c r="J33" i="10" s="1"/>
  <c r="D33" i="11" s="1"/>
  <c r="H33" i="11" s="1"/>
  <c r="J33" i="11" s="1"/>
  <c r="D33" i="12" s="1"/>
  <c r="H33" i="12" s="1"/>
  <c r="J33" i="12" s="1"/>
  <c r="D33" i="13" s="1"/>
  <c r="H33" i="13" s="1"/>
  <c r="J33" i="13" s="1"/>
  <c r="D33" i="14" s="1"/>
  <c r="H33" i="14" s="1"/>
  <c r="J33" i="14" s="1"/>
  <c r="D33" i="15" s="1"/>
  <c r="H33" i="15" s="1"/>
  <c r="J33" i="15" s="1"/>
  <c r="D33" i="16" s="1"/>
  <c r="H33" i="16" s="1"/>
  <c r="J33" i="16" s="1"/>
  <c r="H60" i="3"/>
  <c r="J60" i="3" s="1"/>
  <c r="D60" i="4" s="1"/>
  <c r="H60" i="4" s="1"/>
  <c r="J60" i="4" s="1"/>
  <c r="D60" i="5" s="1"/>
  <c r="H60" i="5" s="1"/>
  <c r="J60" i="5" s="1"/>
  <c r="D60" i="6" s="1"/>
  <c r="H60" i="6" s="1"/>
  <c r="J60" i="6" s="1"/>
  <c r="D60" i="7" s="1"/>
  <c r="H60" i="7" s="1"/>
  <c r="J60" i="7" s="1"/>
  <c r="D60" i="8" s="1"/>
  <c r="H60" i="8" s="1"/>
  <c r="J60" i="8" s="1"/>
  <c r="D60" i="9" s="1"/>
  <c r="H60" i="9" s="1"/>
  <c r="J60" i="9" s="1"/>
  <c r="D60" i="10" s="1"/>
  <c r="H60" i="10" s="1"/>
  <c r="J60" i="10" s="1"/>
  <c r="D60" i="11" s="1"/>
  <c r="H60" i="11" s="1"/>
  <c r="J60" i="11" s="1"/>
  <c r="D60" i="12" s="1"/>
  <c r="H60" i="12" s="1"/>
  <c r="J60" i="12" s="1"/>
  <c r="D60" i="13" s="1"/>
  <c r="H60" i="13" s="1"/>
  <c r="J60" i="13" s="1"/>
  <c r="D60" i="14" s="1"/>
  <c r="H60" i="14" s="1"/>
  <c r="J60" i="14" s="1"/>
  <c r="D60" i="15" s="1"/>
  <c r="H60" i="15" s="1"/>
  <c r="J60" i="15" s="1"/>
  <c r="D60" i="16" s="1"/>
  <c r="H60" i="16" s="1"/>
  <c r="J60" i="16" s="1"/>
  <c r="H28" i="3"/>
  <c r="J28" i="3" s="1"/>
  <c r="D28" i="4" s="1"/>
  <c r="H30" i="3"/>
  <c r="J30" i="3" s="1"/>
  <c r="D30" i="4" s="1"/>
  <c r="H30" i="4" s="1"/>
  <c r="J30" i="4" s="1"/>
  <c r="H70" i="3"/>
  <c r="J70" i="3" s="1"/>
  <c r="D70" i="4" s="1"/>
  <c r="H70" i="4" s="1"/>
  <c r="J70" i="4" s="1"/>
  <c r="D70" i="5" s="1"/>
  <c r="H70" i="5" s="1"/>
  <c r="J70" i="5" s="1"/>
  <c r="D70" i="6" s="1"/>
  <c r="H70" i="6" s="1"/>
  <c r="J70" i="6" s="1"/>
  <c r="D70" i="7" s="1"/>
  <c r="H70" i="7" s="1"/>
  <c r="J70" i="7" s="1"/>
  <c r="D70" i="8" s="1"/>
  <c r="H70" i="8" s="1"/>
  <c r="J70" i="8" s="1"/>
  <c r="D70" i="9" s="1"/>
  <c r="H70" i="9" s="1"/>
  <c r="J70" i="9" s="1"/>
  <c r="D70" i="10" s="1"/>
  <c r="H70" i="10" s="1"/>
  <c r="J70" i="10" s="1"/>
  <c r="D70" i="11" s="1"/>
  <c r="H70" i="11" s="1"/>
  <c r="J70" i="11" s="1"/>
  <c r="D70" i="12" s="1"/>
  <c r="H70" i="12" s="1"/>
  <c r="J70" i="12" s="1"/>
  <c r="D70" i="13" s="1"/>
  <c r="H70" i="13" s="1"/>
  <c r="J70" i="13" s="1"/>
  <c r="D70" i="14" s="1"/>
  <c r="H70" i="14" s="1"/>
  <c r="J70" i="14" s="1"/>
  <c r="D70" i="15" s="1"/>
  <c r="H70" i="15" s="1"/>
  <c r="J70" i="15" s="1"/>
  <c r="D70" i="16" s="1"/>
  <c r="H70" i="16" s="1"/>
  <c r="J70" i="16" s="1"/>
  <c r="J12" i="3"/>
  <c r="D12" i="4" s="1"/>
  <c r="H12" i="4" s="1"/>
  <c r="J12" i="4" s="1"/>
  <c r="D12" i="5" s="1"/>
  <c r="H12" i="5" s="1"/>
  <c r="J12" i="5" s="1"/>
  <c r="D27" i="3"/>
  <c r="J13" i="1"/>
  <c r="D13" i="2" s="1"/>
  <c r="H13" i="2" s="1"/>
  <c r="J13" i="2" s="1"/>
  <c r="J13" i="3" s="1"/>
  <c r="D13" i="4" s="1"/>
  <c r="H13" i="4" s="1"/>
  <c r="J13" i="4" s="1"/>
  <c r="H71" i="1"/>
  <c r="J10" i="1"/>
  <c r="P19" i="1" s="1"/>
  <c r="J23" i="1"/>
  <c r="D23" i="2" s="1"/>
  <c r="H23" i="2" s="1"/>
  <c r="J23" i="2" s="1"/>
  <c r="D23" i="3" s="1"/>
  <c r="C85" i="1"/>
  <c r="C92" i="1" s="1"/>
  <c r="I85" i="1"/>
  <c r="I92" i="1" s="1"/>
  <c r="B76" i="1"/>
  <c r="B92" i="1" s="1"/>
  <c r="J25" i="1"/>
  <c r="D25" i="2" s="1"/>
  <c r="H25" i="2" s="1"/>
  <c r="J25" i="2" s="1"/>
  <c r="D25" i="3" s="1"/>
  <c r="H25" i="3" s="1"/>
  <c r="J25" i="3" s="1"/>
  <c r="D25" i="4" s="1"/>
  <c r="H25" i="4" s="1"/>
  <c r="J25" i="4" s="1"/>
  <c r="D25" i="5" s="1"/>
  <c r="H25" i="5" s="1"/>
  <c r="J25" i="5" s="1"/>
  <c r="D25" i="6" s="1"/>
  <c r="H25" i="6" s="1"/>
  <c r="J25" i="6" s="1"/>
  <c r="D25" i="7" s="1"/>
  <c r="H25" i="7" s="1"/>
  <c r="J25" i="7" s="1"/>
  <c r="D25" i="8" s="1"/>
  <c r="H25" i="8" s="1"/>
  <c r="J25" i="8" s="1"/>
  <c r="D25" i="9" s="1"/>
  <c r="H25" i="9" s="1"/>
  <c r="J25" i="9" s="1"/>
  <c r="D25" i="10" s="1"/>
  <c r="H25" i="10" s="1"/>
  <c r="J25" i="10" s="1"/>
  <c r="D25" i="11" s="1"/>
  <c r="H25" i="11" s="1"/>
  <c r="J25" i="11" s="1"/>
  <c r="D25" i="12" s="1"/>
  <c r="H25" i="12" s="1"/>
  <c r="J25" i="12" s="1"/>
  <c r="D25" i="13" s="1"/>
  <c r="H25" i="13" s="1"/>
  <c r="J25" i="13" s="1"/>
  <c r="D25" i="14" s="1"/>
  <c r="H25" i="14" s="1"/>
  <c r="J25" i="14" s="1"/>
  <c r="D25" i="15" s="1"/>
  <c r="H25" i="15" s="1"/>
  <c r="J25" i="15" s="1"/>
  <c r="D25" i="16" s="1"/>
  <c r="H25" i="16" s="1"/>
  <c r="J25" i="16" s="1"/>
  <c r="J29" i="1"/>
  <c r="J26" i="1"/>
  <c r="D26" i="2" s="1"/>
  <c r="H26" i="2" s="1"/>
  <c r="D12" i="6" l="1"/>
  <c r="H12" i="6" s="1"/>
  <c r="J12" i="6" s="1"/>
  <c r="D12" i="7" s="1"/>
  <c r="H12" i="7" s="1"/>
  <c r="J12" i="7" s="1"/>
  <c r="D12" i="8" s="1"/>
  <c r="H12" i="8" s="1"/>
  <c r="J12" i="8" s="1"/>
  <c r="D12" i="9" s="1"/>
  <c r="H12" i="9" s="1"/>
  <c r="J12" i="9" s="1"/>
  <c r="D12" i="10" s="1"/>
  <c r="H12" i="10" s="1"/>
  <c r="J12" i="10" s="1"/>
  <c r="D12" i="11" s="1"/>
  <c r="H12" i="11" s="1"/>
  <c r="J12" i="11" s="1"/>
  <c r="D12" i="12" s="1"/>
  <c r="H12" i="12" s="1"/>
  <c r="J12" i="12" s="1"/>
  <c r="H6" i="12"/>
  <c r="H8" i="6"/>
  <c r="J8" i="6" s="1"/>
  <c r="D8" i="7" s="1"/>
  <c r="H8" i="7" s="1"/>
  <c r="J8" i="7" s="1"/>
  <c r="D8" i="8" s="1"/>
  <c r="H8" i="8" s="1"/>
  <c r="J8" i="8" s="1"/>
  <c r="D13" i="5"/>
  <c r="H13" i="5" s="1"/>
  <c r="J13" i="5" s="1"/>
  <c r="H28" i="4"/>
  <c r="J28" i="4" s="1"/>
  <c r="D28" i="5" s="1"/>
  <c r="H28" i="5" s="1"/>
  <c r="J28" i="5" s="1"/>
  <c r="D28" i="6" s="1"/>
  <c r="H28" i="6" s="1"/>
  <c r="J28" i="6" s="1"/>
  <c r="D28" i="7" s="1"/>
  <c r="H28" i="7" s="1"/>
  <c r="J28" i="7" s="1"/>
  <c r="D28" i="8" s="1"/>
  <c r="H28" i="8" s="1"/>
  <c r="J28" i="8" s="1"/>
  <c r="D28" i="9" s="1"/>
  <c r="H28" i="9" s="1"/>
  <c r="J28" i="9" s="1"/>
  <c r="D28" i="10" s="1"/>
  <c r="H28" i="10" s="1"/>
  <c r="J28" i="10" s="1"/>
  <c r="D28" i="11" s="1"/>
  <c r="H28" i="11" s="1"/>
  <c r="J28" i="11" s="1"/>
  <c r="D28" i="12" s="1"/>
  <c r="H28" i="12" s="1"/>
  <c r="J28" i="12" s="1"/>
  <c r="D28" i="13" s="1"/>
  <c r="H28" i="13" s="1"/>
  <c r="J28" i="13" s="1"/>
  <c r="D28" i="14" s="1"/>
  <c r="H28" i="14" s="1"/>
  <c r="J28" i="14" s="1"/>
  <c r="D28" i="15" s="1"/>
  <c r="H28" i="15" s="1"/>
  <c r="J28" i="15" s="1"/>
  <c r="D28" i="16" s="1"/>
  <c r="H28" i="16" s="1"/>
  <c r="J28" i="16" s="1"/>
  <c r="J24" i="6"/>
  <c r="D24" i="7" s="1"/>
  <c r="H24" i="7" s="1"/>
  <c r="J24" i="7" s="1"/>
  <c r="D24" i="8" s="1"/>
  <c r="H24" i="8" s="1"/>
  <c r="J24" i="8" s="1"/>
  <c r="D24" i="9" s="1"/>
  <c r="H24" i="9" s="1"/>
  <c r="J24" i="9" s="1"/>
  <c r="M32" i="2"/>
  <c r="D32" i="3"/>
  <c r="H32" i="3" s="1"/>
  <c r="J32" i="3" s="1"/>
  <c r="D32" i="4" s="1"/>
  <c r="H32" i="4" s="1"/>
  <c r="J32" i="4" s="1"/>
  <c r="D32" i="5" s="1"/>
  <c r="H32" i="5" s="1"/>
  <c r="J32" i="5" s="1"/>
  <c r="D32" i="6" s="1"/>
  <c r="H32" i="6" s="1"/>
  <c r="J32" i="6" s="1"/>
  <c r="D32" i="7" s="1"/>
  <c r="H32" i="7" s="1"/>
  <c r="J32" i="7" s="1"/>
  <c r="D32" i="8" s="1"/>
  <c r="H32" i="8" s="1"/>
  <c r="J32" i="8" s="1"/>
  <c r="D32" i="9" s="1"/>
  <c r="H32" i="9" s="1"/>
  <c r="J32" i="9" s="1"/>
  <c r="D32" i="10" s="1"/>
  <c r="H32" i="10" s="1"/>
  <c r="J32" i="10" s="1"/>
  <c r="D32" i="11" s="1"/>
  <c r="H32" i="11" s="1"/>
  <c r="J32" i="11" s="1"/>
  <c r="D32" i="12" s="1"/>
  <c r="H32" i="12" s="1"/>
  <c r="J32" i="12" s="1"/>
  <c r="D32" i="13" s="1"/>
  <c r="H32" i="13" s="1"/>
  <c r="J32" i="13" s="1"/>
  <c r="D32" i="14" s="1"/>
  <c r="H32" i="14" s="1"/>
  <c r="J32" i="14" s="1"/>
  <c r="D32" i="15" s="1"/>
  <c r="H32" i="15" s="1"/>
  <c r="J32" i="15" s="1"/>
  <c r="D32" i="16" s="1"/>
  <c r="H32" i="16" s="1"/>
  <c r="J32" i="16" s="1"/>
  <c r="J18" i="4"/>
  <c r="H23" i="3"/>
  <c r="J23" i="3" s="1"/>
  <c r="D23" i="4" s="1"/>
  <c r="H23" i="4" s="1"/>
  <c r="J23" i="4" s="1"/>
  <c r="D30" i="5" s="1"/>
  <c r="H30" i="5" s="1"/>
  <c r="J30" i="5" s="1"/>
  <c r="D30" i="6" s="1"/>
  <c r="H30" i="6" s="1"/>
  <c r="J30" i="6" s="1"/>
  <c r="D30" i="7" s="1"/>
  <c r="H30" i="7" s="1"/>
  <c r="J30" i="7" s="1"/>
  <c r="D30" i="8" s="1"/>
  <c r="H30" i="8" s="1"/>
  <c r="J30" i="8" s="1"/>
  <c r="D30" i="9" s="1"/>
  <c r="H30" i="9" s="1"/>
  <c r="J30" i="9" s="1"/>
  <c r="D30" i="10" s="1"/>
  <c r="H30" i="10" s="1"/>
  <c r="J30" i="10" s="1"/>
  <c r="D30" i="11" s="1"/>
  <c r="H30" i="11" s="1"/>
  <c r="J30" i="11" s="1"/>
  <c r="D30" i="12" s="1"/>
  <c r="H30" i="12" s="1"/>
  <c r="J30" i="12" s="1"/>
  <c r="D30" i="13" s="1"/>
  <c r="H30" i="13" s="1"/>
  <c r="J30" i="13" s="1"/>
  <c r="D30" i="14" s="1"/>
  <c r="H30" i="14" s="1"/>
  <c r="J30" i="14" s="1"/>
  <c r="D30" i="15" s="1"/>
  <c r="H30" i="15" s="1"/>
  <c r="J30" i="15" s="1"/>
  <c r="D30" i="16" s="1"/>
  <c r="H30" i="16" s="1"/>
  <c r="J30" i="16" s="1"/>
  <c r="H27" i="3"/>
  <c r="N56" i="1"/>
  <c r="N57" i="1" s="1"/>
  <c r="I93" i="1"/>
  <c r="H10" i="2"/>
  <c r="D71" i="2"/>
  <c r="J26" i="2"/>
  <c r="D92" i="1"/>
  <c r="B77" i="2" s="1"/>
  <c r="B104" i="2" s="1"/>
  <c r="J6" i="1"/>
  <c r="D71" i="1"/>
  <c r="D12" i="13" l="1"/>
  <c r="H12" i="13" s="1"/>
  <c r="J12" i="13" s="1"/>
  <c r="D12" i="14" s="1"/>
  <c r="H12" i="14" s="1"/>
  <c r="J12" i="14" s="1"/>
  <c r="H12" i="15" s="1"/>
  <c r="J12" i="15" s="1"/>
  <c r="D12" i="16" s="1"/>
  <c r="H12" i="16" s="1"/>
  <c r="J12" i="16" s="1"/>
  <c r="J6" i="12"/>
  <c r="D6" i="13" s="1"/>
  <c r="D24" i="10"/>
  <c r="H24" i="10" s="1"/>
  <c r="J71" i="1"/>
  <c r="J72" i="1"/>
  <c r="J27" i="3"/>
  <c r="D27" i="4" s="1"/>
  <c r="H27" i="4" s="1"/>
  <c r="J27" i="4" s="1"/>
  <c r="D27" i="5" s="1"/>
  <c r="H27" i="5" s="1"/>
  <c r="J27" i="5" s="1"/>
  <c r="D27" i="6" s="1"/>
  <c r="H27" i="6" s="1"/>
  <c r="J27" i="6" s="1"/>
  <c r="D27" i="7" s="1"/>
  <c r="H27" i="7" s="1"/>
  <c r="J27" i="7" s="1"/>
  <c r="D27" i="8" s="1"/>
  <c r="H27" i="8" s="1"/>
  <c r="J27" i="8" s="1"/>
  <c r="D27" i="9" s="1"/>
  <c r="H27" i="9" s="1"/>
  <c r="J27" i="9" s="1"/>
  <c r="D27" i="10" s="1"/>
  <c r="H27" i="10" s="1"/>
  <c r="J27" i="10" s="1"/>
  <c r="D27" i="11" s="1"/>
  <c r="H27" i="11" s="1"/>
  <c r="J27" i="11" s="1"/>
  <c r="D27" i="12" s="1"/>
  <c r="H27" i="12" s="1"/>
  <c r="J27" i="12" s="1"/>
  <c r="D27" i="13" s="1"/>
  <c r="H27" i="13" s="1"/>
  <c r="J27" i="13" s="1"/>
  <c r="D27" i="14" s="1"/>
  <c r="H27" i="14" s="1"/>
  <c r="J27" i="14" s="1"/>
  <c r="D27" i="15" s="1"/>
  <c r="H27" i="15" s="1"/>
  <c r="J27" i="15" s="1"/>
  <c r="D27" i="16" s="1"/>
  <c r="H27" i="16" s="1"/>
  <c r="J27" i="16" s="1"/>
  <c r="D26" i="3"/>
  <c r="H26" i="3" s="1"/>
  <c r="J73" i="2"/>
  <c r="O53" i="2"/>
  <c r="D104" i="2"/>
  <c r="B75" i="3" s="1"/>
  <c r="B108" i="3" s="1"/>
  <c r="J92" i="1"/>
  <c r="H77" i="2" s="1"/>
  <c r="J10" i="2"/>
  <c r="H71" i="2"/>
  <c r="H6" i="13" l="1"/>
  <c r="J24" i="10"/>
  <c r="D24" i="11" s="1"/>
  <c r="H24" i="11" s="1"/>
  <c r="J24" i="11" s="1"/>
  <c r="J71" i="2"/>
  <c r="D71" i="3" s="1"/>
  <c r="D10" i="3"/>
  <c r="H10" i="3" s="1"/>
  <c r="J10" i="3" s="1"/>
  <c r="D10" i="4" s="1"/>
  <c r="F98" i="1"/>
  <c r="K94" i="1"/>
  <c r="D108" i="3"/>
  <c r="J26" i="3"/>
  <c r="D26" i="4" s="1"/>
  <c r="H26" i="4" s="1"/>
  <c r="J26" i="4" s="1"/>
  <c r="D26" i="5" s="1"/>
  <c r="H26" i="5" s="1"/>
  <c r="J26" i="5" s="1"/>
  <c r="D26" i="6" s="1"/>
  <c r="H26" i="6" s="1"/>
  <c r="J26" i="6" s="1"/>
  <c r="D26" i="7" s="1"/>
  <c r="H26" i="7" s="1"/>
  <c r="J26" i="7" s="1"/>
  <c r="D26" i="8" s="1"/>
  <c r="H26" i="8" s="1"/>
  <c r="J26" i="8" s="1"/>
  <c r="D26" i="9" s="1"/>
  <c r="H26" i="9" s="1"/>
  <c r="J26" i="9" s="1"/>
  <c r="D26" i="10" s="1"/>
  <c r="H26" i="10" s="1"/>
  <c r="J26" i="10" s="1"/>
  <c r="D26" i="11" s="1"/>
  <c r="H26" i="11" s="1"/>
  <c r="J26" i="11" s="1"/>
  <c r="D26" i="12" s="1"/>
  <c r="H26" i="12" s="1"/>
  <c r="J26" i="12" s="1"/>
  <c r="D26" i="13" s="1"/>
  <c r="H26" i="13" s="1"/>
  <c r="J26" i="13" s="1"/>
  <c r="D26" i="14" s="1"/>
  <c r="H26" i="14" s="1"/>
  <c r="J26" i="14" s="1"/>
  <c r="D26" i="15" s="1"/>
  <c r="H26" i="15" s="1"/>
  <c r="J26" i="15" s="1"/>
  <c r="D26" i="16" s="1"/>
  <c r="H26" i="16" s="1"/>
  <c r="J26" i="16" s="1"/>
  <c r="J6" i="13" l="1"/>
  <c r="B75" i="4"/>
  <c r="H10" i="4"/>
  <c r="D71" i="4"/>
  <c r="H71" i="3"/>
  <c r="B96" i="4"/>
  <c r="D96" i="4" s="1"/>
  <c r="H104" i="2"/>
  <c r="J104" i="2" s="1"/>
  <c r="J71" i="3"/>
  <c r="H6" i="14" l="1"/>
  <c r="B75" i="5"/>
  <c r="J10" i="4"/>
  <c r="H71" i="4"/>
  <c r="F108" i="2"/>
  <c r="H75" i="3"/>
  <c r="J6" i="14" l="1"/>
  <c r="D6" i="15" s="1"/>
  <c r="B98" i="5"/>
  <c r="D98" i="5" s="1"/>
  <c r="B75" i="6" s="1"/>
  <c r="B109" i="6" s="1"/>
  <c r="D109" i="6" s="1"/>
  <c r="B75" i="7" s="1"/>
  <c r="B106" i="7" s="1"/>
  <c r="D106" i="7" s="1"/>
  <c r="I111" i="7" s="1"/>
  <c r="J71" i="4"/>
  <c r="D10" i="5"/>
  <c r="D71" i="5" s="1"/>
  <c r="H108" i="3"/>
  <c r="J108" i="3" s="1"/>
  <c r="H6" i="15" l="1"/>
  <c r="H75" i="4"/>
  <c r="H96" i="4" s="1"/>
  <c r="J96" i="4" s="1"/>
  <c r="J102" i="4" s="1"/>
  <c r="J103" i="4" s="1"/>
  <c r="I111" i="3"/>
  <c r="K115" i="3"/>
  <c r="L114" i="3" s="1"/>
  <c r="B75" i="8"/>
  <c r="B111" i="8" s="1"/>
  <c r="D111" i="8" s="1"/>
  <c r="H10" i="5"/>
  <c r="J6" i="15" l="1"/>
  <c r="D6" i="16" s="1"/>
  <c r="B75" i="9"/>
  <c r="B103" i="9" s="1"/>
  <c r="D103" i="9" s="1"/>
  <c r="H75" i="5"/>
  <c r="H98" i="5" s="1"/>
  <c r="J98" i="5" s="1"/>
  <c r="J10" i="5"/>
  <c r="H71" i="5"/>
  <c r="H6" i="16" l="1"/>
  <c r="J71" i="5"/>
  <c r="D10" i="6"/>
  <c r="B75" i="10"/>
  <c r="B99" i="10" s="1"/>
  <c r="D99" i="10" s="1"/>
  <c r="B75" i="11" s="1"/>
  <c r="B99" i="11" s="1"/>
  <c r="D99" i="11" s="1"/>
  <c r="B75" i="12" s="1"/>
  <c r="B99" i="12" s="1"/>
  <c r="D99" i="12" s="1"/>
  <c r="B75" i="13" s="1"/>
  <c r="B100" i="13" s="1"/>
  <c r="D100" i="13" s="1"/>
  <c r="B75" i="14" s="1"/>
  <c r="B99" i="14" s="1"/>
  <c r="D99" i="14" s="1"/>
  <c r="B75" i="15" s="1"/>
  <c r="B100" i="15" s="1"/>
  <c r="D100" i="15" s="1"/>
  <c r="B75" i="16" s="1"/>
  <c r="B99" i="16" s="1"/>
  <c r="D99" i="16" s="1"/>
  <c r="H75" i="6"/>
  <c r="H109" i="6" s="1"/>
  <c r="J109" i="6" s="1"/>
  <c r="J6" i="16" l="1"/>
  <c r="H75" i="7"/>
  <c r="H106" i="7" s="1"/>
  <c r="J106" i="7" s="1"/>
  <c r="H10" i="6"/>
  <c r="D71" i="6"/>
  <c r="H75" i="8" l="1"/>
  <c r="H111" i="8" s="1"/>
  <c r="J111" i="8" s="1"/>
  <c r="J10" i="6"/>
  <c r="H71" i="6"/>
  <c r="H75" i="9" l="1"/>
  <c r="H103" i="9" s="1"/>
  <c r="J103" i="9" s="1"/>
  <c r="J71" i="6"/>
  <c r="J112" i="6" s="1"/>
  <c r="I115" i="6" s="1"/>
  <c r="D10" i="7"/>
  <c r="H75" i="10" l="1"/>
  <c r="H99" i="10" s="1"/>
  <c r="J99" i="10" s="1"/>
  <c r="H75" i="11" s="1"/>
  <c r="H99" i="11" s="1"/>
  <c r="J99" i="11" s="1"/>
  <c r="H10" i="7"/>
  <c r="D71" i="7"/>
  <c r="H107" i="11" l="1"/>
  <c r="H75" i="12"/>
  <c r="H99" i="12" s="1"/>
  <c r="J99" i="12" s="1"/>
  <c r="H75" i="13" s="1"/>
  <c r="H100" i="13" s="1"/>
  <c r="J100" i="13" s="1"/>
  <c r="H75" i="14" s="1"/>
  <c r="H99" i="14" s="1"/>
  <c r="J99" i="14" s="1"/>
  <c r="H75" i="15" s="1"/>
  <c r="H107" i="10"/>
  <c r="J10" i="7"/>
  <c r="H71" i="7"/>
  <c r="H100" i="15" l="1"/>
  <c r="J100" i="15" s="1"/>
  <c r="H75" i="16" s="1"/>
  <c r="H99" i="16" s="1"/>
  <c r="J99" i="16" s="1"/>
  <c r="J71" i="7"/>
  <c r="J110" i="7" s="1"/>
  <c r="J112" i="7" s="1"/>
  <c r="D10" i="8"/>
  <c r="H10" i="8" s="1"/>
  <c r="D71" i="8" l="1"/>
  <c r="J10" i="8"/>
  <c r="H71" i="8"/>
  <c r="J71" i="8" l="1"/>
  <c r="J118" i="8" s="1"/>
  <c r="D10" i="9"/>
  <c r="H10" i="9" s="1"/>
  <c r="D71" i="9" l="1"/>
  <c r="J10" i="9"/>
  <c r="J71" i="9" s="1"/>
  <c r="J111" i="9" s="1"/>
  <c r="H71" i="9"/>
  <c r="D10" i="10" l="1"/>
  <c r="H10" i="10" s="1"/>
  <c r="D71" i="10" l="1"/>
  <c r="J10" i="10"/>
  <c r="H71" i="10"/>
  <c r="J71" i="10" l="1"/>
  <c r="J102" i="10" s="1"/>
  <c r="D10" i="11"/>
  <c r="H10" i="11" l="1"/>
  <c r="D71" i="11"/>
  <c r="J10" i="11" l="1"/>
  <c r="H71" i="11"/>
  <c r="J71" i="11" l="1"/>
  <c r="D10" i="12"/>
  <c r="H10" i="12" l="1"/>
  <c r="D71" i="12"/>
  <c r="J10" i="12" l="1"/>
  <c r="H71" i="12"/>
  <c r="D10" i="13" l="1"/>
  <c r="J71" i="12"/>
  <c r="H10" i="13" l="1"/>
  <c r="D71" i="13"/>
  <c r="J10" i="13" l="1"/>
  <c r="H71" i="13"/>
  <c r="D10" i="14" l="1"/>
  <c r="H10" i="14" s="1"/>
  <c r="J71" i="13"/>
  <c r="D71" i="14" s="1"/>
  <c r="J10" i="14" l="1"/>
  <c r="H71" i="14"/>
  <c r="J71" i="14" l="1"/>
  <c r="D10" i="15"/>
  <c r="H10" i="15" l="1"/>
  <c r="D71" i="15"/>
  <c r="J10" i="15" l="1"/>
  <c r="H71" i="15"/>
  <c r="J71" i="15" l="1"/>
  <c r="D10" i="16"/>
  <c r="H10" i="16" l="1"/>
  <c r="D71" i="16"/>
  <c r="J10" i="16" l="1"/>
  <c r="J71" i="16" s="1"/>
  <c r="H71" i="16"/>
</calcChain>
</file>

<file path=xl/sharedStrings.xml><?xml version="1.0" encoding="utf-8"?>
<sst xmlns="http://schemas.openxmlformats.org/spreadsheetml/2006/main" count="3423" uniqueCount="498">
  <si>
    <t xml:space="preserve">RENT STATEMENT </t>
  </si>
  <si>
    <t>FOR THE MONTH OF SEPTEMBER 2020</t>
  </si>
  <si>
    <t>NAME</t>
  </si>
  <si>
    <t>NO</t>
  </si>
  <si>
    <t>DEP BAL</t>
  </si>
  <si>
    <t>B/F</t>
  </si>
  <si>
    <t>RENT</t>
  </si>
  <si>
    <t>WATER</t>
  </si>
  <si>
    <t>GARBAGE</t>
  </si>
  <si>
    <t>DUE BILL</t>
  </si>
  <si>
    <t>PAID</t>
  </si>
  <si>
    <t>BAL</t>
  </si>
  <si>
    <t>ARREARS PAID</t>
  </si>
  <si>
    <t xml:space="preserve">WATER DEPOSIT </t>
  </si>
  <si>
    <t>A 1</t>
  </si>
  <si>
    <t>A 2</t>
  </si>
  <si>
    <t>A 3</t>
  </si>
  <si>
    <t>VACCANT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</si>
  <si>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</si>
  <si>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</si>
  <si>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</si>
  <si>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</si>
  <si>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</si>
  <si>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</si>
  <si>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</si>
  <si>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</si>
  <si>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</si>
  <si>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</si>
  <si>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 xml:space="preserve">TOTAL </t>
  </si>
  <si>
    <t>TOTAL</t>
  </si>
  <si>
    <t>EXPECTED</t>
  </si>
  <si>
    <t xml:space="preserve">DETAILS </t>
  </si>
  <si>
    <t xml:space="preserve">CR </t>
  </si>
  <si>
    <t>DR</t>
  </si>
  <si>
    <t>BL</t>
  </si>
  <si>
    <t>CR</t>
  </si>
  <si>
    <t>SEPTEMBER</t>
  </si>
  <si>
    <t>BF</t>
  </si>
  <si>
    <t>DEPOSIT</t>
  </si>
  <si>
    <t>ARREARS</t>
  </si>
  <si>
    <t>WATER DEPOSIT</t>
  </si>
  <si>
    <t>PAYMENTS</t>
  </si>
  <si>
    <t xml:space="preserve"> </t>
  </si>
  <si>
    <t>COMMISION</t>
  </si>
  <si>
    <t>PREPARED BY</t>
  </si>
  <si>
    <t>APPROVED BY</t>
  </si>
  <si>
    <t xml:space="preserve">RECEIVED  BY </t>
  </si>
  <si>
    <t>FLORENCE</t>
  </si>
  <si>
    <t>GRACE</t>
  </si>
  <si>
    <t>MARIUS OLE PAKINE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</si>
  <si>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</si>
  <si>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</si>
  <si>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</si>
  <si>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</si>
  <si>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</si>
  <si>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</si>
  <si>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</si>
  <si>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</si>
  <si>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</si>
  <si>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</si>
  <si>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</si>
  <si>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</si>
  <si>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</si>
  <si>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</si>
  <si>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</si>
  <si>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</si>
  <si>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</si>
  <si>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</si>
  <si>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</si>
  <si>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</si>
  <si>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</si>
  <si>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</si>
  <si>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</si>
  <si>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</si>
  <si>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</si>
  <si>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</si>
  <si>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</si>
  <si>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</si>
  <si>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</si>
  <si>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</si>
  <si>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</si>
  <si>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</si>
  <si>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</si>
  <si>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</si>
  <si>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</si>
  <si>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</si>
  <si>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</si>
  <si>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</si>
  <si>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</si>
  <si>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</si>
  <si>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</si>
  <si>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</si>
  <si>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</si>
  <si>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</si>
  <si>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</si>
  <si>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</si>
  <si>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</si>
  <si>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</si>
  <si>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</si>
  <si>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</si>
  <si>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</si>
  <si>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</si>
  <si>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KEVIN SIFUNA</t>
  </si>
  <si>
    <t>ISAAC MUNYAKA</t>
  </si>
  <si>
    <t>ASACK PETER</t>
  </si>
  <si>
    <t>TO BE EVICTED</t>
  </si>
  <si>
    <t>FATIMA TUNUU</t>
  </si>
  <si>
    <t>ANDREW NGUGI</t>
  </si>
  <si>
    <t>STORE</t>
  </si>
  <si>
    <t>DAVID ORIKU</t>
  </si>
  <si>
    <t>FELISTER NDUNGE</t>
  </si>
  <si>
    <t>SUSAN NYAMBURA</t>
  </si>
  <si>
    <t>JOSEPH KIMANI</t>
  </si>
  <si>
    <t>BERNARD OCHIENG</t>
  </si>
  <si>
    <t>MERCY WANJIKU</t>
  </si>
  <si>
    <t>BERINGTONE MWAKIDEU</t>
  </si>
  <si>
    <t>EMMA MUGAA</t>
  </si>
  <si>
    <t>CAROLINE GAKII</t>
  </si>
  <si>
    <t>MARIUS</t>
  </si>
  <si>
    <t>EXHAUSTER</t>
  </si>
  <si>
    <t>TOKEN</t>
  </si>
  <si>
    <t>LL</t>
  </si>
  <si>
    <t>DIRECT TO LL</t>
  </si>
  <si>
    <t>NOTHING INSIDE LOCKED WITH 2 PADLOCKS</t>
  </si>
  <si>
    <t>WYCLIFFE KHISA</t>
  </si>
  <si>
    <t>HANNAH MUTHONI</t>
  </si>
  <si>
    <t>JOSAPHATO THONNE</t>
  </si>
  <si>
    <t>URBANUS NDAVI</t>
  </si>
  <si>
    <t>OCTOBER</t>
  </si>
  <si>
    <t>FOR THE MONTH OF OCTOBER 2020</t>
  </si>
  <si>
    <t>SILVESTER BUNDI</t>
  </si>
  <si>
    <t>MESHACK MAMBO</t>
  </si>
  <si>
    <t>DOMINIC NYAGA</t>
  </si>
  <si>
    <t>MAXWEL MUGANDA</t>
  </si>
  <si>
    <t>CARETAKER</t>
  </si>
  <si>
    <t>EVAH NDUNGU</t>
  </si>
  <si>
    <t>LETTING FEE</t>
  </si>
  <si>
    <t>ANDREW KAMAU</t>
  </si>
  <si>
    <t>NDEGWA EDWIN</t>
  </si>
  <si>
    <t>BEATRICE MUTHONI</t>
  </si>
  <si>
    <t>ONGOLA STEPHEN</t>
  </si>
  <si>
    <t>CATHERINE WACHIRA</t>
  </si>
  <si>
    <t>PAID LL</t>
  </si>
  <si>
    <t>LOCKED</t>
  </si>
  <si>
    <t>PLUMBER</t>
  </si>
  <si>
    <t>LOCKED WITH ITEMS</t>
  </si>
  <si>
    <t>LOCKED(2PADLOCKS)</t>
  </si>
  <si>
    <t>28 VACCANT</t>
  </si>
  <si>
    <t>9 YET TO BE CONFIRMED</t>
  </si>
  <si>
    <t>27 CONFIRMED TENANTS</t>
  </si>
  <si>
    <t>1 CARETAKER</t>
  </si>
  <si>
    <t>SHARON CHEBET</t>
  </si>
  <si>
    <t>IAN LEMUSO</t>
  </si>
  <si>
    <t>SASHA ARUNGA</t>
  </si>
  <si>
    <t>PAID FORMER AGENT TILL DEC</t>
  </si>
  <si>
    <t>IVY FAITH KENDI</t>
  </si>
  <si>
    <t>REPAIRED HOUSES</t>
  </si>
  <si>
    <t>A8,A7,G8,A1</t>
  </si>
  <si>
    <t>garbage</t>
  </si>
  <si>
    <t>SHOWER</t>
  </si>
  <si>
    <t>SECURITY</t>
  </si>
  <si>
    <t>SHARON MOMANYI</t>
  </si>
  <si>
    <t>ELI KIMUNTAI</t>
  </si>
  <si>
    <t>PLUMBIN JOB</t>
  </si>
  <si>
    <t>FLOOR TRAP+COMMUNT</t>
  </si>
  <si>
    <t>DEPOSIT,D13,D7,C12,C3B1,A9</t>
  </si>
  <si>
    <t>PAID ON 13/10</t>
  </si>
  <si>
    <t>TOILET</t>
  </si>
  <si>
    <t>CEMENT+SILICON+SAND</t>
  </si>
  <si>
    <t>ELECTICITY</t>
  </si>
  <si>
    <t>PAID ON14/10</t>
  </si>
  <si>
    <t>OYUGI DALMUS</t>
  </si>
  <si>
    <t>RONNIE ODER</t>
  </si>
  <si>
    <t>SHOWER REPAIR</t>
  </si>
  <si>
    <t>DOOR REPAIR</t>
  </si>
  <si>
    <t>NICHOLUS MUNGUYU</t>
  </si>
  <si>
    <t>VIVIAN VINNIE</t>
  </si>
  <si>
    <t>KEN  KIPKEMBOI</t>
  </si>
  <si>
    <t>JOHN MAROA</t>
  </si>
  <si>
    <t>FOR THE MONTH OF NOVEMBER 2020</t>
  </si>
  <si>
    <t>NOVEMBER</t>
  </si>
  <si>
    <t>STEVE TITUS</t>
  </si>
  <si>
    <t>RONNIE ODER0</t>
  </si>
  <si>
    <t xml:space="preserve">KEVIN </t>
  </si>
  <si>
    <t>DANIEL MBITHI</t>
  </si>
  <si>
    <t>KEDINYANG FAITH</t>
  </si>
  <si>
    <t>MIKE/PETER</t>
  </si>
  <si>
    <t>IAN LEMUSO/DAREEN</t>
  </si>
  <si>
    <t>VIVIAN VINNIE/LOUISE</t>
  </si>
  <si>
    <t>RUTH/BEN KIPTOGOM</t>
  </si>
  <si>
    <t>KELVIN NJAU</t>
  </si>
  <si>
    <t>PHILOMENA KIPSEREM</t>
  </si>
  <si>
    <t>FRANCIS MUHORO</t>
  </si>
  <si>
    <t>OLOOLAISER WATER</t>
  </si>
  <si>
    <t>TOSHA PETROLEUM</t>
  </si>
  <si>
    <t>OLOITA</t>
  </si>
  <si>
    <t>JOSEPH KIRUTI DRIVER+LEMARON</t>
  </si>
  <si>
    <t>ELECTICAL REPAIR NARESHO RESTAURANT</t>
  </si>
  <si>
    <t>PLUMBER RESTAURANT</t>
  </si>
  <si>
    <t>SOAP</t>
  </si>
  <si>
    <t>LAPTOP REPAIR</t>
  </si>
  <si>
    <t>CARRYING ITEMS</t>
  </si>
  <si>
    <t>ELECTRICAL MATERIAL</t>
  </si>
  <si>
    <t>DJ NARESHO RESTAURANT</t>
  </si>
  <si>
    <t>BRIAN KAMAU</t>
  </si>
  <si>
    <t>PATRICK MUCHANGI</t>
  </si>
  <si>
    <t>ABDI MOHAMMED</t>
  </si>
  <si>
    <t>ABDI MOHAMMEDON 4/11</t>
  </si>
  <si>
    <t>PAINTS</t>
  </si>
  <si>
    <t>DEP REFUND ISAACA8</t>
  </si>
  <si>
    <t>PAINTING LABOUR</t>
  </si>
  <si>
    <t>PAID ON 12/11</t>
  </si>
  <si>
    <t>OGOLA STEPHEN</t>
  </si>
  <si>
    <t>GIFT  AMUNGA</t>
  </si>
  <si>
    <t>PAID LLTIL DEC</t>
  </si>
  <si>
    <t>PAID LL TILL DEC</t>
  </si>
  <si>
    <t>KEVIN NYAMBU</t>
  </si>
  <si>
    <t>JOSEPH DAVID</t>
  </si>
  <si>
    <t>PAINTing LABOUR</t>
  </si>
  <si>
    <t>PAINT LABOUR</t>
  </si>
  <si>
    <t>PAID ON 12/11-MUTHUI</t>
  </si>
  <si>
    <t>PLUMBING JOB NOVEMBER</t>
  </si>
  <si>
    <t>ELECTRICITY LABOUR</t>
  </si>
  <si>
    <t>PAINTINGLABOUR</t>
  </si>
  <si>
    <t>DJ NARESHO RESTAURANT 14/11</t>
  </si>
  <si>
    <t>PAINTS17/11</t>
  </si>
  <si>
    <t>PAINTINGLABOUR17/11</t>
  </si>
  <si>
    <t>DEPOSIT,D3,D2,C13,C1,A4,A2,A9,D12,D9,D5</t>
  </si>
  <si>
    <t>DEP REFUND ISAAC A8</t>
  </si>
  <si>
    <t>ON DEPOSIT</t>
  </si>
  <si>
    <t>AUCTIONEER ON 19/11</t>
  </si>
  <si>
    <t>LOCKED WIT ITEMS</t>
  </si>
  <si>
    <t>26VACCANT</t>
  </si>
  <si>
    <t>17 WITH ITEMS</t>
  </si>
  <si>
    <t>CARLOS JOHN</t>
  </si>
  <si>
    <t>BRIAN MAIYO</t>
  </si>
  <si>
    <t>FOR THE MONTH OF DECEMBER 2020</t>
  </si>
  <si>
    <t>DECEMBER</t>
  </si>
  <si>
    <t>VAACANT</t>
  </si>
  <si>
    <t>RONNIE ON DEPOSIT</t>
  </si>
  <si>
    <t>MOSQUE WATER</t>
  </si>
  <si>
    <t>ROSE WAHU</t>
  </si>
  <si>
    <t>PAID ON 24/12</t>
  </si>
  <si>
    <t>MALUKI SAMUEL</t>
  </si>
  <si>
    <t>FOR THE MONTH OF JANUARY 2021</t>
  </si>
  <si>
    <t>JANUARY</t>
  </si>
  <si>
    <t>GRACE KABIRU</t>
  </si>
  <si>
    <t>DENNIS NJANJA</t>
  </si>
  <si>
    <t>PETER NDWIGA</t>
  </si>
  <si>
    <t>FLORENCE WANJIRU</t>
  </si>
  <si>
    <t>PLUMBING &amp; OTHER JOBS</t>
  </si>
  <si>
    <t>DJ NARESHO 1/12</t>
  </si>
  <si>
    <t>MOPPER</t>
  </si>
  <si>
    <t>PLUMBER 3/12</t>
  </si>
  <si>
    <t>PAINTS 4/12</t>
  </si>
  <si>
    <t>TOKEN 6/12</t>
  </si>
  <si>
    <t>PLUMBER 7/12</t>
  </si>
  <si>
    <t>PLUMBER 11/12</t>
  </si>
  <si>
    <t>SILANTOI</t>
  </si>
  <si>
    <t>KEVIN MAUNDU</t>
  </si>
  <si>
    <t>PRISCAH WANGUI</t>
  </si>
  <si>
    <t>WESLY MORACHA</t>
  </si>
  <si>
    <t>CHARITY SAMPET</t>
  </si>
  <si>
    <t>GREGORY ORUENJO</t>
  </si>
  <si>
    <t>VINCENT MUTAI</t>
  </si>
  <si>
    <t>DANIEL MBITHI/RONNIE</t>
  </si>
  <si>
    <t>DJ NARESHO+MAINTENANCE</t>
  </si>
  <si>
    <t>ESTHER NJAMBI</t>
  </si>
  <si>
    <t>KELVIN MURIMI</t>
  </si>
  <si>
    <t>JOSEPH NJOROGE</t>
  </si>
  <si>
    <t>JESSE OKOTH</t>
  </si>
  <si>
    <t>PAID ON 13/1</t>
  </si>
  <si>
    <t>TRANSPORTING ITEM</t>
  </si>
  <si>
    <t>DEP REFUND AGNES</t>
  </si>
  <si>
    <t>ELECTRICAL ITEMS</t>
  </si>
  <si>
    <t>DEP REFUND-GIFT</t>
  </si>
  <si>
    <t>DEP REFUND -D1 NGUGI</t>
  </si>
  <si>
    <t>ANDREW D11-VACCATED</t>
  </si>
  <si>
    <t>PAID ON 16/1</t>
  </si>
  <si>
    <t>ELECTRICITY REPAIR</t>
  </si>
  <si>
    <t>DIANA ARUNGA</t>
  </si>
  <si>
    <t>TOKEN-SECURITY LIGHT</t>
  </si>
  <si>
    <t>VINCENT NJOROGE</t>
  </si>
  <si>
    <t>FOR THE MONTH OF FEBRUARY 2021</t>
  </si>
  <si>
    <t>FEBRUARY</t>
  </si>
  <si>
    <t>NTINYARI KENDI</t>
  </si>
  <si>
    <t>FAITH OYUGI</t>
  </si>
  <si>
    <t>DENNIS KAKAI</t>
  </si>
  <si>
    <t>VINCENT  OTIENO</t>
  </si>
  <si>
    <t>RAHAB NYATICHI</t>
  </si>
  <si>
    <t>VERONICA</t>
  </si>
  <si>
    <t>DJ NARESHO</t>
  </si>
  <si>
    <t>GLORIA</t>
  </si>
  <si>
    <t>MILKAH</t>
  </si>
  <si>
    <t>PAID ON 17/2</t>
  </si>
  <si>
    <t xml:space="preserve">JACKLINE </t>
  </si>
  <si>
    <t>MESHACK VACCATED</t>
  </si>
  <si>
    <t>KEVIN NO.D2 VACCATED</t>
  </si>
  <si>
    <t>BONIFACE ATUMA</t>
  </si>
  <si>
    <t>MARCH</t>
  </si>
  <si>
    <t>LOAN</t>
  </si>
  <si>
    <t>NAZRA</t>
  </si>
  <si>
    <t>ELECTRICAL MATERIALS</t>
  </si>
  <si>
    <t>ELECRICITY LABOUR</t>
  </si>
  <si>
    <t>FUSE+LABOUR</t>
  </si>
  <si>
    <t>ABDI ROBA</t>
  </si>
  <si>
    <t>ELVIS OPIYO</t>
  </si>
  <si>
    <t>MARTIN GATHABAI</t>
  </si>
  <si>
    <t>ERICK MUNGAI</t>
  </si>
  <si>
    <t>PAUL ROTICH</t>
  </si>
  <si>
    <t>PAID ON 16/3</t>
  </si>
  <si>
    <t>PAINTING LABOURB11,C5,C3,C12</t>
  </si>
  <si>
    <t>DEP REFUND IAN A8</t>
  </si>
  <si>
    <t>KELVIN D2 DEP REFUND</t>
  </si>
  <si>
    <t>VINCENTDEP REFUND</t>
  </si>
  <si>
    <t>C3 SHARON EVICTED</t>
  </si>
  <si>
    <t>C5 ELI EVICTED</t>
  </si>
  <si>
    <t>RONNIE A2 VACCATED</t>
  </si>
  <si>
    <t>NEW</t>
  </si>
  <si>
    <t>FOR THE MONTH OF MARCH 2021</t>
  </si>
  <si>
    <t>FOR THE MONTH OF APRIL 2021</t>
  </si>
  <si>
    <t>APRIL</t>
  </si>
  <si>
    <t>COST OF CARRYING ITEMS</t>
  </si>
  <si>
    <t xml:space="preserve">PAINTS </t>
  </si>
  <si>
    <t>PAINTS A2,</t>
  </si>
  <si>
    <t>PHIILEMENA C9 VACCATED</t>
  </si>
  <si>
    <t>VACCATED</t>
  </si>
  <si>
    <t>PHILOMENA KIPSEREM/VACCANT</t>
  </si>
  <si>
    <t>SILANTOI/VACCANT</t>
  </si>
  <si>
    <t>SASHA ARUNGA/VACCANT</t>
  </si>
  <si>
    <t>GAKURU PETER</t>
  </si>
  <si>
    <t>JECKONIA OWITI</t>
  </si>
  <si>
    <t>FLORENCE A13 ON DEP(MAR</t>
  </si>
  <si>
    <t>D4 CHARITY VACCATED</t>
  </si>
  <si>
    <t>FLORENCE WANJIRU/VACCANT</t>
  </si>
  <si>
    <t>CHARITY SAMPET/VACCANT</t>
  </si>
  <si>
    <t>SHIFTED TO C12</t>
  </si>
  <si>
    <t>PAID ON  17/4</t>
  </si>
  <si>
    <t>SILANTOI DEP A3(march)</t>
  </si>
  <si>
    <t>FOR THE MONTH OF MAY 2021</t>
  </si>
  <si>
    <t>MAY</t>
  </si>
  <si>
    <t>PAINTS ON3//4</t>
  </si>
  <si>
    <t>TRANSPORT+CARRYING IEMS ON 7/4</t>
  </si>
  <si>
    <t>MOSQUE WATER 10/4</t>
  </si>
  <si>
    <t>PLUMBER ON 21/4</t>
  </si>
  <si>
    <t>DEP REUND GRACE BABIRU C12 23/4</t>
  </si>
  <si>
    <t>DEP REUND BEATRICE MUTHONI A7 23/4</t>
  </si>
  <si>
    <t>PLUMBER 27/04</t>
  </si>
  <si>
    <t>NICHOLUS MUNGUNYU VACCATED ON DEP</t>
  </si>
  <si>
    <t>KEVIN SIFUNA A10 VACCATED ON DEP</t>
  </si>
  <si>
    <t>SASHA C4 DEP MARCH</t>
  </si>
  <si>
    <t>ERICK NDUNGU</t>
  </si>
  <si>
    <t>MARY IRENE</t>
  </si>
  <si>
    <t>RENSON MKALA</t>
  </si>
  <si>
    <t xml:space="preserve">SAMUEL OMUKO/FAITH </t>
  </si>
  <si>
    <t>COLLINS NGUGI</t>
  </si>
  <si>
    <t>KEZIAH BARNO</t>
  </si>
  <si>
    <t>PAID ON 17/5</t>
  </si>
  <si>
    <t>FOR THE MONTH OF JUNE 2021</t>
  </si>
  <si>
    <t>JUNE</t>
  </si>
  <si>
    <t>GITONGA KELVIN</t>
  </si>
  <si>
    <t>JONAH MAINA</t>
  </si>
  <si>
    <t>MARTIN GATHAMBAI</t>
  </si>
  <si>
    <t>DANIEL MUSAU</t>
  </si>
  <si>
    <t>PAID ON 7/12</t>
  </si>
  <si>
    <t>1/5 PLUMBER</t>
  </si>
  <si>
    <t>4/5 PLUMBER</t>
  </si>
  <si>
    <t>4/5 TOKENS</t>
  </si>
  <si>
    <t>13/5 ELVIS G9 DEP REFUND</t>
  </si>
  <si>
    <t>17/5PAINTING LABOUR</t>
  </si>
  <si>
    <t>27/5 PLUMBER</t>
  </si>
  <si>
    <t>8/5 PLUMBER</t>
  </si>
  <si>
    <t>NICHOLUS MUTHURI</t>
  </si>
  <si>
    <t>FRANCIS A11 VACCATED ON DEP</t>
  </si>
  <si>
    <t>JACKLINE NYAKIO</t>
  </si>
  <si>
    <t>BREDAH JEPKURUI</t>
  </si>
  <si>
    <t>NJIRU WINCATE</t>
  </si>
  <si>
    <t>MOHAMMED JUMAA</t>
  </si>
  <si>
    <t>EMMANUEL MWANGI</t>
  </si>
  <si>
    <t>CHRISTABEL AGUTI</t>
  </si>
  <si>
    <t>TO PAY ON 20TH</t>
  </si>
  <si>
    <t>WATER,ELECTRICITY DISCONNECTION</t>
  </si>
  <si>
    <t xml:space="preserve">PAID 5500 </t>
  </si>
  <si>
    <t>29/5 D2,G13  DOOR REPAIR WELDING</t>
  </si>
  <si>
    <t>15/5PAINTSC4,C9,C12,D4,G6,D2,D5,D3,G9</t>
  </si>
  <si>
    <t>PAID ON 16/6</t>
  </si>
  <si>
    <t>PAID ON 17/6</t>
  </si>
  <si>
    <t>MOSQUE  WATER</t>
  </si>
  <si>
    <t>KELVIN MAUNDU DEP REFUND</t>
  </si>
  <si>
    <t>PLUMBER ON 10/6</t>
  </si>
  <si>
    <t>SAMUEL WACHIRA C6 VACCATED ON DEP</t>
  </si>
  <si>
    <t>ANDREW KAMAU D11 VACCATED</t>
  </si>
  <si>
    <t>ASSACK A13 VACCATED</t>
  </si>
  <si>
    <t>MESHACK MAMBO BI</t>
  </si>
  <si>
    <t>KEVIN NYAMBUD2</t>
  </si>
  <si>
    <t>IAN A8 VACCATED</t>
  </si>
  <si>
    <t>VACANT</t>
  </si>
  <si>
    <t>EMILY WANJIKU</t>
  </si>
  <si>
    <t>SUSAN SAMMY</t>
  </si>
  <si>
    <t>SHARON KIILU</t>
  </si>
  <si>
    <t>SHARON D13 VACCATED</t>
  </si>
  <si>
    <t>VACCTED</t>
  </si>
  <si>
    <t>COLLINS D14 VACCATED</t>
  </si>
  <si>
    <t>JOSEPH NOB 5 VACCATED</t>
  </si>
  <si>
    <t>IMMACULATE AKOTH</t>
  </si>
  <si>
    <t>BRIAN OUMA</t>
  </si>
  <si>
    <t>PAID ON 17/7</t>
  </si>
  <si>
    <t>FOR THE MONTH OF JULY 2021</t>
  </si>
  <si>
    <t>JULY</t>
  </si>
  <si>
    <t>DEPOSIT REFUND G8 SUSAN</t>
  </si>
  <si>
    <t>HALIMA MOHAMMED</t>
  </si>
  <si>
    <t>JECINTA</t>
  </si>
  <si>
    <t>FOR THE MONTH OF AUGUST 2021</t>
  </si>
  <si>
    <t>AUGUST</t>
  </si>
  <si>
    <t>DEPOSIT REFUND WINCATE</t>
  </si>
  <si>
    <t>DEPOSIT REFUND WINCATEON 2/8</t>
  </si>
  <si>
    <t>KEVIN B6 VACCATED</t>
  </si>
  <si>
    <t>COLLINS MAINA</t>
  </si>
  <si>
    <t>EVERYNE POSE</t>
  </si>
  <si>
    <t>DAVID VACCATED</t>
  </si>
  <si>
    <t>PAID ON 18/8</t>
  </si>
  <si>
    <t>FOR THE MONTH OF SEPTEMBER 2021</t>
  </si>
  <si>
    <t>CHRISTINE KWAMBOKA</t>
  </si>
  <si>
    <t>FESTUS MUTUA</t>
  </si>
  <si>
    <t>CELESTINE CHWEYA</t>
  </si>
  <si>
    <t>MUTHEE BONIFACE</t>
  </si>
  <si>
    <t>DANIEL CHEGE</t>
  </si>
  <si>
    <t>BETH WANJIKU/SHARON</t>
  </si>
  <si>
    <t>JOSEPH NDUNGU</t>
  </si>
  <si>
    <t>IAN KHATU</t>
  </si>
  <si>
    <t>JOSEPH OKAKA</t>
  </si>
  <si>
    <t>JOEL NZIOKA</t>
  </si>
  <si>
    <t>ELTON SIRO</t>
  </si>
  <si>
    <t>HILLARY KAUME</t>
  </si>
  <si>
    <t>DEPOSIT REFUND CHRISTABEL</t>
  </si>
  <si>
    <t>DEPOSIT REFUND KELVIN GITONGA</t>
  </si>
  <si>
    <t>DEP REFUND DANIEL</t>
  </si>
  <si>
    <t>WILSON KARIUKI</t>
  </si>
  <si>
    <t>BONIFACE</t>
  </si>
  <si>
    <t>DAMARIS NJOKI</t>
  </si>
  <si>
    <t>DEP REFUND DANIEL MUSAU</t>
  </si>
  <si>
    <t>OLOORAISER WATER</t>
  </si>
  <si>
    <t>MALUKI D12 VACCATED</t>
  </si>
  <si>
    <t>ELECTRICAL  REPAIRS</t>
  </si>
  <si>
    <t>ANNAH MULEKYE</t>
  </si>
  <si>
    <t>HALIMA RASHID</t>
  </si>
  <si>
    <t>11days</t>
  </si>
  <si>
    <t>11DAYS</t>
  </si>
  <si>
    <t>DZOMBO JOSEPH</t>
  </si>
  <si>
    <t>10 DAYS</t>
  </si>
  <si>
    <t>15DAYS</t>
  </si>
  <si>
    <t>CLEANING OF HOUSES</t>
  </si>
  <si>
    <t>ELECTRICAL  REPAIR MATERIALS</t>
  </si>
  <si>
    <t>ELECTRICAL  REPAIRS LABOUR</t>
  </si>
  <si>
    <t>PAID ON 20/9</t>
  </si>
  <si>
    <t>PAID ON 21/9</t>
  </si>
  <si>
    <t>FOR THE MONTH OF OCTOBER  2021</t>
  </si>
  <si>
    <t xml:space="preserve">OCTOBER </t>
  </si>
  <si>
    <t>BEM NO11 VACCATED</t>
  </si>
  <si>
    <t>DANCAN OCHIENG</t>
  </si>
  <si>
    <t>ERICK MUNGAI A1 VACCATED</t>
  </si>
  <si>
    <t>SABINA NYAGWESO</t>
  </si>
  <si>
    <t>MAINA ANTONY</t>
  </si>
  <si>
    <t>DEPOSIT REFUND MOHAMMED</t>
  </si>
  <si>
    <t>CHRISTINE MASITA</t>
  </si>
  <si>
    <t>ELECTICAL REPAIR PUMP</t>
  </si>
  <si>
    <t>PUMP REPAIR</t>
  </si>
  <si>
    <t>PLUMBER5/10</t>
  </si>
  <si>
    <t>PLUMBER 6/10</t>
  </si>
  <si>
    <t>vaccant</t>
  </si>
  <si>
    <t>PAID ON 19/10 FAMILY BANK</t>
  </si>
  <si>
    <t>PAID ON 19/10 UNAITUS BANK</t>
  </si>
  <si>
    <t>FOR THE MONTH OF NOVEMBER  2021</t>
  </si>
  <si>
    <t>NOV</t>
  </si>
  <si>
    <t>BRIAN MACHARIA</t>
  </si>
  <si>
    <t>BONIFACE D8 EVCTED</t>
  </si>
  <si>
    <t>MUTHEE  B5 VACCATED</t>
  </si>
  <si>
    <t>HARRISON MUNGAI NJERI</t>
  </si>
  <si>
    <t>MILKA VACCATED</t>
  </si>
  <si>
    <t xml:space="preserve">WINGA JOEL </t>
  </si>
  <si>
    <t>BEATRICE</t>
  </si>
  <si>
    <t>PLUMBER 1/11</t>
  </si>
  <si>
    <t>PLUMBER 5/11</t>
  </si>
  <si>
    <t>PAINTS D8+PAITING LABOUR</t>
  </si>
  <si>
    <t>PLUMBER 9/11</t>
  </si>
  <si>
    <t>PLUMBER 11/11</t>
  </si>
  <si>
    <t>PAINTS A7+PAINTING LABOUR</t>
  </si>
  <si>
    <t>PETER WAITHANJI</t>
  </si>
  <si>
    <t>FOR THE MONTH OF DECEMBER  2021</t>
  </si>
  <si>
    <t>PAID ON 17/11</t>
  </si>
  <si>
    <t>KEZIAH C4 VACCATED</t>
  </si>
  <si>
    <t>FESTUS G12 VACCATED</t>
  </si>
  <si>
    <t xml:space="preserve">BONIFACE </t>
  </si>
  <si>
    <t>vaccated</t>
  </si>
  <si>
    <t>DEPOSIT REFUND EVERYLNE</t>
  </si>
  <si>
    <t>DAVIS KARANJA</t>
  </si>
  <si>
    <t>DEPOSIT REFUND Emanuel</t>
  </si>
  <si>
    <t>VICTOR GACHIRA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</si>
</sst>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#,##0.00;\-#,##0.00"/>
    <numFmt numFmtId="166" formatCode="#,##0.0000000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b/>
      <sz val="8"/>
      <name val="Times New Roman"/>
      <family val="1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Times New Roman"/>
      <family val="1"/>
    </font>
    <font>
      <sz val="10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rgb="FF00B0F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name val="Times New Roman"/>
      <family val="1"/>
    </font>
    <font>
      <b/>
      <sz val="18"/>
      <name val="Times New Roman"/>
      <family val="1"/>
    </font>
    <font>
      <sz val="18"/>
      <color rgb="FFFF0000"/>
      <name val="Calibri"/>
      <family val="2"/>
      <scheme val="minor"/>
    </font>
    <font>
      <sz val="18"/>
      <name val="Times New Roman"/>
      <family val="1"/>
    </font>
    <font>
      <b/>
      <sz val="18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Border="1"/>
    <xf numFmtId="0" fontId="5" fillId="0" borderId="1" xfId="0" applyFont="1" applyBorder="1" applyAlignment="1">
      <alignment horizontal="center"/>
    </xf>
    <xf numFmtId="0" fontId="12" fillId="0" borderId="2" xfId="0" applyFont="1" applyBorder="1"/>
    <xf numFmtId="0" fontId="12" fillId="0" borderId="1" xfId="0" applyFont="1" applyBorder="1" applyAlignment="1">
      <alignment horizontal="right"/>
    </xf>
    <xf numFmtId="164" fontId="12" fillId="0" borderId="1" xfId="1" applyNumberFormat="1" applyFont="1" applyBorder="1" applyAlignment="1">
      <alignment horizontal="right"/>
    </xf>
    <xf numFmtId="164" fontId="13" fillId="0" borderId="1" xfId="1" applyNumberFormat="1" applyFont="1" applyBorder="1" applyAlignment="1">
      <alignment horizontal="right"/>
    </xf>
    <xf numFmtId="164" fontId="13" fillId="0" borderId="2" xfId="1" applyNumberFormat="1" applyFont="1" applyBorder="1" applyAlignment="1">
      <alignment horizontal="right"/>
    </xf>
    <xf numFmtId="0" fontId="2" fillId="0" borderId="1" xfId="0" applyFont="1" applyBorder="1"/>
    <xf numFmtId="0" fontId="12" fillId="0" borderId="2" xfId="0" applyFont="1" applyBorder="1" applyAlignment="1">
      <alignment horizontal="right"/>
    </xf>
    <xf numFmtId="164" fontId="5" fillId="0" borderId="0" xfId="0" applyNumberFormat="1" applyFont="1"/>
    <xf numFmtId="164" fontId="0" fillId="0" borderId="0" xfId="0" applyNumberFormat="1"/>
    <xf numFmtId="43" fontId="11" fillId="0" borderId="1" xfId="1" applyFont="1" applyBorder="1" applyAlignment="1">
      <alignment horizontal="left"/>
    </xf>
    <xf numFmtId="0" fontId="5" fillId="0" borderId="1" xfId="0" applyFont="1" applyBorder="1"/>
    <xf numFmtId="0" fontId="14" fillId="0" borderId="1" xfId="0" applyFont="1" applyFill="1" applyBorder="1"/>
    <xf numFmtId="164" fontId="12" fillId="0" borderId="3" xfId="0" applyNumberFormat="1" applyFont="1" applyFill="1" applyBorder="1" applyAlignment="1">
      <alignment horizontal="right"/>
    </xf>
    <xf numFmtId="164" fontId="12" fillId="0" borderId="5" xfId="0" applyNumberFormat="1" applyFont="1" applyFill="1" applyBorder="1" applyAlignment="1">
      <alignment horizontal="right"/>
    </xf>
    <xf numFmtId="0" fontId="14" fillId="0" borderId="1" xfId="0" applyFont="1" applyBorder="1"/>
    <xf numFmtId="43" fontId="5" fillId="0" borderId="0" xfId="0" applyNumberFormat="1" applyFont="1"/>
    <xf numFmtId="0" fontId="15" fillId="0" borderId="1" xfId="0" applyFont="1" applyBorder="1"/>
    <xf numFmtId="164" fontId="16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16" fillId="0" borderId="6" xfId="0" applyNumberFormat="1" applyFont="1" applyBorder="1" applyAlignment="1">
      <alignment horizontal="right"/>
    </xf>
    <xf numFmtId="164" fontId="12" fillId="0" borderId="4" xfId="1" applyNumberFormat="1" applyFont="1" applyBorder="1" applyAlignment="1">
      <alignment horizontal="right"/>
    </xf>
    <xf numFmtId="0" fontId="0" fillId="0" borderId="1" xfId="0" applyFont="1" applyBorder="1"/>
    <xf numFmtId="164" fontId="0" fillId="0" borderId="1" xfId="0" applyNumberFormat="1" applyFont="1" applyBorder="1"/>
    <xf numFmtId="165" fontId="17" fillId="0" borderId="1" xfId="0" applyNumberFormat="1" applyFont="1" applyBorder="1"/>
    <xf numFmtId="4" fontId="3" fillId="0" borderId="1" xfId="0" applyNumberFormat="1" applyFont="1" applyBorder="1"/>
    <xf numFmtId="0" fontId="18" fillId="0" borderId="0" xfId="0" applyFont="1"/>
    <xf numFmtId="0" fontId="18" fillId="0" borderId="7" xfId="0" applyFont="1" applyBorder="1"/>
    <xf numFmtId="0" fontId="18" fillId="0" borderId="0" xfId="0" applyFont="1" applyBorder="1"/>
    <xf numFmtId="3" fontId="0" fillId="0" borderId="0" xfId="0" applyNumberFormat="1"/>
    <xf numFmtId="0" fontId="18" fillId="0" borderId="1" xfId="0" applyFont="1" applyBorder="1"/>
    <xf numFmtId="0" fontId="19" fillId="0" borderId="1" xfId="0" applyFont="1" applyBorder="1"/>
    <xf numFmtId="3" fontId="5" fillId="0" borderId="1" xfId="0" applyNumberFormat="1" applyFont="1" applyBorder="1"/>
    <xf numFmtId="164" fontId="5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16" fontId="5" fillId="0" borderId="1" xfId="0" applyNumberFormat="1" applyFont="1" applyBorder="1"/>
    <xf numFmtId="9" fontId="5" fillId="0" borderId="1" xfId="0" applyNumberFormat="1" applyFont="1" applyBorder="1"/>
    <xf numFmtId="14" fontId="18" fillId="0" borderId="1" xfId="0" applyNumberFormat="1" applyFont="1" applyBorder="1"/>
    <xf numFmtId="9" fontId="5" fillId="0" borderId="0" xfId="0" applyNumberFormat="1" applyFont="1"/>
    <xf numFmtId="164" fontId="4" fillId="0" borderId="1" xfId="0" applyNumberFormat="1" applyFont="1" applyBorder="1"/>
    <xf numFmtId="14" fontId="5" fillId="0" borderId="1" xfId="0" applyNumberFormat="1" applyFont="1" applyBorder="1"/>
    <xf numFmtId="3" fontId="18" fillId="0" borderId="1" xfId="0" applyNumberFormat="1" applyFont="1" applyBorder="1"/>
    <xf numFmtId="3" fontId="19" fillId="0" borderId="1" xfId="0" applyNumberFormat="1" applyFont="1" applyBorder="1"/>
    <xf numFmtId="3" fontId="5" fillId="0" borderId="0" xfId="0" applyNumberFormat="1" applyFont="1"/>
    <xf numFmtId="43" fontId="12" fillId="0" borderId="0" xfId="1" applyFont="1" applyFill="1" applyBorder="1"/>
    <xf numFmtId="0" fontId="12" fillId="0" borderId="0" xfId="0" applyFont="1" applyBorder="1"/>
    <xf numFmtId="164" fontId="12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0" fillId="0" borderId="2" xfId="0" applyFont="1" applyBorder="1"/>
    <xf numFmtId="0" fontId="20" fillId="0" borderId="1" xfId="0" applyFont="1" applyBorder="1" applyAlignment="1">
      <alignment horizontal="right"/>
    </xf>
    <xf numFmtId="164" fontId="21" fillId="0" borderId="2" xfId="1" applyNumberFormat="1" applyFont="1" applyBorder="1" applyAlignment="1">
      <alignment horizontal="right"/>
    </xf>
    <xf numFmtId="164" fontId="21" fillId="0" borderId="1" xfId="1" applyNumberFormat="1" applyFont="1" applyBorder="1" applyAlignment="1">
      <alignment horizontal="right"/>
    </xf>
    <xf numFmtId="164" fontId="20" fillId="0" borderId="1" xfId="1" applyNumberFormat="1" applyFont="1" applyBorder="1" applyAlignment="1">
      <alignment horizontal="right"/>
    </xf>
    <xf numFmtId="164" fontId="20" fillId="0" borderId="2" xfId="1" applyNumberFormat="1" applyFont="1" applyBorder="1" applyAlignment="1">
      <alignment horizontal="right"/>
    </xf>
    <xf numFmtId="0" fontId="22" fillId="0" borderId="1" xfId="0" applyFont="1" applyBorder="1"/>
    <xf numFmtId="0" fontId="22" fillId="0" borderId="3" xfId="0" applyFont="1" applyFill="1" applyBorder="1"/>
    <xf numFmtId="0" fontId="23" fillId="0" borderId="1" xfId="0" applyFont="1" applyBorder="1"/>
    <xf numFmtId="0" fontId="23" fillId="0" borderId="1" xfId="0" applyFont="1" applyFill="1" applyBorder="1"/>
    <xf numFmtId="0" fontId="23" fillId="0" borderId="3" xfId="0" applyFont="1" applyFill="1" applyBorder="1"/>
    <xf numFmtId="0" fontId="11" fillId="0" borderId="1" xfId="0" applyFont="1" applyFill="1" applyBorder="1"/>
    <xf numFmtId="0" fontId="24" fillId="0" borderId="1" xfId="0" applyFont="1" applyBorder="1"/>
    <xf numFmtId="164" fontId="5" fillId="0" borderId="0" xfId="0" applyNumberFormat="1" applyFont="1" applyBorder="1"/>
    <xf numFmtId="3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43" fontId="5" fillId="0" borderId="1" xfId="0" applyNumberFormat="1" applyFont="1" applyBorder="1"/>
    <xf numFmtId="0" fontId="0" fillId="0" borderId="0" xfId="0" applyFont="1"/>
    <xf numFmtId="164" fontId="13" fillId="0" borderId="8" xfId="1" applyNumberFormat="1" applyFont="1" applyFill="1" applyBorder="1" applyAlignment="1">
      <alignment horizontal="right"/>
    </xf>
    <xf numFmtId="0" fontId="3" fillId="0" borderId="0" xfId="0" applyFont="1"/>
    <xf numFmtId="164" fontId="4" fillId="0" borderId="0" xfId="0" applyNumberFormat="1" applyFont="1"/>
    <xf numFmtId="164" fontId="12" fillId="0" borderId="2" xfId="1" applyNumberFormat="1" applyFont="1" applyBorder="1" applyAlignment="1">
      <alignment horizontal="right"/>
    </xf>
    <xf numFmtId="0" fontId="25" fillId="0" borderId="0" xfId="0" applyFont="1"/>
    <xf numFmtId="0" fontId="7" fillId="0" borderId="0" xfId="0" applyFont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26" fillId="0" borderId="1" xfId="0" applyFont="1" applyBorder="1"/>
    <xf numFmtId="0" fontId="7" fillId="0" borderId="1" xfId="0" applyFont="1" applyBorder="1" applyAlignment="1">
      <alignment horizontal="center"/>
    </xf>
    <xf numFmtId="0" fontId="29" fillId="0" borderId="2" xfId="0" applyFont="1" applyBorder="1"/>
    <xf numFmtId="0" fontId="7" fillId="0" borderId="1" xfId="0" applyFont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7" fillId="0" borderId="2" xfId="1" applyNumberFormat="1" applyFont="1" applyBorder="1" applyAlignment="1">
      <alignment horizontal="right"/>
    </xf>
    <xf numFmtId="0" fontId="7" fillId="0" borderId="1" xfId="0" applyFont="1" applyFill="1" applyBorder="1"/>
    <xf numFmtId="0" fontId="7" fillId="0" borderId="2" xfId="0" applyFont="1" applyBorder="1"/>
    <xf numFmtId="164" fontId="30" fillId="0" borderId="1" xfId="1" applyNumberFormat="1" applyFont="1" applyBorder="1" applyAlignment="1">
      <alignment horizontal="right"/>
    </xf>
    <xf numFmtId="164" fontId="30" fillId="0" borderId="2" xfId="1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6" fillId="0" borderId="3" xfId="0" applyFont="1" applyFill="1" applyBorder="1"/>
    <xf numFmtId="164" fontId="7" fillId="0" borderId="0" xfId="0" applyNumberFormat="1" applyFont="1"/>
    <xf numFmtId="164" fontId="26" fillId="0" borderId="0" xfId="0" applyNumberFormat="1" applyFont="1"/>
    <xf numFmtId="43" fontId="7" fillId="0" borderId="1" xfId="1" applyFont="1" applyBorder="1" applyAlignment="1">
      <alignment horizontal="left"/>
    </xf>
    <xf numFmtId="164" fontId="30" fillId="0" borderId="8" xfId="1" applyNumberFormat="1" applyFont="1" applyFill="1" applyBorder="1" applyAlignment="1">
      <alignment horizontal="right"/>
    </xf>
    <xf numFmtId="0" fontId="7" fillId="0" borderId="1" xfId="0" applyFont="1" applyBorder="1"/>
    <xf numFmtId="164" fontId="7" fillId="0" borderId="3" xfId="0" applyNumberFormat="1" applyFont="1" applyFill="1" applyBorder="1" applyAlignment="1">
      <alignment horizontal="right"/>
    </xf>
    <xf numFmtId="0" fontId="26" fillId="0" borderId="1" xfId="0" applyFont="1" applyFill="1" applyBorder="1"/>
    <xf numFmtId="164" fontId="7" fillId="0" borderId="5" xfId="0" applyNumberFormat="1" applyFont="1" applyFill="1" applyBorder="1" applyAlignment="1">
      <alignment horizontal="right"/>
    </xf>
    <xf numFmtId="43" fontId="7" fillId="0" borderId="0" xfId="0" applyNumberFormat="1" applyFont="1"/>
    <xf numFmtId="0" fontId="29" fillId="0" borderId="1" xfId="0" applyFont="1" applyBorder="1"/>
    <xf numFmtId="0" fontId="6" fillId="0" borderId="1" xfId="0" applyFont="1" applyBorder="1"/>
    <xf numFmtId="164" fontId="6" fillId="0" borderId="2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7" fillId="0" borderId="4" xfId="1" applyNumberFormat="1" applyFont="1" applyBorder="1" applyAlignment="1">
      <alignment horizontal="right"/>
    </xf>
    <xf numFmtId="0" fontId="6" fillId="0" borderId="0" xfId="0" applyFont="1"/>
    <xf numFmtId="0" fontId="6" fillId="0" borderId="7" xfId="0" applyFont="1" applyBorder="1"/>
    <xf numFmtId="0" fontId="6" fillId="0" borderId="0" xfId="0" applyFont="1" applyBorder="1"/>
    <xf numFmtId="0" fontId="31" fillId="0" borderId="1" xfId="0" applyFont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0" fontId="25" fillId="0" borderId="1" xfId="0" applyFont="1" applyBorder="1"/>
    <xf numFmtId="3" fontId="26" fillId="0" borderId="0" xfId="0" applyNumberFormat="1" applyFont="1"/>
    <xf numFmtId="3" fontId="29" fillId="0" borderId="0" xfId="0" applyNumberFormat="1" applyFont="1"/>
    <xf numFmtId="164" fontId="29" fillId="0" borderId="0" xfId="0" applyNumberFormat="1" applyFont="1"/>
    <xf numFmtId="3" fontId="25" fillId="0" borderId="1" xfId="0" applyNumberFormat="1" applyFont="1" applyBorder="1"/>
    <xf numFmtId="16" fontId="7" fillId="0" borderId="1" xfId="0" applyNumberFormat="1" applyFont="1" applyBorder="1"/>
    <xf numFmtId="9" fontId="7" fillId="0" borderId="1" xfId="0" applyNumberFormat="1" applyFont="1" applyBorder="1"/>
    <xf numFmtId="43" fontId="7" fillId="0" borderId="1" xfId="0" applyNumberFormat="1" applyFont="1" applyBorder="1"/>
    <xf numFmtId="14" fontId="7" fillId="0" borderId="1" xfId="0" applyNumberFormat="1" applyFont="1" applyBorder="1"/>
    <xf numFmtId="9" fontId="7" fillId="0" borderId="0" xfId="0" applyNumberFormat="1" applyFont="1"/>
    <xf numFmtId="164" fontId="25" fillId="0" borderId="1" xfId="0" applyNumberFormat="1" applyFont="1" applyBorder="1"/>
    <xf numFmtId="14" fontId="6" fillId="0" borderId="1" xfId="0" applyNumberFormat="1" applyFont="1" applyBorder="1"/>
    <xf numFmtId="164" fontId="7" fillId="0" borderId="0" xfId="0" applyNumberFormat="1" applyFont="1" applyBorder="1"/>
    <xf numFmtId="3" fontId="6" fillId="0" borderId="1" xfId="0" applyNumberFormat="1" applyFont="1" applyBorder="1"/>
    <xf numFmtId="3" fontId="31" fillId="0" borderId="1" xfId="0" applyNumberFormat="1" applyFont="1" applyBorder="1"/>
    <xf numFmtId="43" fontId="7" fillId="0" borderId="0" xfId="1" applyFont="1" applyFill="1" applyBorder="1"/>
    <xf numFmtId="0" fontId="7" fillId="0" borderId="0" xfId="0" applyFont="1" applyBorder="1"/>
    <xf numFmtId="3" fontId="7" fillId="0" borderId="0" xfId="0" applyNumberFormat="1" applyFont="1"/>
    <xf numFmtId="3" fontId="32" fillId="0" borderId="0" xfId="0" applyNumberFormat="1" applyFont="1"/>
    <xf numFmtId="16" fontId="3" fillId="0" borderId="0" xfId="0" applyNumberFormat="1" applyFont="1"/>
    <xf numFmtId="0" fontId="32" fillId="0" borderId="0" xfId="0" applyFont="1"/>
    <xf numFmtId="164" fontId="7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43" fontId="29" fillId="0" borderId="1" xfId="1" applyFont="1" applyBorder="1" applyAlignment="1">
      <alignment horizontal="left"/>
    </xf>
    <xf numFmtId="0" fontId="25" fillId="0" borderId="1" xfId="0" applyFont="1" applyFill="1" applyBorder="1"/>
    <xf numFmtId="0" fontId="0" fillId="0" borderId="1" xfId="0" applyBorder="1"/>
    <xf numFmtId="14" fontId="0" fillId="0" borderId="0" xfId="0" applyNumberFormat="1"/>
    <xf numFmtId="16" fontId="0" fillId="0" borderId="0" xfId="0" applyNumberFormat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right"/>
    </xf>
    <xf numFmtId="0" fontId="33" fillId="0" borderId="1" xfId="0" applyFont="1" applyBorder="1"/>
    <xf numFmtId="0" fontId="33" fillId="0" borderId="1" xfId="0" applyFont="1" applyBorder="1" applyAlignment="1">
      <alignment horizontal="center"/>
    </xf>
    <xf numFmtId="0" fontId="33" fillId="0" borderId="2" xfId="0" applyFont="1" applyBorder="1"/>
    <xf numFmtId="0" fontId="33" fillId="0" borderId="1" xfId="0" applyFont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29" fillId="0" borderId="1" xfId="0" applyFont="1" applyFill="1" applyBorder="1"/>
    <xf numFmtId="0" fontId="25" fillId="0" borderId="1" xfId="0" applyFont="1" applyBorder="1" applyAlignment="1">
      <alignment horizontal="right"/>
    </xf>
    <xf numFmtId="164" fontId="25" fillId="0" borderId="1" xfId="1" applyNumberFormat="1" applyFont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34" fillId="0" borderId="0" xfId="0" applyFont="1"/>
    <xf numFmtId="0" fontId="25" fillId="0" borderId="2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4" fontId="7" fillId="0" borderId="0" xfId="0" applyNumberFormat="1" applyFont="1"/>
    <xf numFmtId="4" fontId="26" fillId="0" borderId="0" xfId="0" applyNumberFormat="1" applyFont="1"/>
    <xf numFmtId="14" fontId="7" fillId="0" borderId="9" xfId="0" applyNumberFormat="1" applyFont="1" applyBorder="1"/>
    <xf numFmtId="3" fontId="0" fillId="0" borderId="1" xfId="0" applyNumberFormat="1" applyBorder="1"/>
    <xf numFmtId="9" fontId="7" fillId="0" borderId="9" xfId="0" applyNumberFormat="1" applyFont="1" applyBorder="1"/>
    <xf numFmtId="14" fontId="7" fillId="0" borderId="10" xfId="0" applyNumberFormat="1" applyFont="1" applyBorder="1"/>
    <xf numFmtId="9" fontId="7" fillId="0" borderId="10" xfId="0" applyNumberFormat="1" applyFont="1" applyBorder="1"/>
    <xf numFmtId="0" fontId="7" fillId="0" borderId="10" xfId="0" applyFont="1" applyBorder="1"/>
    <xf numFmtId="14" fontId="0" fillId="0" borderId="1" xfId="0" applyNumberFormat="1" applyBorder="1"/>
    <xf numFmtId="3" fontId="26" fillId="0" borderId="1" xfId="0" applyNumberFormat="1" applyFont="1" applyBorder="1"/>
    <xf numFmtId="16" fontId="0" fillId="0" borderId="1" xfId="0" applyNumberFormat="1" applyBorder="1"/>
    <xf numFmtId="9" fontId="7" fillId="0" borderId="0" xfId="0" applyNumberFormat="1" applyFont="1" applyBorder="1"/>
    <xf numFmtId="43" fontId="0" fillId="0" borderId="0" xfId="0" applyNumberFormat="1"/>
    <xf numFmtId="43" fontId="4" fillId="0" borderId="0" xfId="0" applyNumberFormat="1" applyFont="1"/>
    <xf numFmtId="166" fontId="0" fillId="0" borderId="0" xfId="0" applyNumberFormat="1"/>
    <xf numFmtId="4" fontId="0" fillId="0" borderId="0" xfId="0" applyNumberFormat="1"/>
    <xf numFmtId="164" fontId="7" fillId="0" borderId="5" xfId="1" applyNumberFormat="1" applyFont="1" applyFill="1" applyBorder="1" applyAlignment="1">
      <alignment horizontal="right"/>
    </xf>
    <xf numFmtId="14" fontId="7" fillId="2" borderId="1" xfId="0" applyNumberFormat="1" applyFont="1" applyFill="1" applyBorder="1" applyAlignment="1"/>
    <xf numFmtId="9" fontId="7" fillId="2" borderId="1" xfId="0" applyNumberFormat="1" applyFont="1" applyFill="1" applyBorder="1" applyAlignment="1"/>
    <xf numFmtId="0" fontId="26" fillId="2" borderId="1" xfId="0" applyFont="1" applyFill="1" applyBorder="1" applyAlignment="1"/>
    <xf numFmtId="0" fontId="7" fillId="2" borderId="1" xfId="0" applyFont="1" applyFill="1" applyBorder="1" applyAlignment="1"/>
    <xf numFmtId="164" fontId="7" fillId="2" borderId="1" xfId="0" applyNumberFormat="1" applyFont="1" applyFill="1" applyBorder="1" applyAlignment="1"/>
    <xf numFmtId="164" fontId="7" fillId="0" borderId="0" xfId="1" applyNumberFormat="1" applyFont="1" applyBorder="1" applyAlignment="1">
      <alignment horizontal="right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vertical="center"/>
    </xf>
    <xf numFmtId="0" fontId="39" fillId="0" borderId="1" xfId="0" applyFont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0" fontId="36" fillId="0" borderId="1" xfId="0" applyFont="1" applyBorder="1"/>
    <xf numFmtId="0" fontId="37" fillId="0" borderId="1" xfId="0" applyFont="1" applyBorder="1" applyAlignment="1">
      <alignment horizontal="center"/>
    </xf>
    <xf numFmtId="0" fontId="41" fillId="0" borderId="2" xfId="0" applyFont="1" applyBorder="1"/>
    <xf numFmtId="0" fontId="37" fillId="0" borderId="1" xfId="0" applyFont="1" applyBorder="1" applyAlignment="1">
      <alignment horizontal="right"/>
    </xf>
    <xf numFmtId="164" fontId="37" fillId="0" borderId="1" xfId="1" applyNumberFormat="1" applyFont="1" applyBorder="1" applyAlignment="1">
      <alignment horizontal="right"/>
    </xf>
    <xf numFmtId="164" fontId="37" fillId="0" borderId="2" xfId="1" applyNumberFormat="1" applyFont="1" applyBorder="1" applyAlignment="1">
      <alignment horizontal="right"/>
    </xf>
    <xf numFmtId="0" fontId="37" fillId="0" borderId="1" xfId="0" applyFont="1" applyFill="1" applyBorder="1"/>
    <xf numFmtId="0" fontId="37" fillId="0" borderId="2" xfId="0" applyFont="1" applyBorder="1"/>
    <xf numFmtId="164" fontId="42" fillId="0" borderId="1" xfId="1" applyNumberFormat="1" applyFont="1" applyBorder="1" applyAlignment="1">
      <alignment horizontal="right"/>
    </xf>
    <xf numFmtId="164" fontId="42" fillId="0" borderId="2" xfId="1" applyNumberFormat="1" applyFont="1" applyBorder="1" applyAlignment="1">
      <alignment horizontal="right"/>
    </xf>
    <xf numFmtId="164" fontId="41" fillId="0" borderId="1" xfId="1" applyNumberFormat="1" applyFont="1" applyBorder="1" applyAlignment="1">
      <alignment horizontal="right"/>
    </xf>
    <xf numFmtId="0" fontId="37" fillId="0" borderId="2" xfId="0" applyFont="1" applyBorder="1" applyAlignment="1">
      <alignment horizontal="right"/>
    </xf>
    <xf numFmtId="0" fontId="36" fillId="0" borderId="3" xfId="0" applyFont="1" applyFill="1" applyBorder="1"/>
    <xf numFmtId="0" fontId="37" fillId="0" borderId="1" xfId="0" applyFont="1" applyBorder="1"/>
    <xf numFmtId="43" fontId="37" fillId="0" borderId="1" xfId="1" applyFont="1" applyBorder="1" applyAlignment="1">
      <alignment horizontal="left"/>
    </xf>
    <xf numFmtId="164" fontId="42" fillId="0" borderId="8" xfId="1" applyNumberFormat="1" applyFont="1" applyFill="1" applyBorder="1" applyAlignment="1">
      <alignment horizontal="right"/>
    </xf>
    <xf numFmtId="0" fontId="41" fillId="0" borderId="1" xfId="0" applyFont="1" applyBorder="1"/>
    <xf numFmtId="0" fontId="38" fillId="0" borderId="1" xfId="0" applyFont="1" applyBorder="1" applyAlignment="1">
      <alignment horizontal="center"/>
    </xf>
    <xf numFmtId="0" fontId="38" fillId="0" borderId="2" xfId="0" applyFont="1" applyBorder="1"/>
    <xf numFmtId="164" fontId="36" fillId="0" borderId="0" xfId="0" applyNumberFormat="1" applyFont="1"/>
    <xf numFmtId="164" fontId="35" fillId="0" borderId="1" xfId="1" applyNumberFormat="1" applyFont="1" applyBorder="1" applyAlignment="1">
      <alignment horizontal="right"/>
    </xf>
    <xf numFmtId="164" fontId="37" fillId="0" borderId="0" xfId="1" applyNumberFormat="1" applyFont="1" applyBorder="1" applyAlignment="1">
      <alignment horizontal="right"/>
    </xf>
    <xf numFmtId="0" fontId="38" fillId="0" borderId="1" xfId="0" applyFont="1" applyBorder="1"/>
    <xf numFmtId="164" fontId="38" fillId="0" borderId="2" xfId="0" applyNumberFormat="1" applyFont="1" applyBorder="1" applyAlignment="1">
      <alignment horizontal="right"/>
    </xf>
    <xf numFmtId="164" fontId="37" fillId="0" borderId="1" xfId="0" applyNumberFormat="1" applyFont="1" applyBorder="1" applyAlignment="1">
      <alignment horizontal="right"/>
    </xf>
    <xf numFmtId="164" fontId="38" fillId="0" borderId="1" xfId="0" applyNumberFormat="1" applyFont="1" applyBorder="1" applyAlignment="1">
      <alignment horizontal="right"/>
    </xf>
    <xf numFmtId="0" fontId="38" fillId="0" borderId="0" xfId="0" applyFont="1"/>
    <xf numFmtId="0" fontId="38" fillId="0" borderId="7" xfId="0" applyFont="1" applyBorder="1"/>
    <xf numFmtId="0" fontId="38" fillId="0" borderId="0" xfId="0" applyFont="1" applyBorder="1"/>
    <xf numFmtId="0" fontId="43" fillId="0" borderId="1" xfId="0" applyFont="1" applyBorder="1"/>
    <xf numFmtId="3" fontId="37" fillId="0" borderId="1" xfId="0" applyNumberFormat="1" applyFont="1" applyBorder="1"/>
    <xf numFmtId="164" fontId="37" fillId="0" borderId="1" xfId="0" applyNumberFormat="1" applyFont="1" applyBorder="1"/>
    <xf numFmtId="0" fontId="35" fillId="0" borderId="1" xfId="0" applyFont="1" applyBorder="1"/>
    <xf numFmtId="3" fontId="35" fillId="0" borderId="1" xfId="0" applyNumberFormat="1" applyFont="1" applyBorder="1"/>
    <xf numFmtId="16" fontId="37" fillId="0" borderId="1" xfId="0" applyNumberFormat="1" applyFont="1" applyBorder="1"/>
    <xf numFmtId="9" fontId="37" fillId="0" borderId="1" xfId="0" applyNumberFormat="1" applyFont="1" applyBorder="1"/>
    <xf numFmtId="43" fontId="37" fillId="0" borderId="1" xfId="0" applyNumberFormat="1" applyFont="1" applyBorder="1"/>
    <xf numFmtId="14" fontId="37" fillId="0" borderId="1" xfId="0" applyNumberFormat="1" applyFont="1" applyBorder="1"/>
    <xf numFmtId="9" fontId="37" fillId="0" borderId="0" xfId="0" applyNumberFormat="1" applyFont="1"/>
    <xf numFmtId="164" fontId="35" fillId="0" borderId="1" xfId="0" applyNumberFormat="1" applyFont="1" applyBorder="1"/>
    <xf numFmtId="14" fontId="38" fillId="0" borderId="1" xfId="0" applyNumberFormat="1" applyFont="1" applyBorder="1"/>
    <xf numFmtId="164" fontId="37" fillId="0" borderId="0" xfId="0" applyNumberFormat="1" applyFont="1" applyBorder="1"/>
    <xf numFmtId="164" fontId="37" fillId="0" borderId="0" xfId="0" applyNumberFormat="1" applyFont="1"/>
    <xf numFmtId="14" fontId="37" fillId="2" borderId="1" xfId="0" applyNumberFormat="1" applyFont="1" applyFill="1" applyBorder="1" applyAlignment="1"/>
    <xf numFmtId="9" fontId="37" fillId="2" borderId="1" xfId="0" applyNumberFormat="1" applyFont="1" applyFill="1" applyBorder="1" applyAlignment="1"/>
    <xf numFmtId="0" fontId="36" fillId="2" borderId="1" xfId="0" applyFont="1" applyFill="1" applyBorder="1" applyAlignment="1"/>
    <xf numFmtId="0" fontId="37" fillId="2" borderId="1" xfId="0" applyFont="1" applyFill="1" applyBorder="1" applyAlignment="1"/>
    <xf numFmtId="164" fontId="37" fillId="2" borderId="1" xfId="0" applyNumberFormat="1" applyFont="1" applyFill="1" applyBorder="1" applyAlignment="1"/>
    <xf numFmtId="3" fontId="38" fillId="0" borderId="1" xfId="0" applyNumberFormat="1" applyFont="1" applyBorder="1"/>
    <xf numFmtId="3" fontId="43" fillId="0" borderId="1" xfId="0" applyNumberFormat="1" applyFont="1" applyBorder="1"/>
    <xf numFmtId="43" fontId="37" fillId="0" borderId="0" xfId="1" applyFont="1" applyFill="1" applyBorder="1"/>
    <xf numFmtId="0" fontId="37" fillId="0" borderId="0" xfId="0" applyFont="1" applyBorder="1"/>
    <xf numFmtId="3" fontId="37" fillId="0" borderId="0" xfId="0" applyNumberFormat="1" applyFont="1"/>
    <xf numFmtId="43" fontId="37" fillId="0" borderId="0" xfId="0" applyNumberFormat="1" applyFont="1"/>
    <xf numFmtId="164" fontId="36" fillId="2" borderId="1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DWARD%20MWIRIG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 20"/>
      <sheetName val="JANUARY 21"/>
      <sheetName val="FEBRUARY21"/>
    </sheetNames>
    <sheetDataSet>
      <sheetData sheetId="0">
        <row r="42">
          <cell r="I42">
            <v>32420</v>
          </cell>
        </row>
      </sheetData>
      <sheetData sheetId="1">
        <row r="40">
          <cell r="F40">
            <v>178500</v>
          </cell>
        </row>
      </sheetData>
      <sheetData sheetId="2">
        <row r="40">
          <cell r="F40">
            <v>178500</v>
          </cell>
        </row>
      </sheetData>
      <sheetData sheetId="3">
        <row r="40">
          <cell r="E40">
            <v>178500</v>
          </cell>
        </row>
      </sheetData>
      <sheetData sheetId="4">
        <row r="40">
          <cell r="E40">
            <v>192000</v>
          </cell>
        </row>
      </sheetData>
      <sheetData sheetId="5">
        <row r="40">
          <cell r="G40">
            <v>107700</v>
          </cell>
        </row>
      </sheetData>
      <sheetData sheetId="6">
        <row r="40">
          <cell r="G40">
            <v>111000</v>
          </cell>
        </row>
      </sheetData>
      <sheetData sheetId="7">
        <row r="40">
          <cell r="G40">
            <v>139200</v>
          </cell>
        </row>
      </sheetData>
      <sheetData sheetId="8">
        <row r="40">
          <cell r="G40">
            <v>139200</v>
          </cell>
        </row>
        <row r="72">
          <cell r="D72">
            <v>0</v>
          </cell>
        </row>
      </sheetData>
      <sheetData sheetId="9">
        <row r="40">
          <cell r="E40">
            <v>178300</v>
          </cell>
        </row>
      </sheetData>
      <sheetData sheetId="10">
        <row r="40">
          <cell r="E40">
            <v>173500</v>
          </cell>
        </row>
      </sheetData>
      <sheetData sheetId="11">
        <row r="40">
          <cell r="E40">
            <v>185500</v>
          </cell>
        </row>
      </sheetData>
      <sheetData sheetId="12">
        <row r="40">
          <cell r="E40">
            <v>185500</v>
          </cell>
        </row>
      </sheetData>
      <sheetData sheetId="13">
        <row r="40">
          <cell r="E40">
            <v>197000</v>
          </cell>
        </row>
      </sheetData>
      <sheetData sheetId="14">
        <row r="40">
          <cell r="C4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7" workbookViewId="0">
      <selection activeCell="D52" sqref="D52"/>
    </sheetView>
  </sheetViews>
  <sheetFormatPr defaultRowHeight="15" x14ac:dyDescent="0.25"/>
  <cols>
    <col min="1" max="1" width="17.5703125" customWidth="1"/>
    <col min="2" max="2" width="8" customWidth="1"/>
    <col min="3" max="3" width="9.42578125" customWidth="1"/>
    <col min="4" max="4" width="8.140625" customWidth="1"/>
    <col min="6" max="6" width="7.7109375" customWidth="1"/>
    <col min="11" max="12" width="9.140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5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5" ht="18.75" x14ac:dyDescent="0.3">
      <c r="A4" s="6"/>
      <c r="D4" s="3" t="s">
        <v>1</v>
      </c>
      <c r="E4" s="3"/>
      <c r="G4" s="3"/>
      <c r="H4" s="7"/>
      <c r="I4" s="8"/>
      <c r="J4" s="8"/>
      <c r="K4" s="8"/>
      <c r="L4" s="8"/>
      <c r="M4" s="2"/>
    </row>
    <row r="5" spans="1:15" x14ac:dyDescent="0.25">
      <c r="A5" s="9" t="s">
        <v>2</v>
      </c>
      <c r="B5" s="9" t="s">
        <v>3</v>
      </c>
      <c r="C5" s="9" t="s">
        <v>4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5" x14ac:dyDescent="0.25">
      <c r="A6" s="29" t="s">
        <v>102</v>
      </c>
      <c r="B6" s="62" t="s">
        <v>14</v>
      </c>
      <c r="C6" s="63"/>
      <c r="D6" s="64"/>
      <c r="E6" s="67">
        <v>7000</v>
      </c>
      <c r="F6" s="68"/>
      <c r="G6" s="67">
        <v>150</v>
      </c>
      <c r="H6" s="67">
        <f>D6+E6+F6+G6</f>
        <v>7150</v>
      </c>
      <c r="I6" s="67">
        <v>7000</v>
      </c>
      <c r="J6" s="17">
        <f t="shared" ref="J6:J33" si="0">H6-I6</f>
        <v>150</v>
      </c>
      <c r="K6" s="17"/>
      <c r="L6" s="17"/>
      <c r="M6" s="2" t="s">
        <v>121</v>
      </c>
    </row>
    <row r="7" spans="1:15" x14ac:dyDescent="0.25">
      <c r="A7" s="26" t="s">
        <v>17</v>
      </c>
      <c r="B7" s="14" t="s">
        <v>15</v>
      </c>
      <c r="C7" s="15"/>
      <c r="D7" s="16"/>
      <c r="E7" s="18"/>
      <c r="F7" s="19"/>
      <c r="G7" s="18"/>
      <c r="H7" s="17">
        <f t="shared" ref="H7:H70" si="1">D7+E7+F7+G7</f>
        <v>0</v>
      </c>
      <c r="I7" s="17"/>
      <c r="J7" s="17">
        <f t="shared" si="0"/>
        <v>0</v>
      </c>
      <c r="K7" s="17"/>
      <c r="L7" s="17"/>
      <c r="M7" s="2"/>
    </row>
    <row r="8" spans="1:15" x14ac:dyDescent="0.25">
      <c r="A8" s="26" t="s">
        <v>17</v>
      </c>
      <c r="B8" s="14" t="s">
        <v>16</v>
      </c>
      <c r="C8" s="15"/>
      <c r="D8" s="16"/>
      <c r="E8" s="18"/>
      <c r="F8" s="19"/>
      <c r="G8" s="18"/>
      <c r="H8" s="17">
        <f t="shared" si="1"/>
        <v>0</v>
      </c>
      <c r="I8" s="17"/>
      <c r="J8" s="17">
        <f t="shared" si="0"/>
        <v>0</v>
      </c>
      <c r="K8" s="17"/>
      <c r="L8" s="17"/>
      <c r="M8" s="2"/>
    </row>
    <row r="9" spans="1:15" x14ac:dyDescent="0.25">
      <c r="A9" s="26" t="s">
        <v>17</v>
      </c>
      <c r="B9" s="14" t="s">
        <v>18</v>
      </c>
      <c r="C9" s="15"/>
      <c r="D9" s="16"/>
      <c r="E9" s="16"/>
      <c r="F9" s="21"/>
      <c r="G9" s="18"/>
      <c r="H9" s="17">
        <f t="shared" si="1"/>
        <v>0</v>
      </c>
      <c r="I9" s="17"/>
      <c r="J9" s="17">
        <f t="shared" si="0"/>
        <v>0</v>
      </c>
      <c r="K9" s="17"/>
      <c r="L9" s="17"/>
      <c r="M9" s="2"/>
    </row>
    <row r="10" spans="1:15" x14ac:dyDescent="0.25">
      <c r="A10" s="74" t="s">
        <v>231</v>
      </c>
      <c r="B10" s="14" t="s">
        <v>19</v>
      </c>
      <c r="C10" s="15"/>
      <c r="D10" s="16"/>
      <c r="E10" s="18"/>
      <c r="F10" s="19"/>
      <c r="G10" s="18"/>
      <c r="H10" s="17">
        <f t="shared" si="1"/>
        <v>0</v>
      </c>
      <c r="I10" s="17"/>
      <c r="J10" s="17">
        <f t="shared" si="0"/>
        <v>0</v>
      </c>
      <c r="K10" s="17"/>
      <c r="L10" s="17"/>
      <c r="M10" s="2"/>
    </row>
    <row r="11" spans="1:15" x14ac:dyDescent="0.25">
      <c r="A11" s="70" t="s">
        <v>105</v>
      </c>
      <c r="B11" s="14" t="s">
        <v>20</v>
      </c>
      <c r="C11" s="15"/>
      <c r="D11" s="16"/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</row>
    <row r="12" spans="1:15" x14ac:dyDescent="0.25">
      <c r="A12" s="69" t="s">
        <v>139</v>
      </c>
      <c r="B12" s="14" t="s">
        <v>21</v>
      </c>
      <c r="C12" s="15"/>
      <c r="D12" s="16"/>
      <c r="E12" s="18">
        <v>5500</v>
      </c>
      <c r="F12" s="19">
        <v>150</v>
      </c>
      <c r="G12" s="18">
        <v>150</v>
      </c>
      <c r="H12" s="17">
        <f t="shared" si="1"/>
        <v>5800</v>
      </c>
      <c r="I12" s="17">
        <v>5800</v>
      </c>
      <c r="J12" s="17">
        <f t="shared" si="0"/>
        <v>0</v>
      </c>
      <c r="K12" s="17"/>
      <c r="L12" s="17"/>
      <c r="M12" s="23" t="s">
        <v>121</v>
      </c>
      <c r="O12" t="s">
        <v>232</v>
      </c>
    </row>
    <row r="13" spans="1:15" x14ac:dyDescent="0.25">
      <c r="A13" s="24" t="s">
        <v>103</v>
      </c>
      <c r="B13" s="14" t="s">
        <v>22</v>
      </c>
      <c r="C13" s="15"/>
      <c r="D13" s="16">
        <v>150</v>
      </c>
      <c r="E13" s="18">
        <v>7000</v>
      </c>
      <c r="F13" s="19"/>
      <c r="G13" s="18">
        <v>150</v>
      </c>
      <c r="H13" s="17">
        <f t="shared" si="1"/>
        <v>7300</v>
      </c>
      <c r="I13" s="17">
        <v>7150</v>
      </c>
      <c r="J13" s="17">
        <f t="shared" si="0"/>
        <v>150</v>
      </c>
      <c r="K13" s="17"/>
      <c r="L13" s="17"/>
      <c r="M13" s="22"/>
      <c r="O13" t="s">
        <v>233</v>
      </c>
    </row>
    <row r="14" spans="1:15" x14ac:dyDescent="0.25">
      <c r="A14" s="29" t="s">
        <v>17</v>
      </c>
      <c r="B14" s="14" t="s">
        <v>23</v>
      </c>
      <c r="C14" s="15"/>
      <c r="D14" s="16"/>
      <c r="E14" s="18"/>
      <c r="F14" s="19"/>
      <c r="G14" s="18"/>
      <c r="H14" s="17">
        <f t="shared" si="1"/>
        <v>0</v>
      </c>
      <c r="I14" s="17"/>
      <c r="J14" s="17">
        <f t="shared" si="0"/>
        <v>0</v>
      </c>
      <c r="K14" s="17"/>
      <c r="L14" s="17"/>
      <c r="M14" s="2"/>
    </row>
    <row r="15" spans="1:15" x14ac:dyDescent="0.25">
      <c r="A15" s="29" t="s">
        <v>17</v>
      </c>
      <c r="B15" s="14" t="s">
        <v>24</v>
      </c>
      <c r="C15" s="15"/>
      <c r="D15" s="16"/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/>
    </row>
    <row r="16" spans="1:15" x14ac:dyDescent="0.25">
      <c r="A16" s="29" t="s">
        <v>17</v>
      </c>
      <c r="B16" s="14" t="s">
        <v>25</v>
      </c>
      <c r="C16" s="15"/>
      <c r="D16" s="16"/>
      <c r="E16" s="18"/>
      <c r="F16" s="19"/>
      <c r="G16" s="18"/>
      <c r="H16" s="17">
        <f t="shared" si="1"/>
        <v>0</v>
      </c>
      <c r="I16" s="17"/>
      <c r="J16" s="17">
        <f t="shared" si="0"/>
        <v>0</v>
      </c>
      <c r="K16" s="17"/>
      <c r="L16" s="17"/>
      <c r="M16" s="2"/>
      <c r="O16">
        <f>26+17</f>
        <v>43</v>
      </c>
    </row>
    <row r="17" spans="1:16" x14ac:dyDescent="0.25">
      <c r="A17" s="29" t="s">
        <v>17</v>
      </c>
      <c r="B17" s="14" t="s">
        <v>26</v>
      </c>
      <c r="C17" s="15"/>
      <c r="D17" s="16"/>
      <c r="E17" s="18"/>
      <c r="F17" s="19"/>
      <c r="G17" s="18"/>
      <c r="H17" s="17">
        <f t="shared" si="1"/>
        <v>0</v>
      </c>
      <c r="I17" s="17"/>
      <c r="J17" s="17">
        <f t="shared" si="0"/>
        <v>0</v>
      </c>
      <c r="K17" s="17"/>
      <c r="L17" s="17"/>
      <c r="M17" s="27"/>
    </row>
    <row r="18" spans="1:16" x14ac:dyDescent="0.25">
      <c r="A18" s="13" t="s">
        <v>104</v>
      </c>
      <c r="B18" s="14" t="s">
        <v>27</v>
      </c>
      <c r="C18" s="15"/>
      <c r="D18" s="16">
        <v>13300</v>
      </c>
      <c r="E18" s="18">
        <v>6500</v>
      </c>
      <c r="F18" s="19"/>
      <c r="G18" s="18">
        <v>150</v>
      </c>
      <c r="H18" s="17">
        <f t="shared" si="1"/>
        <v>19950</v>
      </c>
      <c r="I18" s="17"/>
      <c r="J18" s="17">
        <f t="shared" si="0"/>
        <v>19950</v>
      </c>
      <c r="K18" s="17"/>
      <c r="L18" s="17"/>
      <c r="M18" s="22"/>
    </row>
    <row r="19" spans="1:16" x14ac:dyDescent="0.25">
      <c r="A19" s="20" t="s">
        <v>17</v>
      </c>
      <c r="B19" s="14" t="s">
        <v>50</v>
      </c>
      <c r="C19" s="15"/>
      <c r="D19" s="16"/>
      <c r="E19" s="18"/>
      <c r="F19" s="19"/>
      <c r="G19" s="18"/>
      <c r="H19" s="17">
        <f>D19+E19+F19+G19</f>
        <v>0</v>
      </c>
      <c r="I19" s="17"/>
      <c r="J19" s="17">
        <f t="shared" si="0"/>
        <v>0</v>
      </c>
      <c r="K19" s="17"/>
      <c r="L19" s="17"/>
      <c r="M19" s="2"/>
      <c r="P19" s="23">
        <f>J10+E18+E41+E58+E63+E66+E70</f>
        <v>34000</v>
      </c>
    </row>
    <row r="20" spans="1:16" x14ac:dyDescent="0.25">
      <c r="A20" s="26" t="s">
        <v>105</v>
      </c>
      <c r="B20" s="14" t="s">
        <v>51</v>
      </c>
      <c r="C20" s="15"/>
      <c r="D20" s="16"/>
      <c r="E20" s="18"/>
      <c r="F20" s="19"/>
      <c r="G20" s="18"/>
      <c r="H20" s="17">
        <f t="shared" si="1"/>
        <v>0</v>
      </c>
      <c r="I20" s="17"/>
      <c r="J20" s="17">
        <f t="shared" si="0"/>
        <v>0</v>
      </c>
      <c r="K20" s="17"/>
      <c r="L20" s="17"/>
      <c r="M20" s="22"/>
    </row>
    <row r="21" spans="1:16" x14ac:dyDescent="0.25">
      <c r="A21" s="29" t="s">
        <v>17</v>
      </c>
      <c r="B21" s="14" t="s">
        <v>52</v>
      </c>
      <c r="C21" s="15"/>
      <c r="D21" s="16"/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6" x14ac:dyDescent="0.25">
      <c r="A22" s="29" t="s">
        <v>17</v>
      </c>
      <c r="B22" s="14" t="s">
        <v>53</v>
      </c>
      <c r="C22" s="15"/>
      <c r="D22" s="16"/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/>
    </row>
    <row r="23" spans="1:16" x14ac:dyDescent="0.25">
      <c r="A23" s="74" t="s">
        <v>133</v>
      </c>
      <c r="B23" s="14" t="s">
        <v>54</v>
      </c>
      <c r="C23" s="15"/>
      <c r="D23" s="16"/>
      <c r="E23" s="18">
        <v>6500</v>
      </c>
      <c r="F23" s="19"/>
      <c r="G23" s="18">
        <v>150</v>
      </c>
      <c r="H23" s="17">
        <f t="shared" si="1"/>
        <v>6650</v>
      </c>
      <c r="I23" s="17">
        <v>6650</v>
      </c>
      <c r="J23" s="17">
        <f t="shared" si="0"/>
        <v>0</v>
      </c>
      <c r="K23" s="17"/>
      <c r="L23" s="17"/>
      <c r="M23" s="2" t="s">
        <v>121</v>
      </c>
    </row>
    <row r="24" spans="1:16" x14ac:dyDescent="0.25">
      <c r="A24" s="29" t="s">
        <v>17</v>
      </c>
      <c r="B24" s="14" t="s">
        <v>55</v>
      </c>
      <c r="C24" s="15"/>
      <c r="D24" s="16"/>
      <c r="E24" s="18"/>
      <c r="F24" s="19"/>
      <c r="G24" s="18"/>
      <c r="H24" s="17">
        <f t="shared" si="1"/>
        <v>0</v>
      </c>
      <c r="I24" s="17"/>
      <c r="J24" s="17">
        <f t="shared" si="0"/>
        <v>0</v>
      </c>
      <c r="K24" s="17"/>
      <c r="L24" s="17"/>
      <c r="M24" s="2"/>
      <c r="O24" s="23">
        <f>I6+I23+I31+I44+I45+I52+I60+I65+I68+I26</f>
        <v>70050</v>
      </c>
    </row>
    <row r="25" spans="1:16" x14ac:dyDescent="0.25">
      <c r="A25" s="69" t="s">
        <v>123</v>
      </c>
      <c r="B25" s="14" t="s">
        <v>56</v>
      </c>
      <c r="C25" s="15"/>
      <c r="D25" s="16"/>
      <c r="E25" s="18"/>
      <c r="F25" s="19"/>
      <c r="G25" s="18"/>
      <c r="H25" s="17">
        <f t="shared" si="1"/>
        <v>0</v>
      </c>
      <c r="I25" s="17"/>
      <c r="J25" s="17">
        <f t="shared" si="0"/>
        <v>0</v>
      </c>
      <c r="K25" s="17"/>
      <c r="L25" s="17"/>
      <c r="M25" s="2"/>
    </row>
    <row r="26" spans="1:16" x14ac:dyDescent="0.25">
      <c r="A26" s="13" t="s">
        <v>130</v>
      </c>
      <c r="B26" s="14" t="s">
        <v>57</v>
      </c>
      <c r="C26" s="15"/>
      <c r="D26" s="16"/>
      <c r="E26" s="18">
        <v>7000</v>
      </c>
      <c r="F26" s="19">
        <v>150</v>
      </c>
      <c r="G26" s="18">
        <v>150</v>
      </c>
      <c r="H26" s="17">
        <f t="shared" si="1"/>
        <v>7300</v>
      </c>
      <c r="I26" s="17">
        <v>7300</v>
      </c>
      <c r="J26" s="17">
        <f t="shared" si="0"/>
        <v>0</v>
      </c>
      <c r="K26" s="17"/>
      <c r="L26" s="17"/>
      <c r="M26" s="28" t="s">
        <v>142</v>
      </c>
    </row>
    <row r="27" spans="1:16" x14ac:dyDescent="0.25">
      <c r="A27" s="13" t="s">
        <v>132</v>
      </c>
      <c r="B27" s="14" t="s">
        <v>58</v>
      </c>
      <c r="C27" s="15"/>
      <c r="D27" s="16"/>
      <c r="E27" s="18">
        <v>6500</v>
      </c>
      <c r="F27" s="19"/>
      <c r="G27" s="18">
        <v>150</v>
      </c>
      <c r="H27" s="17">
        <f t="shared" si="1"/>
        <v>6650</v>
      </c>
      <c r="I27" s="17">
        <v>6650</v>
      </c>
      <c r="J27" s="17">
        <f t="shared" si="0"/>
        <v>0</v>
      </c>
      <c r="K27" s="17"/>
      <c r="L27" s="17"/>
      <c r="M27" s="28" t="s">
        <v>121</v>
      </c>
    </row>
    <row r="28" spans="1:16" x14ac:dyDescent="0.25">
      <c r="A28" s="69" t="s">
        <v>105</v>
      </c>
      <c r="B28" s="14" t="s">
        <v>59</v>
      </c>
      <c r="C28" s="15"/>
      <c r="D28" s="16"/>
      <c r="E28" s="18"/>
      <c r="F28" s="19"/>
      <c r="G28" s="18"/>
      <c r="H28" s="17">
        <f t="shared" si="1"/>
        <v>0</v>
      </c>
      <c r="I28" s="17"/>
      <c r="J28" s="17">
        <f t="shared" si="0"/>
        <v>0</v>
      </c>
      <c r="K28" s="17"/>
      <c r="L28" s="17"/>
      <c r="M28" s="22" t="s">
        <v>143</v>
      </c>
      <c r="O28" s="23"/>
    </row>
    <row r="29" spans="1:16" x14ac:dyDescent="0.25">
      <c r="A29" s="69" t="s">
        <v>105</v>
      </c>
      <c r="B29" s="14" t="s">
        <v>60</v>
      </c>
      <c r="C29" s="15"/>
      <c r="D29" s="16"/>
      <c r="E29" s="18"/>
      <c r="F29" s="19"/>
      <c r="G29" s="18"/>
      <c r="H29" s="17">
        <f t="shared" si="1"/>
        <v>0</v>
      </c>
      <c r="I29" s="17"/>
      <c r="J29" s="17">
        <f t="shared" si="0"/>
        <v>0</v>
      </c>
      <c r="K29" s="17"/>
      <c r="L29" s="17"/>
      <c r="M29" s="22" t="s">
        <v>143</v>
      </c>
    </row>
    <row r="30" spans="1:16" x14ac:dyDescent="0.25">
      <c r="A30" s="69" t="s">
        <v>105</v>
      </c>
      <c r="B30" s="14" t="s">
        <v>61</v>
      </c>
      <c r="C30" s="15"/>
      <c r="D30" s="16"/>
      <c r="E30" s="18"/>
      <c r="F30" s="19"/>
      <c r="G30" s="18"/>
      <c r="H30" s="17">
        <f t="shared" si="1"/>
        <v>0</v>
      </c>
      <c r="I30" s="17"/>
      <c r="J30" s="17">
        <f t="shared" si="0"/>
        <v>0</v>
      </c>
      <c r="K30" s="17"/>
      <c r="L30" s="17"/>
      <c r="M30" s="22" t="s">
        <v>143</v>
      </c>
      <c r="O30" s="23"/>
    </row>
    <row r="31" spans="1:16" x14ac:dyDescent="0.25">
      <c r="A31" s="13" t="s">
        <v>106</v>
      </c>
      <c r="B31" s="14" t="s">
        <v>62</v>
      </c>
      <c r="C31" s="15"/>
      <c r="D31" s="16"/>
      <c r="E31" s="18">
        <v>6500</v>
      </c>
      <c r="F31" s="65"/>
      <c r="G31" s="18">
        <v>150</v>
      </c>
      <c r="H31" s="67">
        <f t="shared" si="1"/>
        <v>6650</v>
      </c>
      <c r="I31" s="67">
        <v>6500</v>
      </c>
      <c r="J31" s="67">
        <f t="shared" si="0"/>
        <v>150</v>
      </c>
      <c r="K31" s="17"/>
      <c r="L31" s="17"/>
      <c r="M31" s="22" t="s">
        <v>121</v>
      </c>
    </row>
    <row r="32" spans="1:16" x14ac:dyDescent="0.25">
      <c r="A32" s="29" t="s">
        <v>17</v>
      </c>
      <c r="B32" s="14" t="s">
        <v>63</v>
      </c>
      <c r="C32" s="15"/>
      <c r="D32" s="16"/>
      <c r="E32" s="18"/>
      <c r="F32" s="19"/>
      <c r="G32" s="18"/>
      <c r="H32" s="17">
        <f t="shared" si="1"/>
        <v>0</v>
      </c>
      <c r="I32" s="17"/>
      <c r="J32" s="17">
        <f t="shared" si="0"/>
        <v>0</v>
      </c>
      <c r="K32" s="17"/>
      <c r="L32" s="17"/>
      <c r="M32" s="30">
        <f>J32-D32</f>
        <v>0</v>
      </c>
    </row>
    <row r="33" spans="1:15" x14ac:dyDescent="0.25">
      <c r="A33" s="69" t="s">
        <v>105</v>
      </c>
      <c r="B33" s="14" t="s">
        <v>64</v>
      </c>
      <c r="C33" s="15"/>
      <c r="D33" s="16"/>
      <c r="E33" s="18"/>
      <c r="F33" s="19"/>
      <c r="G33" s="18"/>
      <c r="H33" s="17">
        <f t="shared" si="1"/>
        <v>0</v>
      </c>
      <c r="I33" s="17"/>
      <c r="J33" s="17">
        <f t="shared" si="0"/>
        <v>0</v>
      </c>
      <c r="K33" s="17"/>
      <c r="L33" s="17"/>
      <c r="M33" s="22"/>
    </row>
    <row r="34" spans="1:15" x14ac:dyDescent="0.25">
      <c r="A34" s="29" t="s">
        <v>17</v>
      </c>
      <c r="B34" s="14" t="s">
        <v>65</v>
      </c>
      <c r="C34" s="15"/>
      <c r="D34" s="16"/>
      <c r="E34" s="19"/>
      <c r="F34" s="19"/>
      <c r="G34" s="18"/>
      <c r="H34" s="17">
        <f t="shared" si="1"/>
        <v>0</v>
      </c>
      <c r="I34" s="17"/>
      <c r="J34" s="17">
        <f t="shared" ref="J34:J67" si="2">H34-I34</f>
        <v>0</v>
      </c>
      <c r="K34" s="17"/>
      <c r="L34" s="17"/>
      <c r="M34" s="22"/>
    </row>
    <row r="35" spans="1:15" x14ac:dyDescent="0.25">
      <c r="A35" s="69" t="s">
        <v>105</v>
      </c>
      <c r="B35" s="14" t="s">
        <v>66</v>
      </c>
      <c r="C35" s="15"/>
      <c r="D35" s="16"/>
      <c r="E35" s="19"/>
      <c r="F35" s="19"/>
      <c r="G35" s="18"/>
      <c r="H35" s="17">
        <f t="shared" si="1"/>
        <v>0</v>
      </c>
      <c r="I35" s="17"/>
      <c r="J35" s="17">
        <f t="shared" si="2"/>
        <v>0</v>
      </c>
      <c r="K35" s="17"/>
      <c r="L35" s="17"/>
      <c r="M35" s="22"/>
    </row>
    <row r="36" spans="1:15" x14ac:dyDescent="0.25">
      <c r="A36" s="69" t="s">
        <v>105</v>
      </c>
      <c r="B36" s="14" t="s">
        <v>67</v>
      </c>
      <c r="C36" s="15"/>
      <c r="D36" s="16"/>
      <c r="E36" s="19"/>
      <c r="F36" s="19"/>
      <c r="G36" s="18"/>
      <c r="H36" s="17">
        <f t="shared" si="1"/>
        <v>0</v>
      </c>
      <c r="I36" s="17"/>
      <c r="J36" s="17">
        <f t="shared" si="2"/>
        <v>0</v>
      </c>
      <c r="K36" s="17"/>
      <c r="L36" s="17"/>
      <c r="M36" s="22" t="s">
        <v>108</v>
      </c>
    </row>
    <row r="37" spans="1:15" x14ac:dyDescent="0.25">
      <c r="A37" s="13" t="s">
        <v>126</v>
      </c>
      <c r="B37" s="14" t="s">
        <v>68</v>
      </c>
      <c r="C37" s="15"/>
      <c r="D37" s="16"/>
      <c r="E37" s="19">
        <v>7000</v>
      </c>
      <c r="F37" s="19"/>
      <c r="G37" s="18"/>
      <c r="H37" s="17">
        <f t="shared" si="1"/>
        <v>7000</v>
      </c>
      <c r="I37" s="17">
        <v>7000</v>
      </c>
      <c r="J37" s="17">
        <f t="shared" si="2"/>
        <v>0</v>
      </c>
      <c r="K37" s="17"/>
      <c r="L37" s="17"/>
      <c r="M37" s="22"/>
    </row>
    <row r="38" spans="1:15" x14ac:dyDescent="0.25">
      <c r="A38" s="29" t="s">
        <v>17</v>
      </c>
      <c r="B38" s="14" t="s">
        <v>69</v>
      </c>
      <c r="C38" s="15"/>
      <c r="D38" s="16"/>
      <c r="E38" s="19"/>
      <c r="F38" s="19"/>
      <c r="G38" s="18"/>
      <c r="H38" s="17">
        <f t="shared" si="1"/>
        <v>0</v>
      </c>
      <c r="I38" s="17"/>
      <c r="J38" s="17">
        <f t="shared" si="2"/>
        <v>0</v>
      </c>
      <c r="K38" s="17"/>
      <c r="L38" s="17"/>
      <c r="M38" s="22"/>
    </row>
    <row r="39" spans="1:15" x14ac:dyDescent="0.25">
      <c r="A39" s="69" t="s">
        <v>125</v>
      </c>
      <c r="B39" s="14" t="s">
        <v>70</v>
      </c>
      <c r="C39" s="15"/>
      <c r="D39" s="16"/>
      <c r="E39" s="19">
        <v>7000</v>
      </c>
      <c r="F39" s="19">
        <v>150</v>
      </c>
      <c r="G39" s="18">
        <v>150</v>
      </c>
      <c r="H39" s="17">
        <f t="shared" si="1"/>
        <v>7300</v>
      </c>
      <c r="I39" s="17">
        <f>6800</f>
        <v>6800</v>
      </c>
      <c r="J39" s="17">
        <f t="shared" si="2"/>
        <v>500</v>
      </c>
      <c r="K39" s="17"/>
      <c r="L39" s="17"/>
      <c r="M39" s="22"/>
    </row>
    <row r="40" spans="1:15" x14ac:dyDescent="0.25">
      <c r="A40" s="69" t="s">
        <v>105</v>
      </c>
      <c r="B40" s="14" t="s">
        <v>71</v>
      </c>
      <c r="C40" s="15"/>
      <c r="D40" s="16"/>
      <c r="E40" s="19"/>
      <c r="F40" s="19"/>
      <c r="G40" s="18"/>
      <c r="H40" s="17">
        <f t="shared" si="1"/>
        <v>0</v>
      </c>
      <c r="I40" s="17"/>
      <c r="J40" s="17">
        <f t="shared" si="2"/>
        <v>0</v>
      </c>
      <c r="K40" s="17"/>
      <c r="L40" s="17"/>
      <c r="M40" s="22"/>
      <c r="O40">
        <f>D41-7300</f>
        <v>-6300</v>
      </c>
    </row>
    <row r="41" spans="1:15" x14ac:dyDescent="0.25">
      <c r="A41" s="13" t="s">
        <v>127</v>
      </c>
      <c r="B41" s="14" t="s">
        <v>72</v>
      </c>
      <c r="C41" s="15"/>
      <c r="D41" s="16">
        <v>1000</v>
      </c>
      <c r="E41" s="19">
        <v>6500</v>
      </c>
      <c r="F41" s="19"/>
      <c r="G41" s="18"/>
      <c r="H41" s="17">
        <f t="shared" si="1"/>
        <v>7500</v>
      </c>
      <c r="I41" s="17">
        <f>4500</f>
        <v>4500</v>
      </c>
      <c r="J41" s="17">
        <f t="shared" si="2"/>
        <v>3000</v>
      </c>
      <c r="K41" s="17"/>
      <c r="L41" s="17"/>
      <c r="M41" s="22"/>
    </row>
    <row r="42" spans="1:15" x14ac:dyDescent="0.25">
      <c r="A42" s="69" t="s">
        <v>124</v>
      </c>
      <c r="B42" s="14" t="s">
        <v>73</v>
      </c>
      <c r="C42" s="15"/>
      <c r="D42" s="16"/>
      <c r="E42" s="19">
        <v>6500</v>
      </c>
      <c r="F42" s="19"/>
      <c r="G42" s="18"/>
      <c r="H42" s="17">
        <f t="shared" si="1"/>
        <v>6500</v>
      </c>
      <c r="I42" s="17">
        <f>6300</f>
        <v>6300</v>
      </c>
      <c r="J42" s="17">
        <f t="shared" si="2"/>
        <v>200</v>
      </c>
      <c r="K42" s="17"/>
      <c r="L42" s="17"/>
      <c r="M42" s="22">
        <f>E41-I41</f>
        <v>2000</v>
      </c>
    </row>
    <row r="43" spans="1:15" x14ac:dyDescent="0.25">
      <c r="A43" s="29" t="s">
        <v>17</v>
      </c>
      <c r="B43" s="14" t="s">
        <v>74</v>
      </c>
      <c r="C43" s="15"/>
      <c r="D43" s="16"/>
      <c r="E43" s="19"/>
      <c r="F43" s="19"/>
      <c r="G43" s="18"/>
      <c r="H43" s="17">
        <f t="shared" si="1"/>
        <v>0</v>
      </c>
      <c r="I43" s="17"/>
      <c r="J43" s="17">
        <f t="shared" si="2"/>
        <v>0</v>
      </c>
      <c r="K43" s="17"/>
      <c r="L43" s="17"/>
      <c r="M43" s="22"/>
    </row>
    <row r="44" spans="1:15" x14ac:dyDescent="0.25">
      <c r="A44" s="29" t="s">
        <v>117</v>
      </c>
      <c r="B44" s="62" t="s">
        <v>75</v>
      </c>
      <c r="C44" s="63"/>
      <c r="D44" s="64">
        <v>5000</v>
      </c>
      <c r="E44" s="65">
        <v>6500</v>
      </c>
      <c r="F44" s="65">
        <v>150</v>
      </c>
      <c r="G44" s="66">
        <v>150</v>
      </c>
      <c r="H44" s="67">
        <f t="shared" si="1"/>
        <v>11800</v>
      </c>
      <c r="I44" s="67">
        <v>6800</v>
      </c>
      <c r="J44" s="67">
        <f t="shared" si="2"/>
        <v>5000</v>
      </c>
      <c r="K44" s="17"/>
      <c r="L44" s="17"/>
      <c r="M44" s="22" t="s">
        <v>121</v>
      </c>
    </row>
    <row r="45" spans="1:15" x14ac:dyDescent="0.25">
      <c r="A45" s="13" t="s">
        <v>107</v>
      </c>
      <c r="B45" s="14" t="s">
        <v>76</v>
      </c>
      <c r="C45" s="15"/>
      <c r="D45" s="16"/>
      <c r="E45" s="19">
        <v>6500</v>
      </c>
      <c r="F45" s="19">
        <v>300</v>
      </c>
      <c r="G45" s="18">
        <v>150</v>
      </c>
      <c r="H45" s="17">
        <f t="shared" si="1"/>
        <v>6950</v>
      </c>
      <c r="I45" s="17">
        <v>6950</v>
      </c>
      <c r="J45" s="17">
        <f t="shared" si="2"/>
        <v>0</v>
      </c>
      <c r="K45" s="17"/>
      <c r="L45" s="17"/>
      <c r="M45" s="22" t="s">
        <v>121</v>
      </c>
    </row>
    <row r="46" spans="1:15" x14ac:dyDescent="0.25">
      <c r="A46" s="29" t="s">
        <v>17</v>
      </c>
      <c r="B46" s="14" t="s">
        <v>77</v>
      </c>
      <c r="C46" s="15"/>
      <c r="D46" s="16"/>
      <c r="E46" s="19"/>
      <c r="F46" s="19"/>
      <c r="G46" s="18"/>
      <c r="H46" s="17">
        <f t="shared" si="1"/>
        <v>0</v>
      </c>
      <c r="I46" s="17"/>
      <c r="J46" s="17">
        <f t="shared" si="2"/>
        <v>0</v>
      </c>
      <c r="K46" s="17"/>
      <c r="L46" s="17"/>
      <c r="M46" s="22"/>
    </row>
    <row r="47" spans="1:15" x14ac:dyDescent="0.25">
      <c r="A47" s="29" t="s">
        <v>17</v>
      </c>
      <c r="B47" s="14" t="s">
        <v>78</v>
      </c>
      <c r="C47" s="15"/>
      <c r="D47" s="16"/>
      <c r="E47" s="19"/>
      <c r="F47" s="19"/>
      <c r="G47" s="18"/>
      <c r="H47" s="17">
        <f t="shared" si="1"/>
        <v>0</v>
      </c>
      <c r="I47" s="17"/>
      <c r="J47" s="17">
        <f t="shared" si="2"/>
        <v>0</v>
      </c>
      <c r="K47" s="17"/>
      <c r="L47" s="17"/>
      <c r="M47" s="22"/>
      <c r="N47">
        <f>11000+1000+150</f>
        <v>12150</v>
      </c>
    </row>
    <row r="48" spans="1:15" x14ac:dyDescent="0.25">
      <c r="A48" s="69" t="s">
        <v>105</v>
      </c>
      <c r="B48" s="14" t="s">
        <v>79</v>
      </c>
      <c r="C48" s="15"/>
      <c r="D48" s="16"/>
      <c r="E48" s="19"/>
      <c r="F48" s="19"/>
      <c r="G48" s="18"/>
      <c r="H48" s="17">
        <f t="shared" si="1"/>
        <v>0</v>
      </c>
      <c r="I48" s="17"/>
      <c r="J48" s="17">
        <f t="shared" si="2"/>
        <v>0</v>
      </c>
      <c r="K48" s="17"/>
      <c r="L48" s="17"/>
      <c r="M48" s="22"/>
    </row>
    <row r="49" spans="1:15" x14ac:dyDescent="0.25">
      <c r="A49" s="29" t="s">
        <v>108</v>
      </c>
      <c r="B49" s="14" t="s">
        <v>80</v>
      </c>
      <c r="C49" s="15"/>
      <c r="D49" s="16"/>
      <c r="E49" s="19"/>
      <c r="F49" s="19"/>
      <c r="G49" s="18"/>
      <c r="H49" s="17">
        <f t="shared" si="1"/>
        <v>0</v>
      </c>
      <c r="I49" s="17"/>
      <c r="J49" s="17">
        <f t="shared" si="2"/>
        <v>0</v>
      </c>
      <c r="K49" s="17"/>
      <c r="L49" s="17"/>
      <c r="M49" s="22"/>
    </row>
    <row r="50" spans="1:15" x14ac:dyDescent="0.25">
      <c r="A50" s="69" t="s">
        <v>105</v>
      </c>
      <c r="B50" s="14" t="s">
        <v>81</v>
      </c>
      <c r="C50" s="15"/>
      <c r="D50" s="16"/>
      <c r="E50" s="19"/>
      <c r="F50" s="19"/>
      <c r="G50" s="18"/>
      <c r="H50" s="17">
        <f t="shared" si="1"/>
        <v>0</v>
      </c>
      <c r="I50" s="17"/>
      <c r="J50" s="17">
        <f t="shared" si="2"/>
        <v>0</v>
      </c>
      <c r="K50" s="17"/>
      <c r="L50" s="17"/>
      <c r="M50" s="22"/>
    </row>
    <row r="51" spans="1:15" x14ac:dyDescent="0.25">
      <c r="A51" s="69" t="s">
        <v>105</v>
      </c>
      <c r="B51" s="14" t="s">
        <v>82</v>
      </c>
      <c r="C51" s="15"/>
      <c r="D51" s="16"/>
      <c r="E51" s="19"/>
      <c r="F51" s="19"/>
      <c r="G51" s="18"/>
      <c r="H51" s="17">
        <f t="shared" si="1"/>
        <v>0</v>
      </c>
      <c r="I51" s="17"/>
      <c r="J51" s="17">
        <f t="shared" si="2"/>
        <v>0</v>
      </c>
      <c r="K51" s="17"/>
      <c r="L51" s="17"/>
      <c r="M51" s="22">
        <v>5500</v>
      </c>
    </row>
    <row r="52" spans="1:15" x14ac:dyDescent="0.25">
      <c r="A52" s="13" t="s">
        <v>109</v>
      </c>
      <c r="B52" s="14" t="s">
        <v>83</v>
      </c>
      <c r="C52" s="15"/>
      <c r="D52" s="16"/>
      <c r="E52" s="19">
        <v>7000</v>
      </c>
      <c r="F52" s="19"/>
      <c r="G52" s="18">
        <v>150</v>
      </c>
      <c r="H52" s="17">
        <f t="shared" si="1"/>
        <v>7150</v>
      </c>
      <c r="I52" s="17">
        <v>7150</v>
      </c>
      <c r="J52" s="17">
        <f t="shared" si="2"/>
        <v>0</v>
      </c>
      <c r="K52" s="17"/>
      <c r="L52" s="17"/>
      <c r="M52" s="22" t="s">
        <v>121</v>
      </c>
    </row>
    <row r="53" spans="1:15" x14ac:dyDescent="0.25">
      <c r="A53" s="69" t="s">
        <v>105</v>
      </c>
      <c r="B53" s="14" t="s">
        <v>84</v>
      </c>
      <c r="C53" s="15"/>
      <c r="D53" s="16"/>
      <c r="E53" s="19"/>
      <c r="F53" s="19"/>
      <c r="G53" s="18"/>
      <c r="H53" s="17">
        <f t="shared" si="1"/>
        <v>0</v>
      </c>
      <c r="I53" s="17"/>
      <c r="J53" s="17">
        <f t="shared" si="2"/>
        <v>0</v>
      </c>
      <c r="K53" s="17"/>
      <c r="L53" s="17"/>
      <c r="M53" s="22"/>
    </row>
    <row r="54" spans="1:15" x14ac:dyDescent="0.25">
      <c r="A54" s="29" t="s">
        <v>17</v>
      </c>
      <c r="B54" s="14" t="s">
        <v>85</v>
      </c>
      <c r="C54" s="15"/>
      <c r="D54" s="16"/>
      <c r="E54" s="19"/>
      <c r="F54" s="19"/>
      <c r="G54" s="18"/>
      <c r="H54" s="17">
        <f t="shared" si="1"/>
        <v>0</v>
      </c>
      <c r="I54" s="17"/>
      <c r="J54" s="17">
        <f t="shared" si="2"/>
        <v>0</v>
      </c>
      <c r="K54" s="17"/>
      <c r="L54" s="17"/>
      <c r="M54" s="22"/>
    </row>
    <row r="55" spans="1:15" x14ac:dyDescent="0.25">
      <c r="A55" s="29" t="s">
        <v>17</v>
      </c>
      <c r="B55" s="14" t="s">
        <v>86</v>
      </c>
      <c r="C55" s="15"/>
      <c r="D55" s="16"/>
      <c r="E55" s="19"/>
      <c r="F55" s="19"/>
      <c r="G55" s="18"/>
      <c r="H55" s="17">
        <f t="shared" si="1"/>
        <v>0</v>
      </c>
      <c r="I55" s="17"/>
      <c r="J55" s="17">
        <f t="shared" si="2"/>
        <v>0</v>
      </c>
      <c r="K55" s="17"/>
      <c r="L55" s="17"/>
      <c r="M55" s="22"/>
      <c r="N55" s="23">
        <f>I13+I37+I39+I41+I42</f>
        <v>31750</v>
      </c>
    </row>
    <row r="56" spans="1:15" x14ac:dyDescent="0.25">
      <c r="A56" s="29" t="s">
        <v>17</v>
      </c>
      <c r="B56" s="14" t="s">
        <v>87</v>
      </c>
      <c r="C56" s="15"/>
      <c r="D56" s="16"/>
      <c r="E56" s="19"/>
      <c r="F56" s="19"/>
      <c r="G56" s="18"/>
      <c r="H56" s="17">
        <f t="shared" si="1"/>
        <v>0</v>
      </c>
      <c r="I56" s="17"/>
      <c r="J56" s="17">
        <f t="shared" si="2"/>
        <v>0</v>
      </c>
      <c r="K56" s="17"/>
      <c r="L56" s="17"/>
      <c r="M56" s="22"/>
      <c r="N56" s="23">
        <f>N55-I85</f>
        <v>21915</v>
      </c>
    </row>
    <row r="57" spans="1:15" x14ac:dyDescent="0.25">
      <c r="A57" s="29" t="s">
        <v>17</v>
      </c>
      <c r="B57" s="14" t="s">
        <v>88</v>
      </c>
      <c r="C57" s="15"/>
      <c r="D57" s="16"/>
      <c r="E57" s="19"/>
      <c r="F57" s="19"/>
      <c r="G57" s="18"/>
      <c r="H57" s="17">
        <f t="shared" si="1"/>
        <v>0</v>
      </c>
      <c r="I57" s="17"/>
      <c r="J57" s="17">
        <f t="shared" si="2"/>
        <v>0</v>
      </c>
      <c r="K57" s="17"/>
      <c r="L57" s="17"/>
      <c r="M57" s="22"/>
      <c r="N57" s="23">
        <f>N56-I86-I87</f>
        <v>6997</v>
      </c>
    </row>
    <row r="58" spans="1:15" x14ac:dyDescent="0.25">
      <c r="A58" s="13" t="s">
        <v>110</v>
      </c>
      <c r="B58" s="14" t="s">
        <v>89</v>
      </c>
      <c r="C58" s="15"/>
      <c r="D58" s="16"/>
      <c r="E58" s="19">
        <v>7000</v>
      </c>
      <c r="F58" s="19"/>
      <c r="G58" s="18">
        <v>150</v>
      </c>
      <c r="H58" s="17">
        <f t="shared" si="1"/>
        <v>7150</v>
      </c>
      <c r="I58" s="17"/>
      <c r="J58" s="17">
        <f t="shared" si="2"/>
        <v>7150</v>
      </c>
      <c r="K58" s="17"/>
      <c r="L58" s="17"/>
      <c r="M58" s="22"/>
      <c r="O58" s="23">
        <f>H60-6800</f>
        <v>150</v>
      </c>
    </row>
    <row r="59" spans="1:15" x14ac:dyDescent="0.25">
      <c r="A59" s="29" t="s">
        <v>17</v>
      </c>
      <c r="B59" s="14" t="s">
        <v>90</v>
      </c>
      <c r="C59" s="15"/>
      <c r="D59" s="16"/>
      <c r="E59" s="19"/>
      <c r="F59" s="19"/>
      <c r="G59" s="18"/>
      <c r="H59" s="17">
        <f t="shared" si="1"/>
        <v>0</v>
      </c>
      <c r="I59" s="17"/>
      <c r="J59" s="17">
        <f t="shared" si="2"/>
        <v>0</v>
      </c>
      <c r="K59" s="17"/>
      <c r="L59" s="17"/>
      <c r="M59" s="22"/>
    </row>
    <row r="60" spans="1:15" x14ac:dyDescent="0.25">
      <c r="A60" s="13" t="s">
        <v>111</v>
      </c>
      <c r="B60" s="14" t="s">
        <v>91</v>
      </c>
      <c r="C60" s="15"/>
      <c r="D60" s="16"/>
      <c r="E60" s="19">
        <v>6500</v>
      </c>
      <c r="F60" s="19">
        <v>300</v>
      </c>
      <c r="G60" s="18">
        <v>150</v>
      </c>
      <c r="H60" s="17">
        <f t="shared" si="1"/>
        <v>6950</v>
      </c>
      <c r="I60" s="17">
        <v>6950</v>
      </c>
      <c r="J60" s="17">
        <f>H60-I60</f>
        <v>0</v>
      </c>
      <c r="K60" s="17"/>
      <c r="L60" s="17"/>
      <c r="M60" s="2" t="s">
        <v>121</v>
      </c>
    </row>
    <row r="61" spans="1:15" x14ac:dyDescent="0.25">
      <c r="A61" s="20" t="s">
        <v>17</v>
      </c>
      <c r="B61" s="14" t="s">
        <v>92</v>
      </c>
      <c r="C61" s="15"/>
      <c r="D61" s="16"/>
      <c r="E61" s="19"/>
      <c r="F61" s="19"/>
      <c r="G61" s="18"/>
      <c r="H61" s="17">
        <f t="shared" si="1"/>
        <v>0</v>
      </c>
      <c r="I61" s="17"/>
      <c r="J61" s="17">
        <f t="shared" si="2"/>
        <v>0</v>
      </c>
      <c r="K61" s="17"/>
      <c r="L61" s="17"/>
      <c r="M61" s="2"/>
    </row>
    <row r="62" spans="1:15" x14ac:dyDescent="0.25">
      <c r="A62" s="20" t="s">
        <v>17</v>
      </c>
      <c r="B62" s="14" t="s">
        <v>93</v>
      </c>
      <c r="C62" s="15"/>
      <c r="D62" s="16"/>
      <c r="E62" s="19"/>
      <c r="F62" s="19"/>
      <c r="G62" s="18"/>
      <c r="H62" s="17">
        <f t="shared" si="1"/>
        <v>0</v>
      </c>
      <c r="I62" s="17"/>
      <c r="J62" s="17">
        <f t="shared" si="2"/>
        <v>0</v>
      </c>
      <c r="K62" s="17"/>
      <c r="L62" s="17"/>
      <c r="M62" s="2"/>
    </row>
    <row r="63" spans="1:15" x14ac:dyDescent="0.25">
      <c r="A63" s="25" t="s">
        <v>112</v>
      </c>
      <c r="B63" s="14" t="s">
        <v>94</v>
      </c>
      <c r="C63" s="15"/>
      <c r="D63" s="16">
        <v>300</v>
      </c>
      <c r="E63" s="19">
        <v>7000</v>
      </c>
      <c r="F63" s="19"/>
      <c r="G63" s="18"/>
      <c r="H63" s="17">
        <f t="shared" si="1"/>
        <v>7300</v>
      </c>
      <c r="I63" s="17">
        <v>7000</v>
      </c>
      <c r="J63" s="17">
        <f t="shared" si="2"/>
        <v>300</v>
      </c>
      <c r="K63" s="17"/>
      <c r="L63" s="17"/>
      <c r="M63" s="2"/>
    </row>
    <row r="64" spans="1:15" x14ac:dyDescent="0.25">
      <c r="A64" s="48" t="s">
        <v>105</v>
      </c>
      <c r="B64" s="14" t="s">
        <v>95</v>
      </c>
      <c r="C64" s="15"/>
      <c r="D64" s="16"/>
      <c r="E64" s="19"/>
      <c r="F64" s="19"/>
      <c r="G64" s="18"/>
      <c r="H64" s="17">
        <f t="shared" si="1"/>
        <v>0</v>
      </c>
      <c r="I64" s="17"/>
      <c r="J64" s="17">
        <f t="shared" si="2"/>
        <v>0</v>
      </c>
      <c r="K64" s="17"/>
      <c r="L64" s="17"/>
      <c r="M64" s="2"/>
      <c r="N64" s="23"/>
    </row>
    <row r="65" spans="1:15" x14ac:dyDescent="0.25">
      <c r="A65" s="25" t="s">
        <v>113</v>
      </c>
      <c r="B65" s="62" t="s">
        <v>96</v>
      </c>
      <c r="C65" s="63"/>
      <c r="D65" s="64">
        <v>7550</v>
      </c>
      <c r="E65" s="65">
        <v>7000</v>
      </c>
      <c r="F65" s="65"/>
      <c r="G65" s="66">
        <v>150</v>
      </c>
      <c r="H65" s="67">
        <f t="shared" si="1"/>
        <v>14700</v>
      </c>
      <c r="I65" s="67">
        <f>7150</f>
        <v>7150</v>
      </c>
      <c r="J65" s="67">
        <f t="shared" si="2"/>
        <v>7550</v>
      </c>
      <c r="K65" s="17"/>
      <c r="L65" s="17"/>
      <c r="M65" s="2" t="s">
        <v>121</v>
      </c>
    </row>
    <row r="66" spans="1:15" x14ac:dyDescent="0.25">
      <c r="A66" s="25" t="s">
        <v>114</v>
      </c>
      <c r="B66" s="14" t="s">
        <v>97</v>
      </c>
      <c r="C66" s="15"/>
      <c r="D66" s="16"/>
      <c r="E66" s="19"/>
      <c r="F66" s="19"/>
      <c r="G66" s="18"/>
      <c r="H66" s="17">
        <f t="shared" si="1"/>
        <v>0</v>
      </c>
      <c r="I66" s="17"/>
      <c r="J66" s="17">
        <f t="shared" si="2"/>
        <v>0</v>
      </c>
      <c r="K66" s="17"/>
      <c r="L66" s="17"/>
      <c r="M66" s="2" t="s">
        <v>229</v>
      </c>
    </row>
    <row r="67" spans="1:15" x14ac:dyDescent="0.25">
      <c r="A67" s="20" t="s">
        <v>17</v>
      </c>
      <c r="B67" s="14" t="s">
        <v>98</v>
      </c>
      <c r="C67" s="15"/>
      <c r="D67" s="16"/>
      <c r="E67" s="19"/>
      <c r="F67" s="19"/>
      <c r="G67" s="18"/>
      <c r="H67" s="17">
        <f t="shared" si="1"/>
        <v>0</v>
      </c>
      <c r="I67" s="17"/>
      <c r="J67" s="17">
        <f t="shared" si="2"/>
        <v>0</v>
      </c>
      <c r="K67" s="17"/>
      <c r="L67" s="17"/>
      <c r="M67" s="2"/>
    </row>
    <row r="68" spans="1:15" x14ac:dyDescent="0.25">
      <c r="A68" s="25" t="s">
        <v>115</v>
      </c>
      <c r="B68" s="62" t="s">
        <v>99</v>
      </c>
      <c r="C68" s="63"/>
      <c r="D68" s="64">
        <v>1600</v>
      </c>
      <c r="E68" s="65">
        <v>6500</v>
      </c>
      <c r="F68" s="65"/>
      <c r="G68" s="66">
        <v>150</v>
      </c>
      <c r="H68" s="67">
        <f t="shared" si="1"/>
        <v>8250</v>
      </c>
      <c r="I68" s="67">
        <v>7600</v>
      </c>
      <c r="J68" s="67">
        <f>H68-I68</f>
        <v>650</v>
      </c>
      <c r="K68" s="17">
        <v>950</v>
      </c>
      <c r="L68" s="17"/>
      <c r="M68" s="2" t="s">
        <v>121</v>
      </c>
    </row>
    <row r="69" spans="1:15" x14ac:dyDescent="0.25">
      <c r="A69" s="48" t="s">
        <v>105</v>
      </c>
      <c r="B69" s="14" t="s">
        <v>100</v>
      </c>
      <c r="C69" s="15"/>
      <c r="D69" s="16"/>
      <c r="E69" s="19"/>
      <c r="F69" s="19"/>
      <c r="G69" s="18"/>
      <c r="H69" s="17">
        <f t="shared" si="1"/>
        <v>0</v>
      </c>
      <c r="I69" s="17"/>
      <c r="J69" s="17">
        <f>H69-I69</f>
        <v>0</v>
      </c>
      <c r="K69" s="17"/>
      <c r="L69" s="17"/>
      <c r="M69" s="2"/>
    </row>
    <row r="70" spans="1:15" x14ac:dyDescent="0.25">
      <c r="A70" s="13" t="s">
        <v>116</v>
      </c>
      <c r="B70" s="14" t="s">
        <v>101</v>
      </c>
      <c r="C70" s="15"/>
      <c r="D70" s="16"/>
      <c r="E70" s="19">
        <v>7000</v>
      </c>
      <c r="F70" s="19">
        <v>600</v>
      </c>
      <c r="G70" s="18"/>
      <c r="H70" s="17">
        <f t="shared" si="1"/>
        <v>7600</v>
      </c>
      <c r="I70" s="17"/>
      <c r="J70" s="17">
        <f>H70-I70</f>
        <v>7600</v>
      </c>
      <c r="K70" s="17"/>
      <c r="L70" s="17"/>
      <c r="M70" s="2"/>
    </row>
    <row r="71" spans="1:15" x14ac:dyDescent="0.25">
      <c r="A71" s="31" t="s">
        <v>28</v>
      </c>
      <c r="B71" s="25"/>
      <c r="C71" s="15">
        <f t="shared" ref="C71:L71" si="3">SUM(C6:C70)</f>
        <v>0</v>
      </c>
      <c r="D71" s="16">
        <f t="shared" si="3"/>
        <v>28900</v>
      </c>
      <c r="E71" s="32">
        <f t="shared" si="3"/>
        <v>140500</v>
      </c>
      <c r="F71" s="33">
        <f t="shared" si="3"/>
        <v>1800</v>
      </c>
      <c r="G71" s="34">
        <f t="shared" si="3"/>
        <v>2400</v>
      </c>
      <c r="H71" s="35">
        <f t="shared" si="3"/>
        <v>173600</v>
      </c>
      <c r="I71" s="35">
        <f>SUM(I6:I70)</f>
        <v>121250</v>
      </c>
      <c r="J71" s="35">
        <f t="shared" si="3"/>
        <v>52350</v>
      </c>
      <c r="K71" s="35">
        <f t="shared" si="3"/>
        <v>950</v>
      </c>
      <c r="L71" s="35">
        <f t="shared" si="3"/>
        <v>0</v>
      </c>
      <c r="M71" s="2"/>
    </row>
    <row r="72" spans="1:15" x14ac:dyDescent="0.25">
      <c r="A72" s="2"/>
      <c r="B72" s="2"/>
      <c r="D72" s="2"/>
      <c r="E72" s="2"/>
      <c r="F72" s="2"/>
      <c r="G72" s="36"/>
      <c r="H72" s="36"/>
      <c r="I72" s="36"/>
      <c r="J72" s="37">
        <f>E70+G70+E66+G66+E63+G63+E58+G58+E41+G41+J39+G31+E18+G18+E10+J6</f>
        <v>35100</v>
      </c>
      <c r="K72" s="36"/>
      <c r="L72" s="36"/>
      <c r="M72" s="36"/>
      <c r="O72" s="23">
        <f>N55+O80</f>
        <v>114250</v>
      </c>
    </row>
    <row r="73" spans="1:15" x14ac:dyDescent="0.25">
      <c r="B73" s="38"/>
      <c r="C73" s="39"/>
      <c r="D73" s="39"/>
      <c r="E73" s="37"/>
      <c r="F73" s="36"/>
      <c r="G73" s="37"/>
      <c r="H73" s="36"/>
      <c r="L73" s="23">
        <f>E68+G68</f>
        <v>6650</v>
      </c>
      <c r="O73" s="23">
        <f>O72-H76</f>
        <v>-7000</v>
      </c>
    </row>
    <row r="74" spans="1:15" x14ac:dyDescent="0.25">
      <c r="A74" s="40" t="s">
        <v>30</v>
      </c>
      <c r="B74" s="40"/>
      <c r="C74" s="40"/>
      <c r="D74" s="41"/>
      <c r="E74" s="42"/>
      <c r="F74" s="40" t="s">
        <v>10</v>
      </c>
      <c r="G74" s="40"/>
      <c r="H74" s="40"/>
      <c r="I74" s="2"/>
      <c r="J74" s="2"/>
      <c r="K74" s="22">
        <f>E70+E58+J42+2000+E18+500</f>
        <v>23200</v>
      </c>
      <c r="L74" s="84"/>
      <c r="M74" s="43"/>
    </row>
    <row r="75" spans="1:15" x14ac:dyDescent="0.25">
      <c r="A75" s="44" t="s">
        <v>31</v>
      </c>
      <c r="B75" s="44" t="s">
        <v>32</v>
      </c>
      <c r="C75" s="44" t="s">
        <v>33</v>
      </c>
      <c r="D75" s="44" t="s">
        <v>34</v>
      </c>
      <c r="E75" s="44"/>
      <c r="F75" s="44" t="s">
        <v>31</v>
      </c>
      <c r="G75" s="44"/>
      <c r="H75" s="44" t="s">
        <v>35</v>
      </c>
      <c r="I75" s="44" t="s">
        <v>33</v>
      </c>
      <c r="J75" s="44" t="s">
        <v>34</v>
      </c>
      <c r="K75" s="44"/>
      <c r="L75" s="45"/>
      <c r="M75" s="43"/>
    </row>
    <row r="76" spans="1:15" x14ac:dyDescent="0.25">
      <c r="A76" s="25" t="s">
        <v>36</v>
      </c>
      <c r="B76" s="46">
        <f>E71</f>
        <v>140500</v>
      </c>
      <c r="C76" s="25"/>
      <c r="D76" s="25"/>
      <c r="E76" s="25"/>
      <c r="F76" s="25" t="s">
        <v>36</v>
      </c>
      <c r="G76" s="25"/>
      <c r="H76" s="47">
        <f>I71</f>
        <v>121250</v>
      </c>
      <c r="I76" s="25"/>
      <c r="J76" s="25"/>
      <c r="K76" s="25"/>
      <c r="L76" s="48"/>
      <c r="M76" s="43"/>
    </row>
    <row r="77" spans="1:15" x14ac:dyDescent="0.25">
      <c r="A77" s="25" t="s">
        <v>37</v>
      </c>
      <c r="B77" s="46">
        <f>'[1]AUGUST 20'!D72</f>
        <v>0</v>
      </c>
      <c r="C77" s="25"/>
      <c r="D77" s="25"/>
      <c r="E77" s="25"/>
      <c r="F77" s="25" t="s">
        <v>37</v>
      </c>
      <c r="G77" s="25"/>
      <c r="H77" s="46"/>
      <c r="I77" s="25"/>
      <c r="J77" s="25"/>
      <c r="K77" s="25"/>
      <c r="L77" s="48"/>
      <c r="M77" s="23"/>
    </row>
    <row r="78" spans="1:15" x14ac:dyDescent="0.25">
      <c r="A78" s="25" t="s">
        <v>38</v>
      </c>
      <c r="B78" s="46">
        <f>C71</f>
        <v>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23"/>
    </row>
    <row r="79" spans="1:15" x14ac:dyDescent="0.25">
      <c r="A79" s="25" t="s">
        <v>7</v>
      </c>
      <c r="B79" s="46">
        <f>F71</f>
        <v>1800</v>
      </c>
      <c r="C79" s="25"/>
      <c r="D79" s="25"/>
      <c r="E79" s="25"/>
      <c r="F79" s="25"/>
      <c r="G79" s="25"/>
      <c r="H79" s="25"/>
      <c r="I79" s="25"/>
      <c r="J79" s="25"/>
      <c r="K79" s="25"/>
      <c r="L79" s="48"/>
    </row>
    <row r="80" spans="1:15" x14ac:dyDescent="0.25">
      <c r="A80" s="25" t="s">
        <v>39</v>
      </c>
      <c r="B80" s="46">
        <f>K71</f>
        <v>950</v>
      </c>
      <c r="C80" s="25"/>
      <c r="D80" s="25"/>
      <c r="E80" s="25"/>
      <c r="F80" s="25"/>
      <c r="G80" s="25"/>
      <c r="H80" s="25"/>
      <c r="I80" s="25"/>
      <c r="J80" s="25"/>
      <c r="K80" s="25"/>
      <c r="L80" s="48"/>
      <c r="M80" s="43"/>
      <c r="O80" s="23">
        <f>I68+I65+I60+I52+I45+I44+I31+I26+I23+I6+I27+I12</f>
        <v>82500</v>
      </c>
    </row>
    <row r="81" spans="1:14" x14ac:dyDescent="0.25">
      <c r="A81" s="25" t="s">
        <v>8</v>
      </c>
      <c r="B81" s="46">
        <f>G71</f>
        <v>2400</v>
      </c>
      <c r="C81" s="25"/>
      <c r="D81" s="25"/>
      <c r="E81" s="25"/>
      <c r="F81" s="25" t="s">
        <v>40</v>
      </c>
      <c r="G81" s="25"/>
      <c r="H81" s="25"/>
      <c r="I81" s="25"/>
      <c r="J81" s="25"/>
      <c r="K81" s="25"/>
      <c r="L81" s="48"/>
      <c r="M81" s="43"/>
    </row>
    <row r="82" spans="1:14" x14ac:dyDescent="0.25">
      <c r="A82" s="25"/>
      <c r="B82" s="46"/>
      <c r="C82" s="25"/>
      <c r="D82" s="25"/>
      <c r="E82" s="25"/>
      <c r="F82" s="25"/>
      <c r="G82" s="46"/>
      <c r="J82" s="25"/>
      <c r="K82" s="25"/>
      <c r="L82" s="48"/>
    </row>
    <row r="83" spans="1:14" x14ac:dyDescent="0.25">
      <c r="A83" s="25" t="s">
        <v>40</v>
      </c>
      <c r="B83" s="47">
        <f>L71</f>
        <v>0</v>
      </c>
      <c r="C83" s="46"/>
      <c r="D83" s="25"/>
      <c r="E83" s="25"/>
      <c r="F83" s="25"/>
      <c r="G83" s="25"/>
      <c r="H83" s="25"/>
      <c r="I83" s="46"/>
      <c r="J83" s="46"/>
      <c r="K83" s="46"/>
      <c r="L83" s="49"/>
    </row>
    <row r="84" spans="1:14" x14ac:dyDescent="0.25">
      <c r="A84" s="44" t="s">
        <v>41</v>
      </c>
      <c r="B84" s="25" t="s">
        <v>42</v>
      </c>
      <c r="C84" s="25"/>
      <c r="D84" s="25"/>
      <c r="E84" s="25"/>
      <c r="F84" s="44" t="s">
        <v>41</v>
      </c>
      <c r="G84" s="44"/>
      <c r="H84" s="44"/>
      <c r="I84" s="25"/>
      <c r="J84" s="25"/>
      <c r="K84" s="25"/>
      <c r="L84" s="48"/>
    </row>
    <row r="85" spans="1:14" x14ac:dyDescent="0.25">
      <c r="A85" s="50" t="s">
        <v>43</v>
      </c>
      <c r="B85" s="51">
        <v>7.0000000000000007E-2</v>
      </c>
      <c r="C85" s="47">
        <f>B85*E71</f>
        <v>9835.0000000000018</v>
      </c>
      <c r="D85" s="25"/>
      <c r="E85" s="25"/>
      <c r="F85" s="50" t="s">
        <v>43</v>
      </c>
      <c r="G85" s="50"/>
      <c r="H85" s="51">
        <v>7.0000000000000007E-2</v>
      </c>
      <c r="I85" s="47">
        <f>H85*E71</f>
        <v>9835.0000000000018</v>
      </c>
      <c r="J85" s="25"/>
      <c r="K85" s="25"/>
      <c r="L85" s="48"/>
      <c r="M85" s="43"/>
      <c r="N85" s="23"/>
    </row>
    <row r="86" spans="1:14" x14ac:dyDescent="0.25">
      <c r="A86" s="55" t="s">
        <v>119</v>
      </c>
      <c r="B86" s="53"/>
      <c r="C86">
        <f>5061+7000</f>
        <v>12061</v>
      </c>
      <c r="D86" s="47"/>
      <c r="E86" s="47"/>
      <c r="F86" s="55" t="s">
        <v>119</v>
      </c>
      <c r="G86" s="53"/>
      <c r="I86">
        <v>12061</v>
      </c>
      <c r="K86" s="47"/>
      <c r="L86" s="54"/>
      <c r="N86" s="23"/>
    </row>
    <row r="87" spans="1:14" x14ac:dyDescent="0.25">
      <c r="A87" s="52" t="s">
        <v>120</v>
      </c>
      <c r="B87" s="51"/>
      <c r="C87" s="47">
        <f>1500+1034+323</f>
        <v>2857</v>
      </c>
      <c r="D87" s="25"/>
      <c r="E87" s="25"/>
      <c r="F87" s="52" t="s">
        <v>120</v>
      </c>
      <c r="G87" s="51"/>
      <c r="H87" s="47"/>
      <c r="I87" s="47">
        <f>1500+1034+323</f>
        <v>2857</v>
      </c>
      <c r="J87" s="25"/>
      <c r="K87" s="25"/>
      <c r="L87" s="48"/>
    </row>
    <row r="88" spans="1:14" x14ac:dyDescent="0.25">
      <c r="A88" s="25" t="s">
        <v>122</v>
      </c>
      <c r="B88" s="25"/>
      <c r="C88" s="22">
        <f>I68+I45+I27+I26+I23+I65+I44+I31+I6+I60+I52+I12+I63</f>
        <v>89500</v>
      </c>
      <c r="D88" s="25"/>
      <c r="E88" s="25"/>
      <c r="F88" s="25" t="s">
        <v>122</v>
      </c>
      <c r="G88" s="25"/>
      <c r="H88" s="22"/>
      <c r="I88" s="22">
        <f>C88</f>
        <v>89500</v>
      </c>
      <c r="J88" s="25"/>
      <c r="K88" s="25"/>
      <c r="L88" s="48"/>
    </row>
    <row r="89" spans="1:14" x14ac:dyDescent="0.25">
      <c r="A89" s="25" t="s">
        <v>158</v>
      </c>
      <c r="B89" s="25"/>
      <c r="C89" s="22">
        <v>3000</v>
      </c>
      <c r="D89" s="25"/>
      <c r="E89" s="25"/>
      <c r="F89" s="25" t="s">
        <v>158</v>
      </c>
      <c r="G89" s="25"/>
      <c r="H89" s="22"/>
      <c r="I89" s="22">
        <v>3000</v>
      </c>
      <c r="J89" s="25"/>
      <c r="K89" s="25"/>
      <c r="L89" s="48"/>
    </row>
    <row r="90" spans="1:14" x14ac:dyDescent="0.25">
      <c r="A90" s="25"/>
      <c r="B90" s="25"/>
      <c r="C90" s="22"/>
      <c r="D90" s="25"/>
      <c r="E90" s="25"/>
      <c r="F90" s="25"/>
      <c r="G90" s="25"/>
      <c r="H90" s="22"/>
      <c r="I90" s="22"/>
      <c r="J90" s="25"/>
      <c r="K90" s="25"/>
      <c r="L90" s="48"/>
    </row>
    <row r="91" spans="1:14" x14ac:dyDescent="0.25">
      <c r="A91" s="55" t="s">
        <v>144</v>
      </c>
      <c r="B91" s="25"/>
      <c r="C91" s="47">
        <v>1066</v>
      </c>
      <c r="D91" s="25"/>
      <c r="E91" s="25"/>
      <c r="F91" s="55" t="s">
        <v>144</v>
      </c>
      <c r="G91" s="25"/>
      <c r="H91" s="47"/>
      <c r="I91" s="47">
        <v>1066</v>
      </c>
      <c r="J91" s="47"/>
      <c r="K91" s="47"/>
      <c r="L91" s="54"/>
    </row>
    <row r="92" spans="1:14" x14ac:dyDescent="0.25">
      <c r="A92" s="44" t="s">
        <v>29</v>
      </c>
      <c r="B92" s="56">
        <f>B76+B77+B78+B79+B80+B81+B83+B82</f>
        <v>145650</v>
      </c>
      <c r="C92" s="56">
        <f>SUM(C85:C91)</f>
        <v>118319</v>
      </c>
      <c r="D92" s="56">
        <f>B92-C92</f>
        <v>27331</v>
      </c>
      <c r="E92" s="56"/>
      <c r="F92" s="44"/>
      <c r="G92" s="44"/>
      <c r="H92" s="56">
        <f>H76+H77+H79+H81+H82</f>
        <v>121250</v>
      </c>
      <c r="I92" s="56">
        <f>SUM(I85:I91)</f>
        <v>118319</v>
      </c>
      <c r="J92" s="56">
        <f>H92-I92</f>
        <v>2931</v>
      </c>
      <c r="K92" s="56"/>
      <c r="L92" s="57"/>
      <c r="N92" s="43"/>
    </row>
    <row r="93" spans="1:14" x14ac:dyDescent="0.25">
      <c r="A93" s="2"/>
      <c r="B93" s="2"/>
      <c r="C93" s="22"/>
      <c r="D93" s="2"/>
      <c r="E93" s="2"/>
      <c r="F93" s="2"/>
      <c r="G93" s="2"/>
      <c r="H93" s="2"/>
      <c r="I93" s="58">
        <f>I92-I85</f>
        <v>108484</v>
      </c>
      <c r="J93" s="2"/>
      <c r="K93" s="2"/>
      <c r="L93" s="1"/>
    </row>
    <row r="94" spans="1:14" x14ac:dyDescent="0.25">
      <c r="A94" s="59" t="s">
        <v>44</v>
      </c>
      <c r="B94" s="60"/>
      <c r="C94" s="60" t="s">
        <v>45</v>
      </c>
      <c r="D94" s="61"/>
      <c r="E94" s="61"/>
      <c r="F94" s="59"/>
      <c r="G94" s="59"/>
      <c r="H94" s="59" t="s">
        <v>46</v>
      </c>
      <c r="I94" s="2"/>
      <c r="J94" s="2"/>
      <c r="K94" s="58">
        <f>D92-J92</f>
        <v>24400</v>
      </c>
      <c r="L94" s="1"/>
    </row>
    <row r="95" spans="1:14" x14ac:dyDescent="0.25">
      <c r="A95" s="2" t="s">
        <v>47</v>
      </c>
      <c r="B95" s="2"/>
      <c r="C95" s="2" t="s">
        <v>48</v>
      </c>
      <c r="D95" s="2"/>
      <c r="E95" s="2"/>
      <c r="F95" s="2"/>
      <c r="G95" s="2"/>
      <c r="H95" s="2" t="s">
        <v>118</v>
      </c>
      <c r="I95" s="2"/>
      <c r="J95" s="2"/>
      <c r="K95" s="58"/>
      <c r="L95" s="1"/>
    </row>
    <row r="97" spans="6:12" x14ac:dyDescent="0.25">
      <c r="L97" s="43"/>
    </row>
    <row r="98" spans="6:12" x14ac:dyDescent="0.25">
      <c r="F98" s="43">
        <f>D92-J92</f>
        <v>24400</v>
      </c>
    </row>
    <row r="100" spans="6:12" x14ac:dyDescent="0.25">
      <c r="I100" s="43"/>
    </row>
    <row r="105" spans="6:12" x14ac:dyDescent="0.25">
      <c r="J105" t="s">
        <v>42</v>
      </c>
    </row>
  </sheetData>
  <pageMargins left="0" right="0" top="0" bottom="0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46" workbookViewId="0">
      <selection activeCell="I66" sqref="I66"/>
    </sheetView>
  </sheetViews>
  <sheetFormatPr defaultRowHeight="15" x14ac:dyDescent="0.25"/>
  <cols>
    <col min="1" max="1" width="25.28515625" bestFit="1" customWidth="1"/>
    <col min="3" max="3" width="14.42578125" customWidth="1"/>
    <col min="5" max="5" width="12" customWidth="1"/>
    <col min="6" max="6" width="13.42578125" customWidth="1"/>
    <col min="7" max="7" width="11.42578125" customWidth="1"/>
    <col min="8" max="8" width="12.7109375" customWidth="1"/>
    <col min="9" max="9" width="14.42578125" customWidth="1"/>
    <col min="10" max="10" width="14.140625" customWidth="1"/>
    <col min="11" max="11" width="15" customWidth="1"/>
    <col min="12" max="12" width="15.57031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358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93" t="s">
        <v>308</v>
      </c>
      <c r="B6" s="94" t="s">
        <v>14</v>
      </c>
      <c r="C6" s="95"/>
      <c r="D6" s="96">
        <f>'MAY 21'!J36</f>
        <v>6650</v>
      </c>
      <c r="E6" s="97">
        <v>6500</v>
      </c>
      <c r="F6" s="98"/>
      <c r="G6" s="97"/>
      <c r="H6" s="97">
        <f>D6+E6+F6+G6+C6</f>
        <v>13150</v>
      </c>
      <c r="I6" s="97">
        <v>5000</v>
      </c>
      <c r="J6" s="97">
        <f t="shared" ref="J6:J67" si="0">H6-I6</f>
        <v>8150</v>
      </c>
      <c r="K6" s="97"/>
      <c r="L6" s="97"/>
      <c r="M6" s="1" t="s">
        <v>143</v>
      </c>
    </row>
    <row r="7" spans="1:13" ht="15.75" x14ac:dyDescent="0.25">
      <c r="A7" s="161" t="s">
        <v>17</v>
      </c>
      <c r="B7" s="94" t="s">
        <v>15</v>
      </c>
      <c r="C7" s="100"/>
      <c r="D7" s="96">
        <f>'MAY 21'!J7:J72</f>
        <v>0</v>
      </c>
      <c r="E7" s="101"/>
      <c r="F7" s="102"/>
      <c r="G7" s="101"/>
      <c r="H7" s="97">
        <f>D7+E7+F7+G7+C7</f>
        <v>0</v>
      </c>
      <c r="I7" s="97"/>
      <c r="J7" s="97"/>
      <c r="K7" s="97"/>
      <c r="L7" s="97"/>
    </row>
    <row r="8" spans="1:13" ht="15.75" x14ac:dyDescent="0.25">
      <c r="A8" s="161" t="s">
        <v>17</v>
      </c>
      <c r="B8" s="94" t="s">
        <v>16</v>
      </c>
      <c r="C8" s="100"/>
      <c r="D8" s="96">
        <f>'MAY 21'!J8:J73</f>
        <v>0</v>
      </c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  <c r="M8" s="78"/>
    </row>
    <row r="9" spans="1:13" ht="15.75" x14ac:dyDescent="0.25">
      <c r="A9" s="99" t="s">
        <v>189</v>
      </c>
      <c r="B9" s="94" t="s">
        <v>18</v>
      </c>
      <c r="C9" s="100"/>
      <c r="D9" s="96">
        <f>'MAY 21'!J9:J74</f>
        <v>0</v>
      </c>
      <c r="E9" s="96">
        <v>6500</v>
      </c>
      <c r="F9" s="103">
        <v>150</v>
      </c>
      <c r="G9" s="101">
        <v>150</v>
      </c>
      <c r="H9" s="97">
        <f t="shared" si="1"/>
        <v>6800</v>
      </c>
      <c r="I9" s="97">
        <f>6800</f>
        <v>6800</v>
      </c>
      <c r="J9" s="97">
        <f t="shared" si="0"/>
        <v>0</v>
      </c>
      <c r="K9" s="97"/>
      <c r="L9" s="97"/>
    </row>
    <row r="10" spans="1:13" ht="15.75" x14ac:dyDescent="0.25">
      <c r="A10" s="99" t="s">
        <v>141</v>
      </c>
      <c r="B10" s="94" t="s">
        <v>19</v>
      </c>
      <c r="C10" s="100"/>
      <c r="D10" s="96">
        <f>'MAY 21'!J10:J75</f>
        <v>150</v>
      </c>
      <c r="E10" s="101">
        <v>6500</v>
      </c>
      <c r="F10" s="102"/>
      <c r="G10" s="101">
        <v>150</v>
      </c>
      <c r="H10" s="97">
        <f t="shared" si="1"/>
        <v>6800</v>
      </c>
      <c r="I10" s="97">
        <v>6800</v>
      </c>
      <c r="J10" s="97">
        <f t="shared" si="0"/>
        <v>0</v>
      </c>
      <c r="K10" s="97"/>
      <c r="L10" s="97"/>
    </row>
    <row r="11" spans="1:13" ht="15.75" x14ac:dyDescent="0.25">
      <c r="A11" s="104" t="s">
        <v>134</v>
      </c>
      <c r="B11" s="94" t="s">
        <v>20</v>
      </c>
      <c r="C11" s="100"/>
      <c r="D11" s="96">
        <f>'MAY 21'!J11:J76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'MAY 21'!J12:J77</f>
        <v>950</v>
      </c>
      <c r="E12" s="101">
        <v>5500</v>
      </c>
      <c r="F12" s="88"/>
      <c r="G12" s="101">
        <v>150</v>
      </c>
      <c r="H12" s="97">
        <f t="shared" si="1"/>
        <v>6600</v>
      </c>
      <c r="I12" s="97">
        <f>4600+400</f>
        <v>5000</v>
      </c>
      <c r="J12" s="97">
        <f t="shared" si="0"/>
        <v>1600</v>
      </c>
      <c r="K12" s="97"/>
      <c r="L12" s="97"/>
    </row>
    <row r="13" spans="1:13" ht="15.75" x14ac:dyDescent="0.25">
      <c r="A13" s="107" t="s">
        <v>298</v>
      </c>
      <c r="B13" s="94" t="s">
        <v>22</v>
      </c>
      <c r="C13" s="100"/>
      <c r="D13" s="96">
        <f>'MAY 21'!J13:J78</f>
        <v>4450</v>
      </c>
      <c r="E13" s="101">
        <v>7000</v>
      </c>
      <c r="F13" s="108"/>
      <c r="G13" s="101">
        <v>150</v>
      </c>
      <c r="H13" s="97">
        <f t="shared" si="1"/>
        <v>11600</v>
      </c>
      <c r="I13" s="97">
        <f>5500</f>
        <v>5500</v>
      </c>
      <c r="J13" s="97">
        <f t="shared" si="0"/>
        <v>6100</v>
      </c>
      <c r="K13" s="97"/>
      <c r="L13" s="97"/>
      <c r="M13" s="78" t="s">
        <v>382</v>
      </c>
    </row>
    <row r="14" spans="1:13" ht="15.75" x14ac:dyDescent="0.25">
      <c r="A14" s="109" t="s">
        <v>377</v>
      </c>
      <c r="B14" s="94" t="s">
        <v>23</v>
      </c>
      <c r="C14" s="100">
        <v>6500</v>
      </c>
      <c r="D14" s="96"/>
      <c r="E14" s="101">
        <v>6500</v>
      </c>
      <c r="F14" s="102"/>
      <c r="G14" s="101">
        <v>150</v>
      </c>
      <c r="H14" s="97">
        <f t="shared" si="1"/>
        <v>13150</v>
      </c>
      <c r="I14" s="97">
        <v>13150</v>
      </c>
      <c r="J14" s="97">
        <f t="shared" si="0"/>
        <v>0</v>
      </c>
      <c r="K14" s="97"/>
      <c r="L14" s="97">
        <v>1000</v>
      </c>
    </row>
    <row r="15" spans="1:13" ht="15.75" x14ac:dyDescent="0.25">
      <c r="A15" s="109" t="s">
        <v>363</v>
      </c>
      <c r="B15" s="94" t="s">
        <v>24</v>
      </c>
      <c r="C15" s="100"/>
      <c r="D15" s="96">
        <f>'MAY 21'!J15:J80</f>
        <v>0</v>
      </c>
      <c r="E15" s="101">
        <v>6500</v>
      </c>
      <c r="F15" s="102">
        <v>150</v>
      </c>
      <c r="G15" s="101">
        <v>150</v>
      </c>
      <c r="H15" s="97">
        <f t="shared" si="1"/>
        <v>6800</v>
      </c>
      <c r="I15" s="97">
        <v>6800</v>
      </c>
      <c r="J15" s="97">
        <f>H15-I15</f>
        <v>0</v>
      </c>
      <c r="K15" s="97"/>
      <c r="L15" s="97"/>
    </row>
    <row r="16" spans="1:13" ht="15.75" x14ac:dyDescent="0.25">
      <c r="A16" s="114" t="s">
        <v>372</v>
      </c>
      <c r="B16" s="94" t="s">
        <v>25</v>
      </c>
      <c r="C16" s="100">
        <f>2350</f>
        <v>2350</v>
      </c>
      <c r="D16" s="96"/>
      <c r="E16" s="101">
        <v>6500</v>
      </c>
      <c r="F16" s="102"/>
      <c r="G16" s="101">
        <v>150</v>
      </c>
      <c r="H16" s="97">
        <f t="shared" si="1"/>
        <v>9000</v>
      </c>
      <c r="I16" s="97">
        <v>9000</v>
      </c>
      <c r="J16" s="97">
        <f t="shared" si="0"/>
        <v>0</v>
      </c>
      <c r="K16" s="97"/>
      <c r="L16" s="97"/>
    </row>
    <row r="17" spans="1:13" ht="15.75" x14ac:dyDescent="0.25">
      <c r="A17" s="93" t="s">
        <v>133</v>
      </c>
      <c r="B17" s="94" t="s">
        <v>26</v>
      </c>
      <c r="C17" s="100"/>
      <c r="D17" s="96">
        <f>'MAY 21'!J17:J82</f>
        <v>950</v>
      </c>
      <c r="E17" s="101">
        <v>6500</v>
      </c>
      <c r="F17" s="102">
        <v>150</v>
      </c>
      <c r="G17" s="101">
        <v>150</v>
      </c>
      <c r="H17" s="97">
        <f t="shared" si="1"/>
        <v>7750</v>
      </c>
      <c r="I17" s="97">
        <f>6800</f>
        <v>6800</v>
      </c>
      <c r="J17" s="97">
        <f t="shared" si="0"/>
        <v>950</v>
      </c>
      <c r="K17" s="97"/>
      <c r="L17" s="97"/>
    </row>
    <row r="18" spans="1:13" ht="15.75" x14ac:dyDescent="0.25">
      <c r="A18" s="109" t="s">
        <v>217</v>
      </c>
      <c r="B18" s="94" t="s">
        <v>27</v>
      </c>
      <c r="C18" s="95"/>
      <c r="D18" s="96">
        <v>400</v>
      </c>
      <c r="E18" s="101">
        <v>6500</v>
      </c>
      <c r="F18" s="102"/>
      <c r="G18" s="101">
        <v>150</v>
      </c>
      <c r="H18" s="97">
        <f t="shared" si="1"/>
        <v>7050</v>
      </c>
      <c r="I18" s="97">
        <v>7050</v>
      </c>
      <c r="J18" s="160">
        <f>H18-I18</f>
        <v>0</v>
      </c>
      <c r="K18" s="97"/>
      <c r="L18" s="97"/>
    </row>
    <row r="19" spans="1:13" ht="15.75" x14ac:dyDescent="0.25">
      <c r="A19" s="109" t="s">
        <v>374</v>
      </c>
      <c r="B19" s="94" t="s">
        <v>50</v>
      </c>
      <c r="C19" s="100"/>
      <c r="D19" s="96">
        <f>'MAY 21'!J19:J84</f>
        <v>1500</v>
      </c>
      <c r="E19" s="101">
        <v>6500</v>
      </c>
      <c r="F19" s="102"/>
      <c r="G19" s="101">
        <v>150</v>
      </c>
      <c r="H19" s="97">
        <f t="shared" si="1"/>
        <v>8150</v>
      </c>
      <c r="I19" s="97">
        <f>1500+6650</f>
        <v>8150</v>
      </c>
      <c r="J19" s="97">
        <f t="shared" si="0"/>
        <v>0</v>
      </c>
      <c r="K19" s="97"/>
      <c r="L19" s="97"/>
    </row>
    <row r="20" spans="1:13" ht="15.75" x14ac:dyDescent="0.25">
      <c r="A20" s="99" t="s">
        <v>260</v>
      </c>
      <c r="B20" s="94" t="s">
        <v>51</v>
      </c>
      <c r="C20" s="100"/>
      <c r="D20" s="96">
        <f>'MAY 21'!J20:J85</f>
        <v>750</v>
      </c>
      <c r="E20" s="101">
        <v>6500</v>
      </c>
      <c r="F20" s="102"/>
      <c r="G20" s="101">
        <v>150</v>
      </c>
      <c r="H20" s="97">
        <f t="shared" si="1"/>
        <v>7400</v>
      </c>
      <c r="I20" s="97">
        <f>6500+600</f>
        <v>7100</v>
      </c>
      <c r="J20" s="97">
        <f t="shared" si="0"/>
        <v>300</v>
      </c>
      <c r="K20" s="97"/>
      <c r="L20" s="97"/>
    </row>
    <row r="21" spans="1:13" ht="15.75" x14ac:dyDescent="0.25">
      <c r="A21" s="114" t="s">
        <v>17</v>
      </c>
      <c r="B21" s="154" t="s">
        <v>52</v>
      </c>
      <c r="C21" s="100"/>
      <c r="D21" s="96">
        <f>'MAY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3" ht="15.75" x14ac:dyDescent="0.25">
      <c r="A22" s="109" t="s">
        <v>375</v>
      </c>
      <c r="B22" s="94" t="s">
        <v>53</v>
      </c>
      <c r="C22" s="100">
        <v>6500</v>
      </c>
      <c r="D22" s="96">
        <f>'MAY 21'!J22:J87</f>
        <v>0</v>
      </c>
      <c r="E22" s="101">
        <v>6500</v>
      </c>
      <c r="F22" s="102">
        <v>150</v>
      </c>
      <c r="G22" s="101">
        <v>150</v>
      </c>
      <c r="H22" s="97">
        <f t="shared" si="1"/>
        <v>13300</v>
      </c>
      <c r="I22" s="97">
        <f>6500+6500</f>
        <v>13000</v>
      </c>
      <c r="J22" s="97">
        <f t="shared" si="0"/>
        <v>300</v>
      </c>
      <c r="K22" s="97"/>
      <c r="L22" s="97">
        <v>1000</v>
      </c>
    </row>
    <row r="23" spans="1:13" ht="15.75" x14ac:dyDescent="0.25">
      <c r="A23" s="99" t="s">
        <v>269</v>
      </c>
      <c r="B23" s="94" t="s">
        <v>54</v>
      </c>
      <c r="C23" s="100"/>
      <c r="D23" s="96">
        <f>'MAY 21'!J23:J88</f>
        <v>7550</v>
      </c>
      <c r="E23" s="101">
        <v>6500</v>
      </c>
      <c r="F23" s="102">
        <v>150</v>
      </c>
      <c r="G23" s="101"/>
      <c r="H23" s="97">
        <f t="shared" si="1"/>
        <v>14200</v>
      </c>
      <c r="I23" s="97">
        <f>7550</f>
        <v>7550</v>
      </c>
      <c r="J23" s="97">
        <f t="shared" si="0"/>
        <v>6650</v>
      </c>
      <c r="K23" s="97"/>
      <c r="L23" s="97"/>
      <c r="M23" s="78" t="s">
        <v>326</v>
      </c>
    </row>
    <row r="24" spans="1:13" ht="15.75" x14ac:dyDescent="0.25">
      <c r="A24" s="109" t="s">
        <v>190</v>
      </c>
      <c r="B24" s="94" t="s">
        <v>55</v>
      </c>
      <c r="C24" s="100"/>
      <c r="D24" s="96">
        <f>'MAY 21'!J24:J89</f>
        <v>4450</v>
      </c>
      <c r="E24" s="101">
        <v>7000</v>
      </c>
      <c r="F24" s="102">
        <v>150</v>
      </c>
      <c r="G24" s="101">
        <v>150</v>
      </c>
      <c r="H24" s="97">
        <f t="shared" si="1"/>
        <v>11750</v>
      </c>
      <c r="I24" s="97">
        <f>1000+1500+1000+500+1000</f>
        <v>5000</v>
      </c>
      <c r="J24" s="97">
        <f t="shared" si="0"/>
        <v>6750</v>
      </c>
      <c r="K24" s="97"/>
      <c r="L24" s="97"/>
    </row>
    <row r="25" spans="1:13" ht="15.75" x14ac:dyDescent="0.25">
      <c r="A25" s="109" t="s">
        <v>155</v>
      </c>
      <c r="B25" s="94" t="s">
        <v>56</v>
      </c>
      <c r="C25" s="100"/>
      <c r="D25" s="96">
        <f>'MAY 21'!J25:J90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3" ht="15.75" x14ac:dyDescent="0.25">
      <c r="A26" s="109" t="s">
        <v>130</v>
      </c>
      <c r="B26" s="94" t="s">
        <v>57</v>
      </c>
      <c r="C26" s="100"/>
      <c r="D26" s="96">
        <f>'MAY 21'!J26:J91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f>7150</f>
        <v>7150</v>
      </c>
      <c r="J26" s="97">
        <f t="shared" si="0"/>
        <v>0</v>
      </c>
      <c r="K26" s="97"/>
      <c r="L26" s="97"/>
    </row>
    <row r="27" spans="1:13" ht="15.75" x14ac:dyDescent="0.25">
      <c r="A27" s="109" t="s">
        <v>132</v>
      </c>
      <c r="B27" s="94" t="s">
        <v>58</v>
      </c>
      <c r="C27" s="100"/>
      <c r="D27" s="96">
        <f>'MAY 21'!J27:J99</f>
        <v>250</v>
      </c>
      <c r="E27" s="101">
        <v>6500</v>
      </c>
      <c r="F27" s="102">
        <v>150</v>
      </c>
      <c r="G27" s="101">
        <v>150</v>
      </c>
      <c r="H27" s="97">
        <f t="shared" si="1"/>
        <v>7050</v>
      </c>
      <c r="I27" s="97">
        <f>6900</f>
        <v>6900</v>
      </c>
      <c r="J27" s="97">
        <f t="shared" si="0"/>
        <v>150</v>
      </c>
      <c r="K27" s="97"/>
      <c r="L27" s="97"/>
    </row>
    <row r="28" spans="1:13" ht="15.75" x14ac:dyDescent="0.25">
      <c r="A28" s="109" t="s">
        <v>235</v>
      </c>
      <c r="B28" s="94" t="s">
        <v>59</v>
      </c>
      <c r="C28" s="100"/>
      <c r="D28" s="96">
        <f>'MAY 21'!J28:J100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f>6650</f>
        <v>6650</v>
      </c>
      <c r="J28" s="97">
        <f>H28-I28</f>
        <v>0</v>
      </c>
      <c r="K28" s="97"/>
      <c r="L28" s="97"/>
    </row>
    <row r="29" spans="1:13" ht="15.75" x14ac:dyDescent="0.25">
      <c r="A29" s="109" t="s">
        <v>309</v>
      </c>
      <c r="B29" s="94" t="s">
        <v>60</v>
      </c>
      <c r="C29" s="100"/>
      <c r="D29" s="96">
        <f>'MAY 21'!J29:J101</f>
        <v>150</v>
      </c>
      <c r="E29" s="101">
        <v>6500</v>
      </c>
      <c r="F29" s="102"/>
      <c r="G29" s="101"/>
      <c r="H29" s="97">
        <f t="shared" si="1"/>
        <v>6650</v>
      </c>
      <c r="I29" s="97">
        <f>6500</f>
        <v>6500</v>
      </c>
      <c r="J29" s="97">
        <f>H29-I29</f>
        <v>150</v>
      </c>
      <c r="K29" s="97"/>
      <c r="L29" s="97"/>
    </row>
    <row r="30" spans="1:13" ht="15.75" x14ac:dyDescent="0.25">
      <c r="A30" s="109" t="s">
        <v>241</v>
      </c>
      <c r="B30" s="94" t="s">
        <v>61</v>
      </c>
      <c r="C30" s="100"/>
      <c r="D30" s="96">
        <f>'MAY 21'!J30:J102</f>
        <v>0</v>
      </c>
      <c r="E30" s="101">
        <v>6500</v>
      </c>
      <c r="F30" s="102">
        <v>300</v>
      </c>
      <c r="G30" s="101">
        <v>150</v>
      </c>
      <c r="H30" s="97">
        <f t="shared" si="1"/>
        <v>6950</v>
      </c>
      <c r="I30" s="97">
        <f>6800</f>
        <v>6800</v>
      </c>
      <c r="J30" s="97">
        <f t="shared" si="0"/>
        <v>150</v>
      </c>
      <c r="K30" s="97"/>
      <c r="L30" s="97"/>
    </row>
    <row r="31" spans="1:13" ht="15.75" x14ac:dyDescent="0.25">
      <c r="A31" s="109" t="s">
        <v>106</v>
      </c>
      <c r="B31" s="94" t="s">
        <v>62</v>
      </c>
      <c r="C31" s="95"/>
      <c r="D31" s="96">
        <f>'MAY 21'!J31:J103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v>6800</v>
      </c>
      <c r="J31" s="97">
        <f t="shared" si="0"/>
        <v>0</v>
      </c>
      <c r="K31" s="97"/>
      <c r="L31" s="97"/>
    </row>
    <row r="32" spans="1:13" ht="15.75" x14ac:dyDescent="0.25">
      <c r="A32" s="109" t="s">
        <v>181</v>
      </c>
      <c r="B32" s="94" t="s">
        <v>63</v>
      </c>
      <c r="C32" s="100"/>
      <c r="D32" s="96">
        <f>'MAY 21'!J32:J104</f>
        <v>4950</v>
      </c>
      <c r="E32" s="101">
        <v>6500</v>
      </c>
      <c r="F32" s="102"/>
      <c r="G32" s="101"/>
      <c r="H32" s="97">
        <f t="shared" si="1"/>
        <v>11450</v>
      </c>
      <c r="I32" s="97">
        <f>6500+500</f>
        <v>7000</v>
      </c>
      <c r="J32" s="97">
        <f t="shared" si="0"/>
        <v>4450</v>
      </c>
      <c r="K32" s="97"/>
      <c r="L32" s="97"/>
    </row>
    <row r="33" spans="1:13" ht="15.75" x14ac:dyDescent="0.25">
      <c r="A33" s="109" t="s">
        <v>171</v>
      </c>
      <c r="B33" s="94" t="s">
        <v>64</v>
      </c>
      <c r="C33" s="100"/>
      <c r="D33" s="96">
        <f>'MAY 21'!J33:J105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>
        <f>6800</f>
        <v>6800</v>
      </c>
      <c r="J33" s="97">
        <f t="shared" si="0"/>
        <v>0</v>
      </c>
      <c r="K33" s="97"/>
      <c r="L33" s="97"/>
    </row>
    <row r="34" spans="1:13" ht="15.75" x14ac:dyDescent="0.25">
      <c r="A34" s="109" t="s">
        <v>288</v>
      </c>
      <c r="B34" s="94" t="s">
        <v>65</v>
      </c>
      <c r="C34" s="100"/>
      <c r="D34" s="96">
        <f>'MAY 21'!J34:J106</f>
        <v>0</v>
      </c>
      <c r="E34" s="102">
        <v>6500</v>
      </c>
      <c r="F34" s="102"/>
      <c r="G34" s="101">
        <v>150</v>
      </c>
      <c r="H34" s="97">
        <f t="shared" si="1"/>
        <v>6650</v>
      </c>
      <c r="I34" s="97">
        <v>6650</v>
      </c>
      <c r="J34" s="97">
        <f t="shared" si="0"/>
        <v>0</v>
      </c>
      <c r="K34" s="97"/>
      <c r="L34" s="97"/>
    </row>
    <row r="35" spans="1:13" ht="15.75" x14ac:dyDescent="0.25">
      <c r="A35" s="109" t="s">
        <v>356</v>
      </c>
      <c r="B35" s="94" t="s">
        <v>66</v>
      </c>
      <c r="C35" s="95"/>
      <c r="D35" s="96">
        <f>'MAY 21'!J35:J107</f>
        <v>0</v>
      </c>
      <c r="E35" s="102">
        <v>6500</v>
      </c>
      <c r="F35" s="102"/>
      <c r="G35" s="101"/>
      <c r="H35" s="160">
        <f t="shared" si="1"/>
        <v>6500</v>
      </c>
      <c r="I35" s="97">
        <f>6500</f>
        <v>6500</v>
      </c>
      <c r="J35" s="160">
        <f t="shared" si="0"/>
        <v>0</v>
      </c>
      <c r="K35" s="160"/>
      <c r="L35" s="160"/>
      <c r="M35" s="78"/>
    </row>
    <row r="36" spans="1:13" ht="15.75" x14ac:dyDescent="0.25">
      <c r="A36" s="109" t="s">
        <v>360</v>
      </c>
      <c r="B36" s="94" t="s">
        <v>67</v>
      </c>
      <c r="C36" s="100">
        <v>6500</v>
      </c>
      <c r="D36" s="96"/>
      <c r="E36" s="102">
        <v>6500</v>
      </c>
      <c r="F36" s="102">
        <v>150</v>
      </c>
      <c r="G36" s="101">
        <v>150</v>
      </c>
      <c r="H36" s="97">
        <f t="shared" si="1"/>
        <v>13300</v>
      </c>
      <c r="I36" s="97">
        <v>13150</v>
      </c>
      <c r="J36" s="97">
        <f t="shared" si="0"/>
        <v>150</v>
      </c>
      <c r="K36" s="97"/>
      <c r="L36" s="97">
        <v>1000</v>
      </c>
    </row>
    <row r="37" spans="1:13" ht="15.75" x14ac:dyDescent="0.25">
      <c r="A37" s="109" t="s">
        <v>126</v>
      </c>
      <c r="B37" s="94" t="s">
        <v>68</v>
      </c>
      <c r="C37" s="100"/>
      <c r="D37" s="96">
        <f>'MAY 21'!J37:J109</f>
        <v>950</v>
      </c>
      <c r="E37" s="102">
        <v>7000</v>
      </c>
      <c r="F37" s="102">
        <v>300</v>
      </c>
      <c r="G37" s="101"/>
      <c r="H37" s="97">
        <f t="shared" si="1"/>
        <v>8250</v>
      </c>
      <c r="I37" s="97"/>
      <c r="J37" s="97">
        <f t="shared" si="0"/>
        <v>8250</v>
      </c>
      <c r="L37" s="97"/>
      <c r="M37" s="78" t="s">
        <v>401</v>
      </c>
    </row>
    <row r="38" spans="1:13" ht="15.75" x14ac:dyDescent="0.25">
      <c r="A38" s="109" t="s">
        <v>280</v>
      </c>
      <c r="B38" s="94" t="s">
        <v>69</v>
      </c>
      <c r="C38" s="100"/>
      <c r="D38" s="96">
        <f>'MAY 21'!J38:J110</f>
        <v>150</v>
      </c>
      <c r="E38" s="102">
        <v>5500</v>
      </c>
      <c r="F38" s="102"/>
      <c r="G38" s="101"/>
      <c r="H38" s="97">
        <f t="shared" si="1"/>
        <v>5650</v>
      </c>
      <c r="I38" s="97">
        <v>5500</v>
      </c>
      <c r="J38" s="97">
        <f t="shared" si="0"/>
        <v>150</v>
      </c>
      <c r="K38" s="97"/>
      <c r="L38" s="97"/>
    </row>
    <row r="39" spans="1:13" ht="15.75" x14ac:dyDescent="0.25">
      <c r="A39" s="109" t="s">
        <v>125</v>
      </c>
      <c r="B39" s="94" t="s">
        <v>70</v>
      </c>
      <c r="C39" s="100"/>
      <c r="D39" s="96">
        <f>'MAY 21'!J39:J111</f>
        <v>450</v>
      </c>
      <c r="E39" s="102">
        <v>7000</v>
      </c>
      <c r="F39" s="102">
        <v>150</v>
      </c>
      <c r="G39" s="101">
        <v>150</v>
      </c>
      <c r="H39" s="97">
        <f t="shared" si="1"/>
        <v>7750</v>
      </c>
      <c r="I39" s="97">
        <f>7000+300</f>
        <v>7300</v>
      </c>
      <c r="J39" s="97">
        <f t="shared" si="0"/>
        <v>450</v>
      </c>
      <c r="K39" s="97"/>
      <c r="L39" s="97"/>
    </row>
    <row r="40" spans="1:13" ht="15.75" x14ac:dyDescent="0.25">
      <c r="A40" s="115" t="s">
        <v>351</v>
      </c>
      <c r="B40" s="167" t="s">
        <v>71</v>
      </c>
      <c r="C40" s="168"/>
      <c r="D40" s="96">
        <f>'MAY 21'!J40:J112</f>
        <v>0</v>
      </c>
      <c r="E40" s="102">
        <v>6500</v>
      </c>
      <c r="F40" s="102"/>
      <c r="G40" s="101">
        <v>150</v>
      </c>
      <c r="H40" s="97">
        <f t="shared" si="1"/>
        <v>6650</v>
      </c>
      <c r="I40" s="97">
        <f>6500</f>
        <v>6500</v>
      </c>
      <c r="J40" s="97">
        <f t="shared" si="0"/>
        <v>150</v>
      </c>
      <c r="K40" s="160"/>
      <c r="L40" s="160"/>
      <c r="M40" s="165"/>
    </row>
    <row r="41" spans="1:13" ht="15.75" x14ac:dyDescent="0.25">
      <c r="A41" s="109" t="s">
        <v>127</v>
      </c>
      <c r="B41" s="94" t="s">
        <v>72</v>
      </c>
      <c r="C41" s="100"/>
      <c r="D41" s="96">
        <f>'MAY 21'!J41:J113</f>
        <v>650</v>
      </c>
      <c r="E41" s="102">
        <v>6500</v>
      </c>
      <c r="F41" s="102">
        <v>150</v>
      </c>
      <c r="G41" s="101"/>
      <c r="H41" s="97">
        <f t="shared" si="1"/>
        <v>7300</v>
      </c>
      <c r="I41" s="97">
        <f>6800</f>
        <v>6800</v>
      </c>
      <c r="J41" s="97">
        <f>H41-I41</f>
        <v>500</v>
      </c>
      <c r="K41" s="97"/>
      <c r="L41" s="97"/>
    </row>
    <row r="42" spans="1:13" ht="15.75" x14ac:dyDescent="0.25">
      <c r="A42" s="109" t="s">
        <v>124</v>
      </c>
      <c r="B42" s="94" t="s">
        <v>73</v>
      </c>
      <c r="C42" s="100"/>
      <c r="D42" s="96">
        <f>'MAY 21'!J42:J114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3" ht="15.75" x14ac:dyDescent="0.25">
      <c r="A43" s="109" t="s">
        <v>353</v>
      </c>
      <c r="B43" s="94" t="s">
        <v>74</v>
      </c>
      <c r="C43" s="100"/>
      <c r="D43" s="96">
        <f>'MAY 21'!J43:J115</f>
        <v>150</v>
      </c>
      <c r="E43" s="102">
        <v>6500</v>
      </c>
      <c r="F43" s="102">
        <v>150</v>
      </c>
      <c r="G43" s="101"/>
      <c r="H43" s="97">
        <f>D43+E43+F43+G43+C43</f>
        <v>6800</v>
      </c>
      <c r="I43" s="97">
        <f>6500</f>
        <v>6500</v>
      </c>
      <c r="J43" s="97">
        <f t="shared" si="0"/>
        <v>300</v>
      </c>
      <c r="K43" s="97"/>
      <c r="L43" s="97"/>
      <c r="M43" s="165"/>
    </row>
    <row r="44" spans="1:13" ht="15.75" x14ac:dyDescent="0.25">
      <c r="A44" s="109" t="s">
        <v>270</v>
      </c>
      <c r="B44" s="94" t="s">
        <v>75</v>
      </c>
      <c r="C44" s="100"/>
      <c r="D44" s="96">
        <f>'MAY 21'!J44:J116</f>
        <v>0</v>
      </c>
      <c r="E44" s="102">
        <v>6500</v>
      </c>
      <c r="F44" s="102">
        <v>150</v>
      </c>
      <c r="G44" s="101"/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3" ht="15.75" x14ac:dyDescent="0.25">
      <c r="A45" s="109" t="s">
        <v>362</v>
      </c>
      <c r="B45" s="94" t="s">
        <v>76</v>
      </c>
      <c r="C45" s="100"/>
      <c r="D45" s="96">
        <f>'MAY 21'!J45:J117</f>
        <v>0</v>
      </c>
      <c r="E45" s="102">
        <v>6500</v>
      </c>
      <c r="F45" s="108">
        <v>150</v>
      </c>
      <c r="G45" s="101">
        <v>150</v>
      </c>
      <c r="H45" s="97">
        <f>D45+E45+F45+G45+C45</f>
        <v>6800</v>
      </c>
      <c r="I45" s="97">
        <f>6650</f>
        <v>6650</v>
      </c>
      <c r="J45" s="97">
        <f t="shared" si="0"/>
        <v>150</v>
      </c>
      <c r="K45" s="97"/>
      <c r="L45" s="97"/>
    </row>
    <row r="46" spans="1:13" ht="15.75" x14ac:dyDescent="0.25">
      <c r="A46" s="109" t="s">
        <v>361</v>
      </c>
      <c r="B46" s="94" t="s">
        <v>77</v>
      </c>
      <c r="C46" s="100">
        <v>6500</v>
      </c>
      <c r="D46" s="96"/>
      <c r="E46" s="102">
        <v>6500</v>
      </c>
      <c r="F46" s="102"/>
      <c r="G46" s="101">
        <v>150</v>
      </c>
      <c r="H46" s="97">
        <f>D46+E46+G46+C46</f>
        <v>13150</v>
      </c>
      <c r="I46" s="97">
        <v>13150</v>
      </c>
      <c r="J46" s="97">
        <f t="shared" si="0"/>
        <v>0</v>
      </c>
      <c r="K46" s="97"/>
      <c r="L46" s="97">
        <v>1000</v>
      </c>
    </row>
    <row r="47" spans="1:13" ht="15.75" x14ac:dyDescent="0.25">
      <c r="A47" s="114" t="s">
        <v>17</v>
      </c>
      <c r="B47" s="94" t="s">
        <v>78</v>
      </c>
      <c r="C47" s="100"/>
      <c r="D47" s="96">
        <f>'MAY 21'!J47:J119</f>
        <v>0</v>
      </c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3" ht="15.75" x14ac:dyDescent="0.25">
      <c r="A48" s="109" t="s">
        <v>355</v>
      </c>
      <c r="B48" s="94" t="s">
        <v>79</v>
      </c>
      <c r="C48" s="100"/>
      <c r="D48" s="96">
        <f>'MAY 21'!J48:J120</f>
        <v>3150</v>
      </c>
      <c r="E48" s="102">
        <v>6500</v>
      </c>
      <c r="F48" s="102">
        <v>300</v>
      </c>
      <c r="G48" s="101">
        <v>150</v>
      </c>
      <c r="H48" s="160">
        <f t="shared" si="1"/>
        <v>10100</v>
      </c>
      <c r="I48" s="97"/>
      <c r="J48" s="160">
        <f t="shared" si="0"/>
        <v>10100</v>
      </c>
      <c r="K48" s="97"/>
      <c r="L48" s="97"/>
      <c r="M48" s="78" t="s">
        <v>326</v>
      </c>
    </row>
    <row r="49" spans="1:16" ht="15.75" x14ac:dyDescent="0.25">
      <c r="A49" s="109" t="s">
        <v>376</v>
      </c>
      <c r="B49" s="94" t="s">
        <v>80</v>
      </c>
      <c r="C49" s="100">
        <v>6500</v>
      </c>
      <c r="D49" s="96">
        <f>'MAY 21'!J49:J121</f>
        <v>0</v>
      </c>
      <c r="E49" s="102">
        <v>6500</v>
      </c>
      <c r="F49" s="102"/>
      <c r="G49" s="101">
        <v>150</v>
      </c>
      <c r="H49" s="97">
        <f t="shared" si="1"/>
        <v>13150</v>
      </c>
      <c r="I49" s="97">
        <f>6500+150+6500</f>
        <v>13150</v>
      </c>
      <c r="J49" s="97">
        <f t="shared" si="0"/>
        <v>0</v>
      </c>
      <c r="K49" s="97"/>
      <c r="L49" s="97">
        <v>1000</v>
      </c>
    </row>
    <row r="50" spans="1:16" ht="15.75" x14ac:dyDescent="0.25">
      <c r="A50" s="109" t="s">
        <v>135</v>
      </c>
      <c r="B50" s="94" t="s">
        <v>81</v>
      </c>
      <c r="C50" s="100"/>
      <c r="D50" s="96">
        <f>'MAY 21'!J50:J122</f>
        <v>1050</v>
      </c>
      <c r="E50" s="102">
        <v>7000</v>
      </c>
      <c r="F50" s="102">
        <v>450</v>
      </c>
      <c r="G50" s="101">
        <v>150</v>
      </c>
      <c r="H50" s="97">
        <f t="shared" si="1"/>
        <v>8650</v>
      </c>
      <c r="I50" s="97"/>
      <c r="J50" s="97">
        <f t="shared" si="0"/>
        <v>8650</v>
      </c>
      <c r="K50" s="97"/>
      <c r="L50" s="97"/>
      <c r="M50" s="78" t="s">
        <v>381</v>
      </c>
      <c r="N50" s="78"/>
      <c r="O50" s="78"/>
      <c r="P50" s="78"/>
    </row>
    <row r="51" spans="1:16" ht="15.75" x14ac:dyDescent="0.25">
      <c r="A51" s="109" t="s">
        <v>138</v>
      </c>
      <c r="B51" s="94" t="s">
        <v>82</v>
      </c>
      <c r="C51" s="100"/>
      <c r="D51" s="96">
        <f>'MAY 21'!J51:J123</f>
        <v>300</v>
      </c>
      <c r="E51" s="102">
        <v>5500</v>
      </c>
      <c r="F51" s="102"/>
      <c r="G51" s="101">
        <v>150</v>
      </c>
      <c r="H51" s="97">
        <f t="shared" si="1"/>
        <v>5950</v>
      </c>
      <c r="I51" s="97">
        <f>5650+300</f>
        <v>5950</v>
      </c>
      <c r="J51" s="97">
        <f t="shared" si="0"/>
        <v>0</v>
      </c>
      <c r="K51" s="97"/>
      <c r="L51" s="97"/>
    </row>
    <row r="52" spans="1:16" ht="15.75" x14ac:dyDescent="0.25">
      <c r="A52" s="109" t="s">
        <v>109</v>
      </c>
      <c r="B52" s="94" t="s">
        <v>83</v>
      </c>
      <c r="C52" s="100"/>
      <c r="D52" s="96">
        <f>'MAY 21'!J52:J124</f>
        <v>700</v>
      </c>
      <c r="E52" s="102">
        <v>7000</v>
      </c>
      <c r="F52" s="102"/>
      <c r="G52" s="101">
        <v>150</v>
      </c>
      <c r="H52" s="97">
        <f t="shared" si="1"/>
        <v>7850</v>
      </c>
      <c r="I52" s="97">
        <f>6650</f>
        <v>6650</v>
      </c>
      <c r="J52" s="97">
        <f>H52-I52</f>
        <v>1200</v>
      </c>
      <c r="K52" s="97"/>
      <c r="L52" s="97"/>
    </row>
    <row r="53" spans="1:16" ht="15.75" x14ac:dyDescent="0.25">
      <c r="A53" s="114" t="s">
        <v>379</v>
      </c>
      <c r="B53" s="94" t="s">
        <v>84</v>
      </c>
      <c r="C53" s="100">
        <v>6500</v>
      </c>
      <c r="D53" s="96"/>
      <c r="E53" s="102">
        <v>6500</v>
      </c>
      <c r="F53" s="102"/>
      <c r="G53" s="101"/>
      <c r="H53" s="97">
        <f t="shared" si="1"/>
        <v>13000</v>
      </c>
      <c r="I53" s="97">
        <v>13000</v>
      </c>
      <c r="J53" s="97">
        <f t="shared" si="0"/>
        <v>0</v>
      </c>
      <c r="K53" s="97"/>
      <c r="L53" s="97">
        <v>1000</v>
      </c>
    </row>
    <row r="54" spans="1:16" ht="15.75" x14ac:dyDescent="0.25">
      <c r="A54" s="109" t="s">
        <v>212</v>
      </c>
      <c r="B54" s="94" t="s">
        <v>85</v>
      </c>
      <c r="C54" s="100"/>
      <c r="D54" s="96">
        <f>'MAY 21'!J54:J126</f>
        <v>1650</v>
      </c>
      <c r="E54" s="102">
        <v>6500</v>
      </c>
      <c r="F54" s="102">
        <v>150</v>
      </c>
      <c r="G54" s="101">
        <v>150</v>
      </c>
      <c r="H54" s="97">
        <f t="shared" si="1"/>
        <v>8450</v>
      </c>
      <c r="I54" s="97">
        <f>6800</f>
        <v>6800</v>
      </c>
      <c r="J54" s="97">
        <f t="shared" si="0"/>
        <v>1650</v>
      </c>
      <c r="K54" s="97"/>
      <c r="L54" s="97"/>
    </row>
    <row r="55" spans="1:16" ht="15.75" x14ac:dyDescent="0.25">
      <c r="A55" s="93" t="s">
        <v>289</v>
      </c>
      <c r="B55" s="94" t="s">
        <v>86</v>
      </c>
      <c r="C55" s="100"/>
      <c r="D55" s="96">
        <f>'MAY 21'!J55:J127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>
        <f>6650</f>
        <v>6650</v>
      </c>
      <c r="J55" s="97">
        <f>H55-I55</f>
        <v>150</v>
      </c>
      <c r="K55" s="97"/>
      <c r="L55" s="97"/>
    </row>
    <row r="56" spans="1:16" ht="15.75" x14ac:dyDescent="0.25">
      <c r="A56" s="109" t="s">
        <v>243</v>
      </c>
      <c r="B56" s="94" t="s">
        <v>87</v>
      </c>
      <c r="C56" s="100"/>
      <c r="D56" s="96">
        <f>'MAY 21'!J56:J128</f>
        <v>0</v>
      </c>
      <c r="E56" s="102">
        <v>6500</v>
      </c>
      <c r="F56" s="102"/>
      <c r="G56" s="101"/>
      <c r="H56" s="163">
        <f>D56+E56+F56+G56+C56</f>
        <v>6500</v>
      </c>
      <c r="I56" s="97">
        <v>6500</v>
      </c>
      <c r="J56" s="163">
        <f t="shared" si="0"/>
        <v>0</v>
      </c>
      <c r="K56" s="97"/>
      <c r="L56" s="97"/>
    </row>
    <row r="57" spans="1:16" ht="15.75" x14ac:dyDescent="0.25">
      <c r="A57" s="109" t="s">
        <v>151</v>
      </c>
      <c r="B57" s="94" t="s">
        <v>88</v>
      </c>
      <c r="C57" s="100"/>
      <c r="D57" s="96">
        <f>'MAY 21'!J57:J129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>
        <f>1000+3000</f>
        <v>4000</v>
      </c>
      <c r="J57" s="97">
        <f t="shared" si="0"/>
        <v>2800</v>
      </c>
      <c r="K57" s="97"/>
      <c r="L57" s="97"/>
      <c r="M57" s="78" t="s">
        <v>326</v>
      </c>
      <c r="N57" s="78"/>
    </row>
    <row r="58" spans="1:16" ht="15.75" x14ac:dyDescent="0.25">
      <c r="A58" s="109" t="s">
        <v>110</v>
      </c>
      <c r="B58" s="94" t="s">
        <v>89</v>
      </c>
      <c r="C58" s="100"/>
      <c r="D58" s="96">
        <f>'MAY 21'!J58:J130</f>
        <v>6100</v>
      </c>
      <c r="E58" s="102">
        <v>7000</v>
      </c>
      <c r="F58" s="102">
        <v>300</v>
      </c>
      <c r="G58" s="101">
        <v>150</v>
      </c>
      <c r="H58" s="97">
        <f t="shared" si="1"/>
        <v>13550</v>
      </c>
      <c r="I58" s="97">
        <f>1500+6100</f>
        <v>7600</v>
      </c>
      <c r="J58" s="97">
        <f t="shared" si="0"/>
        <v>5950</v>
      </c>
      <c r="K58" s="97"/>
      <c r="L58" s="97"/>
      <c r="M58" s="78"/>
      <c r="N58" s="78"/>
    </row>
    <row r="59" spans="1:16" ht="15.75" x14ac:dyDescent="0.25">
      <c r="A59" s="109" t="s">
        <v>352</v>
      </c>
      <c r="B59" s="94" t="s">
        <v>90</v>
      </c>
      <c r="C59" s="100"/>
      <c r="D59" s="96">
        <f>'MAY 21'!J59:J131</f>
        <v>0</v>
      </c>
      <c r="E59" s="102">
        <v>6500</v>
      </c>
      <c r="F59" s="102">
        <v>150</v>
      </c>
      <c r="G59" s="101">
        <v>150</v>
      </c>
      <c r="H59" s="97">
        <f t="shared" si="1"/>
        <v>6800</v>
      </c>
      <c r="I59" s="97">
        <f>1400+3000+2400</f>
        <v>6800</v>
      </c>
      <c r="J59" s="97">
        <f>H59-I59</f>
        <v>0</v>
      </c>
      <c r="K59" s="97"/>
      <c r="L59" s="97"/>
      <c r="M59" s="78" t="s">
        <v>380</v>
      </c>
      <c r="N59" s="78"/>
    </row>
    <row r="60" spans="1:16" ht="15.75" x14ac:dyDescent="0.25">
      <c r="A60" s="114" t="s">
        <v>17</v>
      </c>
      <c r="B60" s="94" t="s">
        <v>91</v>
      </c>
      <c r="C60" s="100"/>
      <c r="D60" s="96">
        <f>'MAY 21'!J60:J132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  <c r="M60" s="78"/>
      <c r="N60" s="78"/>
    </row>
    <row r="61" spans="1:16" ht="15.75" x14ac:dyDescent="0.25">
      <c r="A61" s="114" t="s">
        <v>17</v>
      </c>
      <c r="B61" s="94" t="s">
        <v>92</v>
      </c>
      <c r="C61" s="100"/>
      <c r="D61" s="96">
        <f>'MAY 21'!J61:J133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6" ht="15.75" x14ac:dyDescent="0.25">
      <c r="A62" s="93" t="s">
        <v>331</v>
      </c>
      <c r="B62" s="94" t="s">
        <v>93</v>
      </c>
      <c r="C62" s="100"/>
      <c r="D62" s="96">
        <f>'MAY 21'!J62:J134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6" ht="15.75" x14ac:dyDescent="0.25">
      <c r="A63" s="109" t="s">
        <v>204</v>
      </c>
      <c r="B63" s="94" t="s">
        <v>94</v>
      </c>
      <c r="C63" s="100">
        <v>500</v>
      </c>
      <c r="D63" s="96">
        <f>'MAY 21'!J63:J135</f>
        <v>0</v>
      </c>
      <c r="E63" s="102">
        <v>7000</v>
      </c>
      <c r="F63" s="102"/>
      <c r="G63" s="101">
        <v>150</v>
      </c>
      <c r="H63" s="97">
        <f t="shared" si="1"/>
        <v>7650</v>
      </c>
      <c r="I63" s="97">
        <v>7650</v>
      </c>
      <c r="J63" s="97">
        <f t="shared" si="0"/>
        <v>0</v>
      </c>
      <c r="K63" s="97"/>
      <c r="L63" s="97"/>
    </row>
    <row r="64" spans="1:16" ht="15.75" x14ac:dyDescent="0.25">
      <c r="A64" s="109" t="s">
        <v>188</v>
      </c>
      <c r="B64" s="94" t="s">
        <v>95</v>
      </c>
      <c r="C64" s="100"/>
      <c r="D64" s="96">
        <f>'MAY 21'!J64:J136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</row>
    <row r="65" spans="1:14" ht="15.75" x14ac:dyDescent="0.25">
      <c r="A65" s="109" t="s">
        <v>398</v>
      </c>
      <c r="B65" s="94" t="s">
        <v>96</v>
      </c>
      <c r="C65" s="100"/>
      <c r="D65" s="96">
        <f>'MAY 21'!J65:J137</f>
        <v>0</v>
      </c>
      <c r="E65" s="102">
        <v>7000</v>
      </c>
      <c r="F65" s="102"/>
      <c r="G65" s="101">
        <v>150</v>
      </c>
      <c r="H65" s="97">
        <f t="shared" si="1"/>
        <v>7150</v>
      </c>
      <c r="I65" s="97">
        <v>7150</v>
      </c>
      <c r="J65" s="97">
        <f>H65-I65</f>
        <v>0</v>
      </c>
      <c r="K65" s="97"/>
      <c r="L65" s="97">
        <v>1000</v>
      </c>
    </row>
    <row r="66" spans="1:14" ht="15.75" x14ac:dyDescent="0.25">
      <c r="A66" s="109" t="s">
        <v>378</v>
      </c>
      <c r="B66" s="94" t="s">
        <v>97</v>
      </c>
      <c r="C66" s="100">
        <v>6500</v>
      </c>
      <c r="D66" s="96">
        <f>'MAY 21'!J66:J138</f>
        <v>0</v>
      </c>
      <c r="E66" s="102">
        <v>6500</v>
      </c>
      <c r="F66" s="102"/>
      <c r="G66" s="101"/>
      <c r="H66" s="97">
        <f t="shared" si="1"/>
        <v>13000</v>
      </c>
      <c r="I66" s="97">
        <f>6500+6500</f>
        <v>13000</v>
      </c>
      <c r="J66" s="97">
        <f t="shared" si="0"/>
        <v>0</v>
      </c>
      <c r="K66" s="97"/>
      <c r="L66" s="97">
        <v>1000</v>
      </c>
    </row>
    <row r="67" spans="1:14" ht="15.75" x14ac:dyDescent="0.25">
      <c r="A67" s="109" t="s">
        <v>354</v>
      </c>
      <c r="B67" s="94" t="s">
        <v>98</v>
      </c>
      <c r="C67" s="100"/>
      <c r="D67" s="96">
        <f>'MAY 21'!J67:J139</f>
        <v>0</v>
      </c>
      <c r="E67" s="102">
        <v>6500</v>
      </c>
      <c r="F67" s="102">
        <v>300</v>
      </c>
      <c r="G67" s="101"/>
      <c r="H67" s="97">
        <f t="shared" si="1"/>
        <v>6800</v>
      </c>
      <c r="I67" s="97">
        <v>6700</v>
      </c>
      <c r="J67" s="97">
        <f t="shared" si="0"/>
        <v>100</v>
      </c>
      <c r="K67" s="97"/>
      <c r="L67" s="97"/>
    </row>
    <row r="68" spans="1:14" ht="15.75" x14ac:dyDescent="0.25">
      <c r="A68" s="109" t="s">
        <v>115</v>
      </c>
      <c r="B68" s="94" t="s">
        <v>99</v>
      </c>
      <c r="C68" s="100"/>
      <c r="D68" s="96">
        <f>'MAY 21'!J68:J140</f>
        <v>150</v>
      </c>
      <c r="E68" s="102">
        <v>6500</v>
      </c>
      <c r="F68" s="102">
        <v>150</v>
      </c>
      <c r="G68" s="101"/>
      <c r="H68" s="97">
        <f t="shared" si="1"/>
        <v>6800</v>
      </c>
      <c r="I68" s="97">
        <f>6800</f>
        <v>6800</v>
      </c>
      <c r="J68" s="97">
        <f>H68-I68</f>
        <v>0</v>
      </c>
      <c r="K68" s="97"/>
      <c r="L68" s="97"/>
    </row>
    <row r="69" spans="1:14" ht="15.75" x14ac:dyDescent="0.25">
      <c r="A69" s="114" t="s">
        <v>17</v>
      </c>
      <c r="B69" s="94" t="s">
        <v>100</v>
      </c>
      <c r="C69" s="100"/>
      <c r="D69" s="96">
        <f>'MAY 21'!J69:J141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</row>
    <row r="70" spans="1:14" ht="15.75" x14ac:dyDescent="0.25">
      <c r="A70" s="109" t="s">
        <v>116</v>
      </c>
      <c r="B70" s="94" t="s">
        <v>101</v>
      </c>
      <c r="C70" s="100"/>
      <c r="D70" s="96">
        <f>'MAY 21'!J70:J142</f>
        <v>300</v>
      </c>
      <c r="E70" s="102">
        <v>7000</v>
      </c>
      <c r="F70" s="102">
        <v>300</v>
      </c>
      <c r="G70" s="101">
        <v>150</v>
      </c>
      <c r="H70" s="97">
        <f t="shared" si="1"/>
        <v>7750</v>
      </c>
      <c r="I70" s="97">
        <f>7500</f>
        <v>7500</v>
      </c>
      <c r="J70" s="97">
        <f>H70-I70</f>
        <v>250</v>
      </c>
      <c r="K70" s="97"/>
      <c r="L70" s="97"/>
    </row>
    <row r="71" spans="1:14" ht="15.75" x14ac:dyDescent="0.25">
      <c r="A71" s="115" t="s">
        <v>28</v>
      </c>
      <c r="B71" s="109"/>
      <c r="C71" s="100">
        <f>SUM(C6:C70)</f>
        <v>48350</v>
      </c>
      <c r="D71" s="96">
        <f>'MAY 21'!J71:J143</f>
        <v>56700</v>
      </c>
      <c r="E71" s="116">
        <f>SUM(E6:E70)</f>
        <v>365500</v>
      </c>
      <c r="F71" s="147">
        <f t="shared" ref="F71:L71" si="2">SUM(F6:F70)</f>
        <v>5400</v>
      </c>
      <c r="G71" s="148">
        <f>SUM(G6:G70)</f>
        <v>6000</v>
      </c>
      <c r="H71" s="97">
        <f>SUM(H6:H70)</f>
        <v>474900</v>
      </c>
      <c r="I71" s="97">
        <f t="shared" si="2"/>
        <v>397500</v>
      </c>
      <c r="J71" s="97">
        <f>SUM(J6:J70)</f>
        <v>77400</v>
      </c>
      <c r="K71" s="97">
        <f t="shared" si="2"/>
        <v>0</v>
      </c>
      <c r="L71" s="97">
        <f t="shared" si="2"/>
        <v>8000</v>
      </c>
    </row>
    <row r="72" spans="1:14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4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4" ht="15.75" x14ac:dyDescent="0.25">
      <c r="A74" s="109" t="s">
        <v>359</v>
      </c>
      <c r="B74" s="124">
        <f>E71</f>
        <v>365500</v>
      </c>
      <c r="C74" s="109"/>
      <c r="D74" s="109"/>
      <c r="E74" s="109"/>
      <c r="F74" s="109" t="s">
        <v>359</v>
      </c>
      <c r="G74" s="109"/>
      <c r="H74" s="125">
        <f>I71</f>
        <v>397500</v>
      </c>
      <c r="I74" s="109"/>
      <c r="J74" s="109"/>
      <c r="K74" s="109"/>
      <c r="L74" s="126"/>
    </row>
    <row r="75" spans="1:14" ht="15.75" x14ac:dyDescent="0.25">
      <c r="A75" s="109" t="s">
        <v>37</v>
      </c>
      <c r="B75" s="124">
        <f>'MAY 21'!D103</f>
        <v>144423.18999999994</v>
      </c>
      <c r="C75" s="109"/>
      <c r="D75" s="109"/>
      <c r="E75" s="109"/>
      <c r="F75" s="109" t="s">
        <v>37</v>
      </c>
      <c r="G75" s="109"/>
      <c r="H75" s="124">
        <f>'MAY 21'!J103</f>
        <v>37023.189999999944</v>
      </c>
      <c r="I75" s="109"/>
      <c r="J75" s="109"/>
      <c r="K75" s="109"/>
      <c r="L75" s="126"/>
      <c r="N75" s="23"/>
    </row>
    <row r="76" spans="1:14" ht="15.75" x14ac:dyDescent="0.25">
      <c r="A76" s="109" t="s">
        <v>38</v>
      </c>
      <c r="B76" s="124">
        <f>C71</f>
        <v>48350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4" ht="15.75" x14ac:dyDescent="0.25">
      <c r="A77" s="109" t="s">
        <v>7</v>
      </c>
      <c r="B77" s="124">
        <f>F71</f>
        <v>5400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4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4" ht="15.75" x14ac:dyDescent="0.25">
      <c r="A79" s="109" t="s">
        <v>40</v>
      </c>
      <c r="B79" s="125">
        <f>L71</f>
        <v>8000</v>
      </c>
      <c r="C79" s="109"/>
      <c r="D79" s="109"/>
      <c r="E79" s="109"/>
      <c r="F79" s="109" t="s">
        <v>40</v>
      </c>
      <c r="G79" s="109"/>
      <c r="H79" s="125">
        <f>L71</f>
        <v>8000</v>
      </c>
      <c r="I79" s="109"/>
      <c r="J79" s="109"/>
      <c r="K79" s="109"/>
      <c r="L79" s="126"/>
    </row>
    <row r="80" spans="1:14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3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3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3" ht="15.75" x14ac:dyDescent="0.25">
      <c r="A83" s="131" t="s">
        <v>43</v>
      </c>
      <c r="B83" s="132">
        <v>7.0000000000000007E-2</v>
      </c>
      <c r="C83" s="133">
        <f>B83*E71</f>
        <v>25585.000000000004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25585.000000000004</v>
      </c>
      <c r="J83" s="109"/>
      <c r="K83" s="109"/>
      <c r="L83" s="126"/>
    </row>
    <row r="84" spans="1:13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3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6000</v>
      </c>
      <c r="J85" s="88"/>
      <c r="K85" s="125"/>
      <c r="L85" s="136"/>
    </row>
    <row r="86" spans="1:13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23"/>
    </row>
    <row r="87" spans="1:13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M87" s="23"/>
    </row>
    <row r="88" spans="1:13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  <c r="M88" s="23"/>
    </row>
    <row r="89" spans="1:13" ht="15.75" x14ac:dyDescent="0.25">
      <c r="A89" s="134" t="s">
        <v>385</v>
      </c>
      <c r="B89" s="132"/>
      <c r="C89" s="93">
        <v>300000</v>
      </c>
      <c r="D89" s="109"/>
      <c r="E89" s="109"/>
      <c r="F89" s="134" t="s">
        <v>385</v>
      </c>
      <c r="G89" s="132"/>
      <c r="H89" s="93"/>
      <c r="I89" s="93">
        <v>300000</v>
      </c>
      <c r="J89" s="109"/>
      <c r="K89" s="109"/>
      <c r="L89" s="126"/>
      <c r="M89" s="23"/>
    </row>
    <row r="90" spans="1:13" ht="15.75" x14ac:dyDescent="0.25">
      <c r="A90" s="134" t="s">
        <v>386</v>
      </c>
      <c r="B90" s="132"/>
      <c r="C90" s="93">
        <v>43000</v>
      </c>
      <c r="D90" s="109"/>
      <c r="E90" s="109"/>
      <c r="F90" s="134" t="s">
        <v>386</v>
      </c>
      <c r="G90" s="132"/>
      <c r="H90" s="93"/>
      <c r="I90" s="93">
        <v>43000</v>
      </c>
      <c r="J90" s="109"/>
      <c r="K90" s="109"/>
      <c r="L90" s="126"/>
    </row>
    <row r="91" spans="1:13" ht="15.75" x14ac:dyDescent="0.25">
      <c r="A91" s="134" t="s">
        <v>240</v>
      </c>
      <c r="B91" s="132"/>
      <c r="C91" s="93">
        <v>10087</v>
      </c>
      <c r="D91" s="109"/>
      <c r="E91" s="109"/>
      <c r="F91" s="134" t="s">
        <v>240</v>
      </c>
      <c r="G91" s="132"/>
      <c r="H91" s="93"/>
      <c r="I91" s="93">
        <v>10087</v>
      </c>
      <c r="J91" s="109"/>
      <c r="K91" s="109"/>
      <c r="L91" s="126"/>
    </row>
    <row r="92" spans="1:13" ht="15.75" x14ac:dyDescent="0.25">
      <c r="A92" s="134" t="s">
        <v>390</v>
      </c>
      <c r="B92" s="132"/>
      <c r="C92" s="93">
        <v>8250</v>
      </c>
      <c r="D92" s="109"/>
      <c r="E92" s="109"/>
      <c r="F92" s="134"/>
      <c r="G92" s="132"/>
      <c r="H92" s="93"/>
      <c r="I92" s="93"/>
      <c r="J92" s="109"/>
      <c r="K92" s="109"/>
      <c r="L92" s="126"/>
    </row>
    <row r="93" spans="1:13" ht="15.75" x14ac:dyDescent="0.25">
      <c r="A93" s="134" t="s">
        <v>388</v>
      </c>
      <c r="B93" s="132"/>
      <c r="C93" s="125">
        <v>5400</v>
      </c>
      <c r="D93" s="109"/>
      <c r="E93" s="109"/>
      <c r="F93" s="134" t="s">
        <v>388</v>
      </c>
      <c r="G93" s="132"/>
      <c r="H93" s="125"/>
      <c r="I93" s="125">
        <v>5400</v>
      </c>
      <c r="J93" s="109"/>
      <c r="K93" s="109"/>
      <c r="L93" s="126"/>
    </row>
    <row r="94" spans="1:13" ht="15.75" x14ac:dyDescent="0.25">
      <c r="A94" s="134" t="s">
        <v>252</v>
      </c>
      <c r="B94" s="132"/>
      <c r="C94" s="125">
        <v>200</v>
      </c>
      <c r="D94" s="109"/>
      <c r="E94" s="109"/>
      <c r="F94" s="134" t="s">
        <v>252</v>
      </c>
      <c r="G94" s="132"/>
      <c r="H94" s="125"/>
      <c r="I94" s="125">
        <v>200</v>
      </c>
      <c r="J94" s="109"/>
      <c r="K94" s="109"/>
      <c r="L94" s="126"/>
    </row>
    <row r="95" spans="1:13" ht="15.75" x14ac:dyDescent="0.25">
      <c r="A95" s="134" t="s">
        <v>389</v>
      </c>
      <c r="B95" s="132"/>
      <c r="C95" s="125">
        <v>542</v>
      </c>
      <c r="D95" s="109"/>
      <c r="E95" s="109"/>
      <c r="F95" s="134" t="s">
        <v>389</v>
      </c>
      <c r="G95" s="132"/>
      <c r="H95" s="125"/>
      <c r="I95" s="125">
        <v>542</v>
      </c>
      <c r="J95" s="109"/>
      <c r="K95" s="109"/>
      <c r="L95" s="126"/>
    </row>
    <row r="96" spans="1:13" ht="15.75" x14ac:dyDescent="0.25">
      <c r="A96" s="134" t="s">
        <v>403</v>
      </c>
      <c r="B96" s="132"/>
      <c r="C96" s="125">
        <v>6650</v>
      </c>
      <c r="D96" s="109"/>
      <c r="E96" s="109"/>
      <c r="F96" s="134"/>
      <c r="G96" s="132"/>
      <c r="H96" s="125"/>
      <c r="I96" s="125"/>
      <c r="J96" s="109"/>
      <c r="K96" s="109"/>
      <c r="L96" s="126"/>
    </row>
    <row r="97" spans="1:12" ht="15.75" x14ac:dyDescent="0.25">
      <c r="A97" s="134" t="s">
        <v>400</v>
      </c>
      <c r="B97" s="132"/>
      <c r="C97" s="93">
        <v>2800</v>
      </c>
      <c r="D97" s="109"/>
      <c r="E97" s="109"/>
      <c r="F97" s="134"/>
      <c r="G97" s="132"/>
      <c r="H97" s="93"/>
      <c r="I97" s="93"/>
      <c r="J97" s="109"/>
      <c r="K97" s="109"/>
      <c r="L97" s="126"/>
    </row>
    <row r="98" spans="1:12" ht="15.75" x14ac:dyDescent="0.25">
      <c r="A98" s="134" t="s">
        <v>402</v>
      </c>
      <c r="B98" s="132"/>
      <c r="C98" s="125">
        <v>10100</v>
      </c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571673.18999999994</v>
      </c>
      <c r="C99" s="139">
        <f>SUM(C83:C98)</f>
        <v>429614</v>
      </c>
      <c r="D99" s="139">
        <f>B99-C99</f>
        <v>142059.18999999994</v>
      </c>
      <c r="E99" s="139"/>
      <c r="F99" s="115"/>
      <c r="G99" s="115"/>
      <c r="H99" s="139">
        <f>H74+H75+H77+H79+H80</f>
        <v>442523.18999999994</v>
      </c>
      <c r="I99" s="139">
        <f>SUM(I83:I98)</f>
        <v>407814</v>
      </c>
      <c r="J99" s="139">
        <f>H99-I99</f>
        <v>34709.189999999944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401814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382229</v>
      </c>
      <c r="J101" s="87"/>
      <c r="K101" s="105"/>
      <c r="L101" s="86"/>
    </row>
    <row r="102" spans="1:12" x14ac:dyDescent="0.25">
      <c r="J102" s="43">
        <f>J71+J99</f>
        <v>112109.18999999994</v>
      </c>
    </row>
    <row r="103" spans="1:12" x14ac:dyDescent="0.25">
      <c r="J103" s="43"/>
    </row>
    <row r="104" spans="1:12" x14ac:dyDescent="0.25">
      <c r="I104" s="43"/>
      <c r="J104" s="43"/>
    </row>
    <row r="105" spans="1:12" x14ac:dyDescent="0.25">
      <c r="J105" s="43"/>
    </row>
    <row r="107" spans="1:12" x14ac:dyDescent="0.25">
      <c r="H107" s="43">
        <f>D99-J99</f>
        <v>107350</v>
      </c>
    </row>
    <row r="115" spans="10:10" x14ac:dyDescent="0.25">
      <c r="J115">
        <f>7500-3000</f>
        <v>4500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>
      <selection activeCell="A28" sqref="A28"/>
    </sheetView>
  </sheetViews>
  <sheetFormatPr defaultRowHeight="15" x14ac:dyDescent="0.25"/>
  <cols>
    <col min="1" max="1" width="23.7109375" customWidth="1"/>
    <col min="3" max="3" width="12.7109375" customWidth="1"/>
    <col min="5" max="5" width="11" customWidth="1"/>
    <col min="7" max="7" width="12.42578125" customWidth="1"/>
    <col min="8" max="8" width="10.28515625" customWidth="1"/>
    <col min="9" max="9" width="12.5703125" customWidth="1"/>
    <col min="10" max="10" width="11" customWidth="1"/>
  </cols>
  <sheetData>
    <row r="1" spans="1:12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2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2" ht="15.75" x14ac:dyDescent="0.25">
      <c r="A4" s="3"/>
      <c r="B4" s="88"/>
      <c r="C4" s="88"/>
      <c r="D4" s="3" t="s">
        <v>407</v>
      </c>
      <c r="E4" s="3"/>
      <c r="F4" s="88"/>
      <c r="G4" s="3"/>
      <c r="H4" s="7"/>
      <c r="I4" s="7"/>
      <c r="J4" s="7"/>
      <c r="K4" s="7"/>
      <c r="L4" s="7"/>
    </row>
    <row r="5" spans="1:12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2" ht="15.75" x14ac:dyDescent="0.25">
      <c r="A6" s="93" t="s">
        <v>308</v>
      </c>
      <c r="B6" s="94" t="s">
        <v>14</v>
      </c>
      <c r="C6" s="95"/>
      <c r="D6" s="96">
        <f>'JUNE 21'!J6:J70</f>
        <v>8150</v>
      </c>
      <c r="E6" s="97">
        <v>6500</v>
      </c>
      <c r="F6" s="98">
        <v>150</v>
      </c>
      <c r="G6" s="97"/>
      <c r="H6" s="97">
        <f>D6+E6+F6+G6+C6</f>
        <v>14800</v>
      </c>
      <c r="I6" s="97">
        <f>8000</f>
        <v>8000</v>
      </c>
      <c r="J6" s="97">
        <f t="shared" ref="J6:J67" si="0">H6-I6</f>
        <v>6800</v>
      </c>
      <c r="K6" s="97"/>
      <c r="L6" s="97"/>
    </row>
    <row r="7" spans="1:12" ht="15.75" x14ac:dyDescent="0.25">
      <c r="A7" s="161" t="s">
        <v>17</v>
      </c>
      <c r="B7" s="94" t="s">
        <v>15</v>
      </c>
      <c r="C7" s="100"/>
      <c r="D7" s="96">
        <f>'JUNE 21'!J7:J71</f>
        <v>0</v>
      </c>
      <c r="E7" s="101"/>
      <c r="F7" s="102"/>
      <c r="G7" s="101"/>
      <c r="H7" s="97">
        <f>D7+E7+F7+G7+C7</f>
        <v>0</v>
      </c>
      <c r="I7" s="97"/>
      <c r="J7" s="97"/>
      <c r="K7" s="97"/>
      <c r="L7" s="97"/>
    </row>
    <row r="8" spans="1:12" ht="15.75" x14ac:dyDescent="0.25">
      <c r="A8" s="161" t="s">
        <v>17</v>
      </c>
      <c r="B8" s="94" t="s">
        <v>16</v>
      </c>
      <c r="C8" s="100"/>
      <c r="D8" s="96"/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</row>
    <row r="9" spans="1:12" ht="15.75" x14ac:dyDescent="0.25">
      <c r="A9" s="99" t="s">
        <v>189</v>
      </c>
      <c r="B9" s="94" t="s">
        <v>18</v>
      </c>
      <c r="C9" s="100"/>
      <c r="D9" s="96">
        <f>'JUNE 21'!J9:J73</f>
        <v>0</v>
      </c>
      <c r="E9" s="96">
        <v>6500</v>
      </c>
      <c r="F9" s="103"/>
      <c r="G9" s="101">
        <v>150</v>
      </c>
      <c r="H9" s="97">
        <f t="shared" si="1"/>
        <v>6650</v>
      </c>
      <c r="I9" s="97">
        <v>6650</v>
      </c>
      <c r="J9" s="97">
        <f t="shared" si="0"/>
        <v>0</v>
      </c>
      <c r="K9" s="97"/>
      <c r="L9" s="97"/>
    </row>
    <row r="10" spans="1:12" ht="15.75" x14ac:dyDescent="0.25">
      <c r="A10" s="161" t="s">
        <v>396</v>
      </c>
      <c r="B10" s="94" t="s">
        <v>19</v>
      </c>
      <c r="C10" s="100"/>
      <c r="D10" s="96">
        <f>'JUNE 21'!J10:J74</f>
        <v>0</v>
      </c>
      <c r="E10" s="101"/>
      <c r="F10" s="102"/>
      <c r="G10" s="101"/>
      <c r="H10" s="97">
        <f t="shared" si="1"/>
        <v>0</v>
      </c>
      <c r="I10" s="97"/>
      <c r="J10" s="97">
        <f t="shared" si="0"/>
        <v>0</v>
      </c>
      <c r="K10" s="97"/>
      <c r="L10" s="97"/>
    </row>
    <row r="11" spans="1:12" ht="15.75" x14ac:dyDescent="0.25">
      <c r="A11" s="104" t="s">
        <v>134</v>
      </c>
      <c r="B11" s="94" t="s">
        <v>20</v>
      </c>
      <c r="C11" s="100"/>
      <c r="D11" s="96">
        <f>'JUNE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2" ht="15.75" x14ac:dyDescent="0.25">
      <c r="A12" s="109" t="s">
        <v>293</v>
      </c>
      <c r="B12" s="94" t="s">
        <v>21</v>
      </c>
      <c r="C12" s="100"/>
      <c r="D12" s="96">
        <f>'JUNE 21'!J12:J76</f>
        <v>1600</v>
      </c>
      <c r="E12" s="101">
        <v>5500</v>
      </c>
      <c r="F12" s="88"/>
      <c r="G12" s="101">
        <v>150</v>
      </c>
      <c r="H12" s="97">
        <f t="shared" si="1"/>
        <v>7250</v>
      </c>
      <c r="I12" s="97">
        <f>3600+1000+500</f>
        <v>5100</v>
      </c>
      <c r="J12" s="97">
        <f t="shared" si="0"/>
        <v>2150</v>
      </c>
      <c r="K12" s="97"/>
      <c r="L12" s="97"/>
    </row>
    <row r="13" spans="1:12" ht="15.75" x14ac:dyDescent="0.25">
      <c r="A13" s="107" t="s">
        <v>298</v>
      </c>
      <c r="B13" s="94" t="s">
        <v>22</v>
      </c>
      <c r="C13" s="100"/>
      <c r="D13" s="96">
        <f>'JUNE 21'!J13:J77</f>
        <v>6100</v>
      </c>
      <c r="E13" s="101">
        <v>7000</v>
      </c>
      <c r="F13" s="108"/>
      <c r="G13" s="101"/>
      <c r="H13" s="97">
        <f t="shared" si="1"/>
        <v>13100</v>
      </c>
      <c r="I13" s="97">
        <f>4500+2500</f>
        <v>7000</v>
      </c>
      <c r="J13" s="97">
        <f t="shared" si="0"/>
        <v>6100</v>
      </c>
      <c r="K13" s="97"/>
      <c r="L13" s="97"/>
    </row>
    <row r="14" spans="1:12" ht="15.75" x14ac:dyDescent="0.25">
      <c r="A14" s="109" t="s">
        <v>377</v>
      </c>
      <c r="B14" s="94" t="s">
        <v>23</v>
      </c>
      <c r="C14" s="100"/>
      <c r="D14" s="96">
        <f>'JUNE 21'!J14:J78</f>
        <v>0</v>
      </c>
      <c r="E14" s="101">
        <v>6500</v>
      </c>
      <c r="F14" s="102">
        <v>150</v>
      </c>
      <c r="G14" s="101">
        <v>150</v>
      </c>
      <c r="H14" s="97">
        <f t="shared" si="1"/>
        <v>6800</v>
      </c>
      <c r="I14" s="97">
        <v>6650</v>
      </c>
      <c r="J14" s="97">
        <f t="shared" si="0"/>
        <v>150</v>
      </c>
      <c r="K14" s="97"/>
      <c r="L14" s="97"/>
    </row>
    <row r="15" spans="1:12" ht="15.75" x14ac:dyDescent="0.25">
      <c r="A15" s="109" t="s">
        <v>363</v>
      </c>
      <c r="B15" s="94" t="s">
        <v>24</v>
      </c>
      <c r="C15" s="100"/>
      <c r="D15" s="96">
        <f>'JUNE 21'!J15:J79</f>
        <v>0</v>
      </c>
      <c r="E15" s="101">
        <v>6500</v>
      </c>
      <c r="F15" s="102"/>
      <c r="G15" s="101">
        <v>150</v>
      </c>
      <c r="H15" s="97">
        <f t="shared" si="1"/>
        <v>6650</v>
      </c>
      <c r="I15" s="97">
        <f>6500</f>
        <v>6500</v>
      </c>
      <c r="J15" s="97">
        <f>H15-I15</f>
        <v>150</v>
      </c>
      <c r="K15" s="97"/>
      <c r="L15" s="97"/>
    </row>
    <row r="16" spans="1:12" ht="15.75" x14ac:dyDescent="0.25">
      <c r="A16" s="114" t="s">
        <v>17</v>
      </c>
      <c r="B16" s="94" t="s">
        <v>25</v>
      </c>
      <c r="C16" s="100"/>
      <c r="D16" s="96"/>
      <c r="E16" s="101"/>
      <c r="F16" s="102"/>
      <c r="G16" s="101"/>
      <c r="H16" s="97">
        <f t="shared" si="1"/>
        <v>0</v>
      </c>
      <c r="I16" s="97"/>
      <c r="J16" s="97">
        <f t="shared" si="0"/>
        <v>0</v>
      </c>
      <c r="K16" s="97"/>
      <c r="L16" s="97"/>
    </row>
    <row r="17" spans="1:14" ht="15.75" x14ac:dyDescent="0.25">
      <c r="A17" s="93" t="s">
        <v>133</v>
      </c>
      <c r="B17" s="94" t="s">
        <v>26</v>
      </c>
      <c r="C17" s="100"/>
      <c r="D17" s="96">
        <f>'JUNE 21'!J17:J81</f>
        <v>950</v>
      </c>
      <c r="E17" s="101">
        <v>6500</v>
      </c>
      <c r="F17" s="102">
        <v>150</v>
      </c>
      <c r="G17" s="101">
        <v>150</v>
      </c>
      <c r="H17" s="97">
        <f t="shared" si="1"/>
        <v>7750</v>
      </c>
      <c r="I17" s="97">
        <f>6650+950</f>
        <v>7600</v>
      </c>
      <c r="J17" s="97">
        <f t="shared" si="0"/>
        <v>150</v>
      </c>
      <c r="K17" s="97"/>
      <c r="L17" s="97"/>
    </row>
    <row r="18" spans="1:14" ht="15.75" x14ac:dyDescent="0.25">
      <c r="A18" s="109" t="s">
        <v>217</v>
      </c>
      <c r="B18" s="94" t="s">
        <v>27</v>
      </c>
      <c r="C18" s="95"/>
      <c r="D18" s="96">
        <f>'JUNE 21'!J18:J82</f>
        <v>0</v>
      </c>
      <c r="E18" s="101">
        <v>6500</v>
      </c>
      <c r="F18" s="102">
        <v>150</v>
      </c>
      <c r="G18" s="101">
        <v>150</v>
      </c>
      <c r="H18" s="97">
        <f t="shared" si="1"/>
        <v>6800</v>
      </c>
      <c r="I18" s="97">
        <f>6800</f>
        <v>6800</v>
      </c>
      <c r="J18" s="160">
        <f>H18-I18</f>
        <v>0</v>
      </c>
      <c r="K18" s="97"/>
      <c r="L18" s="97"/>
      <c r="M18" s="23">
        <f>J17-150</f>
        <v>0</v>
      </c>
    </row>
    <row r="19" spans="1:14" ht="15.75" x14ac:dyDescent="0.25">
      <c r="A19" s="109" t="s">
        <v>374</v>
      </c>
      <c r="B19" s="94" t="s">
        <v>50</v>
      </c>
      <c r="C19" s="100"/>
      <c r="D19" s="96">
        <f>'JUNE 21'!J19:J83</f>
        <v>0</v>
      </c>
      <c r="E19" s="101">
        <v>6500</v>
      </c>
      <c r="F19" s="102">
        <v>150</v>
      </c>
      <c r="G19" s="101">
        <v>150</v>
      </c>
      <c r="H19" s="97">
        <f t="shared" si="1"/>
        <v>6800</v>
      </c>
      <c r="I19" s="97">
        <f>6700</f>
        <v>6700</v>
      </c>
      <c r="J19" s="97">
        <f t="shared" si="0"/>
        <v>100</v>
      </c>
      <c r="K19" s="97"/>
      <c r="L19" s="97"/>
    </row>
    <row r="20" spans="1:14" ht="15.75" x14ac:dyDescent="0.25">
      <c r="A20" s="99" t="s">
        <v>260</v>
      </c>
      <c r="B20" s="94" t="s">
        <v>51</v>
      </c>
      <c r="C20" s="100"/>
      <c r="D20" s="96">
        <f>'JUNE 21'!J20:J84</f>
        <v>300</v>
      </c>
      <c r="E20" s="101">
        <v>6500</v>
      </c>
      <c r="F20" s="102">
        <v>150</v>
      </c>
      <c r="G20" s="101">
        <v>150</v>
      </c>
      <c r="H20" s="97">
        <f t="shared" si="1"/>
        <v>7100</v>
      </c>
      <c r="I20" s="97">
        <f>6500+300</f>
        <v>6800</v>
      </c>
      <c r="J20" s="97">
        <f t="shared" si="0"/>
        <v>300</v>
      </c>
      <c r="K20" s="97"/>
      <c r="L20" s="97"/>
    </row>
    <row r="21" spans="1:14" ht="15.75" x14ac:dyDescent="0.25">
      <c r="A21" s="114" t="s">
        <v>17</v>
      </c>
      <c r="B21" s="154" t="s">
        <v>52</v>
      </c>
      <c r="C21" s="100"/>
      <c r="D21" s="96">
        <f>'JUNE 21'!J21:J85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4" ht="15.75" x14ac:dyDescent="0.25">
      <c r="A22" s="109" t="s">
        <v>375</v>
      </c>
      <c r="B22" s="94" t="s">
        <v>53</v>
      </c>
      <c r="C22" s="100"/>
      <c r="D22" s="96">
        <f>'JUNE 21'!J22:J86</f>
        <v>300</v>
      </c>
      <c r="E22" s="101">
        <v>6500</v>
      </c>
      <c r="F22" s="102">
        <v>300</v>
      </c>
      <c r="G22" s="101">
        <v>150</v>
      </c>
      <c r="H22" s="97">
        <f t="shared" si="1"/>
        <v>7250</v>
      </c>
      <c r="I22" s="97">
        <f>6800</f>
        <v>6800</v>
      </c>
      <c r="J22" s="97">
        <f t="shared" si="0"/>
        <v>450</v>
      </c>
      <c r="K22" s="97"/>
      <c r="L22" s="97"/>
    </row>
    <row r="23" spans="1:14" ht="15.75" x14ac:dyDescent="0.25">
      <c r="A23" s="99" t="s">
        <v>399</v>
      </c>
      <c r="B23" s="94" t="s">
        <v>54</v>
      </c>
      <c r="C23" s="100"/>
      <c r="D23" s="96"/>
      <c r="E23" s="101">
        <v>6500</v>
      </c>
      <c r="F23" s="102"/>
      <c r="G23" s="101"/>
      <c r="H23" s="97">
        <f t="shared" si="1"/>
        <v>6500</v>
      </c>
      <c r="I23" s="97">
        <v>6500</v>
      </c>
      <c r="J23" s="97">
        <f t="shared" si="0"/>
        <v>0</v>
      </c>
      <c r="K23" s="97"/>
      <c r="L23" s="97"/>
    </row>
    <row r="24" spans="1:14" ht="15.75" x14ac:dyDescent="0.25">
      <c r="A24" s="109" t="s">
        <v>190</v>
      </c>
      <c r="B24" s="94" t="s">
        <v>55</v>
      </c>
      <c r="C24" s="100"/>
      <c r="D24" s="96">
        <f>'JUNE 21'!J24:J88</f>
        <v>6750</v>
      </c>
      <c r="E24" s="101">
        <v>7000</v>
      </c>
      <c r="F24" s="102">
        <v>150</v>
      </c>
      <c r="G24" s="101"/>
      <c r="H24" s="97">
        <f t="shared" si="1"/>
        <v>13900</v>
      </c>
      <c r="I24" s="97">
        <f>2000+2500</f>
        <v>4500</v>
      </c>
      <c r="J24" s="97">
        <f t="shared" si="0"/>
        <v>9400</v>
      </c>
      <c r="K24" s="97"/>
      <c r="L24" s="97"/>
    </row>
    <row r="25" spans="1:14" ht="15.75" x14ac:dyDescent="0.25">
      <c r="A25" s="109" t="s">
        <v>155</v>
      </c>
      <c r="B25" s="94" t="s">
        <v>56</v>
      </c>
      <c r="C25" s="100"/>
      <c r="D25" s="96">
        <f>'JUNE 21'!J25:J89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4" ht="15.75" x14ac:dyDescent="0.25">
      <c r="A26" s="109" t="s">
        <v>130</v>
      </c>
      <c r="B26" s="94" t="s">
        <v>57</v>
      </c>
      <c r="C26" s="100"/>
      <c r="D26" s="96">
        <f>'JUNE 21'!J26:J90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v>7000</v>
      </c>
      <c r="J26" s="97">
        <f t="shared" si="0"/>
        <v>150</v>
      </c>
      <c r="K26" s="97"/>
      <c r="L26" s="97"/>
      <c r="N26">
        <f>7500-4000</f>
        <v>3500</v>
      </c>
    </row>
    <row r="27" spans="1:14" ht="15.75" x14ac:dyDescent="0.25">
      <c r="A27" s="109" t="s">
        <v>132</v>
      </c>
      <c r="B27" s="94" t="s">
        <v>58</v>
      </c>
      <c r="C27" s="100"/>
      <c r="D27" s="96">
        <f>'JUNE 21'!J27:J91</f>
        <v>150</v>
      </c>
      <c r="E27" s="101">
        <v>6500</v>
      </c>
      <c r="F27" s="102">
        <v>150</v>
      </c>
      <c r="G27" s="101">
        <v>150</v>
      </c>
      <c r="H27" s="97">
        <f t="shared" si="1"/>
        <v>6950</v>
      </c>
      <c r="I27" s="97">
        <f>6800+150</f>
        <v>6950</v>
      </c>
      <c r="J27" s="97">
        <f t="shared" si="0"/>
        <v>0</v>
      </c>
      <c r="K27" s="97"/>
      <c r="L27" s="97"/>
    </row>
    <row r="28" spans="1:14" ht="15.75" x14ac:dyDescent="0.25">
      <c r="A28" s="109" t="s">
        <v>235</v>
      </c>
      <c r="B28" s="94" t="s">
        <v>59</v>
      </c>
      <c r="C28" s="100"/>
      <c r="D28" s="96">
        <f>'JUNE 21'!J28:J92</f>
        <v>0</v>
      </c>
      <c r="E28" s="101">
        <v>6500</v>
      </c>
      <c r="F28" s="102">
        <v>150</v>
      </c>
      <c r="G28" s="101">
        <v>150</v>
      </c>
      <c r="H28" s="97">
        <f t="shared" si="1"/>
        <v>6800</v>
      </c>
      <c r="I28" s="97">
        <v>6800</v>
      </c>
      <c r="J28" s="97">
        <f>H28-I28</f>
        <v>0</v>
      </c>
      <c r="K28" s="97"/>
      <c r="L28" s="97"/>
    </row>
    <row r="29" spans="1:14" ht="15.75" x14ac:dyDescent="0.25">
      <c r="A29" s="109" t="s">
        <v>309</v>
      </c>
      <c r="B29" s="94" t="s">
        <v>60</v>
      </c>
      <c r="C29" s="100"/>
      <c r="D29" s="96">
        <f>'JUNE 21'!J29:J93</f>
        <v>150</v>
      </c>
      <c r="E29" s="101">
        <v>6500</v>
      </c>
      <c r="F29" s="102"/>
      <c r="G29" s="101">
        <v>150</v>
      </c>
      <c r="H29" s="97">
        <f t="shared" si="1"/>
        <v>6800</v>
      </c>
      <c r="I29" s="97">
        <v>6800</v>
      </c>
      <c r="J29" s="97">
        <f>H29-I29</f>
        <v>0</v>
      </c>
      <c r="K29" s="97"/>
      <c r="L29" s="97"/>
    </row>
    <row r="30" spans="1:14" ht="15.75" x14ac:dyDescent="0.25">
      <c r="A30" s="109" t="s">
        <v>241</v>
      </c>
      <c r="B30" s="94" t="s">
        <v>61</v>
      </c>
      <c r="C30" s="100"/>
      <c r="D30" s="96">
        <f>'JUNE 21'!J30:J94</f>
        <v>150</v>
      </c>
      <c r="E30" s="101">
        <v>6500</v>
      </c>
      <c r="F30" s="102">
        <v>150</v>
      </c>
      <c r="G30" s="101">
        <v>150</v>
      </c>
      <c r="H30" s="97">
        <f t="shared" si="1"/>
        <v>6950</v>
      </c>
      <c r="I30" s="97">
        <f>6950</f>
        <v>6950</v>
      </c>
      <c r="J30" s="97">
        <f t="shared" si="0"/>
        <v>0</v>
      </c>
      <c r="K30" s="97"/>
      <c r="L30" s="97"/>
    </row>
    <row r="31" spans="1:14" ht="15.75" x14ac:dyDescent="0.25">
      <c r="A31" s="109" t="s">
        <v>106</v>
      </c>
      <c r="B31" s="94" t="s">
        <v>62</v>
      </c>
      <c r="C31" s="95"/>
      <c r="D31" s="96">
        <f>'JUNE 21'!J31:J95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f>6800</f>
        <v>6800</v>
      </c>
      <c r="J31" s="97">
        <f t="shared" si="0"/>
        <v>0</v>
      </c>
      <c r="K31" s="97"/>
      <c r="L31" s="97"/>
    </row>
    <row r="32" spans="1:14" ht="15.75" x14ac:dyDescent="0.25">
      <c r="A32" s="109" t="s">
        <v>181</v>
      </c>
      <c r="B32" s="94" t="s">
        <v>63</v>
      </c>
      <c r="C32" s="100"/>
      <c r="D32" s="96">
        <f>'JUNE 21'!J32:J96</f>
        <v>4450</v>
      </c>
      <c r="E32" s="101">
        <v>6500</v>
      </c>
      <c r="F32" s="102"/>
      <c r="G32" s="101"/>
      <c r="H32" s="97">
        <f t="shared" si="1"/>
        <v>10950</v>
      </c>
      <c r="I32" s="97">
        <f>6500</f>
        <v>6500</v>
      </c>
      <c r="J32" s="97">
        <f t="shared" si="0"/>
        <v>4450</v>
      </c>
      <c r="K32" s="97"/>
      <c r="L32" s="97"/>
    </row>
    <row r="33" spans="1:12" ht="15.75" x14ac:dyDescent="0.25">
      <c r="A33" s="109" t="s">
        <v>171</v>
      </c>
      <c r="B33" s="94" t="s">
        <v>64</v>
      </c>
      <c r="C33" s="100"/>
      <c r="D33" s="96">
        <f>'JUNE 21'!J33:J97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6650</f>
        <v>6650</v>
      </c>
      <c r="J33" s="97">
        <f t="shared" si="0"/>
        <v>0</v>
      </c>
      <c r="K33" s="97"/>
      <c r="L33" s="97"/>
    </row>
    <row r="34" spans="1:12" ht="15.75" x14ac:dyDescent="0.25">
      <c r="A34" s="109" t="s">
        <v>288</v>
      </c>
      <c r="B34" s="94" t="s">
        <v>65</v>
      </c>
      <c r="C34" s="100"/>
      <c r="D34" s="96">
        <f>'JUNE 21'!J34:J98</f>
        <v>0</v>
      </c>
      <c r="E34" s="102">
        <v>6500</v>
      </c>
      <c r="F34" s="102"/>
      <c r="G34" s="101">
        <v>150</v>
      </c>
      <c r="H34" s="97">
        <f t="shared" si="1"/>
        <v>6650</v>
      </c>
      <c r="I34" s="97">
        <f>6650</f>
        <v>6650</v>
      </c>
      <c r="J34" s="97">
        <f t="shared" si="0"/>
        <v>0</v>
      </c>
      <c r="K34" s="97"/>
      <c r="L34" s="97"/>
    </row>
    <row r="35" spans="1:12" ht="15.75" x14ac:dyDescent="0.25">
      <c r="A35" s="109" t="s">
        <v>356</v>
      </c>
      <c r="B35" s="94" t="s">
        <v>66</v>
      </c>
      <c r="C35" s="95"/>
      <c r="D35" s="96">
        <f>'JUNE 21'!J35:J99</f>
        <v>0</v>
      </c>
      <c r="E35" s="102">
        <v>6500</v>
      </c>
      <c r="F35" s="102"/>
      <c r="G35" s="101"/>
      <c r="H35" s="160">
        <f t="shared" si="1"/>
        <v>6500</v>
      </c>
      <c r="I35" s="97">
        <v>6500</v>
      </c>
      <c r="J35" s="160">
        <f t="shared" si="0"/>
        <v>0</v>
      </c>
      <c r="K35" s="160"/>
      <c r="L35" s="160"/>
    </row>
    <row r="36" spans="1:12" ht="15.75" x14ac:dyDescent="0.25">
      <c r="A36" s="109" t="s">
        <v>360</v>
      </c>
      <c r="B36" s="94" t="s">
        <v>67</v>
      </c>
      <c r="C36" s="100"/>
      <c r="D36" s="96">
        <f>'JUNE 21'!J36:J100</f>
        <v>150</v>
      </c>
      <c r="E36" s="102">
        <v>6500</v>
      </c>
      <c r="F36" s="102"/>
      <c r="G36" s="101">
        <v>150</v>
      </c>
      <c r="H36" s="97">
        <f t="shared" si="1"/>
        <v>6800</v>
      </c>
      <c r="I36" s="97">
        <f>3250+3250</f>
        <v>6500</v>
      </c>
      <c r="J36" s="97">
        <f t="shared" si="0"/>
        <v>300</v>
      </c>
      <c r="K36" s="97"/>
      <c r="L36" s="97"/>
    </row>
    <row r="37" spans="1:12" ht="15.75" x14ac:dyDescent="0.25">
      <c r="A37" s="114" t="s">
        <v>17</v>
      </c>
      <c r="B37" s="94" t="s">
        <v>68</v>
      </c>
      <c r="C37" s="100"/>
      <c r="D37" s="96"/>
      <c r="E37" s="102"/>
      <c r="F37" s="102"/>
      <c r="G37" s="101"/>
      <c r="H37" s="97">
        <f t="shared" si="1"/>
        <v>0</v>
      </c>
      <c r="I37" s="97"/>
      <c r="J37" s="97">
        <f t="shared" si="0"/>
        <v>0</v>
      </c>
      <c r="L37" s="97"/>
    </row>
    <row r="38" spans="1:12" ht="15.75" x14ac:dyDescent="0.25">
      <c r="A38" s="109" t="s">
        <v>280</v>
      </c>
      <c r="B38" s="94" t="s">
        <v>69</v>
      </c>
      <c r="C38" s="100"/>
      <c r="D38" s="96">
        <f>'JUNE 21'!J38:J102</f>
        <v>150</v>
      </c>
      <c r="E38" s="102">
        <v>5500</v>
      </c>
      <c r="F38" s="102"/>
      <c r="G38" s="101"/>
      <c r="H38" s="97">
        <f t="shared" si="1"/>
        <v>5650</v>
      </c>
      <c r="I38" s="97">
        <f>500+5000</f>
        <v>5500</v>
      </c>
      <c r="J38" s="97">
        <f t="shared" si="0"/>
        <v>150</v>
      </c>
      <c r="K38" s="97"/>
      <c r="L38" s="97"/>
    </row>
    <row r="39" spans="1:12" ht="15.75" x14ac:dyDescent="0.25">
      <c r="A39" s="109" t="s">
        <v>125</v>
      </c>
      <c r="B39" s="94" t="s">
        <v>70</v>
      </c>
      <c r="C39" s="100"/>
      <c r="D39" s="96">
        <f>'JUNE 21'!J39:J103</f>
        <v>450</v>
      </c>
      <c r="E39" s="102">
        <v>7000</v>
      </c>
      <c r="F39" s="102"/>
      <c r="G39" s="101">
        <v>150</v>
      </c>
      <c r="H39" s="97">
        <f t="shared" si="1"/>
        <v>7600</v>
      </c>
      <c r="I39" s="97">
        <v>7300</v>
      </c>
      <c r="J39" s="97">
        <f t="shared" si="0"/>
        <v>300</v>
      </c>
      <c r="K39" s="97"/>
      <c r="L39" s="97"/>
    </row>
    <row r="40" spans="1:12" ht="15.75" x14ac:dyDescent="0.25">
      <c r="A40" s="115" t="s">
        <v>351</v>
      </c>
      <c r="B40" s="167" t="s">
        <v>71</v>
      </c>
      <c r="C40" s="168"/>
      <c r="D40" s="96">
        <f>'JUNE 21'!J40:J104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v>6650</v>
      </c>
      <c r="J40" s="97">
        <f t="shared" si="0"/>
        <v>150</v>
      </c>
      <c r="K40" s="160"/>
      <c r="L40" s="160"/>
    </row>
    <row r="41" spans="1:12" ht="15.75" x14ac:dyDescent="0.25">
      <c r="A41" s="109" t="s">
        <v>127</v>
      </c>
      <c r="B41" s="94" t="s">
        <v>72</v>
      </c>
      <c r="C41" s="100"/>
      <c r="D41" s="96">
        <f>'JUNE 21'!J41:J105</f>
        <v>500</v>
      </c>
      <c r="E41" s="102">
        <v>6500</v>
      </c>
      <c r="F41" s="102">
        <v>300</v>
      </c>
      <c r="G41" s="101">
        <v>150</v>
      </c>
      <c r="H41" s="97">
        <f t="shared" si="1"/>
        <v>7450</v>
      </c>
      <c r="I41" s="97">
        <v>7450</v>
      </c>
      <c r="J41" s="97">
        <f>H41-I41</f>
        <v>0</v>
      </c>
      <c r="K41" s="97"/>
      <c r="L41" s="97"/>
    </row>
    <row r="42" spans="1:12" ht="15.75" x14ac:dyDescent="0.25">
      <c r="A42" s="109" t="s">
        <v>124</v>
      </c>
      <c r="B42" s="94" t="s">
        <v>73</v>
      </c>
      <c r="C42" s="100"/>
      <c r="D42" s="96">
        <f>'JUNE 21'!J42:J106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2" ht="15.75" x14ac:dyDescent="0.25">
      <c r="A43" s="109" t="s">
        <v>353</v>
      </c>
      <c r="B43" s="94" t="s">
        <v>74</v>
      </c>
      <c r="C43" s="100"/>
      <c r="D43" s="96">
        <f>'JUNE 21'!J43:J107</f>
        <v>300</v>
      </c>
      <c r="E43" s="102">
        <v>6500</v>
      </c>
      <c r="F43" s="102">
        <v>300</v>
      </c>
      <c r="G43" s="101"/>
      <c r="H43" s="97">
        <f>D43+E43+F43+G43+C43</f>
        <v>7100</v>
      </c>
      <c r="I43" s="97">
        <f>6800</f>
        <v>6800</v>
      </c>
      <c r="J43" s="97">
        <f t="shared" si="0"/>
        <v>300</v>
      </c>
      <c r="K43" s="97"/>
      <c r="L43" s="97"/>
    </row>
    <row r="44" spans="1:12" ht="15.75" x14ac:dyDescent="0.25">
      <c r="A44" s="109" t="s">
        <v>270</v>
      </c>
      <c r="B44" s="94" t="s">
        <v>75</v>
      </c>
      <c r="C44" s="100"/>
      <c r="D44" s="96">
        <f>'JUNE 21'!J44:J108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v>6650</v>
      </c>
      <c r="J44" s="97">
        <f t="shared" si="0"/>
        <v>0</v>
      </c>
      <c r="K44" s="97"/>
      <c r="L44" s="97"/>
    </row>
    <row r="45" spans="1:12" ht="15.75" x14ac:dyDescent="0.25">
      <c r="A45" s="109" t="s">
        <v>404</v>
      </c>
      <c r="B45" s="94" t="s">
        <v>76</v>
      </c>
      <c r="C45" s="100">
        <v>6500</v>
      </c>
      <c r="D45" s="96"/>
      <c r="E45" s="102">
        <v>6500</v>
      </c>
      <c r="F45" s="108"/>
      <c r="G45" s="101">
        <v>150</v>
      </c>
      <c r="H45" s="97">
        <f>D45+E45+F45+G45+C45</f>
        <v>13150</v>
      </c>
      <c r="I45" s="97">
        <v>13150</v>
      </c>
      <c r="J45" s="97">
        <f t="shared" si="0"/>
        <v>0</v>
      </c>
      <c r="K45" s="97"/>
      <c r="L45" s="97">
        <v>1000</v>
      </c>
    </row>
    <row r="46" spans="1:12" ht="15.75" x14ac:dyDescent="0.25">
      <c r="A46" s="109" t="s">
        <v>405</v>
      </c>
      <c r="B46" s="94" t="s">
        <v>77</v>
      </c>
      <c r="C46" s="100">
        <v>6500</v>
      </c>
      <c r="D46" s="96">
        <f>'JUNE 21'!J46:J110</f>
        <v>0</v>
      </c>
      <c r="E46" s="102">
        <v>6500</v>
      </c>
      <c r="F46" s="102"/>
      <c r="G46" s="101"/>
      <c r="H46" s="97">
        <f>D46+E46+G46+C46</f>
        <v>13000</v>
      </c>
      <c r="I46" s="97">
        <f>6500+6500</f>
        <v>13000</v>
      </c>
      <c r="J46" s="97">
        <f t="shared" si="0"/>
        <v>0</v>
      </c>
      <c r="K46" s="97"/>
      <c r="L46" s="97">
        <v>1000</v>
      </c>
    </row>
    <row r="47" spans="1:12" ht="15.75" x14ac:dyDescent="0.25">
      <c r="A47" s="109" t="s">
        <v>397</v>
      </c>
      <c r="B47" s="94" t="s">
        <v>78</v>
      </c>
      <c r="C47" s="100">
        <v>6500</v>
      </c>
      <c r="D47" s="96">
        <f>'JUNE 21'!J47:J111</f>
        <v>0</v>
      </c>
      <c r="E47" s="102">
        <v>6500</v>
      </c>
      <c r="F47" s="102"/>
      <c r="G47" s="101">
        <v>150</v>
      </c>
      <c r="H47" s="97">
        <f t="shared" si="1"/>
        <v>13150</v>
      </c>
      <c r="I47" s="97">
        <f>6500+6500</f>
        <v>13000</v>
      </c>
      <c r="J47" s="97">
        <f t="shared" si="0"/>
        <v>150</v>
      </c>
      <c r="K47" s="97"/>
      <c r="L47" s="97"/>
    </row>
    <row r="48" spans="1:12" ht="15.75" x14ac:dyDescent="0.25">
      <c r="A48" s="109" t="s">
        <v>361</v>
      </c>
      <c r="B48" s="94" t="s">
        <v>79</v>
      </c>
      <c r="C48" s="100"/>
      <c r="D48" s="96"/>
      <c r="E48" s="102">
        <v>6500</v>
      </c>
      <c r="F48" s="102">
        <v>150</v>
      </c>
      <c r="G48" s="101">
        <v>150</v>
      </c>
      <c r="H48" s="160">
        <f t="shared" si="1"/>
        <v>6800</v>
      </c>
      <c r="I48" s="97">
        <f>3650+3000</f>
        <v>6650</v>
      </c>
      <c r="J48" s="160">
        <f t="shared" si="0"/>
        <v>150</v>
      </c>
      <c r="K48" s="97"/>
      <c r="L48" s="97"/>
    </row>
    <row r="49" spans="1:12" ht="15.75" x14ac:dyDescent="0.25">
      <c r="A49" s="114" t="s">
        <v>17</v>
      </c>
      <c r="B49" s="94" t="s">
        <v>80</v>
      </c>
      <c r="C49" s="100"/>
      <c r="D49" s="96">
        <f>'JUNE 21'!J49:J113</f>
        <v>0</v>
      </c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'JUNE 21'!J50:J114</f>
        <v>8650</v>
      </c>
      <c r="E50" s="102">
        <v>7000</v>
      </c>
      <c r="F50" s="102"/>
      <c r="G50" s="101">
        <v>150</v>
      </c>
      <c r="H50" s="97">
        <f t="shared" si="1"/>
        <v>15800</v>
      </c>
      <c r="I50" s="97">
        <f>7000</f>
        <v>7000</v>
      </c>
      <c r="J50" s="97">
        <f t="shared" si="0"/>
        <v>8800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'JUNE 21'!J51:J115</f>
        <v>0</v>
      </c>
      <c r="E51" s="102">
        <v>5500</v>
      </c>
      <c r="F51" s="102"/>
      <c r="G51" s="101">
        <v>150</v>
      </c>
      <c r="H51" s="97">
        <f t="shared" si="1"/>
        <v>5650</v>
      </c>
      <c r="I51" s="97">
        <f>5650</f>
        <v>5650</v>
      </c>
      <c r="J51" s="97">
        <f t="shared" si="0"/>
        <v>0</v>
      </c>
      <c r="K51" s="97"/>
      <c r="L51" s="97"/>
    </row>
    <row r="52" spans="1:12" ht="15.75" x14ac:dyDescent="0.25">
      <c r="A52" s="109" t="s">
        <v>109</v>
      </c>
      <c r="B52" s="94" t="s">
        <v>83</v>
      </c>
      <c r="C52" s="100"/>
      <c r="D52" s="96">
        <f>'JUNE 21'!J52:J116</f>
        <v>1200</v>
      </c>
      <c r="E52" s="102">
        <v>7000</v>
      </c>
      <c r="F52" s="102"/>
      <c r="G52" s="101">
        <v>150</v>
      </c>
      <c r="H52" s="97">
        <f t="shared" si="1"/>
        <v>8350</v>
      </c>
      <c r="I52" s="97">
        <f>4000</f>
        <v>4000</v>
      </c>
      <c r="J52" s="97">
        <f>H52-I52</f>
        <v>4350</v>
      </c>
      <c r="K52" s="97"/>
      <c r="L52" s="97"/>
    </row>
    <row r="53" spans="1:12" ht="15.75" x14ac:dyDescent="0.25">
      <c r="A53" s="109" t="s">
        <v>379</v>
      </c>
      <c r="B53" s="94" t="s">
        <v>84</v>
      </c>
      <c r="C53" s="100"/>
      <c r="D53" s="96">
        <f>'JUNE 21'!J53:J117</f>
        <v>0</v>
      </c>
      <c r="E53" s="102">
        <v>6500</v>
      </c>
      <c r="F53" s="102"/>
      <c r="G53" s="101">
        <v>150</v>
      </c>
      <c r="H53" s="97">
        <f t="shared" si="1"/>
        <v>6650</v>
      </c>
      <c r="I53" s="97">
        <v>6500</v>
      </c>
      <c r="J53" s="97">
        <f t="shared" si="0"/>
        <v>150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'JUNE 21'!J54:J118</f>
        <v>1650</v>
      </c>
      <c r="E54" s="102">
        <v>6500</v>
      </c>
      <c r="F54" s="102"/>
      <c r="G54" s="101">
        <v>150</v>
      </c>
      <c r="H54" s="97">
        <f t="shared" si="1"/>
        <v>8300</v>
      </c>
      <c r="I54" s="97">
        <v>6800</v>
      </c>
      <c r="J54" s="97">
        <f t="shared" si="0"/>
        <v>1500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'JUNE 21'!J55:J119</f>
        <v>150</v>
      </c>
      <c r="E55" s="102">
        <v>6500</v>
      </c>
      <c r="F55" s="102"/>
      <c r="G55" s="101">
        <v>150</v>
      </c>
      <c r="H55" s="97">
        <f>D55+E55+F55+G55+C55</f>
        <v>6800</v>
      </c>
      <c r="I55" s="97">
        <v>6800</v>
      </c>
      <c r="J55" s="97">
        <f>H55-I55</f>
        <v>0</v>
      </c>
      <c r="K55" s="97"/>
      <c r="L55" s="97"/>
    </row>
    <row r="56" spans="1:12" ht="15.75" x14ac:dyDescent="0.25">
      <c r="A56" s="109" t="s">
        <v>243</v>
      </c>
      <c r="B56" s="94" t="s">
        <v>87</v>
      </c>
      <c r="C56" s="100"/>
      <c r="D56" s="96">
        <f>'JUNE 21'!J56:J120</f>
        <v>0</v>
      </c>
      <c r="E56" s="102">
        <v>6500</v>
      </c>
      <c r="F56" s="102"/>
      <c r="G56" s="101">
        <v>150</v>
      </c>
      <c r="H56" s="163">
        <f>D56+E56+F56+G56+C56</f>
        <v>6650</v>
      </c>
      <c r="I56" s="97">
        <v>6650</v>
      </c>
      <c r="J56" s="163">
        <f t="shared" si="0"/>
        <v>0</v>
      </c>
      <c r="K56" s="97"/>
      <c r="L56" s="97"/>
    </row>
    <row r="57" spans="1:12" ht="15.75" x14ac:dyDescent="0.25">
      <c r="A57" s="109" t="s">
        <v>362</v>
      </c>
      <c r="B57" s="94" t="s">
        <v>88</v>
      </c>
      <c r="C57" s="100"/>
      <c r="D57" s="96">
        <v>150</v>
      </c>
      <c r="E57" s="102">
        <v>6500</v>
      </c>
      <c r="F57" s="102">
        <v>150</v>
      </c>
      <c r="G57" s="101">
        <v>150</v>
      </c>
      <c r="H57" s="97">
        <f t="shared" si="1"/>
        <v>6950</v>
      </c>
      <c r="I57" s="97">
        <v>6950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'JUNE 21'!J58:J122</f>
        <v>5950</v>
      </c>
      <c r="E58" s="102">
        <v>7000</v>
      </c>
      <c r="F58" s="102">
        <v>150</v>
      </c>
      <c r="G58" s="101">
        <v>150</v>
      </c>
      <c r="H58" s="97">
        <f t="shared" si="1"/>
        <v>13250</v>
      </c>
      <c r="I58" s="97">
        <f>4400+3000</f>
        <v>7400</v>
      </c>
      <c r="J58" s="97">
        <f t="shared" si="0"/>
        <v>5850</v>
      </c>
      <c r="K58" s="97"/>
      <c r="L58" s="97"/>
    </row>
    <row r="59" spans="1:12" ht="15.75" x14ac:dyDescent="0.25">
      <c r="A59" s="114" t="s">
        <v>17</v>
      </c>
      <c r="B59" s="94" t="s">
        <v>90</v>
      </c>
      <c r="C59" s="100"/>
      <c r="D59" s="96">
        <f>'JUNE 21'!J59:J123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'JUNE 21'!J60:J124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'JUNE 21'!J61:J125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'JUNE 21'!J62:J126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'JUNE 21'!J63:J127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14" t="s">
        <v>17</v>
      </c>
      <c r="B64" s="94" t="s">
        <v>95</v>
      </c>
      <c r="C64" s="100"/>
      <c r="D64" s="96">
        <f>'JUNE 21'!J64:J128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</row>
    <row r="65" spans="1:12" ht="15.75" x14ac:dyDescent="0.25">
      <c r="A65" s="109" t="s">
        <v>204</v>
      </c>
      <c r="B65" s="94" t="s">
        <v>96</v>
      </c>
      <c r="C65" s="100"/>
      <c r="D65" s="96">
        <f>'JUNE 21'!J65:J129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5000</f>
        <v>5000</v>
      </c>
      <c r="J65" s="97">
        <f>H65-I65</f>
        <v>2300</v>
      </c>
      <c r="K65" s="97"/>
      <c r="L65" s="97"/>
    </row>
    <row r="66" spans="1:12" ht="15.75" x14ac:dyDescent="0.25">
      <c r="A66" s="114" t="s">
        <v>17</v>
      </c>
      <c r="B66" s="94" t="s">
        <v>97</v>
      </c>
      <c r="C66" s="100"/>
      <c r="D66" s="96">
        <f>'JUNE 21'!J66:J130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2" ht="15.75" x14ac:dyDescent="0.25">
      <c r="A67" s="109" t="s">
        <v>354</v>
      </c>
      <c r="B67" s="94" t="s">
        <v>98</v>
      </c>
      <c r="C67" s="100"/>
      <c r="D67" s="96">
        <f>'JUNE 21'!J67:J131</f>
        <v>100</v>
      </c>
      <c r="E67" s="102">
        <v>6500</v>
      </c>
      <c r="F67" s="102"/>
      <c r="G67" s="101">
        <v>150</v>
      </c>
      <c r="H67" s="97">
        <f t="shared" si="1"/>
        <v>6750</v>
      </c>
      <c r="I67" s="97">
        <v>6700</v>
      </c>
      <c r="J67" s="97">
        <f t="shared" si="0"/>
        <v>50</v>
      </c>
      <c r="K67" s="97"/>
      <c r="L67" s="97"/>
    </row>
    <row r="68" spans="1:12" ht="15.75" x14ac:dyDescent="0.25">
      <c r="A68" s="109" t="s">
        <v>115</v>
      </c>
      <c r="B68" s="94" t="s">
        <v>99</v>
      </c>
      <c r="C68" s="100"/>
      <c r="D68" s="96">
        <f>'JUNE 21'!J68:J132</f>
        <v>0</v>
      </c>
      <c r="E68" s="102">
        <v>6500</v>
      </c>
      <c r="F68" s="102">
        <v>150</v>
      </c>
      <c r="G68" s="101">
        <v>150</v>
      </c>
      <c r="H68" s="97">
        <f t="shared" si="1"/>
        <v>6800</v>
      </c>
      <c r="I68" s="97">
        <f>2500+1000</f>
        <v>3500</v>
      </c>
      <c r="J68" s="97">
        <f>H68-I68</f>
        <v>3300</v>
      </c>
      <c r="K68" s="97"/>
      <c r="L68" s="97"/>
    </row>
    <row r="69" spans="1:12" ht="15.75" x14ac:dyDescent="0.25">
      <c r="A69" s="109" t="s">
        <v>378</v>
      </c>
      <c r="B69" s="94" t="s">
        <v>100</v>
      </c>
      <c r="C69" s="100"/>
      <c r="D69" s="96">
        <f>'JUNE 21'!J69:J133</f>
        <v>0</v>
      </c>
      <c r="E69" s="102">
        <v>6500</v>
      </c>
      <c r="F69" s="102"/>
      <c r="G69" s="101">
        <v>150</v>
      </c>
      <c r="H69" s="97">
        <f t="shared" si="1"/>
        <v>6650</v>
      </c>
      <c r="I69" s="97">
        <v>6650</v>
      </c>
      <c r="J69" s="97">
        <f>H69-I69</f>
        <v>0</v>
      </c>
      <c r="K69" s="97"/>
      <c r="L69" s="97"/>
    </row>
    <row r="70" spans="1:12" ht="15.75" x14ac:dyDescent="0.25">
      <c r="A70" s="109" t="s">
        <v>116</v>
      </c>
      <c r="B70" s="94" t="s">
        <v>101</v>
      </c>
      <c r="C70" s="100"/>
      <c r="D70" s="96">
        <f>'JUNE 21'!J70:J134</f>
        <v>250</v>
      </c>
      <c r="E70" s="102">
        <v>7000</v>
      </c>
      <c r="F70" s="102">
        <v>300</v>
      </c>
      <c r="G70" s="101">
        <v>150</v>
      </c>
      <c r="H70" s="97">
        <f t="shared" si="1"/>
        <v>7700</v>
      </c>
      <c r="I70" s="97">
        <f>7000</f>
        <v>7000</v>
      </c>
      <c r="J70" s="97">
        <f>H70-I70</f>
        <v>700</v>
      </c>
      <c r="K70" s="97"/>
      <c r="L70" s="97"/>
    </row>
    <row r="71" spans="1:12" ht="15.75" x14ac:dyDescent="0.25">
      <c r="A71" s="115" t="s">
        <v>28</v>
      </c>
      <c r="B71" s="109"/>
      <c r="C71" s="100">
        <f>SUM(C6:C70)</f>
        <v>19500</v>
      </c>
      <c r="D71" s="96">
        <f>SUM(D6:D70)</f>
        <v>49600</v>
      </c>
      <c r="E71" s="116">
        <f>SUM(E6:E70)</f>
        <v>332000</v>
      </c>
      <c r="F71" s="147">
        <f t="shared" ref="F71:L71" si="2">SUM(F6:F70)</f>
        <v>3750</v>
      </c>
      <c r="G71" s="148">
        <f>SUM(G6:G70)</f>
        <v>6150</v>
      </c>
      <c r="H71" s="97">
        <f>SUM(H6:H70)</f>
        <v>411000</v>
      </c>
      <c r="I71" s="97">
        <f t="shared" si="2"/>
        <v>351400</v>
      </c>
      <c r="J71" s="97">
        <f>SUM(J6:J70)</f>
        <v>59600</v>
      </c>
      <c r="K71" s="97">
        <f t="shared" si="2"/>
        <v>0</v>
      </c>
      <c r="L71" s="97">
        <f t="shared" si="2"/>
        <v>2000</v>
      </c>
    </row>
    <row r="72" spans="1:12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2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2" ht="15.75" x14ac:dyDescent="0.25">
      <c r="A74" s="109" t="s">
        <v>408</v>
      </c>
      <c r="B74" s="124">
        <f>E71</f>
        <v>332000</v>
      </c>
      <c r="C74" s="109"/>
      <c r="D74" s="109"/>
      <c r="E74" s="109"/>
      <c r="F74" s="109" t="s">
        <v>408</v>
      </c>
      <c r="G74" s="109"/>
      <c r="H74" s="125">
        <f>I71</f>
        <v>351400</v>
      </c>
      <c r="I74" s="109"/>
      <c r="J74" s="109"/>
      <c r="K74" s="109"/>
      <c r="L74" s="126"/>
    </row>
    <row r="75" spans="1:12" ht="15.75" x14ac:dyDescent="0.25">
      <c r="A75" s="109" t="s">
        <v>37</v>
      </c>
      <c r="B75" s="124">
        <f>'JUNE 21'!D99</f>
        <v>142059.18999999994</v>
      </c>
      <c r="C75" s="109"/>
      <c r="D75" s="109"/>
      <c r="E75" s="109"/>
      <c r="F75" s="109" t="s">
        <v>37</v>
      </c>
      <c r="G75" s="109"/>
      <c r="H75" s="124">
        <f>'JUNE 21'!J99</f>
        <v>34709.189999999944</v>
      </c>
      <c r="I75" s="109"/>
      <c r="J75" s="109"/>
      <c r="K75" s="109"/>
      <c r="L75" s="126"/>
    </row>
    <row r="76" spans="1:12" ht="15.75" x14ac:dyDescent="0.25">
      <c r="A76" s="109" t="s">
        <v>38</v>
      </c>
      <c r="B76" s="124">
        <f>C71</f>
        <v>19500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2" ht="15.75" x14ac:dyDescent="0.25">
      <c r="A77" s="109" t="s">
        <v>7</v>
      </c>
      <c r="B77" s="124">
        <f>F71</f>
        <v>3750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2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2" ht="15.75" x14ac:dyDescent="0.25">
      <c r="A79" s="109" t="s">
        <v>40</v>
      </c>
      <c r="B79" s="125">
        <f>L71</f>
        <v>2000</v>
      </c>
      <c r="C79" s="109"/>
      <c r="D79" s="109"/>
      <c r="E79" s="109"/>
      <c r="F79" s="109" t="s">
        <v>40</v>
      </c>
      <c r="G79" s="109"/>
      <c r="H79" s="125">
        <f>L71</f>
        <v>2000</v>
      </c>
      <c r="I79" s="109"/>
      <c r="J79" s="109"/>
      <c r="K79" s="109"/>
      <c r="L79" s="126"/>
    </row>
    <row r="80" spans="1:12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2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2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2" ht="15.75" x14ac:dyDescent="0.25">
      <c r="A83" s="131" t="s">
        <v>43</v>
      </c>
      <c r="B83" s="132">
        <v>7.0000000000000007E-2</v>
      </c>
      <c r="C83" s="133">
        <f>B83*E71</f>
        <v>23240.000000000004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23240.000000000004</v>
      </c>
      <c r="J83" s="109"/>
      <c r="K83" s="109"/>
      <c r="L83" s="126"/>
    </row>
    <row r="84" spans="1:12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2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6150</v>
      </c>
      <c r="J85" s="88"/>
      <c r="K85" s="125"/>
      <c r="L85" s="136"/>
    </row>
    <row r="86" spans="1:12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2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2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2" ht="15.75" x14ac:dyDescent="0.25">
      <c r="A89" s="134"/>
      <c r="B89" s="132"/>
      <c r="C89" s="93"/>
      <c r="D89" s="109"/>
      <c r="E89" s="109"/>
      <c r="F89" s="134"/>
      <c r="G89" s="132"/>
      <c r="H89" s="93"/>
      <c r="I89" s="93"/>
      <c r="J89" s="109"/>
      <c r="K89" s="109"/>
      <c r="L89" s="126"/>
    </row>
    <row r="90" spans="1:12" ht="15.75" x14ac:dyDescent="0.25">
      <c r="A90" s="134" t="s">
        <v>406</v>
      </c>
      <c r="B90" s="132"/>
      <c r="C90" s="93">
        <v>320000</v>
      </c>
      <c r="D90" s="109"/>
      <c r="E90" s="109"/>
      <c r="F90" s="134" t="s">
        <v>406</v>
      </c>
      <c r="G90" s="132"/>
      <c r="H90" s="93"/>
      <c r="I90" s="93">
        <v>320000</v>
      </c>
      <c r="J90" s="109"/>
      <c r="K90" s="109"/>
      <c r="L90" s="126"/>
    </row>
    <row r="91" spans="1:12" ht="15.75" x14ac:dyDescent="0.25">
      <c r="A91" s="134" t="s">
        <v>409</v>
      </c>
      <c r="B91" s="132"/>
      <c r="C91" s="93">
        <v>6000</v>
      </c>
      <c r="D91" s="109"/>
      <c r="E91" s="109"/>
      <c r="F91" s="134" t="s">
        <v>409</v>
      </c>
      <c r="G91" s="132"/>
      <c r="H91" s="93"/>
      <c r="I91" s="93">
        <f>C91</f>
        <v>6000</v>
      </c>
      <c r="J91" s="109"/>
      <c r="K91" s="109"/>
      <c r="L91" s="126"/>
    </row>
    <row r="92" spans="1:12" ht="15.75" x14ac:dyDescent="0.25">
      <c r="A92" s="134" t="s">
        <v>416</v>
      </c>
      <c r="B92" s="132"/>
      <c r="C92" s="93">
        <f>9400</f>
        <v>9400</v>
      </c>
      <c r="D92" s="109"/>
      <c r="E92" s="109"/>
      <c r="F92" s="134"/>
      <c r="G92" s="132"/>
      <c r="H92" s="93"/>
      <c r="I92" s="93"/>
      <c r="J92" s="109"/>
      <c r="K92" s="109"/>
      <c r="L92" s="126"/>
    </row>
    <row r="93" spans="1:12" ht="15.75" x14ac:dyDescent="0.25">
      <c r="A93" s="134" t="s">
        <v>419</v>
      </c>
      <c r="B93" s="132"/>
      <c r="C93" s="125">
        <v>4350</v>
      </c>
      <c r="D93" s="109"/>
      <c r="E93" s="109"/>
      <c r="F93" s="134"/>
      <c r="G93" s="132"/>
      <c r="H93" s="125"/>
      <c r="I93" s="125"/>
      <c r="J93" s="109"/>
      <c r="K93" s="109"/>
      <c r="L93" s="126"/>
    </row>
    <row r="94" spans="1:12" ht="15.75" x14ac:dyDescent="0.25">
      <c r="A94" s="134"/>
      <c r="B94" s="132"/>
      <c r="C94" s="125"/>
      <c r="D94" s="109"/>
      <c r="E94" s="109"/>
      <c r="F94" s="134"/>
      <c r="G94" s="132"/>
      <c r="H94" s="125"/>
      <c r="I94" s="125"/>
      <c r="J94" s="109"/>
      <c r="K94" s="109"/>
      <c r="L94" s="126"/>
    </row>
    <row r="95" spans="1:12" ht="15.75" x14ac:dyDescent="0.25">
      <c r="A95" s="134"/>
      <c r="B95" s="132"/>
      <c r="C95" s="125"/>
      <c r="D95" s="109"/>
      <c r="E95" s="109"/>
      <c r="F95" s="134"/>
      <c r="G95" s="132"/>
      <c r="H95" s="125"/>
      <c r="I95" s="125"/>
      <c r="J95" s="109"/>
      <c r="K95" s="109"/>
      <c r="L95" s="126"/>
    </row>
    <row r="96" spans="1:12" ht="15.75" x14ac:dyDescent="0.25">
      <c r="A96" s="134"/>
      <c r="B96" s="132"/>
      <c r="C96" s="125"/>
      <c r="D96" s="109"/>
      <c r="E96" s="109"/>
      <c r="F96" s="134"/>
      <c r="G96" s="132"/>
      <c r="H96" s="125"/>
      <c r="I96" s="125"/>
      <c r="J96" s="109"/>
      <c r="K96" s="109"/>
      <c r="L96" s="126"/>
    </row>
    <row r="97" spans="1:12" ht="15.75" x14ac:dyDescent="0.25">
      <c r="A97" s="134"/>
      <c r="B97" s="132"/>
      <c r="C97" s="93"/>
      <c r="D97" s="109"/>
      <c r="E97" s="109"/>
      <c r="F97" s="134"/>
      <c r="G97" s="132"/>
      <c r="H97" s="93"/>
      <c r="I97" s="93"/>
      <c r="J97" s="109"/>
      <c r="K97" s="109"/>
      <c r="L97" s="126"/>
    </row>
    <row r="98" spans="1:12" ht="15.75" x14ac:dyDescent="0.25">
      <c r="A98" s="134"/>
      <c r="B98" s="132"/>
      <c r="C98" s="125"/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499309.18999999994</v>
      </c>
      <c r="C99" s="139">
        <f>SUM(C83:C98)</f>
        <v>379990</v>
      </c>
      <c r="D99" s="139">
        <f>B99-C99</f>
        <v>119319.18999999994</v>
      </c>
      <c r="E99" s="139"/>
      <c r="F99" s="115"/>
      <c r="G99" s="115"/>
      <c r="H99" s="139">
        <f>H74+H75+H77+H79+H80</f>
        <v>388109.18999999994</v>
      </c>
      <c r="I99" s="139">
        <f>SUM(I83:I98)</f>
        <v>372390</v>
      </c>
      <c r="J99" s="139">
        <f>H99-I99</f>
        <v>15719.189999999944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366240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349150</v>
      </c>
      <c r="J101" s="87"/>
      <c r="K101" s="105"/>
      <c r="L101" s="86"/>
    </row>
    <row r="102" spans="1:12" x14ac:dyDescent="0.25">
      <c r="J102" s="43"/>
    </row>
    <row r="103" spans="1:12" x14ac:dyDescent="0.25">
      <c r="J103" s="43"/>
    </row>
    <row r="104" spans="1:12" x14ac:dyDescent="0.25">
      <c r="I104" s="43"/>
      <c r="J104" s="43"/>
    </row>
    <row r="105" spans="1:12" x14ac:dyDescent="0.25">
      <c r="J105" s="43"/>
    </row>
    <row r="107" spans="1:12" x14ac:dyDescent="0.25">
      <c r="H107" s="43">
        <f>D99-J99</f>
        <v>103600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A40" workbookViewId="0">
      <selection activeCell="D68" sqref="D68"/>
    </sheetView>
  </sheetViews>
  <sheetFormatPr defaultRowHeight="15" x14ac:dyDescent="0.25"/>
  <cols>
    <col min="1" max="1" width="24.140625" customWidth="1"/>
    <col min="3" max="3" width="12.7109375" customWidth="1"/>
    <col min="5" max="5" width="11.5703125" customWidth="1"/>
    <col min="7" max="7" width="13.42578125" customWidth="1"/>
    <col min="8" max="8" width="16.42578125" customWidth="1"/>
    <col min="9" max="9" width="13.140625" customWidth="1"/>
    <col min="10" max="10" width="11.5703125" customWidth="1"/>
  </cols>
  <sheetData>
    <row r="1" spans="1:12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2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2" ht="15.75" x14ac:dyDescent="0.25">
      <c r="A4" s="3"/>
      <c r="B4" s="88"/>
      <c r="C4" s="88"/>
      <c r="D4" s="3" t="s">
        <v>412</v>
      </c>
      <c r="E4" s="3"/>
      <c r="F4" s="88"/>
      <c r="G4" s="3"/>
      <c r="H4" s="7"/>
      <c r="I4" s="7"/>
      <c r="J4" s="7"/>
      <c r="K4" s="7"/>
      <c r="L4" s="7"/>
    </row>
    <row r="5" spans="1:12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2" ht="15.75" x14ac:dyDescent="0.25">
      <c r="A6" s="93" t="s">
        <v>308</v>
      </c>
      <c r="B6" s="94" t="s">
        <v>14</v>
      </c>
      <c r="C6" s="95"/>
      <c r="D6" s="96">
        <f>'JULY 21'!J6:J70</f>
        <v>6800</v>
      </c>
      <c r="E6" s="97">
        <v>6500</v>
      </c>
      <c r="F6" s="98"/>
      <c r="G6" s="97"/>
      <c r="H6" s="97">
        <f>D6+E6+F6+G6+C6</f>
        <v>13300</v>
      </c>
      <c r="I6" s="97">
        <v>8000</v>
      </c>
      <c r="J6" s="97">
        <f t="shared" ref="J6:J67" si="0">H6-I6</f>
        <v>5300</v>
      </c>
      <c r="K6" s="97"/>
      <c r="L6" s="97"/>
    </row>
    <row r="7" spans="1:12" ht="15.75" x14ac:dyDescent="0.25">
      <c r="A7" s="99" t="s">
        <v>411</v>
      </c>
      <c r="B7" s="94" t="s">
        <v>15</v>
      </c>
      <c r="C7" s="100">
        <v>5500</v>
      </c>
      <c r="D7" s="96">
        <f>'JULY 21'!J7:J71</f>
        <v>0</v>
      </c>
      <c r="E7" s="101">
        <v>6500</v>
      </c>
      <c r="F7" s="102"/>
      <c r="G7" s="101"/>
      <c r="H7" s="97">
        <f>D7+E7+F7+G7+C7</f>
        <v>12000</v>
      </c>
      <c r="I7" s="97">
        <f>12000</f>
        <v>12000</v>
      </c>
      <c r="J7" s="97">
        <f>H7-I7</f>
        <v>0</v>
      </c>
      <c r="K7" s="97"/>
      <c r="L7" s="97"/>
    </row>
    <row r="8" spans="1:12" ht="15.75" x14ac:dyDescent="0.25">
      <c r="A8" s="161" t="s">
        <v>17</v>
      </c>
      <c r="B8" s="94" t="s">
        <v>16</v>
      </c>
      <c r="C8" s="100"/>
      <c r="D8" s="96">
        <f>'JULY 21'!J8:J72</f>
        <v>0</v>
      </c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</row>
    <row r="9" spans="1:12" ht="15.75" x14ac:dyDescent="0.25">
      <c r="A9" s="99" t="s">
        <v>189</v>
      </c>
      <c r="B9" s="94" t="s">
        <v>18</v>
      </c>
      <c r="C9" s="100"/>
      <c r="D9" s="96">
        <f>'JULY 21'!J9:J73</f>
        <v>0</v>
      </c>
      <c r="E9" s="96">
        <v>6500</v>
      </c>
      <c r="F9" s="103"/>
      <c r="G9" s="101">
        <v>150</v>
      </c>
      <c r="H9" s="97">
        <f t="shared" si="1"/>
        <v>6650</v>
      </c>
      <c r="I9" s="97">
        <f>6000</f>
        <v>6000</v>
      </c>
      <c r="J9" s="97">
        <f t="shared" si="0"/>
        <v>650</v>
      </c>
      <c r="K9" s="97"/>
      <c r="L9" s="97"/>
    </row>
    <row r="10" spans="1:12" ht="15.75" x14ac:dyDescent="0.25">
      <c r="A10" s="99" t="s">
        <v>418</v>
      </c>
      <c r="B10" s="94" t="s">
        <v>19</v>
      </c>
      <c r="C10" s="100">
        <v>3350</v>
      </c>
      <c r="D10" s="96">
        <f>'JULY 21'!J10:J74</f>
        <v>0</v>
      </c>
      <c r="E10" s="101">
        <v>6500</v>
      </c>
      <c r="F10" s="102"/>
      <c r="G10" s="101">
        <v>150</v>
      </c>
      <c r="H10" s="97">
        <f t="shared" si="1"/>
        <v>10000</v>
      </c>
      <c r="I10" s="97">
        <f>10000</f>
        <v>10000</v>
      </c>
      <c r="J10" s="97">
        <f t="shared" si="0"/>
        <v>0</v>
      </c>
      <c r="K10" s="97"/>
      <c r="L10" s="97"/>
    </row>
    <row r="11" spans="1:12" ht="15.75" x14ac:dyDescent="0.25">
      <c r="A11" s="104" t="s">
        <v>134</v>
      </c>
      <c r="B11" s="94" t="s">
        <v>20</v>
      </c>
      <c r="C11" s="100"/>
      <c r="D11" s="96">
        <f>'JULY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2" ht="15.75" x14ac:dyDescent="0.25">
      <c r="A12" s="109" t="s">
        <v>293</v>
      </c>
      <c r="B12" s="94" t="s">
        <v>21</v>
      </c>
      <c r="C12" s="100"/>
      <c r="D12" s="96">
        <f>'JULY 21'!J12:J76</f>
        <v>2150</v>
      </c>
      <c r="E12" s="101">
        <v>5500</v>
      </c>
      <c r="F12" s="88"/>
      <c r="G12" s="101">
        <v>150</v>
      </c>
      <c r="H12" s="97">
        <f t="shared" si="1"/>
        <v>7800</v>
      </c>
      <c r="I12" s="97">
        <f>2000+1000+2000</f>
        <v>5000</v>
      </c>
      <c r="J12" s="97">
        <f t="shared" si="0"/>
        <v>2800</v>
      </c>
      <c r="K12" s="97"/>
      <c r="L12" s="97"/>
    </row>
    <row r="13" spans="1:12" ht="15.75" x14ac:dyDescent="0.25">
      <c r="A13" s="107" t="s">
        <v>410</v>
      </c>
      <c r="B13" s="94" t="s">
        <v>22</v>
      </c>
      <c r="C13" s="100"/>
      <c r="D13" s="96">
        <f>'JULY 21'!J13:J77</f>
        <v>6100</v>
      </c>
      <c r="E13" s="101">
        <v>7000</v>
      </c>
      <c r="F13" s="108"/>
      <c r="G13" s="101"/>
      <c r="H13" s="97">
        <f t="shared" si="1"/>
        <v>13100</v>
      </c>
      <c r="I13" s="97">
        <f>7000+2000</f>
        <v>9000</v>
      </c>
      <c r="J13" s="97">
        <f t="shared" si="0"/>
        <v>4100</v>
      </c>
      <c r="K13" s="97"/>
      <c r="L13" s="97"/>
    </row>
    <row r="14" spans="1:12" ht="15.75" x14ac:dyDescent="0.25">
      <c r="A14" s="114" t="s">
        <v>17</v>
      </c>
      <c r="B14" s="94" t="s">
        <v>23</v>
      </c>
      <c r="C14" s="100"/>
      <c r="D14" s="96"/>
      <c r="E14" s="101"/>
      <c r="F14" s="102"/>
      <c r="G14" s="101"/>
      <c r="H14" s="97">
        <f t="shared" si="1"/>
        <v>0</v>
      </c>
      <c r="I14" s="97"/>
      <c r="J14" s="97">
        <f t="shared" si="0"/>
        <v>0</v>
      </c>
      <c r="K14" s="97"/>
      <c r="L14" s="97"/>
    </row>
    <row r="15" spans="1:12" ht="15.75" x14ac:dyDescent="0.25">
      <c r="A15" s="109" t="s">
        <v>17</v>
      </c>
      <c r="B15" s="94" t="s">
        <v>24</v>
      </c>
      <c r="C15" s="100"/>
      <c r="D15" s="96"/>
      <c r="E15" s="101"/>
      <c r="F15" s="102"/>
      <c r="G15" s="101"/>
      <c r="H15" s="97">
        <f t="shared" si="1"/>
        <v>0</v>
      </c>
      <c r="I15" s="97"/>
      <c r="J15" s="97">
        <f>H15-I15</f>
        <v>0</v>
      </c>
      <c r="K15" s="97"/>
      <c r="L15" s="97"/>
    </row>
    <row r="16" spans="1:12" ht="15.75" x14ac:dyDescent="0.25">
      <c r="A16" s="114" t="s">
        <v>17</v>
      </c>
      <c r="B16" s="94" t="s">
        <v>25</v>
      </c>
      <c r="C16" s="100"/>
      <c r="D16" s="96">
        <f>'JULY 21'!J16:J80</f>
        <v>0</v>
      </c>
      <c r="E16" s="101"/>
      <c r="F16" s="102"/>
      <c r="G16" s="101"/>
      <c r="H16" s="97">
        <f t="shared" si="1"/>
        <v>0</v>
      </c>
      <c r="I16" s="97"/>
      <c r="J16" s="97">
        <f t="shared" si="0"/>
        <v>0</v>
      </c>
      <c r="K16" s="97"/>
      <c r="L16" s="97"/>
    </row>
    <row r="17" spans="1:14" ht="15.75" x14ac:dyDescent="0.25">
      <c r="A17" s="93" t="s">
        <v>133</v>
      </c>
      <c r="B17" s="94" t="s">
        <v>26</v>
      </c>
      <c r="C17" s="100"/>
      <c r="D17" s="96">
        <f>'JULY 21'!J17:J81</f>
        <v>150</v>
      </c>
      <c r="E17" s="101">
        <v>6500</v>
      </c>
      <c r="F17" s="102"/>
      <c r="G17" s="101">
        <v>150</v>
      </c>
      <c r="H17" s="97">
        <f t="shared" si="1"/>
        <v>6800</v>
      </c>
      <c r="I17" s="97">
        <f>6800</f>
        <v>6800</v>
      </c>
      <c r="J17" s="97">
        <f t="shared" si="0"/>
        <v>0</v>
      </c>
      <c r="K17" s="97"/>
      <c r="L17" s="97"/>
      <c r="N17">
        <f>C10-6500</f>
        <v>-3150</v>
      </c>
    </row>
    <row r="18" spans="1:14" ht="15.75" x14ac:dyDescent="0.25">
      <c r="A18" s="109" t="s">
        <v>217</v>
      </c>
      <c r="B18" s="94" t="s">
        <v>27</v>
      </c>
      <c r="C18" s="95"/>
      <c r="D18" s="96">
        <f>'JULY 21'!J18:J82</f>
        <v>0</v>
      </c>
      <c r="E18" s="101">
        <v>6500</v>
      </c>
      <c r="F18" s="102"/>
      <c r="G18" s="101">
        <v>150</v>
      </c>
      <c r="H18" s="97">
        <f t="shared" si="1"/>
        <v>6650</v>
      </c>
      <c r="I18" s="97">
        <f>6650</f>
        <v>6650</v>
      </c>
      <c r="J18" s="160">
        <f>H18-I18</f>
        <v>0</v>
      </c>
      <c r="K18" s="97"/>
      <c r="L18" s="97"/>
    </row>
    <row r="19" spans="1:14" ht="15.75" x14ac:dyDescent="0.25">
      <c r="A19" s="109" t="s">
        <v>374</v>
      </c>
      <c r="B19" s="94" t="s">
        <v>50</v>
      </c>
      <c r="C19" s="100"/>
      <c r="D19" s="96">
        <f>'JULY 21'!J19:J83</f>
        <v>100</v>
      </c>
      <c r="E19" s="101">
        <v>6500</v>
      </c>
      <c r="F19" s="102"/>
      <c r="G19" s="101">
        <v>150</v>
      </c>
      <c r="H19" s="97">
        <f t="shared" si="1"/>
        <v>6750</v>
      </c>
      <c r="I19" s="97">
        <f>150+6550</f>
        <v>6700</v>
      </c>
      <c r="J19" s="97">
        <f t="shared" si="0"/>
        <v>50</v>
      </c>
      <c r="K19" s="97"/>
      <c r="L19" s="97"/>
    </row>
    <row r="20" spans="1:14" ht="15.75" x14ac:dyDescent="0.25">
      <c r="A20" s="99" t="s">
        <v>260</v>
      </c>
      <c r="B20" s="94" t="s">
        <v>51</v>
      </c>
      <c r="C20" s="100"/>
      <c r="D20" s="96">
        <f>'JULY 21'!J20:J84</f>
        <v>300</v>
      </c>
      <c r="E20" s="101">
        <v>6500</v>
      </c>
      <c r="F20" s="102"/>
      <c r="G20" s="101">
        <v>150</v>
      </c>
      <c r="H20" s="97">
        <f t="shared" si="1"/>
        <v>6950</v>
      </c>
      <c r="I20" s="97">
        <v>6900</v>
      </c>
      <c r="J20" s="97">
        <f t="shared" si="0"/>
        <v>50</v>
      </c>
      <c r="K20" s="97"/>
      <c r="L20" s="97"/>
    </row>
    <row r="21" spans="1:14" ht="15.75" x14ac:dyDescent="0.25">
      <c r="A21" s="114" t="s">
        <v>17</v>
      </c>
      <c r="B21" s="154" t="s">
        <v>52</v>
      </c>
      <c r="C21" s="100"/>
      <c r="D21" s="96">
        <f>'JULY 21'!J21:J85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4" ht="15.75" x14ac:dyDescent="0.25">
      <c r="A22" s="109" t="s">
        <v>375</v>
      </c>
      <c r="B22" s="94" t="s">
        <v>53</v>
      </c>
      <c r="C22" s="100"/>
      <c r="D22" s="96">
        <f>'JULY 21'!J22:J86</f>
        <v>450</v>
      </c>
      <c r="E22" s="101">
        <v>6500</v>
      </c>
      <c r="F22" s="102"/>
      <c r="G22" s="101">
        <v>150</v>
      </c>
      <c r="H22" s="97">
        <f t="shared" si="1"/>
        <v>7100</v>
      </c>
      <c r="I22" s="97">
        <f>7100</f>
        <v>7100</v>
      </c>
      <c r="J22" s="97">
        <f t="shared" si="0"/>
        <v>0</v>
      </c>
      <c r="K22" s="97"/>
      <c r="L22" s="97"/>
    </row>
    <row r="23" spans="1:14" ht="15.75" x14ac:dyDescent="0.25">
      <c r="A23" s="99" t="s">
        <v>399</v>
      </c>
      <c r="B23" s="94" t="s">
        <v>54</v>
      </c>
      <c r="C23" s="100"/>
      <c r="D23" s="96">
        <f>'JULY 21'!J23:J87</f>
        <v>0</v>
      </c>
      <c r="E23" s="101">
        <v>6500</v>
      </c>
      <c r="F23" s="102"/>
      <c r="G23" s="101">
        <v>150</v>
      </c>
      <c r="H23" s="97">
        <f t="shared" si="1"/>
        <v>6650</v>
      </c>
      <c r="I23" s="97">
        <f>6650</f>
        <v>6650</v>
      </c>
      <c r="J23" s="97">
        <f t="shared" si="0"/>
        <v>0</v>
      </c>
      <c r="K23" s="97"/>
      <c r="L23" s="97"/>
    </row>
    <row r="24" spans="1:14" ht="15.75" x14ac:dyDescent="0.25">
      <c r="A24" s="109" t="s">
        <v>417</v>
      </c>
      <c r="B24" s="94" t="s">
        <v>55</v>
      </c>
      <c r="C24" s="100">
        <v>7000</v>
      </c>
      <c r="D24" s="96"/>
      <c r="E24" s="101">
        <v>7000</v>
      </c>
      <c r="F24" s="102"/>
      <c r="G24" s="101">
        <v>150</v>
      </c>
      <c r="H24" s="97">
        <f t="shared" si="1"/>
        <v>14150</v>
      </c>
      <c r="I24" s="97">
        <v>13000</v>
      </c>
      <c r="J24" s="97">
        <f t="shared" si="0"/>
        <v>1150</v>
      </c>
      <c r="K24" s="97"/>
      <c r="L24" s="97"/>
    </row>
    <row r="25" spans="1:14" ht="15.75" x14ac:dyDescent="0.25">
      <c r="A25" s="109" t="s">
        <v>155</v>
      </c>
      <c r="B25" s="94" t="s">
        <v>56</v>
      </c>
      <c r="C25" s="100"/>
      <c r="D25" s="96">
        <f>'JULY 21'!J25:J89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4" ht="15.75" x14ac:dyDescent="0.25">
      <c r="A26" s="109" t="s">
        <v>130</v>
      </c>
      <c r="B26" s="94" t="s">
        <v>57</v>
      </c>
      <c r="C26" s="100"/>
      <c r="D26" s="96">
        <f>'JULY 21'!J26:J90</f>
        <v>150</v>
      </c>
      <c r="E26" s="101">
        <v>7000</v>
      </c>
      <c r="F26" s="102"/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</row>
    <row r="27" spans="1:14" ht="15.75" x14ac:dyDescent="0.25">
      <c r="A27" s="109" t="s">
        <v>132</v>
      </c>
      <c r="B27" s="94" t="s">
        <v>58</v>
      </c>
      <c r="C27" s="100"/>
      <c r="D27" s="96">
        <f>'JULY 21'!J27:J91</f>
        <v>0</v>
      </c>
      <c r="E27" s="101">
        <v>6500</v>
      </c>
      <c r="F27" s="102">
        <v>150</v>
      </c>
      <c r="G27" s="101">
        <v>150</v>
      </c>
      <c r="H27" s="97">
        <f t="shared" si="1"/>
        <v>6800</v>
      </c>
      <c r="I27" s="97">
        <v>6800</v>
      </c>
      <c r="J27" s="97">
        <f t="shared" si="0"/>
        <v>0</v>
      </c>
      <c r="K27" s="97"/>
      <c r="L27" s="97"/>
    </row>
    <row r="28" spans="1:14" ht="15.75" x14ac:dyDescent="0.25">
      <c r="A28" s="109" t="s">
        <v>235</v>
      </c>
      <c r="B28" s="94" t="s">
        <v>59</v>
      </c>
      <c r="C28" s="100"/>
      <c r="D28" s="96">
        <f>'JULY 21'!J28:J92</f>
        <v>0</v>
      </c>
      <c r="E28" s="101">
        <v>6500</v>
      </c>
      <c r="F28" s="102">
        <v>150</v>
      </c>
      <c r="G28" s="101">
        <v>150</v>
      </c>
      <c r="H28" s="97">
        <f t="shared" si="1"/>
        <v>6800</v>
      </c>
      <c r="I28" s="97">
        <v>6800</v>
      </c>
      <c r="J28" s="97">
        <f>H28-I28</f>
        <v>0</v>
      </c>
      <c r="K28" s="97"/>
      <c r="L28" s="97"/>
    </row>
    <row r="29" spans="1:14" ht="15.75" x14ac:dyDescent="0.25">
      <c r="A29" s="109" t="s">
        <v>309</v>
      </c>
      <c r="B29" s="94" t="s">
        <v>60</v>
      </c>
      <c r="C29" s="100"/>
      <c r="D29" s="96">
        <f>'JULY 21'!J29:J93</f>
        <v>0</v>
      </c>
      <c r="E29" s="101">
        <v>6500</v>
      </c>
      <c r="F29" s="102"/>
      <c r="G29" s="101">
        <v>150</v>
      </c>
      <c r="H29" s="97">
        <f t="shared" si="1"/>
        <v>6650</v>
      </c>
      <c r="I29" s="97">
        <v>6650</v>
      </c>
      <c r="J29" s="97">
        <f>H29-I29</f>
        <v>0</v>
      </c>
      <c r="K29" s="97"/>
      <c r="L29" s="97"/>
    </row>
    <row r="30" spans="1:14" ht="15.75" x14ac:dyDescent="0.25">
      <c r="A30" s="109" t="s">
        <v>241</v>
      </c>
      <c r="B30" s="94" t="s">
        <v>61</v>
      </c>
      <c r="C30" s="100"/>
      <c r="D30" s="96">
        <f>'JULY 21'!J30:J94</f>
        <v>0</v>
      </c>
      <c r="E30" s="101">
        <v>6500</v>
      </c>
      <c r="F30" s="102"/>
      <c r="G30" s="101">
        <v>150</v>
      </c>
      <c r="H30" s="97">
        <f t="shared" si="1"/>
        <v>6650</v>
      </c>
      <c r="I30" s="97">
        <v>6650</v>
      </c>
      <c r="J30" s="97">
        <f t="shared" si="0"/>
        <v>0</v>
      </c>
      <c r="K30" s="97"/>
      <c r="L30" s="97"/>
    </row>
    <row r="31" spans="1:14" ht="15.75" x14ac:dyDescent="0.25">
      <c r="A31" s="109" t="s">
        <v>106</v>
      </c>
      <c r="B31" s="94" t="s">
        <v>62</v>
      </c>
      <c r="C31" s="95"/>
      <c r="D31" s="96">
        <f>'JULY 21'!J31:J95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f>6800</f>
        <v>6800</v>
      </c>
      <c r="J31" s="97">
        <f t="shared" si="0"/>
        <v>0</v>
      </c>
      <c r="K31" s="97"/>
      <c r="L31" s="97"/>
    </row>
    <row r="32" spans="1:14" ht="15.75" x14ac:dyDescent="0.25">
      <c r="A32" s="109" t="s">
        <v>181</v>
      </c>
      <c r="B32" s="94" t="s">
        <v>63</v>
      </c>
      <c r="C32" s="100"/>
      <c r="D32" s="96">
        <f>'JULY 21'!J32:J96</f>
        <v>4450</v>
      </c>
      <c r="E32" s="101">
        <v>6500</v>
      </c>
      <c r="F32" s="102"/>
      <c r="G32" s="101"/>
      <c r="H32" s="97">
        <f t="shared" si="1"/>
        <v>10950</v>
      </c>
      <c r="I32" s="97">
        <f>6500</f>
        <v>6500</v>
      </c>
      <c r="J32" s="97">
        <f t="shared" si="0"/>
        <v>4450</v>
      </c>
      <c r="K32" s="97"/>
      <c r="L32" s="97"/>
    </row>
    <row r="33" spans="1:12" ht="15.75" x14ac:dyDescent="0.25">
      <c r="A33" s="109" t="s">
        <v>171</v>
      </c>
      <c r="B33" s="94" t="s">
        <v>64</v>
      </c>
      <c r="C33" s="100"/>
      <c r="D33" s="96">
        <f>'JULY 21'!J33:J97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v>6650</v>
      </c>
      <c r="J33" s="97">
        <f t="shared" si="0"/>
        <v>0</v>
      </c>
      <c r="K33" s="97"/>
      <c r="L33" s="97"/>
    </row>
    <row r="34" spans="1:12" ht="15.75" x14ac:dyDescent="0.25">
      <c r="A34" s="109" t="s">
        <v>288</v>
      </c>
      <c r="B34" s="94" t="s">
        <v>65</v>
      </c>
      <c r="C34" s="100"/>
      <c r="D34" s="96">
        <f>'JULY 21'!J34:J98</f>
        <v>0</v>
      </c>
      <c r="E34" s="102">
        <v>6500</v>
      </c>
      <c r="F34" s="102"/>
      <c r="G34" s="101">
        <v>150</v>
      </c>
      <c r="H34" s="97">
        <f t="shared" si="1"/>
        <v>6650</v>
      </c>
      <c r="I34" s="97">
        <f>6500</f>
        <v>6500</v>
      </c>
      <c r="J34" s="97">
        <f t="shared" si="0"/>
        <v>150</v>
      </c>
      <c r="K34" s="97"/>
      <c r="L34" s="97"/>
    </row>
    <row r="35" spans="1:12" ht="15.75" x14ac:dyDescent="0.25">
      <c r="A35" s="109" t="s">
        <v>356</v>
      </c>
      <c r="B35" s="94" t="s">
        <v>66</v>
      </c>
      <c r="C35" s="95"/>
      <c r="D35" s="96">
        <f>'JULY 21'!J35:J99</f>
        <v>0</v>
      </c>
      <c r="E35" s="102">
        <v>6500</v>
      </c>
      <c r="F35" s="102">
        <v>150</v>
      </c>
      <c r="G35" s="101">
        <v>150</v>
      </c>
      <c r="H35" s="160">
        <f t="shared" si="1"/>
        <v>6800</v>
      </c>
      <c r="I35" s="97">
        <f>6800</f>
        <v>6800</v>
      </c>
      <c r="J35" s="160">
        <f t="shared" si="0"/>
        <v>0</v>
      </c>
      <c r="K35" s="160"/>
      <c r="L35" s="160"/>
    </row>
    <row r="36" spans="1:12" ht="15.75" x14ac:dyDescent="0.25">
      <c r="A36" s="114" t="s">
        <v>17</v>
      </c>
      <c r="B36" s="94" t="s">
        <v>67</v>
      </c>
      <c r="C36" s="100"/>
      <c r="D36" s="96"/>
      <c r="E36" s="102"/>
      <c r="F36" s="102"/>
      <c r="G36" s="101"/>
      <c r="H36" s="97">
        <f t="shared" si="1"/>
        <v>0</v>
      </c>
      <c r="I36" s="97"/>
      <c r="J36" s="97">
        <f t="shared" si="0"/>
        <v>0</v>
      </c>
      <c r="K36" s="97"/>
      <c r="L36" s="97"/>
    </row>
    <row r="37" spans="1:12" ht="15.75" x14ac:dyDescent="0.25">
      <c r="A37" s="114" t="s">
        <v>17</v>
      </c>
      <c r="B37" s="94" t="s">
        <v>68</v>
      </c>
      <c r="C37" s="100"/>
      <c r="D37" s="96">
        <f>'JULY 21'!J37:J101</f>
        <v>0</v>
      </c>
      <c r="E37" s="102"/>
      <c r="F37" s="102"/>
      <c r="G37" s="101"/>
      <c r="H37" s="97">
        <f t="shared" si="1"/>
        <v>0</v>
      </c>
      <c r="I37" s="97"/>
      <c r="J37" s="97">
        <f t="shared" si="0"/>
        <v>0</v>
      </c>
      <c r="L37" s="97"/>
    </row>
    <row r="38" spans="1:12" ht="15.75" x14ac:dyDescent="0.25">
      <c r="A38" s="109" t="s">
        <v>280</v>
      </c>
      <c r="B38" s="94" t="s">
        <v>69</v>
      </c>
      <c r="C38" s="100"/>
      <c r="D38" s="96">
        <f>'JULY 21'!J38:J102</f>
        <v>150</v>
      </c>
      <c r="E38" s="102">
        <v>5500</v>
      </c>
      <c r="F38" s="102"/>
      <c r="G38" s="101"/>
      <c r="H38" s="97">
        <f t="shared" si="1"/>
        <v>5650</v>
      </c>
      <c r="I38" s="97">
        <f>5500</f>
        <v>5500</v>
      </c>
      <c r="J38" s="97">
        <f t="shared" si="0"/>
        <v>150</v>
      </c>
      <c r="K38" s="97"/>
      <c r="L38" s="97"/>
    </row>
    <row r="39" spans="1:12" ht="15.75" x14ac:dyDescent="0.25">
      <c r="A39" s="109" t="s">
        <v>125</v>
      </c>
      <c r="B39" s="94" t="s">
        <v>70</v>
      </c>
      <c r="C39" s="100"/>
      <c r="D39" s="96">
        <f>'JULY 21'!J39:J103</f>
        <v>300</v>
      </c>
      <c r="E39" s="102">
        <v>7000</v>
      </c>
      <c r="F39" s="102"/>
      <c r="G39" s="101">
        <v>150</v>
      </c>
      <c r="H39" s="97">
        <f t="shared" si="1"/>
        <v>7450</v>
      </c>
      <c r="I39" s="97">
        <f>7300</f>
        <v>7300</v>
      </c>
      <c r="J39" s="97">
        <f t="shared" si="0"/>
        <v>150</v>
      </c>
      <c r="K39" s="97"/>
      <c r="L39" s="97"/>
    </row>
    <row r="40" spans="1:12" ht="15.75" x14ac:dyDescent="0.25">
      <c r="A40" s="115" t="s">
        <v>351</v>
      </c>
      <c r="B40" s="167" t="s">
        <v>71</v>
      </c>
      <c r="C40" s="168"/>
      <c r="D40" s="96">
        <f>'JULY 21'!J40:J104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f>6650</f>
        <v>6650</v>
      </c>
      <c r="J40" s="97">
        <f t="shared" si="0"/>
        <v>150</v>
      </c>
      <c r="K40" s="160"/>
      <c r="L40" s="160"/>
    </row>
    <row r="41" spans="1:12" ht="15.75" x14ac:dyDescent="0.25">
      <c r="A41" s="109" t="s">
        <v>127</v>
      </c>
      <c r="B41" s="94" t="s">
        <v>72</v>
      </c>
      <c r="C41" s="100"/>
      <c r="D41" s="96">
        <f>'JULY 21'!J41:J105</f>
        <v>0</v>
      </c>
      <c r="E41" s="102">
        <v>6500</v>
      </c>
      <c r="F41" s="102"/>
      <c r="G41" s="101">
        <v>150</v>
      </c>
      <c r="H41" s="97">
        <f t="shared" si="1"/>
        <v>6650</v>
      </c>
      <c r="I41" s="97">
        <f>6650</f>
        <v>6650</v>
      </c>
      <c r="J41" s="97">
        <f>H41-I41</f>
        <v>0</v>
      </c>
      <c r="K41" s="97"/>
      <c r="L41" s="97"/>
    </row>
    <row r="42" spans="1:12" ht="15.75" x14ac:dyDescent="0.25">
      <c r="A42" s="109" t="s">
        <v>124</v>
      </c>
      <c r="B42" s="94" t="s">
        <v>73</v>
      </c>
      <c r="C42" s="100"/>
      <c r="D42" s="96">
        <f>'JULY 21'!J42:J106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2" ht="15.75" x14ac:dyDescent="0.25">
      <c r="A43" s="109" t="s">
        <v>353</v>
      </c>
      <c r="B43" s="94" t="s">
        <v>74</v>
      </c>
      <c r="C43" s="100"/>
      <c r="D43" s="96">
        <f>'JULY 21'!J43:J107</f>
        <v>300</v>
      </c>
      <c r="E43" s="102">
        <v>6500</v>
      </c>
      <c r="F43" s="102">
        <v>150</v>
      </c>
      <c r="G43" s="101">
        <v>150</v>
      </c>
      <c r="H43" s="97">
        <f>D43+E43+F43+G43+C43</f>
        <v>7100</v>
      </c>
      <c r="I43" s="97">
        <f>7000</f>
        <v>7000</v>
      </c>
      <c r="J43" s="97">
        <f t="shared" si="0"/>
        <v>100</v>
      </c>
      <c r="K43" s="97"/>
      <c r="L43" s="97"/>
    </row>
    <row r="44" spans="1:12" ht="15.75" x14ac:dyDescent="0.25">
      <c r="A44" s="109" t="s">
        <v>270</v>
      </c>
      <c r="B44" s="94" t="s">
        <v>75</v>
      </c>
      <c r="C44" s="100"/>
      <c r="D44" s="96">
        <f>'JULY 21'!J44:J108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2" ht="15.75" x14ac:dyDescent="0.25">
      <c r="A45" s="109" t="s">
        <v>404</v>
      </c>
      <c r="B45" s="94" t="s">
        <v>76</v>
      </c>
      <c r="C45" s="100"/>
      <c r="D45" s="96">
        <f>'JULY 21'!J45:J109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6650</f>
        <v>6650</v>
      </c>
      <c r="J45" s="97">
        <f t="shared" si="0"/>
        <v>0</v>
      </c>
      <c r="K45" s="97"/>
      <c r="L45" s="97"/>
    </row>
    <row r="46" spans="1:12" ht="15.75" x14ac:dyDescent="0.25">
      <c r="A46" s="109" t="s">
        <v>405</v>
      </c>
      <c r="B46" s="94" t="s">
        <v>77</v>
      </c>
      <c r="C46" s="100"/>
      <c r="D46" s="96">
        <f>'JULY 21'!J46:J110</f>
        <v>0</v>
      </c>
      <c r="E46" s="102">
        <v>6500</v>
      </c>
      <c r="F46" s="102"/>
      <c r="G46" s="101">
        <v>150</v>
      </c>
      <c r="H46" s="97">
        <f>D46+E46+G46+C46</f>
        <v>6650</v>
      </c>
      <c r="I46" s="97">
        <f>6650</f>
        <v>6650</v>
      </c>
      <c r="J46" s="97">
        <f t="shared" si="0"/>
        <v>0</v>
      </c>
      <c r="K46" s="97"/>
      <c r="L46" s="97"/>
    </row>
    <row r="47" spans="1:12" ht="15.75" x14ac:dyDescent="0.25">
      <c r="A47" s="114" t="s">
        <v>17</v>
      </c>
      <c r="B47" s="94" t="s">
        <v>78</v>
      </c>
      <c r="C47" s="100"/>
      <c r="D47" s="96"/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2" ht="15.75" x14ac:dyDescent="0.25">
      <c r="A48" s="109" t="s">
        <v>361</v>
      </c>
      <c r="B48" s="94" t="s">
        <v>79</v>
      </c>
      <c r="C48" s="100"/>
      <c r="D48" s="96">
        <f>'JULY 21'!J48:J112</f>
        <v>150</v>
      </c>
      <c r="E48" s="102">
        <v>6500</v>
      </c>
      <c r="F48" s="102"/>
      <c r="G48" s="101">
        <v>150</v>
      </c>
      <c r="H48" s="160">
        <f t="shared" si="1"/>
        <v>6800</v>
      </c>
      <c r="I48" s="97">
        <f>3400+3400</f>
        <v>6800</v>
      </c>
      <c r="J48" s="160">
        <f t="shared" si="0"/>
        <v>0</v>
      </c>
      <c r="K48" s="97"/>
      <c r="L48" s="97"/>
    </row>
    <row r="49" spans="1:12" ht="15.75" x14ac:dyDescent="0.25">
      <c r="A49" s="114" t="s">
        <v>17</v>
      </c>
      <c r="B49" s="94" t="s">
        <v>80</v>
      </c>
      <c r="C49" s="100"/>
      <c r="D49" s="96">
        <f>'JULY 21'!J49:J113</f>
        <v>0</v>
      </c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'JULY 21'!J50:J114</f>
        <v>8800</v>
      </c>
      <c r="E50" s="102">
        <v>7000</v>
      </c>
      <c r="F50" s="102"/>
      <c r="G50" s="101">
        <v>150</v>
      </c>
      <c r="H50" s="97">
        <f t="shared" si="1"/>
        <v>15950</v>
      </c>
      <c r="I50" s="97"/>
      <c r="J50" s="97">
        <f t="shared" si="0"/>
        <v>15950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'JULY 21'!J51:J115</f>
        <v>0</v>
      </c>
      <c r="E51" s="102">
        <v>5500</v>
      </c>
      <c r="F51" s="102"/>
      <c r="G51" s="101">
        <v>150</v>
      </c>
      <c r="H51" s="97">
        <f t="shared" si="1"/>
        <v>5650</v>
      </c>
      <c r="I51" s="97">
        <f>5650</f>
        <v>5650</v>
      </c>
      <c r="J51" s="97">
        <f t="shared" si="0"/>
        <v>0</v>
      </c>
      <c r="K51" s="97"/>
      <c r="L51" s="97"/>
    </row>
    <row r="52" spans="1:12" ht="15.75" x14ac:dyDescent="0.25">
      <c r="A52" s="109" t="s">
        <v>17</v>
      </c>
      <c r="B52" s="94" t="s">
        <v>83</v>
      </c>
      <c r="C52" s="100"/>
      <c r="D52" s="96"/>
      <c r="E52" s="102"/>
      <c r="F52" s="102"/>
      <c r="G52" s="101"/>
      <c r="H52" s="97">
        <f t="shared" si="1"/>
        <v>0</v>
      </c>
      <c r="I52" s="97"/>
      <c r="J52" s="97">
        <f>H52-I52</f>
        <v>0</v>
      </c>
      <c r="K52" s="97"/>
      <c r="L52" s="97"/>
    </row>
    <row r="53" spans="1:12" ht="15.75" x14ac:dyDescent="0.25">
      <c r="A53" s="114" t="s">
        <v>17</v>
      </c>
      <c r="B53" s="94" t="s">
        <v>84</v>
      </c>
      <c r="C53" s="100"/>
      <c r="D53" s="96"/>
      <c r="E53" s="102"/>
      <c r="F53" s="102"/>
      <c r="G53" s="101"/>
      <c r="H53" s="97">
        <f t="shared" si="1"/>
        <v>0</v>
      </c>
      <c r="I53" s="97"/>
      <c r="J53" s="97">
        <f t="shared" si="0"/>
        <v>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'JULY 21'!J54:J118</f>
        <v>1500</v>
      </c>
      <c r="E54" s="102">
        <v>6500</v>
      </c>
      <c r="F54" s="102"/>
      <c r="G54" s="101"/>
      <c r="H54" s="97">
        <f t="shared" si="1"/>
        <v>8000</v>
      </c>
      <c r="I54" s="97">
        <f>6800</f>
        <v>6800</v>
      </c>
      <c r="J54" s="97">
        <f t="shared" si="0"/>
        <v>1200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'JULY 21'!J55:J119</f>
        <v>0</v>
      </c>
      <c r="E55" s="102">
        <v>6500</v>
      </c>
      <c r="F55" s="102"/>
      <c r="G55" s="101">
        <v>150</v>
      </c>
      <c r="H55" s="97">
        <f>D55+E55+F55+G55+C55</f>
        <v>6650</v>
      </c>
      <c r="I55" s="97">
        <f>6650</f>
        <v>6650</v>
      </c>
      <c r="J55" s="97">
        <f>H55-I55</f>
        <v>0</v>
      </c>
      <c r="K55" s="97"/>
      <c r="L55" s="97"/>
    </row>
    <row r="56" spans="1:12" ht="15.75" x14ac:dyDescent="0.25">
      <c r="A56" s="109" t="s">
        <v>243</v>
      </c>
      <c r="B56" s="94" t="s">
        <v>87</v>
      </c>
      <c r="C56" s="100"/>
      <c r="D56" s="96">
        <f>'JULY 21'!J56:J120</f>
        <v>0</v>
      </c>
      <c r="E56" s="102">
        <v>6500</v>
      </c>
      <c r="F56" s="102"/>
      <c r="G56" s="101">
        <v>150</v>
      </c>
      <c r="H56" s="163">
        <f>D56+E56+F56+G56+C56</f>
        <v>6650</v>
      </c>
      <c r="I56" s="97"/>
      <c r="J56" s="163">
        <f t="shared" si="0"/>
        <v>6650</v>
      </c>
      <c r="K56" s="97"/>
      <c r="L56" s="97"/>
    </row>
    <row r="57" spans="1:12" ht="15.75" x14ac:dyDescent="0.25">
      <c r="A57" s="109" t="s">
        <v>362</v>
      </c>
      <c r="B57" s="94" t="s">
        <v>88</v>
      </c>
      <c r="C57" s="100"/>
      <c r="D57" s="96">
        <f>'JULY 21'!J57:J121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f>6650</f>
        <v>6650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'JULY 21'!J58:J122</f>
        <v>5850</v>
      </c>
      <c r="E58" s="102">
        <v>7000</v>
      </c>
      <c r="F58" s="102"/>
      <c r="G58" s="101">
        <v>150</v>
      </c>
      <c r="H58" s="97">
        <f t="shared" si="1"/>
        <v>13000</v>
      </c>
      <c r="I58" s="97">
        <f>3000+1500</f>
        <v>4500</v>
      </c>
      <c r="J58" s="97">
        <f t="shared" si="0"/>
        <v>8500</v>
      </c>
      <c r="K58" s="97"/>
      <c r="L58" s="97"/>
    </row>
    <row r="59" spans="1:12" ht="15.75" x14ac:dyDescent="0.25">
      <c r="A59" s="114" t="s">
        <v>17</v>
      </c>
      <c r="B59" s="94" t="s">
        <v>90</v>
      </c>
      <c r="C59" s="100"/>
      <c r="D59" s="96">
        <f>'JULY 21'!J59:J123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'JULY 21'!J60:J124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'JULY 21'!J61:J125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'JULY 21'!J62:J126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'JULY 21'!J63:J127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14" t="s">
        <v>17</v>
      </c>
      <c r="B64" s="94" t="s">
        <v>95</v>
      </c>
      <c r="C64" s="100"/>
      <c r="D64" s="96">
        <f>'JULY 21'!J64:J128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</row>
    <row r="65" spans="1:12" ht="15.75" x14ac:dyDescent="0.25">
      <c r="A65" s="109" t="s">
        <v>204</v>
      </c>
      <c r="B65" s="94" t="s">
        <v>96</v>
      </c>
      <c r="C65" s="100"/>
      <c r="D65" s="96">
        <f>'JULY 21'!J65:J129</f>
        <v>2300</v>
      </c>
      <c r="E65" s="102">
        <v>7000</v>
      </c>
      <c r="F65" s="102"/>
      <c r="G65" s="101"/>
      <c r="H65" s="97">
        <f t="shared" si="1"/>
        <v>9300</v>
      </c>
      <c r="I65" s="97">
        <f>3900+3400</f>
        <v>7300</v>
      </c>
      <c r="J65" s="97">
        <f>H65-I65</f>
        <v>2000</v>
      </c>
      <c r="K65" s="97"/>
      <c r="L65" s="97"/>
    </row>
    <row r="66" spans="1:12" ht="15.75" x14ac:dyDescent="0.25">
      <c r="A66" s="114" t="s">
        <v>17</v>
      </c>
      <c r="B66" s="94" t="s">
        <v>97</v>
      </c>
      <c r="C66" s="100"/>
      <c r="D66" s="96">
        <f>'JULY 21'!J66:J130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2" ht="15.75" x14ac:dyDescent="0.25">
      <c r="A67" s="109" t="s">
        <v>354</v>
      </c>
      <c r="B67" s="94" t="s">
        <v>98</v>
      </c>
      <c r="C67" s="100"/>
      <c r="D67" s="96">
        <f>'JULY 21'!J67:J131</f>
        <v>50</v>
      </c>
      <c r="E67" s="102">
        <v>6500</v>
      </c>
      <c r="F67" s="102"/>
      <c r="G67" s="101">
        <v>150</v>
      </c>
      <c r="H67" s="97">
        <f t="shared" si="1"/>
        <v>6700</v>
      </c>
      <c r="I67" s="97">
        <f>6650</f>
        <v>6650</v>
      </c>
      <c r="J67" s="97">
        <f t="shared" si="0"/>
        <v>50</v>
      </c>
      <c r="K67" s="97"/>
      <c r="L67" s="97"/>
    </row>
    <row r="68" spans="1:12" ht="15.75" x14ac:dyDescent="0.25">
      <c r="A68" s="109" t="s">
        <v>115</v>
      </c>
      <c r="B68" s="94" t="s">
        <v>99</v>
      </c>
      <c r="C68" s="100"/>
      <c r="D68" s="96">
        <f>'JULY 21'!J68:J132</f>
        <v>3300</v>
      </c>
      <c r="E68" s="102">
        <v>6500</v>
      </c>
      <c r="F68" s="102"/>
      <c r="G68" s="101">
        <v>150</v>
      </c>
      <c r="H68" s="97">
        <f t="shared" si="1"/>
        <v>9950</v>
      </c>
      <c r="I68" s="97">
        <f>5200</f>
        <v>5200</v>
      </c>
      <c r="J68" s="97">
        <f>H68-I68</f>
        <v>4750</v>
      </c>
      <c r="K68" s="97"/>
      <c r="L68" s="97"/>
    </row>
    <row r="69" spans="1:12" ht="15.75" x14ac:dyDescent="0.25">
      <c r="A69" s="109" t="s">
        <v>378</v>
      </c>
      <c r="B69" s="94" t="s">
        <v>100</v>
      </c>
      <c r="C69" s="100"/>
      <c r="D69" s="96">
        <f>'JULY 21'!J69:J133</f>
        <v>0</v>
      </c>
      <c r="E69" s="102">
        <v>6500</v>
      </c>
      <c r="F69" s="102"/>
      <c r="G69" s="101">
        <v>150</v>
      </c>
      <c r="H69" s="97">
        <f t="shared" si="1"/>
        <v>6650</v>
      </c>
      <c r="I69" s="97">
        <v>6420</v>
      </c>
      <c r="J69" s="97">
        <f>H69-I69</f>
        <v>230</v>
      </c>
      <c r="K69" s="97"/>
      <c r="L69" s="97"/>
    </row>
    <row r="70" spans="1:12" ht="15.75" x14ac:dyDescent="0.25">
      <c r="A70" s="109" t="s">
        <v>116</v>
      </c>
      <c r="B70" s="94" t="s">
        <v>101</v>
      </c>
      <c r="C70" s="100"/>
      <c r="D70" s="96">
        <f>'JULY 21'!J70:J134</f>
        <v>700</v>
      </c>
      <c r="E70" s="102">
        <v>7000</v>
      </c>
      <c r="F70" s="102"/>
      <c r="G70" s="101">
        <v>150</v>
      </c>
      <c r="H70" s="97">
        <f t="shared" si="1"/>
        <v>7850</v>
      </c>
      <c r="I70" s="97">
        <f>7000</f>
        <v>7000</v>
      </c>
      <c r="J70" s="97">
        <f>H70-I70</f>
        <v>850</v>
      </c>
      <c r="K70" s="97"/>
      <c r="L70" s="97"/>
    </row>
    <row r="71" spans="1:12" ht="15.75" x14ac:dyDescent="0.25">
      <c r="A71" s="115" t="s">
        <v>28</v>
      </c>
      <c r="B71" s="109"/>
      <c r="C71" s="100">
        <f>SUM(C6:C70)</f>
        <v>15850</v>
      </c>
      <c r="D71" s="96">
        <f>SUM(D6:D70)</f>
        <v>44950</v>
      </c>
      <c r="E71" s="116">
        <f>SUM(E6:E70)</f>
        <v>305500</v>
      </c>
      <c r="F71" s="147">
        <f t="shared" ref="F71:L71" si="2">SUM(F6:F70)</f>
        <v>900</v>
      </c>
      <c r="G71" s="148">
        <f>SUM(G6:G70)</f>
        <v>5850</v>
      </c>
      <c r="H71" s="97">
        <f>SUM(H6:H70)</f>
        <v>373050</v>
      </c>
      <c r="I71" s="97">
        <f t="shared" si="2"/>
        <v>312870</v>
      </c>
      <c r="J71" s="97">
        <f>SUM(J6:J70)</f>
        <v>60180</v>
      </c>
      <c r="K71" s="97">
        <f t="shared" si="2"/>
        <v>0</v>
      </c>
      <c r="L71" s="97">
        <f t="shared" si="2"/>
        <v>0</v>
      </c>
    </row>
    <row r="72" spans="1:12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2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2" ht="15.75" x14ac:dyDescent="0.25">
      <c r="A74" s="109" t="s">
        <v>413</v>
      </c>
      <c r="B74" s="124">
        <f>E71</f>
        <v>305500</v>
      </c>
      <c r="C74" s="109"/>
      <c r="D74" s="109"/>
      <c r="E74" s="109"/>
      <c r="F74" s="109" t="s">
        <v>413</v>
      </c>
      <c r="G74" s="109"/>
      <c r="H74" s="125">
        <f>I71</f>
        <v>312870</v>
      </c>
      <c r="I74" s="109"/>
      <c r="J74" s="109"/>
      <c r="K74" s="109"/>
      <c r="L74" s="126"/>
    </row>
    <row r="75" spans="1:12" ht="15.75" x14ac:dyDescent="0.25">
      <c r="A75" s="109" t="s">
        <v>37</v>
      </c>
      <c r="B75" s="124">
        <f>'JULY 21'!D99</f>
        <v>119319.18999999994</v>
      </c>
      <c r="C75" s="109"/>
      <c r="D75" s="109"/>
      <c r="E75" s="109"/>
      <c r="F75" s="109" t="s">
        <v>37</v>
      </c>
      <c r="G75" s="109"/>
      <c r="H75" s="124">
        <f>'JULY 21'!J99</f>
        <v>15719.189999999944</v>
      </c>
      <c r="I75" s="109"/>
      <c r="J75" s="109"/>
      <c r="K75" s="109"/>
      <c r="L75" s="126"/>
    </row>
    <row r="76" spans="1:12" ht="15.75" x14ac:dyDescent="0.25">
      <c r="A76" s="109" t="s">
        <v>38</v>
      </c>
      <c r="B76" s="124">
        <f>C71</f>
        <v>15850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2" ht="15.75" x14ac:dyDescent="0.25">
      <c r="A77" s="109" t="s">
        <v>7</v>
      </c>
      <c r="B77" s="124"/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2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2" ht="15.75" x14ac:dyDescent="0.25">
      <c r="A79" s="109" t="s">
        <v>40</v>
      </c>
      <c r="B79" s="125">
        <f>L71</f>
        <v>0</v>
      </c>
      <c r="C79" s="109"/>
      <c r="D79" s="109"/>
      <c r="E79" s="109"/>
      <c r="F79" s="109" t="s">
        <v>40</v>
      </c>
      <c r="G79" s="109"/>
      <c r="H79" s="125">
        <f>L71</f>
        <v>0</v>
      </c>
      <c r="I79" s="109"/>
      <c r="J79" s="109"/>
      <c r="K79" s="109"/>
      <c r="L79" s="126"/>
    </row>
    <row r="80" spans="1:12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2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2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2" ht="15.75" x14ac:dyDescent="0.25">
      <c r="A83" s="131" t="s">
        <v>43</v>
      </c>
      <c r="B83" s="132">
        <v>7.0000000000000007E-2</v>
      </c>
      <c r="C83" s="133">
        <f>B83*E71</f>
        <v>21385.000000000004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21385.000000000004</v>
      </c>
      <c r="J83" s="109"/>
      <c r="K83" s="109"/>
      <c r="L83" s="126"/>
    </row>
    <row r="84" spans="1:12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2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5850</v>
      </c>
      <c r="J85" s="88"/>
      <c r="K85" s="125"/>
      <c r="L85" s="136"/>
    </row>
    <row r="86" spans="1:12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2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2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2" ht="15.75" x14ac:dyDescent="0.25">
      <c r="A89" s="134"/>
      <c r="B89" s="132"/>
      <c r="C89" s="93"/>
      <c r="D89" s="109"/>
      <c r="E89" s="109"/>
      <c r="F89" s="134"/>
      <c r="G89" s="132"/>
      <c r="H89" s="93"/>
      <c r="I89" s="93"/>
      <c r="J89" s="109"/>
      <c r="K89" s="109"/>
      <c r="L89" s="126"/>
    </row>
    <row r="90" spans="1:12" ht="15.75" x14ac:dyDescent="0.25">
      <c r="A90" s="134" t="s">
        <v>415</v>
      </c>
      <c r="B90" s="132"/>
      <c r="C90" s="93">
        <v>6000</v>
      </c>
      <c r="D90" s="109"/>
      <c r="E90" s="109"/>
      <c r="F90" s="134" t="s">
        <v>414</v>
      </c>
      <c r="G90" s="132"/>
      <c r="H90" s="93"/>
      <c r="I90" s="93">
        <v>6000</v>
      </c>
      <c r="J90" s="109"/>
      <c r="K90" s="109"/>
      <c r="L90" s="126"/>
    </row>
    <row r="91" spans="1:12" ht="15.75" x14ac:dyDescent="0.25">
      <c r="A91" s="134" t="s">
        <v>420</v>
      </c>
      <c r="B91" s="132"/>
      <c r="C91" s="93">
        <v>254000</v>
      </c>
      <c r="D91" s="109"/>
      <c r="E91" s="109"/>
      <c r="F91" s="134" t="s">
        <v>420</v>
      </c>
      <c r="G91" s="132"/>
      <c r="H91" s="93"/>
      <c r="I91" s="93">
        <v>254000</v>
      </c>
      <c r="J91" s="109"/>
      <c r="K91" s="109"/>
      <c r="L91" s="126"/>
    </row>
    <row r="92" spans="1:12" ht="15.75" x14ac:dyDescent="0.25">
      <c r="A92" s="134" t="s">
        <v>442</v>
      </c>
      <c r="B92" s="132"/>
      <c r="C92" s="93">
        <v>6650</v>
      </c>
      <c r="D92" s="109"/>
      <c r="E92" s="109"/>
      <c r="F92" s="134" t="s">
        <v>442</v>
      </c>
      <c r="G92" s="132"/>
      <c r="H92" s="93"/>
      <c r="I92" s="93">
        <v>6650</v>
      </c>
      <c r="J92" s="109"/>
      <c r="K92" s="109"/>
      <c r="L92" s="126"/>
    </row>
    <row r="93" spans="1:12" ht="15.75" x14ac:dyDescent="0.25">
      <c r="A93" s="134"/>
      <c r="B93" s="132"/>
      <c r="C93" s="125"/>
      <c r="D93" s="109"/>
      <c r="E93" s="109"/>
      <c r="F93" s="134"/>
      <c r="G93" s="132"/>
      <c r="H93" s="125"/>
      <c r="I93" s="125"/>
      <c r="J93" s="109"/>
      <c r="K93" s="109"/>
      <c r="L93" s="126"/>
    </row>
    <row r="94" spans="1:12" ht="15.75" x14ac:dyDescent="0.25">
      <c r="A94" s="134"/>
      <c r="B94" s="132"/>
      <c r="C94" s="125"/>
      <c r="D94" s="109"/>
      <c r="E94" s="109"/>
      <c r="F94" s="134"/>
      <c r="G94" s="132"/>
      <c r="H94" s="125"/>
      <c r="I94" s="125"/>
      <c r="J94" s="109"/>
      <c r="K94" s="109"/>
      <c r="L94" s="126"/>
    </row>
    <row r="95" spans="1:12" ht="15.75" x14ac:dyDescent="0.25">
      <c r="A95" s="134"/>
      <c r="B95" s="132"/>
      <c r="C95" s="125"/>
      <c r="D95" s="109"/>
      <c r="E95" s="109"/>
      <c r="F95" s="134"/>
      <c r="G95" s="132"/>
      <c r="H95" s="125"/>
      <c r="I95" s="125"/>
      <c r="J95" s="109"/>
      <c r="K95" s="109"/>
      <c r="L95" s="126"/>
    </row>
    <row r="96" spans="1:12" ht="15.75" x14ac:dyDescent="0.25">
      <c r="A96" s="134"/>
      <c r="B96" s="132"/>
      <c r="C96" s="125"/>
      <c r="D96" s="109"/>
      <c r="E96" s="109"/>
      <c r="F96" s="134"/>
      <c r="G96" s="132"/>
      <c r="H96" s="125"/>
      <c r="I96" s="125"/>
      <c r="J96" s="109"/>
      <c r="K96" s="109"/>
      <c r="L96" s="126"/>
    </row>
    <row r="97" spans="1:12" ht="15.75" x14ac:dyDescent="0.25">
      <c r="A97" s="134"/>
      <c r="B97" s="132"/>
      <c r="C97" s="93"/>
      <c r="D97" s="109"/>
      <c r="E97" s="109"/>
      <c r="F97" s="134"/>
      <c r="G97" s="132"/>
      <c r="H97" s="93"/>
      <c r="I97" s="93"/>
      <c r="J97" s="109"/>
      <c r="K97" s="109"/>
      <c r="L97" s="126"/>
    </row>
    <row r="98" spans="1:12" ht="15.75" x14ac:dyDescent="0.25">
      <c r="A98" s="134"/>
      <c r="B98" s="132"/>
      <c r="C98" s="125"/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440669.18999999994</v>
      </c>
      <c r="C99" s="139">
        <f>SUM(C83:C98)</f>
        <v>305035</v>
      </c>
      <c r="D99" s="139">
        <f>B99-C99</f>
        <v>135634.18999999994</v>
      </c>
      <c r="E99" s="139"/>
      <c r="F99" s="115"/>
      <c r="G99" s="115"/>
      <c r="H99" s="139">
        <f>H74+H75+H77+H79+H80</f>
        <v>328589.18999999994</v>
      </c>
      <c r="I99" s="139">
        <f>SUM(I83:I98)</f>
        <v>310885</v>
      </c>
      <c r="J99" s="139">
        <f>H99-I99</f>
        <v>17704.189999999944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305035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289500</v>
      </c>
      <c r="J101" s="87"/>
      <c r="K101" s="105"/>
      <c r="L101" s="86"/>
    </row>
    <row r="102" spans="1:12" x14ac:dyDescent="0.25">
      <c r="J102" s="43"/>
    </row>
    <row r="103" spans="1:12" x14ac:dyDescent="0.25">
      <c r="J103" s="43"/>
    </row>
    <row r="104" spans="1:12" x14ac:dyDescent="0.25">
      <c r="I104" s="43"/>
      <c r="J104" s="43"/>
    </row>
    <row r="105" spans="1:12" x14ac:dyDescent="0.25">
      <c r="J105" s="4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34" workbookViewId="0">
      <selection activeCell="A46" sqref="A46:XFD46"/>
    </sheetView>
  </sheetViews>
  <sheetFormatPr defaultRowHeight="15" x14ac:dyDescent="0.25"/>
  <cols>
    <col min="1" max="1" width="23.5703125" customWidth="1"/>
    <col min="3" max="3" width="11.7109375" customWidth="1"/>
    <col min="5" max="5" width="11.28515625" customWidth="1"/>
    <col min="6" max="6" width="12.42578125" customWidth="1"/>
    <col min="7" max="7" width="11" customWidth="1"/>
    <col min="8" max="8" width="12.140625" customWidth="1"/>
    <col min="9" max="9" width="12.85546875" customWidth="1"/>
    <col min="10" max="10" width="11.85546875" customWidth="1"/>
    <col min="11" max="11" width="18.710937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421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93" t="s">
        <v>308</v>
      </c>
      <c r="B6" s="94" t="s">
        <v>14</v>
      </c>
      <c r="C6" s="95"/>
      <c r="D6" s="96">
        <f>'AUGUST 21'!J6:J71</f>
        <v>5300</v>
      </c>
      <c r="E6" s="97">
        <v>6500</v>
      </c>
      <c r="F6" s="98"/>
      <c r="G6" s="97"/>
      <c r="H6" s="97">
        <f>D6+E6+F6+G6+C6</f>
        <v>11800</v>
      </c>
      <c r="I6" s="97"/>
      <c r="J6" s="97">
        <f t="shared" ref="J6:J67" si="0">H6-I6</f>
        <v>11800</v>
      </c>
      <c r="K6" s="97"/>
      <c r="L6" s="97"/>
    </row>
    <row r="7" spans="1:13" ht="15.75" x14ac:dyDescent="0.25">
      <c r="A7" s="99" t="s">
        <v>411</v>
      </c>
      <c r="B7" s="94" t="s">
        <v>15</v>
      </c>
      <c r="C7" s="100"/>
      <c r="D7" s="96">
        <f>'AUGUST 21'!J7:J72</f>
        <v>0</v>
      </c>
      <c r="E7" s="101">
        <v>6500</v>
      </c>
      <c r="F7" s="102"/>
      <c r="G7" s="101">
        <v>150</v>
      </c>
      <c r="H7" s="97">
        <f>D7+E7+F7+G7+C7</f>
        <v>6650</v>
      </c>
      <c r="I7" s="97">
        <f>6500</f>
        <v>6500</v>
      </c>
      <c r="J7" s="97">
        <f>H7-I7</f>
        <v>150</v>
      </c>
      <c r="K7" s="97"/>
      <c r="L7" s="97">
        <v>1000</v>
      </c>
    </row>
    <row r="8" spans="1:13" ht="15.75" x14ac:dyDescent="0.25">
      <c r="A8" s="150" t="s">
        <v>448</v>
      </c>
      <c r="B8" s="94" t="s">
        <v>16</v>
      </c>
      <c r="C8" s="100">
        <v>6500</v>
      </c>
      <c r="D8" s="96">
        <f>'AUGUST 21'!J8:J73</f>
        <v>0</v>
      </c>
      <c r="E8" s="101">
        <v>2167</v>
      </c>
      <c r="F8" s="102"/>
      <c r="G8" s="101"/>
      <c r="H8" s="97">
        <f t="shared" ref="H8:H70" si="1">D8+E8+F8+G8+C8</f>
        <v>8667</v>
      </c>
      <c r="I8" s="97">
        <v>8667</v>
      </c>
      <c r="J8" s="160">
        <f t="shared" si="0"/>
        <v>0</v>
      </c>
      <c r="K8" s="97"/>
      <c r="L8" s="97"/>
      <c r="M8" s="2" t="s">
        <v>449</v>
      </c>
    </row>
    <row r="9" spans="1:13" ht="15.75" x14ac:dyDescent="0.25">
      <c r="A9" s="99" t="s">
        <v>422</v>
      </c>
      <c r="B9" s="94" t="s">
        <v>18</v>
      </c>
      <c r="C9" s="100"/>
      <c r="D9" s="96"/>
      <c r="E9" s="96">
        <v>6500</v>
      </c>
      <c r="F9" s="103"/>
      <c r="G9" s="101">
        <v>150</v>
      </c>
      <c r="H9" s="97">
        <f t="shared" si="1"/>
        <v>6650</v>
      </c>
      <c r="I9" s="97">
        <v>6500</v>
      </c>
      <c r="J9" s="97">
        <f t="shared" si="0"/>
        <v>150</v>
      </c>
      <c r="K9" s="97"/>
      <c r="L9" s="97"/>
    </row>
    <row r="10" spans="1:13" ht="15.75" x14ac:dyDescent="0.25">
      <c r="A10" s="99" t="s">
        <v>424</v>
      </c>
      <c r="B10" s="94" t="s">
        <v>19</v>
      </c>
      <c r="C10" s="100">
        <v>6500</v>
      </c>
      <c r="D10" s="96">
        <f>'AUGUST 21'!J10:J75</f>
        <v>0</v>
      </c>
      <c r="E10" s="101">
        <v>6500</v>
      </c>
      <c r="F10" s="102"/>
      <c r="G10" s="101">
        <v>150</v>
      </c>
      <c r="H10" s="97">
        <f t="shared" si="1"/>
        <v>13150</v>
      </c>
      <c r="I10" s="97">
        <f>10000+3150</f>
        <v>13150</v>
      </c>
      <c r="J10" s="97">
        <f t="shared" si="0"/>
        <v>0</v>
      </c>
      <c r="K10" s="97"/>
      <c r="L10" s="97"/>
    </row>
    <row r="11" spans="1:13" ht="15.75" x14ac:dyDescent="0.25">
      <c r="A11" s="104" t="s">
        <v>437</v>
      </c>
      <c r="B11" s="94" t="s">
        <v>20</v>
      </c>
      <c r="C11" s="100"/>
      <c r="D11" s="96">
        <f>'AUGUST 21'!J11:J76</f>
        <v>0</v>
      </c>
      <c r="E11" s="101">
        <v>7000</v>
      </c>
      <c r="F11" s="102"/>
      <c r="G11" s="101"/>
      <c r="H11" s="97">
        <f t="shared" si="1"/>
        <v>7000</v>
      </c>
      <c r="I11" s="97">
        <v>7000</v>
      </c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'AUGUST 21'!J12:J77</f>
        <v>2800</v>
      </c>
      <c r="E12" s="101">
        <v>5500</v>
      </c>
      <c r="F12" s="88"/>
      <c r="G12" s="101">
        <v>150</v>
      </c>
      <c r="H12" s="97">
        <f t="shared" si="1"/>
        <v>8450</v>
      </c>
      <c r="I12" s="97">
        <f>2000+1000+900+900</f>
        <v>4800</v>
      </c>
      <c r="J12" s="97">
        <f t="shared" si="0"/>
        <v>3650</v>
      </c>
      <c r="K12" s="97"/>
      <c r="L12" s="97"/>
    </row>
    <row r="13" spans="1:13" ht="15.75" x14ac:dyDescent="0.25">
      <c r="A13" s="107" t="s">
        <v>410</v>
      </c>
      <c r="B13" s="94" t="s">
        <v>22</v>
      </c>
      <c r="C13" s="100"/>
      <c r="D13" s="96">
        <f>'AUGUST 21'!J13:J78</f>
        <v>4100</v>
      </c>
      <c r="E13" s="101">
        <v>7000</v>
      </c>
      <c r="F13" s="108"/>
      <c r="G13" s="101"/>
      <c r="H13" s="97">
        <f t="shared" si="1"/>
        <v>11100</v>
      </c>
      <c r="I13" s="97">
        <f>7150</f>
        <v>7150</v>
      </c>
      <c r="J13" s="97">
        <f t="shared" si="0"/>
        <v>3950</v>
      </c>
      <c r="K13" s="97"/>
      <c r="L13" s="97"/>
    </row>
    <row r="14" spans="1:13" ht="15.75" x14ac:dyDescent="0.25">
      <c r="A14" s="109" t="s">
        <v>418</v>
      </c>
      <c r="B14" s="94" t="s">
        <v>23</v>
      </c>
      <c r="C14" s="100">
        <v>3150</v>
      </c>
      <c r="D14" s="96">
        <f>'AUGUST 21'!J14:J79</f>
        <v>0</v>
      </c>
      <c r="E14" s="101">
        <v>6500</v>
      </c>
      <c r="F14" s="102"/>
      <c r="G14" s="101">
        <v>150</v>
      </c>
      <c r="H14" s="97">
        <f t="shared" si="1"/>
        <v>9800</v>
      </c>
      <c r="I14" s="97">
        <v>9800</v>
      </c>
      <c r="J14" s="97">
        <f t="shared" si="0"/>
        <v>0</v>
      </c>
      <c r="K14" s="97"/>
      <c r="L14" s="97"/>
    </row>
    <row r="15" spans="1:13" ht="15.75" x14ac:dyDescent="0.25">
      <c r="A15" s="109" t="s">
        <v>439</v>
      </c>
      <c r="B15" s="94" t="s">
        <v>24</v>
      </c>
      <c r="C15" s="100">
        <v>6500</v>
      </c>
      <c r="D15" s="96">
        <f>'AUGUST 21'!J15:J80</f>
        <v>0</v>
      </c>
      <c r="E15" s="101">
        <v>6500</v>
      </c>
      <c r="F15" s="102"/>
      <c r="G15" s="101"/>
      <c r="H15" s="97">
        <f t="shared" si="1"/>
        <v>13000</v>
      </c>
      <c r="I15" s="97">
        <v>13000</v>
      </c>
      <c r="J15" s="97">
        <f>H15-I15</f>
        <v>0</v>
      </c>
      <c r="K15" s="97"/>
      <c r="L15" s="97"/>
    </row>
    <row r="16" spans="1:13" ht="15.75" x14ac:dyDescent="0.25">
      <c r="A16" s="99" t="s">
        <v>189</v>
      </c>
      <c r="B16" s="94" t="s">
        <v>25</v>
      </c>
      <c r="C16" s="100"/>
      <c r="D16" s="96">
        <v>650</v>
      </c>
      <c r="E16" s="101">
        <v>6500</v>
      </c>
      <c r="F16" s="102"/>
      <c r="G16" s="101"/>
      <c r="H16" s="97">
        <f t="shared" si="1"/>
        <v>7150</v>
      </c>
      <c r="I16" s="97"/>
      <c r="J16" s="97">
        <f t="shared" si="0"/>
        <v>7150</v>
      </c>
      <c r="K16" s="97"/>
      <c r="L16" s="97"/>
    </row>
    <row r="17" spans="1:14" ht="15.75" x14ac:dyDescent="0.25">
      <c r="A17" s="93" t="s">
        <v>133</v>
      </c>
      <c r="B17" s="94" t="s">
        <v>26</v>
      </c>
      <c r="C17" s="100"/>
      <c r="D17" s="96">
        <f>'AUGUST 21'!J17:J82</f>
        <v>0</v>
      </c>
      <c r="E17" s="101">
        <v>6500</v>
      </c>
      <c r="F17" s="102"/>
      <c r="G17" s="101">
        <v>150</v>
      </c>
      <c r="H17" s="97">
        <f t="shared" si="1"/>
        <v>6650</v>
      </c>
      <c r="I17" s="97">
        <f>4000</f>
        <v>4000</v>
      </c>
      <c r="J17" s="97">
        <f t="shared" si="0"/>
        <v>2650</v>
      </c>
      <c r="K17" s="97"/>
      <c r="L17" s="97"/>
    </row>
    <row r="18" spans="1:14" ht="15.75" x14ac:dyDescent="0.25">
      <c r="A18" s="109" t="s">
        <v>217</v>
      </c>
      <c r="B18" s="94" t="s">
        <v>27</v>
      </c>
      <c r="C18" s="95"/>
      <c r="D18" s="96">
        <f>'AUGUST 21'!J18:J83</f>
        <v>0</v>
      </c>
      <c r="E18" s="101">
        <v>6500</v>
      </c>
      <c r="F18" s="102"/>
      <c r="G18" s="101">
        <v>150</v>
      </c>
      <c r="H18" s="97">
        <f t="shared" si="1"/>
        <v>6650</v>
      </c>
      <c r="I18" s="97">
        <f>3000+3500</f>
        <v>6500</v>
      </c>
      <c r="J18" s="97">
        <f>H18-I18</f>
        <v>150</v>
      </c>
      <c r="K18" s="97"/>
      <c r="L18" s="97"/>
    </row>
    <row r="19" spans="1:14" ht="15.75" x14ac:dyDescent="0.25">
      <c r="A19" s="109" t="s">
        <v>374</v>
      </c>
      <c r="B19" s="94" t="s">
        <v>50</v>
      </c>
      <c r="C19" s="100"/>
      <c r="D19" s="96">
        <f>'AUGUST 21'!J19:J84</f>
        <v>50</v>
      </c>
      <c r="E19" s="101">
        <v>6500</v>
      </c>
      <c r="F19" s="102"/>
      <c r="G19" s="101">
        <v>150</v>
      </c>
      <c r="H19" s="97">
        <f t="shared" si="1"/>
        <v>6700</v>
      </c>
      <c r="I19" s="97">
        <f>6500</f>
        <v>6500</v>
      </c>
      <c r="J19" s="97">
        <f t="shared" si="0"/>
        <v>200</v>
      </c>
      <c r="K19" s="97"/>
      <c r="L19" s="97"/>
    </row>
    <row r="20" spans="1:14" ht="15.75" x14ac:dyDescent="0.25">
      <c r="A20" s="99" t="s">
        <v>260</v>
      </c>
      <c r="B20" s="94" t="s">
        <v>51</v>
      </c>
      <c r="C20" s="100"/>
      <c r="D20" s="96">
        <f>'AUGUST 21'!J20:J85</f>
        <v>50</v>
      </c>
      <c r="E20" s="101">
        <v>6500</v>
      </c>
      <c r="F20" s="102"/>
      <c r="G20" s="101">
        <v>150</v>
      </c>
      <c r="H20" s="97">
        <f t="shared" si="1"/>
        <v>6700</v>
      </c>
      <c r="I20" s="97">
        <f>1500+650+2750+1000+600+1000</f>
        <v>7500</v>
      </c>
      <c r="J20" s="97">
        <f t="shared" si="0"/>
        <v>-800</v>
      </c>
      <c r="K20" s="97"/>
      <c r="L20" s="97"/>
    </row>
    <row r="21" spans="1:14" ht="15.75" x14ac:dyDescent="0.25">
      <c r="A21" s="109" t="s">
        <v>431</v>
      </c>
      <c r="B21" s="94" t="s">
        <v>52</v>
      </c>
      <c r="C21" s="100">
        <v>6500</v>
      </c>
      <c r="D21" s="96">
        <f>'AUGUST 21'!J21:J86</f>
        <v>0</v>
      </c>
      <c r="E21" s="101">
        <v>6500</v>
      </c>
      <c r="F21" s="102"/>
      <c r="G21" s="101"/>
      <c r="H21" s="97">
        <f t="shared" si="1"/>
        <v>13000</v>
      </c>
      <c r="I21" s="97">
        <v>13000</v>
      </c>
      <c r="J21" s="97">
        <f t="shared" si="0"/>
        <v>0</v>
      </c>
      <c r="K21" s="97"/>
      <c r="L21" s="97">
        <v>1000</v>
      </c>
    </row>
    <row r="22" spans="1:14" ht="15.75" x14ac:dyDescent="0.25">
      <c r="A22" s="109" t="s">
        <v>375</v>
      </c>
      <c r="B22" s="94" t="s">
        <v>53</v>
      </c>
      <c r="C22" s="100"/>
      <c r="D22" s="96">
        <f>'AUGUST 21'!J22:J87</f>
        <v>0</v>
      </c>
      <c r="E22" s="101">
        <v>6500</v>
      </c>
      <c r="F22" s="102"/>
      <c r="G22" s="101">
        <v>150</v>
      </c>
      <c r="H22" s="97">
        <f t="shared" si="1"/>
        <v>6650</v>
      </c>
      <c r="I22" s="97">
        <f>6650</f>
        <v>6650</v>
      </c>
      <c r="J22" s="97">
        <f t="shared" si="0"/>
        <v>0</v>
      </c>
      <c r="K22" s="97"/>
      <c r="L22" s="97"/>
    </row>
    <row r="23" spans="1:14" ht="15.75" x14ac:dyDescent="0.25">
      <c r="A23" s="99" t="s">
        <v>425</v>
      </c>
      <c r="B23" s="94" t="s">
        <v>54</v>
      </c>
      <c r="C23" s="100">
        <v>2500</v>
      </c>
      <c r="D23" s="96">
        <f>'AUGUST 21'!J23:J88</f>
        <v>0</v>
      </c>
      <c r="E23" s="101">
        <v>6500</v>
      </c>
      <c r="F23" s="102"/>
      <c r="G23" s="101"/>
      <c r="H23" s="97">
        <f t="shared" si="1"/>
        <v>9000</v>
      </c>
      <c r="I23" s="97">
        <f>9000</f>
        <v>9000</v>
      </c>
      <c r="J23" s="97">
        <f t="shared" si="0"/>
        <v>0</v>
      </c>
      <c r="K23" s="97"/>
      <c r="L23" s="97"/>
    </row>
    <row r="24" spans="1:14" ht="15.75" x14ac:dyDescent="0.25">
      <c r="A24" s="109" t="s">
        <v>417</v>
      </c>
      <c r="B24" s="94" t="s">
        <v>55</v>
      </c>
      <c r="C24" s="100"/>
      <c r="D24" s="96">
        <f>'AUGUST 21'!J24:J89</f>
        <v>1150</v>
      </c>
      <c r="E24" s="101">
        <v>7000</v>
      </c>
      <c r="F24" s="102"/>
      <c r="G24" s="101">
        <v>150</v>
      </c>
      <c r="H24" s="97">
        <f t="shared" si="1"/>
        <v>8300</v>
      </c>
      <c r="I24" s="97">
        <f>3650+4650</f>
        <v>8300</v>
      </c>
      <c r="J24" s="97">
        <f t="shared" si="0"/>
        <v>0</v>
      </c>
      <c r="K24" s="97"/>
      <c r="L24" s="97"/>
    </row>
    <row r="25" spans="1:14" ht="15.75" x14ac:dyDescent="0.25">
      <c r="A25" s="109" t="s">
        <v>155</v>
      </c>
      <c r="B25" s="94" t="s">
        <v>56</v>
      </c>
      <c r="C25" s="100"/>
      <c r="D25" s="96">
        <f>'AUGUST 21'!J25:J90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4" ht="15.75" x14ac:dyDescent="0.25">
      <c r="A26" s="109" t="s">
        <v>130</v>
      </c>
      <c r="B26" s="94" t="s">
        <v>57</v>
      </c>
      <c r="C26" s="100"/>
      <c r="D26" s="96">
        <f>'AUGUST 21'!J26:J91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f>7150</f>
        <v>7150</v>
      </c>
      <c r="J26" s="97">
        <f t="shared" si="0"/>
        <v>0</v>
      </c>
      <c r="K26" s="97"/>
      <c r="L26" s="97"/>
      <c r="N26" s="23"/>
    </row>
    <row r="27" spans="1:14" ht="15.75" x14ac:dyDescent="0.25">
      <c r="A27" s="109" t="s">
        <v>132</v>
      </c>
      <c r="B27" s="94" t="s">
        <v>58</v>
      </c>
      <c r="C27" s="100"/>
      <c r="D27" s="96">
        <f>'AUGUST 21'!J27:J92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f>6650</f>
        <v>6650</v>
      </c>
      <c r="J27" s="97">
        <f t="shared" si="0"/>
        <v>0</v>
      </c>
      <c r="K27" s="97"/>
      <c r="L27" s="97"/>
    </row>
    <row r="28" spans="1:14" ht="15.75" x14ac:dyDescent="0.25">
      <c r="A28" s="109" t="s">
        <v>235</v>
      </c>
      <c r="B28" s="94" t="s">
        <v>59</v>
      </c>
      <c r="C28" s="100"/>
      <c r="D28" s="96">
        <f>'AUGUST 21'!J28:J93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v>6650</v>
      </c>
      <c r="J28" s="97">
        <f>H28-I28</f>
        <v>0</v>
      </c>
      <c r="K28" s="97"/>
      <c r="L28" s="97"/>
    </row>
    <row r="29" spans="1:14" ht="15.75" x14ac:dyDescent="0.25">
      <c r="A29" s="109" t="s">
        <v>309</v>
      </c>
      <c r="B29" s="94" t="s">
        <v>60</v>
      </c>
      <c r="C29" s="100"/>
      <c r="D29" s="96">
        <f>'AUGUST 21'!J29:J94</f>
        <v>0</v>
      </c>
      <c r="E29" s="101">
        <v>6500</v>
      </c>
      <c r="F29" s="102"/>
      <c r="G29" s="101">
        <v>150</v>
      </c>
      <c r="H29" s="97">
        <f t="shared" si="1"/>
        <v>6650</v>
      </c>
      <c r="I29" s="97">
        <f>6650</f>
        <v>6650</v>
      </c>
      <c r="J29" s="97">
        <f>H29-I29</f>
        <v>0</v>
      </c>
      <c r="K29" s="97"/>
      <c r="L29" s="97"/>
    </row>
    <row r="30" spans="1:14" ht="15.75" x14ac:dyDescent="0.25">
      <c r="A30" s="109" t="s">
        <v>241</v>
      </c>
      <c r="B30" s="94" t="s">
        <v>61</v>
      </c>
      <c r="C30" s="100"/>
      <c r="D30" s="96">
        <f>'AUGUST 21'!J30:J95</f>
        <v>0</v>
      </c>
      <c r="E30" s="101">
        <v>6500</v>
      </c>
      <c r="F30" s="102"/>
      <c r="G30" s="101">
        <v>150</v>
      </c>
      <c r="H30" s="97">
        <f t="shared" si="1"/>
        <v>6650</v>
      </c>
      <c r="I30" s="97">
        <f>6500+150</f>
        <v>6650</v>
      </c>
      <c r="J30" s="97">
        <f t="shared" si="0"/>
        <v>0</v>
      </c>
      <c r="K30" s="97"/>
      <c r="L30" s="97"/>
    </row>
    <row r="31" spans="1:14" ht="15.75" x14ac:dyDescent="0.25">
      <c r="A31" s="109" t="s">
        <v>106</v>
      </c>
      <c r="B31" s="94" t="s">
        <v>62</v>
      </c>
      <c r="C31" s="95"/>
      <c r="D31" s="96">
        <f>'AUGUST 21'!J31:J96</f>
        <v>0</v>
      </c>
      <c r="E31" s="101">
        <v>6500</v>
      </c>
      <c r="F31" s="102"/>
      <c r="G31" s="101">
        <v>150</v>
      </c>
      <c r="H31" s="97">
        <f t="shared" si="1"/>
        <v>6650</v>
      </c>
      <c r="I31" s="97">
        <f>6650</f>
        <v>6650</v>
      </c>
      <c r="J31" s="97">
        <f t="shared" si="0"/>
        <v>0</v>
      </c>
      <c r="K31" s="97"/>
      <c r="L31" s="97"/>
    </row>
    <row r="32" spans="1:14" ht="15.75" x14ac:dyDescent="0.25">
      <c r="A32" s="109" t="s">
        <v>181</v>
      </c>
      <c r="B32" s="94" t="s">
        <v>63</v>
      </c>
      <c r="C32" s="100"/>
      <c r="D32" s="96">
        <f>'AUGUST 21'!J32:J97</f>
        <v>4450</v>
      </c>
      <c r="E32" s="101">
        <v>6500</v>
      </c>
      <c r="F32" s="102"/>
      <c r="G32" s="101"/>
      <c r="H32" s="97">
        <f t="shared" si="1"/>
        <v>10950</v>
      </c>
      <c r="I32" s="97">
        <f>6500+700</f>
        <v>7200</v>
      </c>
      <c r="J32" s="97">
        <f t="shared" si="0"/>
        <v>3750</v>
      </c>
      <c r="K32" s="97"/>
      <c r="L32" s="97"/>
    </row>
    <row r="33" spans="1:14" ht="15.75" x14ac:dyDescent="0.25">
      <c r="A33" s="109" t="s">
        <v>171</v>
      </c>
      <c r="B33" s="94" t="s">
        <v>64</v>
      </c>
      <c r="C33" s="100"/>
      <c r="D33" s="96">
        <f>'AUGUST 21'!J33:J98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6650</f>
        <v>6650</v>
      </c>
      <c r="J33" s="97">
        <f t="shared" si="0"/>
        <v>0</v>
      </c>
      <c r="K33" s="97"/>
      <c r="L33" s="97"/>
    </row>
    <row r="34" spans="1:14" ht="15.75" x14ac:dyDescent="0.25">
      <c r="A34" s="109" t="s">
        <v>288</v>
      </c>
      <c r="B34" s="94" t="s">
        <v>65</v>
      </c>
      <c r="C34" s="100"/>
      <c r="D34" s="96">
        <f>'AUGUST 21'!J34:J99</f>
        <v>150</v>
      </c>
      <c r="E34" s="102">
        <v>6500</v>
      </c>
      <c r="F34" s="102"/>
      <c r="G34" s="101">
        <v>150</v>
      </c>
      <c r="H34" s="97">
        <f t="shared" si="1"/>
        <v>6800</v>
      </c>
      <c r="I34" s="97">
        <f>6650</f>
        <v>6650</v>
      </c>
      <c r="J34" s="97">
        <f t="shared" si="0"/>
        <v>150</v>
      </c>
      <c r="K34" s="97"/>
      <c r="L34" s="97"/>
    </row>
    <row r="35" spans="1:14" ht="15.75" x14ac:dyDescent="0.25">
      <c r="A35" s="109" t="s">
        <v>356</v>
      </c>
      <c r="B35" s="94" t="s">
        <v>66</v>
      </c>
      <c r="C35" s="95"/>
      <c r="D35" s="96">
        <f>'AUGUST 21'!J35:J100</f>
        <v>0</v>
      </c>
      <c r="E35" s="102">
        <v>6500</v>
      </c>
      <c r="F35" s="102"/>
      <c r="G35" s="101">
        <v>150</v>
      </c>
      <c r="H35" s="97">
        <f t="shared" si="1"/>
        <v>6650</v>
      </c>
      <c r="I35" s="97">
        <f>6650</f>
        <v>6650</v>
      </c>
      <c r="J35" s="160">
        <f t="shared" si="0"/>
        <v>0</v>
      </c>
      <c r="K35" s="160"/>
      <c r="L35" s="160"/>
    </row>
    <row r="36" spans="1:14" ht="15.75" x14ac:dyDescent="0.25">
      <c r="A36" s="109" t="s">
        <v>426</v>
      </c>
      <c r="B36" s="94" t="s">
        <v>67</v>
      </c>
      <c r="C36" s="100">
        <v>6500</v>
      </c>
      <c r="D36" s="96">
        <f>'AUGUST 21'!J36:J101</f>
        <v>0</v>
      </c>
      <c r="E36" s="102">
        <v>6500</v>
      </c>
      <c r="F36" s="102"/>
      <c r="G36" s="101">
        <v>150</v>
      </c>
      <c r="H36" s="97">
        <f t="shared" si="1"/>
        <v>13150</v>
      </c>
      <c r="I36" s="97">
        <v>13000</v>
      </c>
      <c r="J36" s="97">
        <f t="shared" si="0"/>
        <v>150</v>
      </c>
      <c r="K36" s="97"/>
      <c r="L36" s="97">
        <v>1000</v>
      </c>
    </row>
    <row r="37" spans="1:14" ht="15.75" x14ac:dyDescent="0.25">
      <c r="A37" s="109" t="s">
        <v>432</v>
      </c>
      <c r="B37" s="94" t="s">
        <v>68</v>
      </c>
      <c r="C37" s="100"/>
      <c r="D37" s="96">
        <f>'AUGUST 21'!J37:J102</f>
        <v>0</v>
      </c>
      <c r="E37" s="102">
        <v>7000</v>
      </c>
      <c r="F37" s="102"/>
      <c r="G37" s="101"/>
      <c r="H37" s="97">
        <f t="shared" si="1"/>
        <v>7000</v>
      </c>
      <c r="I37" s="97">
        <v>7000</v>
      </c>
      <c r="J37" s="97">
        <f t="shared" si="0"/>
        <v>0</v>
      </c>
      <c r="L37" s="97"/>
    </row>
    <row r="38" spans="1:14" ht="15.75" x14ac:dyDescent="0.25">
      <c r="A38" s="109" t="s">
        <v>280</v>
      </c>
      <c r="B38" s="94" t="s">
        <v>69</v>
      </c>
      <c r="C38" s="100"/>
      <c r="D38" s="96">
        <f>'AUGUST 21'!J38:J103</f>
        <v>150</v>
      </c>
      <c r="E38" s="102">
        <v>5500</v>
      </c>
      <c r="F38" s="102"/>
      <c r="G38" s="101"/>
      <c r="H38" s="97">
        <f t="shared" si="1"/>
        <v>5650</v>
      </c>
      <c r="I38" s="97">
        <f>5500</f>
        <v>5500</v>
      </c>
      <c r="J38" s="97">
        <f t="shared" si="0"/>
        <v>150</v>
      </c>
      <c r="K38" s="97"/>
      <c r="L38" s="97"/>
    </row>
    <row r="39" spans="1:14" ht="15.75" x14ac:dyDescent="0.25">
      <c r="A39" s="109" t="s">
        <v>125</v>
      </c>
      <c r="B39" s="94" t="s">
        <v>70</v>
      </c>
      <c r="C39" s="100"/>
      <c r="D39" s="96">
        <f>'AUGUST 21'!J39:J104</f>
        <v>150</v>
      </c>
      <c r="E39" s="102">
        <v>7000</v>
      </c>
      <c r="F39" s="102"/>
      <c r="G39" s="101">
        <v>150</v>
      </c>
      <c r="H39" s="97">
        <f t="shared" si="1"/>
        <v>7300</v>
      </c>
      <c r="I39" s="97">
        <f>7300</f>
        <v>7300</v>
      </c>
      <c r="J39" s="97">
        <f t="shared" si="0"/>
        <v>0</v>
      </c>
      <c r="K39" s="97"/>
      <c r="L39" s="97"/>
    </row>
    <row r="40" spans="1:14" ht="15.75" x14ac:dyDescent="0.25">
      <c r="A40" s="115" t="s">
        <v>351</v>
      </c>
      <c r="B40" s="167" t="s">
        <v>71</v>
      </c>
      <c r="C40" s="168"/>
      <c r="D40" s="96">
        <f>'AUGUST 21'!J40:J105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f>6650</f>
        <v>6650</v>
      </c>
      <c r="J40" s="97">
        <f t="shared" si="0"/>
        <v>150</v>
      </c>
      <c r="K40" s="160"/>
      <c r="L40" s="160"/>
    </row>
    <row r="41" spans="1:14" ht="15.75" x14ac:dyDescent="0.25">
      <c r="A41" s="109" t="s">
        <v>127</v>
      </c>
      <c r="B41" s="94" t="s">
        <v>72</v>
      </c>
      <c r="C41" s="100"/>
      <c r="D41" s="96">
        <f>'AUGUST 21'!J41:J106</f>
        <v>0</v>
      </c>
      <c r="E41" s="102">
        <v>6500</v>
      </c>
      <c r="F41" s="102"/>
      <c r="G41" s="101">
        <v>150</v>
      </c>
      <c r="H41" s="97">
        <f t="shared" si="1"/>
        <v>6650</v>
      </c>
      <c r="I41" s="97">
        <f>6500</f>
        <v>6500</v>
      </c>
      <c r="J41" s="97">
        <f>H41-I41</f>
        <v>150</v>
      </c>
      <c r="K41" s="97"/>
      <c r="L41" s="97"/>
    </row>
    <row r="42" spans="1:14" ht="15.75" x14ac:dyDescent="0.25">
      <c r="A42" s="109" t="s">
        <v>124</v>
      </c>
      <c r="B42" s="94" t="s">
        <v>73</v>
      </c>
      <c r="C42" s="100"/>
      <c r="D42" s="96">
        <f>'AUGUST 21'!J42:J107</f>
        <v>0</v>
      </c>
      <c r="E42" s="102">
        <v>6500</v>
      </c>
      <c r="F42" s="102"/>
      <c r="G42" s="101">
        <v>150</v>
      </c>
      <c r="H42" s="97">
        <f t="shared" si="1"/>
        <v>6650</v>
      </c>
      <c r="I42" s="97">
        <f>6500</f>
        <v>6500</v>
      </c>
      <c r="J42" s="97">
        <f t="shared" si="0"/>
        <v>150</v>
      </c>
      <c r="K42" s="97"/>
      <c r="L42" s="97"/>
    </row>
    <row r="43" spans="1:14" ht="15.75" x14ac:dyDescent="0.25">
      <c r="A43" s="109" t="s">
        <v>353</v>
      </c>
      <c r="B43" s="94" t="s">
        <v>74</v>
      </c>
      <c r="C43" s="100"/>
      <c r="D43" s="96">
        <f>'AUGUST 21'!J43:J108</f>
        <v>100</v>
      </c>
      <c r="E43" s="102">
        <v>6500</v>
      </c>
      <c r="F43" s="102"/>
      <c r="G43" s="101">
        <v>150</v>
      </c>
      <c r="H43" s="97">
        <f>D43+E43+F43+G43+C43</f>
        <v>6750</v>
      </c>
      <c r="I43" s="97">
        <f>3000</f>
        <v>3000</v>
      </c>
      <c r="J43" s="97">
        <f t="shared" si="0"/>
        <v>3750</v>
      </c>
      <c r="K43" s="97"/>
      <c r="L43" s="97"/>
    </row>
    <row r="44" spans="1:14" ht="15.75" x14ac:dyDescent="0.25">
      <c r="A44" s="109" t="s">
        <v>270</v>
      </c>
      <c r="B44" s="94" t="s">
        <v>75</v>
      </c>
      <c r="C44" s="100"/>
      <c r="D44" s="96">
        <f>'AUGUST 21'!J44:J109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4" ht="15.75" x14ac:dyDescent="0.25">
      <c r="A45" s="109" t="s">
        <v>307</v>
      </c>
      <c r="B45" s="94" t="s">
        <v>76</v>
      </c>
      <c r="C45" s="100"/>
      <c r="D45" s="96">
        <f>'AUGUST 21'!J45:J110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v>6650</v>
      </c>
      <c r="J45" s="97">
        <f t="shared" si="0"/>
        <v>0</v>
      </c>
      <c r="K45" s="97"/>
      <c r="L45" s="97"/>
    </row>
    <row r="46" spans="1:14" ht="15.75" x14ac:dyDescent="0.25">
      <c r="A46" s="109" t="s">
        <v>430</v>
      </c>
      <c r="B46" s="94" t="s">
        <v>77</v>
      </c>
      <c r="C46" s="100">
        <v>3350</v>
      </c>
      <c r="D46" s="96">
        <f>'AUGUST 21'!J46:J111</f>
        <v>0</v>
      </c>
      <c r="E46" s="102">
        <v>6500</v>
      </c>
      <c r="F46" s="102"/>
      <c r="G46" s="101">
        <v>150</v>
      </c>
      <c r="H46" s="97">
        <f>D46+E46+G46+C46</f>
        <v>10000</v>
      </c>
      <c r="I46" s="97">
        <f>8000+2000</f>
        <v>10000</v>
      </c>
      <c r="J46" s="97">
        <f t="shared" si="0"/>
        <v>0</v>
      </c>
      <c r="K46" s="97"/>
      <c r="L46" s="97"/>
    </row>
    <row r="47" spans="1:14" ht="15.75" x14ac:dyDescent="0.25">
      <c r="A47" s="109" t="s">
        <v>427</v>
      </c>
      <c r="B47" s="94" t="s">
        <v>78</v>
      </c>
      <c r="C47" s="100">
        <v>6500</v>
      </c>
      <c r="D47" s="96">
        <f>'AUGUST 21'!J47:J112</f>
        <v>0</v>
      </c>
      <c r="E47" s="102">
        <v>6500</v>
      </c>
      <c r="F47" s="102"/>
      <c r="G47" s="101">
        <v>150</v>
      </c>
      <c r="H47" s="97">
        <f t="shared" si="1"/>
        <v>13150</v>
      </c>
      <c r="I47" s="97">
        <v>13000</v>
      </c>
      <c r="J47" s="97">
        <f t="shared" si="0"/>
        <v>150</v>
      </c>
      <c r="K47" s="97"/>
      <c r="L47" s="97">
        <v>1000</v>
      </c>
      <c r="N47" s="109"/>
    </row>
    <row r="48" spans="1:14" ht="15.75" x14ac:dyDescent="0.25">
      <c r="A48" s="109" t="s">
        <v>361</v>
      </c>
      <c r="B48" s="94" t="s">
        <v>79</v>
      </c>
      <c r="C48" s="100"/>
      <c r="D48" s="96">
        <f>'AUGUST 21'!J48:J113</f>
        <v>0</v>
      </c>
      <c r="E48" s="102">
        <v>6500</v>
      </c>
      <c r="F48" s="102"/>
      <c r="G48" s="101">
        <v>150</v>
      </c>
      <c r="H48" s="97">
        <f t="shared" si="1"/>
        <v>6650</v>
      </c>
      <c r="I48" s="97">
        <f>3325+3325</f>
        <v>6650</v>
      </c>
      <c r="J48" s="160">
        <f t="shared" si="0"/>
        <v>0</v>
      </c>
      <c r="K48" s="97"/>
      <c r="L48" s="97"/>
    </row>
    <row r="49" spans="1:14" ht="15.75" x14ac:dyDescent="0.25">
      <c r="A49" s="109" t="s">
        <v>428</v>
      </c>
      <c r="B49" s="94" t="s">
        <v>80</v>
      </c>
      <c r="C49" s="100">
        <f>3350</f>
        <v>3350</v>
      </c>
      <c r="D49" s="96">
        <f>'AUGUST 21'!J49:J114</f>
        <v>0</v>
      </c>
      <c r="E49" s="102">
        <v>6500</v>
      </c>
      <c r="F49" s="102"/>
      <c r="G49" s="101">
        <v>150</v>
      </c>
      <c r="H49" s="97">
        <f t="shared" si="1"/>
        <v>10000</v>
      </c>
      <c r="I49" s="97">
        <f>10000</f>
        <v>10000</v>
      </c>
      <c r="J49" s="97">
        <f t="shared" si="0"/>
        <v>0</v>
      </c>
      <c r="K49" s="97"/>
      <c r="L49" s="97"/>
    </row>
    <row r="50" spans="1:14" ht="15.75" x14ac:dyDescent="0.25">
      <c r="A50" s="109" t="s">
        <v>135</v>
      </c>
      <c r="B50" s="94" t="s">
        <v>81</v>
      </c>
      <c r="C50" s="100"/>
      <c r="D50" s="96">
        <f>'AUGUST 21'!J50:J115</f>
        <v>15950</v>
      </c>
      <c r="E50" s="102">
        <v>7000</v>
      </c>
      <c r="F50" s="102"/>
      <c r="G50" s="101">
        <v>150</v>
      </c>
      <c r="H50" s="97">
        <f t="shared" si="1"/>
        <v>23100</v>
      </c>
      <c r="I50" s="97"/>
      <c r="J50" s="97">
        <f t="shared" si="0"/>
        <v>23100</v>
      </c>
      <c r="K50" s="97"/>
      <c r="L50" s="97"/>
    </row>
    <row r="51" spans="1:14" ht="15.75" x14ac:dyDescent="0.25">
      <c r="A51" s="109" t="s">
        <v>138</v>
      </c>
      <c r="B51" s="94" t="s">
        <v>82</v>
      </c>
      <c r="C51" s="100"/>
      <c r="D51" s="96">
        <f>'AUGUST 21'!J51:J116</f>
        <v>0</v>
      </c>
      <c r="E51" s="102">
        <v>5500</v>
      </c>
      <c r="F51" s="102"/>
      <c r="G51" s="101">
        <v>150</v>
      </c>
      <c r="H51" s="97">
        <f t="shared" si="1"/>
        <v>5650</v>
      </c>
      <c r="I51" s="97">
        <f>5500</f>
        <v>5500</v>
      </c>
      <c r="J51" s="97">
        <f t="shared" si="0"/>
        <v>150</v>
      </c>
      <c r="K51" s="97"/>
      <c r="L51" s="97"/>
    </row>
    <row r="52" spans="1:14" ht="15.75" x14ac:dyDescent="0.25">
      <c r="A52" s="109" t="s">
        <v>492</v>
      </c>
      <c r="B52" s="94" t="s">
        <v>83</v>
      </c>
      <c r="C52" s="100">
        <v>7000</v>
      </c>
      <c r="D52" s="96">
        <f>'AUGUST 21'!J52:J117</f>
        <v>0</v>
      </c>
      <c r="E52" s="102">
        <v>3500</v>
      </c>
      <c r="F52" s="102"/>
      <c r="G52" s="101"/>
      <c r="H52" s="97">
        <f t="shared" si="1"/>
        <v>10500</v>
      </c>
      <c r="I52" s="97">
        <v>14000</v>
      </c>
      <c r="J52" s="97">
        <f>H52-I52</f>
        <v>-3500</v>
      </c>
      <c r="K52" s="97"/>
      <c r="L52" s="97">
        <v>1000</v>
      </c>
      <c r="M52" t="s">
        <v>450</v>
      </c>
    </row>
    <row r="53" spans="1:14" ht="15.75" x14ac:dyDescent="0.25">
      <c r="A53" s="109" t="s">
        <v>429</v>
      </c>
      <c r="B53" s="94" t="s">
        <v>84</v>
      </c>
      <c r="C53" s="100">
        <v>6500</v>
      </c>
      <c r="D53" s="96">
        <f>'AUGUST 21'!J53:J118</f>
        <v>0</v>
      </c>
      <c r="E53" s="102">
        <v>6500</v>
      </c>
      <c r="F53" s="102"/>
      <c r="G53" s="101">
        <v>150</v>
      </c>
      <c r="H53" s="97">
        <f t="shared" si="1"/>
        <v>13150</v>
      </c>
      <c r="I53" s="97">
        <v>13000</v>
      </c>
      <c r="J53" s="97">
        <f t="shared" si="0"/>
        <v>150</v>
      </c>
      <c r="K53" s="97"/>
      <c r="L53" s="97">
        <v>1000</v>
      </c>
      <c r="N53" s="23"/>
    </row>
    <row r="54" spans="1:14" ht="15.75" x14ac:dyDescent="0.25">
      <c r="A54" s="109" t="s">
        <v>212</v>
      </c>
      <c r="B54" s="94" t="s">
        <v>85</v>
      </c>
      <c r="C54" s="100"/>
      <c r="D54" s="96">
        <f>'AUGUST 21'!J54:J119</f>
        <v>1200</v>
      </c>
      <c r="E54" s="102">
        <v>6500</v>
      </c>
      <c r="F54" s="102"/>
      <c r="G54" s="101"/>
      <c r="H54" s="97">
        <f t="shared" si="1"/>
        <v>7700</v>
      </c>
      <c r="I54" s="97">
        <f>6500+700</f>
        <v>7200</v>
      </c>
      <c r="J54" s="97">
        <f t="shared" si="0"/>
        <v>500</v>
      </c>
      <c r="K54" s="97"/>
      <c r="L54" s="97"/>
    </row>
    <row r="55" spans="1:14" ht="15.75" x14ac:dyDescent="0.25">
      <c r="A55" s="93" t="s">
        <v>289</v>
      </c>
      <c r="B55" s="94" t="s">
        <v>86</v>
      </c>
      <c r="C55" s="100"/>
      <c r="D55" s="96">
        <f>'AUGUST 21'!J55:J120</f>
        <v>0</v>
      </c>
      <c r="E55" s="102">
        <v>6500</v>
      </c>
      <c r="F55" s="102"/>
      <c r="G55" s="101">
        <v>150</v>
      </c>
      <c r="H55" s="97">
        <f>D55+E55+F55+G55+C55</f>
        <v>6650</v>
      </c>
      <c r="I55" s="97">
        <f>6500</f>
        <v>6500</v>
      </c>
      <c r="J55" s="97">
        <f>H55-I55</f>
        <v>150</v>
      </c>
      <c r="K55" s="97"/>
      <c r="L55" s="97"/>
    </row>
    <row r="56" spans="1:14" ht="15.75" x14ac:dyDescent="0.25">
      <c r="A56" s="126" t="s">
        <v>444</v>
      </c>
      <c r="B56" s="94" t="s">
        <v>87</v>
      </c>
      <c r="C56" s="100">
        <v>6500</v>
      </c>
      <c r="D56" s="96"/>
      <c r="E56" s="102">
        <v>2383</v>
      </c>
      <c r="F56" s="102"/>
      <c r="G56" s="101"/>
      <c r="H56" s="163">
        <f>D56+E56+F56+G56+C56</f>
        <v>8883</v>
      </c>
      <c r="I56" s="97">
        <v>8883</v>
      </c>
      <c r="J56" s="163">
        <f t="shared" si="0"/>
        <v>0</v>
      </c>
      <c r="K56" s="97"/>
      <c r="L56" s="97"/>
      <c r="M56" s="1" t="s">
        <v>447</v>
      </c>
    </row>
    <row r="57" spans="1:14" ht="15.75" x14ac:dyDescent="0.25">
      <c r="A57" s="109" t="s">
        <v>405</v>
      </c>
      <c r="B57" s="94" t="s">
        <v>88</v>
      </c>
      <c r="C57" s="100"/>
      <c r="D57" s="96">
        <f>'AUGUST 21'!J57:J122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v>6500</v>
      </c>
      <c r="J57" s="97">
        <f t="shared" si="0"/>
        <v>150</v>
      </c>
      <c r="K57" s="97"/>
      <c r="L57" s="97"/>
    </row>
    <row r="58" spans="1:14" ht="15.75" x14ac:dyDescent="0.25">
      <c r="A58" s="109" t="s">
        <v>110</v>
      </c>
      <c r="B58" s="94" t="s">
        <v>89</v>
      </c>
      <c r="C58" s="100"/>
      <c r="D58" s="96">
        <f>'AUGUST 21'!J58:J123</f>
        <v>8500</v>
      </c>
      <c r="E58" s="102">
        <v>7000</v>
      </c>
      <c r="F58" s="102"/>
      <c r="G58" s="101">
        <v>150</v>
      </c>
      <c r="H58" s="97">
        <f t="shared" si="1"/>
        <v>15650</v>
      </c>
      <c r="I58" s="97">
        <f>7150</f>
        <v>7150</v>
      </c>
      <c r="J58" s="97">
        <f t="shared" si="0"/>
        <v>8500</v>
      </c>
      <c r="K58" s="97"/>
      <c r="L58" s="97"/>
    </row>
    <row r="59" spans="1:14" ht="15.75" x14ac:dyDescent="0.25">
      <c r="A59" s="114" t="s">
        <v>17</v>
      </c>
      <c r="B59" s="94" t="s">
        <v>90</v>
      </c>
      <c r="C59" s="100"/>
      <c r="D59" s="96">
        <f>'AUGUST 21'!J59:J124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4" ht="15.75" x14ac:dyDescent="0.25">
      <c r="A60" s="114" t="s">
        <v>17</v>
      </c>
      <c r="B60" s="94" t="s">
        <v>91</v>
      </c>
      <c r="C60" s="100"/>
      <c r="D60" s="96">
        <f>'AUGUST 21'!J60:J125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4" ht="15.75" x14ac:dyDescent="0.25">
      <c r="A61" s="126" t="s">
        <v>17</v>
      </c>
      <c r="B61" s="94" t="s">
        <v>92</v>
      </c>
      <c r="C61" s="100"/>
      <c r="D61" s="96">
        <f>'AUGUST 21'!J61:J126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4" ht="15.75" x14ac:dyDescent="0.25">
      <c r="A62" s="93" t="s">
        <v>331</v>
      </c>
      <c r="B62" s="94" t="s">
        <v>93</v>
      </c>
      <c r="C62" s="100"/>
      <c r="D62" s="96">
        <f>'AUGUST 21'!J62:J127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4" ht="15.75" x14ac:dyDescent="0.25">
      <c r="A63" s="114" t="s">
        <v>17</v>
      </c>
      <c r="B63" s="94" t="s">
        <v>94</v>
      </c>
      <c r="C63" s="100"/>
      <c r="D63" s="96">
        <f>'AUGUST 21'!J63:J128</f>
        <v>0</v>
      </c>
      <c r="E63" s="102"/>
      <c r="F63" s="102"/>
      <c r="G63" s="101"/>
      <c r="H63" s="97">
        <v>7000</v>
      </c>
      <c r="I63" s="97">
        <v>7000</v>
      </c>
      <c r="J63" s="97">
        <f t="shared" si="0"/>
        <v>0</v>
      </c>
      <c r="K63" s="97"/>
      <c r="L63" s="97"/>
    </row>
    <row r="64" spans="1:14" ht="15.75" x14ac:dyDescent="0.25">
      <c r="A64" s="126" t="s">
        <v>445</v>
      </c>
      <c r="B64" s="94" t="s">
        <v>95</v>
      </c>
      <c r="C64" s="100">
        <v>5500</v>
      </c>
      <c r="D64" s="96">
        <f>'AUGUST 21'!J64:J129</f>
        <v>0</v>
      </c>
      <c r="E64" s="102">
        <v>2000</v>
      </c>
      <c r="F64" s="102"/>
      <c r="G64" s="101"/>
      <c r="H64" s="97">
        <f t="shared" si="1"/>
        <v>7500</v>
      </c>
      <c r="I64" s="97">
        <v>7500</v>
      </c>
      <c r="J64" s="97">
        <f t="shared" si="0"/>
        <v>0</v>
      </c>
      <c r="K64" s="97"/>
      <c r="L64" s="97">
        <v>1000</v>
      </c>
      <c r="M64" s="1" t="s">
        <v>446</v>
      </c>
    </row>
    <row r="65" spans="1:14" ht="15.75" x14ac:dyDescent="0.25">
      <c r="A65" s="109" t="s">
        <v>204</v>
      </c>
      <c r="B65" s="94" t="s">
        <v>96</v>
      </c>
      <c r="C65" s="100"/>
      <c r="D65" s="96">
        <f>'AUGUST 21'!J65:J130</f>
        <v>2000</v>
      </c>
      <c r="E65" s="102">
        <v>7000</v>
      </c>
      <c r="F65" s="102"/>
      <c r="G65" s="101"/>
      <c r="H65" s="97">
        <f t="shared" si="1"/>
        <v>9000</v>
      </c>
      <c r="I65" s="97">
        <f>7000</f>
        <v>7000</v>
      </c>
      <c r="J65" s="97">
        <f>H65-I65</f>
        <v>2000</v>
      </c>
      <c r="K65" s="97"/>
      <c r="L65" s="97"/>
    </row>
    <row r="66" spans="1:14" ht="15.75" x14ac:dyDescent="0.25">
      <c r="A66" s="126" t="s">
        <v>433</v>
      </c>
      <c r="B66" s="94" t="s">
        <v>97</v>
      </c>
      <c r="C66" s="100">
        <v>6500</v>
      </c>
      <c r="D66" s="96">
        <f>'AUGUST 21'!J66:J131</f>
        <v>0</v>
      </c>
      <c r="E66" s="102">
        <v>3250</v>
      </c>
      <c r="F66" s="102"/>
      <c r="G66" s="101"/>
      <c r="H66" s="97">
        <f t="shared" si="1"/>
        <v>9750</v>
      </c>
      <c r="I66" s="97">
        <v>9850</v>
      </c>
      <c r="J66" s="97">
        <f t="shared" si="0"/>
        <v>-100</v>
      </c>
      <c r="K66" s="97"/>
      <c r="L66" s="97"/>
      <c r="M66" s="1" t="s">
        <v>450</v>
      </c>
    </row>
    <row r="67" spans="1:14" ht="15.75" x14ac:dyDescent="0.25">
      <c r="A67" s="109" t="s">
        <v>354</v>
      </c>
      <c r="B67" s="94" t="s">
        <v>98</v>
      </c>
      <c r="C67" s="100"/>
      <c r="D67" s="96">
        <f>'AUGUST 21'!J67:J132</f>
        <v>50</v>
      </c>
      <c r="E67" s="102">
        <v>6500</v>
      </c>
      <c r="F67" s="102"/>
      <c r="G67" s="101">
        <v>150</v>
      </c>
      <c r="H67" s="97">
        <f t="shared" si="1"/>
        <v>6700</v>
      </c>
      <c r="I67" s="97">
        <v>5850</v>
      </c>
      <c r="J67" s="97">
        <f t="shared" si="0"/>
        <v>850</v>
      </c>
      <c r="K67" s="97"/>
      <c r="L67" s="97"/>
    </row>
    <row r="68" spans="1:14" ht="15.75" x14ac:dyDescent="0.25">
      <c r="A68" s="109" t="s">
        <v>115</v>
      </c>
      <c r="B68" s="94" t="s">
        <v>99</v>
      </c>
      <c r="C68" s="100"/>
      <c r="D68" s="96">
        <f>'AUGUST 21'!J68:J133</f>
        <v>4750</v>
      </c>
      <c r="E68" s="102">
        <v>6500</v>
      </c>
      <c r="F68" s="102"/>
      <c r="G68" s="101">
        <v>150</v>
      </c>
      <c r="H68" s="97">
        <f t="shared" si="1"/>
        <v>11400</v>
      </c>
      <c r="I68" s="97">
        <f>6550+4850</f>
        <v>11400</v>
      </c>
      <c r="J68" s="97">
        <f>H68-I68</f>
        <v>0</v>
      </c>
      <c r="K68" s="97"/>
      <c r="L68" s="97"/>
    </row>
    <row r="69" spans="1:14" ht="15.75" x14ac:dyDescent="0.25">
      <c r="A69" s="109" t="s">
        <v>423</v>
      </c>
      <c r="B69" s="94" t="s">
        <v>100</v>
      </c>
      <c r="C69" s="100">
        <v>6500</v>
      </c>
      <c r="D69" s="96"/>
      <c r="E69" s="102">
        <v>6500</v>
      </c>
      <c r="F69" s="102"/>
      <c r="G69" s="101"/>
      <c r="H69" s="97">
        <f t="shared" si="1"/>
        <v>13000</v>
      </c>
      <c r="I69" s="97">
        <v>13000</v>
      </c>
      <c r="J69" s="97">
        <f>H69-I69</f>
        <v>0</v>
      </c>
      <c r="K69" s="97"/>
      <c r="L69" s="97"/>
      <c r="N69">
        <f>5500+5000</f>
        <v>10500</v>
      </c>
    </row>
    <row r="70" spans="1:14" ht="15.75" x14ac:dyDescent="0.25">
      <c r="A70" s="109" t="s">
        <v>116</v>
      </c>
      <c r="B70" s="94" t="s">
        <v>101</v>
      </c>
      <c r="C70" s="100"/>
      <c r="D70" s="96">
        <f>'AUGUST 21'!J70:J135</f>
        <v>850</v>
      </c>
      <c r="E70" s="102">
        <v>7000</v>
      </c>
      <c r="F70" s="102"/>
      <c r="G70" s="101">
        <v>150</v>
      </c>
      <c r="H70" s="97">
        <f t="shared" si="1"/>
        <v>8000</v>
      </c>
      <c r="I70" s="97">
        <v>8000</v>
      </c>
      <c r="J70" s="97">
        <f>H70-I70</f>
        <v>0</v>
      </c>
      <c r="K70" s="97"/>
      <c r="L70" s="97"/>
      <c r="N70">
        <f>N69-5500</f>
        <v>5000</v>
      </c>
    </row>
    <row r="71" spans="1:14" ht="15.75" x14ac:dyDescent="0.25">
      <c r="A71" s="115" t="s">
        <v>28</v>
      </c>
      <c r="B71" s="109"/>
      <c r="C71" s="100">
        <f>SUM(C6:C70)</f>
        <v>89850</v>
      </c>
      <c r="D71" s="96">
        <f>SUM(D6:D70)</f>
        <v>53300</v>
      </c>
      <c r="E71" s="116">
        <f>SUM(E6:E70)</f>
        <v>378300</v>
      </c>
      <c r="F71" s="147">
        <f t="shared" ref="F71:L71" si="2">SUM(F6:F70)</f>
        <v>0</v>
      </c>
      <c r="G71" s="148">
        <f>SUM(G6:G70)</f>
        <v>6300</v>
      </c>
      <c r="H71" s="97">
        <f>SUM(H6:H70)</f>
        <v>534750</v>
      </c>
      <c r="I71" s="97">
        <f t="shared" si="2"/>
        <v>464450</v>
      </c>
      <c r="J71" s="97">
        <f>SUM(J6:J70)</f>
        <v>70300</v>
      </c>
      <c r="K71" s="97">
        <f t="shared" si="2"/>
        <v>0</v>
      </c>
      <c r="L71" s="97">
        <f t="shared" si="2"/>
        <v>7000</v>
      </c>
      <c r="N71" s="185">
        <f>N70-2000</f>
        <v>3000</v>
      </c>
    </row>
    <row r="72" spans="1:14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4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4" ht="15.75" x14ac:dyDescent="0.25">
      <c r="A74" s="109" t="s">
        <v>36</v>
      </c>
      <c r="B74" s="124">
        <f>E71</f>
        <v>378300</v>
      </c>
      <c r="C74" s="109"/>
      <c r="D74" s="109"/>
      <c r="E74" s="109"/>
      <c r="F74" s="109" t="s">
        <v>36</v>
      </c>
      <c r="G74" s="109"/>
      <c r="H74" s="125">
        <f>I71</f>
        <v>464450</v>
      </c>
      <c r="I74" s="109"/>
      <c r="J74" s="109"/>
      <c r="K74" s="109"/>
      <c r="L74" s="126"/>
    </row>
    <row r="75" spans="1:14" ht="15.75" x14ac:dyDescent="0.25">
      <c r="A75" s="109" t="s">
        <v>37</v>
      </c>
      <c r="B75" s="124">
        <f>'AUGUST 21'!D99</f>
        <v>135634.18999999994</v>
      </c>
      <c r="C75" s="109"/>
      <c r="D75" s="109"/>
      <c r="E75" s="109"/>
      <c r="F75" s="109" t="s">
        <v>37</v>
      </c>
      <c r="G75" s="109"/>
      <c r="H75" s="124">
        <f>'AUGUST 21'!J99</f>
        <v>17704.189999999944</v>
      </c>
      <c r="I75" s="109"/>
      <c r="J75" s="109"/>
      <c r="K75" s="109"/>
      <c r="L75" s="126"/>
    </row>
    <row r="76" spans="1:14" ht="15.75" x14ac:dyDescent="0.25">
      <c r="A76" s="109" t="s">
        <v>38</v>
      </c>
      <c r="B76" s="124">
        <f>C71</f>
        <v>89850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4" ht="15.75" x14ac:dyDescent="0.25">
      <c r="A77" s="109" t="s">
        <v>7</v>
      </c>
      <c r="B77" s="124">
        <f>F71</f>
        <v>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4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4" ht="15.75" x14ac:dyDescent="0.25">
      <c r="A79" s="109" t="s">
        <v>40</v>
      </c>
      <c r="B79" s="125">
        <f>L71</f>
        <v>7000</v>
      </c>
      <c r="C79" s="109"/>
      <c r="D79" s="109"/>
      <c r="E79" s="109"/>
      <c r="F79" s="109" t="s">
        <v>40</v>
      </c>
      <c r="G79" s="109"/>
      <c r="H79" s="125">
        <f>L71</f>
        <v>7000</v>
      </c>
      <c r="I79" s="109"/>
      <c r="J79" s="109"/>
      <c r="K79" s="109"/>
      <c r="L79" s="126"/>
    </row>
    <row r="80" spans="1:14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4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4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4" ht="15.75" x14ac:dyDescent="0.25">
      <c r="A83" s="131" t="s">
        <v>43</v>
      </c>
      <c r="B83" s="132">
        <v>7.0000000000000007E-2</v>
      </c>
      <c r="C83" s="133">
        <f>B83*E71</f>
        <v>26481.000000000004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26481.000000000004</v>
      </c>
      <c r="J83" s="109"/>
      <c r="K83" s="109"/>
      <c r="L83" s="126"/>
    </row>
    <row r="84" spans="1:14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4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6300</v>
      </c>
      <c r="J85" s="88"/>
      <c r="K85" s="125"/>
      <c r="L85" s="136"/>
    </row>
    <row r="86" spans="1:14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4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N87" s="23"/>
    </row>
    <row r="88" spans="1:14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4" ht="15.75" x14ac:dyDescent="0.25">
      <c r="A89" s="134" t="s">
        <v>434</v>
      </c>
      <c r="B89" s="132"/>
      <c r="C89" s="93">
        <v>3500</v>
      </c>
      <c r="D89" s="109"/>
      <c r="E89" s="109"/>
      <c r="F89" s="134" t="s">
        <v>434</v>
      </c>
      <c r="G89" s="132"/>
      <c r="H89" s="93"/>
      <c r="I89" s="93">
        <v>3500</v>
      </c>
      <c r="J89" s="109"/>
      <c r="K89" s="109"/>
      <c r="L89" s="126"/>
    </row>
    <row r="90" spans="1:14" ht="15.75" x14ac:dyDescent="0.25">
      <c r="A90" s="134" t="s">
        <v>435</v>
      </c>
      <c r="B90" s="132"/>
      <c r="C90" s="93">
        <v>3000</v>
      </c>
      <c r="D90" s="109"/>
      <c r="E90" s="109"/>
      <c r="F90" s="134" t="s">
        <v>435</v>
      </c>
      <c r="G90" s="132"/>
      <c r="H90" s="93"/>
      <c r="I90" s="93">
        <v>3000</v>
      </c>
      <c r="J90" s="109"/>
      <c r="K90" s="109"/>
      <c r="L90" s="126"/>
    </row>
    <row r="91" spans="1:14" ht="15.75" x14ac:dyDescent="0.25">
      <c r="A91" s="134" t="s">
        <v>440</v>
      </c>
      <c r="B91" s="132"/>
      <c r="C91" s="93">
        <v>3500</v>
      </c>
      <c r="D91" s="109"/>
      <c r="E91" s="109"/>
      <c r="F91" s="134" t="s">
        <v>436</v>
      </c>
      <c r="G91" s="132"/>
      <c r="H91" s="93"/>
      <c r="I91" s="93">
        <v>3500</v>
      </c>
      <c r="J91" s="109"/>
      <c r="K91" s="109"/>
      <c r="L91" s="126"/>
    </row>
    <row r="92" spans="1:14" ht="15.75" x14ac:dyDescent="0.25">
      <c r="A92" s="134" t="s">
        <v>441</v>
      </c>
      <c r="B92" s="132"/>
      <c r="C92" s="93">
        <f>10000+2000</f>
        <v>12000</v>
      </c>
      <c r="D92" s="109"/>
      <c r="E92" s="109"/>
      <c r="F92" s="134" t="s">
        <v>441</v>
      </c>
      <c r="G92" s="132"/>
      <c r="H92" s="93"/>
      <c r="I92" s="93">
        <v>12000</v>
      </c>
      <c r="J92" s="109"/>
      <c r="K92" s="109"/>
      <c r="L92" s="126"/>
    </row>
    <row r="93" spans="1:14" ht="15.75" x14ac:dyDescent="0.25">
      <c r="A93" s="134" t="s">
        <v>452</v>
      </c>
      <c r="B93" s="132"/>
      <c r="C93" s="125">
        <f>5500+2300</f>
        <v>7800</v>
      </c>
      <c r="D93" s="109"/>
      <c r="E93" s="109"/>
      <c r="F93" s="134" t="s">
        <v>443</v>
      </c>
      <c r="G93" s="132"/>
      <c r="H93" s="125"/>
      <c r="I93" s="125">
        <f>5500+2300</f>
        <v>7800</v>
      </c>
      <c r="J93" s="109"/>
      <c r="K93" s="109"/>
      <c r="L93" s="126"/>
    </row>
    <row r="94" spans="1:14" ht="15.75" x14ac:dyDescent="0.25">
      <c r="A94" s="134" t="s">
        <v>453</v>
      </c>
      <c r="B94" s="132"/>
      <c r="C94" s="125">
        <v>1500</v>
      </c>
      <c r="D94" s="109"/>
      <c r="E94" s="109"/>
      <c r="F94" s="134" t="s">
        <v>453</v>
      </c>
      <c r="G94" s="132"/>
      <c r="H94" s="125"/>
      <c r="I94" s="125">
        <v>1500</v>
      </c>
      <c r="J94" s="109"/>
      <c r="K94" s="109"/>
      <c r="L94" s="126"/>
    </row>
    <row r="95" spans="1:14" ht="15.75" x14ac:dyDescent="0.25">
      <c r="A95" s="134" t="s">
        <v>451</v>
      </c>
      <c r="B95" s="132"/>
      <c r="C95" s="125">
        <v>1000</v>
      </c>
      <c r="D95" s="109"/>
      <c r="E95" s="109"/>
      <c r="F95" s="134" t="s">
        <v>451</v>
      </c>
      <c r="G95" s="132"/>
      <c r="H95" s="125"/>
      <c r="I95" s="125">
        <v>1000</v>
      </c>
      <c r="J95" s="109"/>
      <c r="K95" s="109"/>
      <c r="L95" s="126"/>
    </row>
    <row r="96" spans="1:14" ht="15.75" x14ac:dyDescent="0.25">
      <c r="A96" s="134" t="s">
        <v>454</v>
      </c>
      <c r="B96" s="132"/>
      <c r="C96" s="125">
        <v>350000</v>
      </c>
      <c r="D96" s="109"/>
      <c r="E96" s="109"/>
      <c r="F96" s="134" t="s">
        <v>454</v>
      </c>
      <c r="G96" s="132"/>
      <c r="H96" s="125"/>
      <c r="I96" s="125">
        <v>350000</v>
      </c>
      <c r="J96" s="109"/>
      <c r="K96" s="109"/>
      <c r="L96" s="126"/>
    </row>
    <row r="97" spans="1:12" ht="15.75" x14ac:dyDescent="0.25">
      <c r="A97" s="134" t="s">
        <v>455</v>
      </c>
      <c r="B97" s="132"/>
      <c r="C97" s="93">
        <v>42000</v>
      </c>
      <c r="D97" s="109"/>
      <c r="E97" s="109"/>
      <c r="F97" s="134" t="s">
        <v>455</v>
      </c>
      <c r="G97" s="132"/>
      <c r="H97" s="93"/>
      <c r="I97" s="93">
        <v>42000</v>
      </c>
      <c r="J97" s="109"/>
      <c r="K97" s="109"/>
      <c r="L97" s="126"/>
    </row>
    <row r="98" spans="1:12" ht="15.75" x14ac:dyDescent="0.25">
      <c r="A98" s="134" t="s">
        <v>460</v>
      </c>
      <c r="B98" s="132"/>
      <c r="C98" s="93">
        <f>11800</f>
        <v>11800</v>
      </c>
      <c r="D98" s="109"/>
      <c r="E98" s="109"/>
      <c r="F98" s="134"/>
      <c r="G98" s="132"/>
      <c r="H98" s="93"/>
      <c r="I98" s="93"/>
      <c r="J98" s="109"/>
      <c r="K98" s="109"/>
      <c r="L98" s="126"/>
    </row>
    <row r="99" spans="1:12" ht="15.75" x14ac:dyDescent="0.25">
      <c r="A99" s="134" t="s">
        <v>458</v>
      </c>
      <c r="B99" s="132"/>
      <c r="C99" s="125">
        <v>7150</v>
      </c>
      <c r="D99" s="109"/>
      <c r="E99" s="109"/>
      <c r="F99" s="134"/>
      <c r="G99" s="132"/>
      <c r="H99" s="125"/>
      <c r="I99" s="125"/>
      <c r="J99" s="109"/>
      <c r="K99" s="109"/>
      <c r="L99" s="126"/>
    </row>
    <row r="100" spans="1:12" ht="15.75" x14ac:dyDescent="0.25">
      <c r="A100" s="115" t="s">
        <v>29</v>
      </c>
      <c r="B100" s="139">
        <f>B74+B75+B76+B77+B78+B79+B81+B80</f>
        <v>610784.18999999994</v>
      </c>
      <c r="C100" s="139">
        <f>SUM(C83:C99)</f>
        <v>486731</v>
      </c>
      <c r="D100" s="139">
        <f>B100-C100</f>
        <v>124053.18999999994</v>
      </c>
      <c r="E100" s="139"/>
      <c r="F100" s="115"/>
      <c r="G100" s="115"/>
      <c r="H100" s="139">
        <f>H74+H75+H77+H79+H80</f>
        <v>489154.18999999994</v>
      </c>
      <c r="I100" s="139">
        <f>SUM(I83:I99)</f>
        <v>474081</v>
      </c>
      <c r="J100" s="139">
        <f>H100-I100</f>
        <v>15073.189999999944</v>
      </c>
      <c r="K100" s="139"/>
      <c r="L100" s="140"/>
    </row>
    <row r="101" spans="1:12" ht="15.75" x14ac:dyDescent="0.25">
      <c r="A101" s="141" t="s">
        <v>44</v>
      </c>
      <c r="B101" s="142"/>
      <c r="C101" s="142" t="s">
        <v>45</v>
      </c>
      <c r="D101" s="138"/>
      <c r="E101" s="138"/>
      <c r="F101" s="141"/>
      <c r="G101" s="141"/>
      <c r="H101" s="141" t="s">
        <v>46</v>
      </c>
      <c r="I101" s="143">
        <f>I100-I85</f>
        <v>467781</v>
      </c>
      <c r="J101" s="87"/>
      <c r="K101" s="87"/>
      <c r="L101" s="86"/>
    </row>
    <row r="102" spans="1:12" ht="15.75" x14ac:dyDescent="0.25">
      <c r="A102" s="87" t="s">
        <v>47</v>
      </c>
      <c r="B102" s="87"/>
      <c r="C102" s="87" t="s">
        <v>48</v>
      </c>
      <c r="D102" s="105"/>
      <c r="E102" s="87"/>
      <c r="F102" s="87"/>
      <c r="G102" s="87"/>
      <c r="H102" s="87" t="s">
        <v>118</v>
      </c>
      <c r="I102" s="113">
        <f>I100-I83</f>
        <v>447600</v>
      </c>
      <c r="J102" s="87"/>
      <c r="K102" s="105"/>
      <c r="L102" s="86"/>
    </row>
    <row r="103" spans="1:12" x14ac:dyDescent="0.25">
      <c r="J103" s="43"/>
    </row>
    <row r="104" spans="1:12" x14ac:dyDescent="0.25">
      <c r="J104" s="43"/>
    </row>
    <row r="105" spans="1:12" x14ac:dyDescent="0.25">
      <c r="I105" s="43"/>
      <c r="J105" s="43"/>
      <c r="K105" s="183"/>
    </row>
    <row r="106" spans="1:12" x14ac:dyDescent="0.25">
      <c r="J106" s="43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40" zoomScale="76" zoomScaleNormal="76" workbookViewId="0">
      <selection activeCell="A62" sqref="A62:XFD62"/>
    </sheetView>
  </sheetViews>
  <sheetFormatPr defaultRowHeight="15" x14ac:dyDescent="0.25"/>
  <cols>
    <col min="1" max="1" width="24.85546875" customWidth="1"/>
    <col min="3" max="3" width="12" customWidth="1"/>
    <col min="4" max="4" width="15.140625" customWidth="1"/>
    <col min="5" max="5" width="12.42578125" customWidth="1"/>
    <col min="6" max="6" width="14.7109375" customWidth="1"/>
    <col min="7" max="7" width="11.85546875" customWidth="1"/>
    <col min="8" max="8" width="13" customWidth="1"/>
    <col min="9" max="9" width="15.42578125" customWidth="1"/>
    <col min="10" max="10" width="14" customWidth="1"/>
    <col min="11" max="11" width="14.85546875" customWidth="1"/>
  </cols>
  <sheetData>
    <row r="1" spans="1:12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>
        <f>7500-2167</f>
        <v>5333</v>
      </c>
      <c r="J2" s="87"/>
      <c r="K2" s="87"/>
      <c r="L2" s="87"/>
    </row>
    <row r="3" spans="1:12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2" ht="15.75" x14ac:dyDescent="0.25">
      <c r="A4" s="3"/>
      <c r="B4" s="88"/>
      <c r="C4" s="88"/>
      <c r="D4" s="3" t="s">
        <v>456</v>
      </c>
      <c r="E4" s="3"/>
      <c r="F4" s="88"/>
      <c r="G4" s="3"/>
      <c r="H4" s="7"/>
      <c r="I4" s="7"/>
      <c r="J4" s="7"/>
      <c r="K4" s="7"/>
      <c r="L4" s="7"/>
    </row>
    <row r="5" spans="1:12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2" ht="15.75" x14ac:dyDescent="0.25">
      <c r="A6" s="93" t="s">
        <v>433</v>
      </c>
      <c r="B6" s="94" t="s">
        <v>14</v>
      </c>
      <c r="C6" s="95"/>
      <c r="D6" s="96"/>
      <c r="E6" s="97">
        <v>6500</v>
      </c>
      <c r="F6" s="98"/>
      <c r="G6" s="97"/>
      <c r="H6" s="97">
        <f>D6+E6+F6+G6+C6</f>
        <v>6500</v>
      </c>
      <c r="I6" s="97">
        <v>6500</v>
      </c>
      <c r="J6" s="97">
        <f t="shared" ref="J6:J67" si="0">H6-I6</f>
        <v>0</v>
      </c>
      <c r="K6" s="97"/>
      <c r="L6" s="97"/>
    </row>
    <row r="7" spans="1:12" ht="15.75" x14ac:dyDescent="0.25">
      <c r="A7" s="99" t="s">
        <v>411</v>
      </c>
      <c r="B7" s="94" t="s">
        <v>15</v>
      </c>
      <c r="C7" s="100"/>
      <c r="D7" s="96">
        <f>'SEPTEMBER 21'!J7:J72</f>
        <v>150</v>
      </c>
      <c r="E7" s="101">
        <v>6500</v>
      </c>
      <c r="F7" s="102"/>
      <c r="G7" s="101">
        <v>150</v>
      </c>
      <c r="H7" s="97">
        <f>D7+E7+F7+G7+C7</f>
        <v>6800</v>
      </c>
      <c r="I7" s="97">
        <f>6000+500</f>
        <v>6500</v>
      </c>
      <c r="J7" s="97">
        <f>H7-I7</f>
        <v>300</v>
      </c>
      <c r="K7" s="97"/>
      <c r="L7" s="97"/>
    </row>
    <row r="8" spans="1:12" ht="15.75" x14ac:dyDescent="0.25">
      <c r="A8" s="99" t="s">
        <v>448</v>
      </c>
      <c r="B8" s="94" t="s">
        <v>16</v>
      </c>
      <c r="C8" s="100"/>
      <c r="D8" s="96">
        <f>'SEPTEMBER 21'!J8:J73</f>
        <v>0</v>
      </c>
      <c r="E8" s="101">
        <v>6500</v>
      </c>
      <c r="F8" s="102"/>
      <c r="G8" s="101"/>
      <c r="H8" s="97">
        <f t="shared" ref="H8:H70" si="1">D8+E8+F8+G8+C8</f>
        <v>6500</v>
      </c>
      <c r="I8" s="97">
        <f>5333</f>
        <v>5333</v>
      </c>
      <c r="J8" s="160">
        <f t="shared" si="0"/>
        <v>1167</v>
      </c>
      <c r="K8" s="97"/>
      <c r="L8" s="97"/>
    </row>
    <row r="9" spans="1:12" ht="15.75" x14ac:dyDescent="0.25">
      <c r="A9" s="99" t="s">
        <v>422</v>
      </c>
      <c r="B9" s="94" t="s">
        <v>18</v>
      </c>
      <c r="C9" s="100"/>
      <c r="D9" s="96">
        <f>'SEPTEMBER 21'!J9:J74</f>
        <v>150</v>
      </c>
      <c r="E9" s="96">
        <v>6500</v>
      </c>
      <c r="F9" s="103"/>
      <c r="G9" s="101">
        <v>150</v>
      </c>
      <c r="H9" s="97">
        <f t="shared" si="1"/>
        <v>6800</v>
      </c>
      <c r="I9" s="97">
        <v>6650</v>
      </c>
      <c r="J9" s="97">
        <f t="shared" si="0"/>
        <v>150</v>
      </c>
      <c r="K9" s="97"/>
      <c r="L9" s="97"/>
    </row>
    <row r="10" spans="1:12" ht="15.75" x14ac:dyDescent="0.25">
      <c r="A10" s="99" t="s">
        <v>424</v>
      </c>
      <c r="B10" s="94" t="s">
        <v>19</v>
      </c>
      <c r="C10" s="100"/>
      <c r="D10" s="96">
        <f>'SEPTEMBER 21'!J10:J75</f>
        <v>0</v>
      </c>
      <c r="E10" s="101">
        <v>6500</v>
      </c>
      <c r="F10" s="102"/>
      <c r="G10" s="101">
        <v>150</v>
      </c>
      <c r="H10" s="97">
        <f t="shared" si="1"/>
        <v>6650</v>
      </c>
      <c r="I10" s="97">
        <v>6650</v>
      </c>
      <c r="J10" s="97">
        <f t="shared" si="0"/>
        <v>0</v>
      </c>
      <c r="K10" s="97"/>
      <c r="L10" s="97"/>
    </row>
    <row r="11" spans="1:12" ht="15.75" x14ac:dyDescent="0.25">
      <c r="A11" s="104" t="s">
        <v>437</v>
      </c>
      <c r="B11" s="94" t="s">
        <v>20</v>
      </c>
      <c r="C11" s="100"/>
      <c r="D11" s="96">
        <f>'SEPTEMBER 21'!J11:J76</f>
        <v>0</v>
      </c>
      <c r="E11" s="101">
        <v>7000</v>
      </c>
      <c r="F11" s="102"/>
      <c r="G11" s="101"/>
      <c r="H11" s="97">
        <f t="shared" si="1"/>
        <v>7000</v>
      </c>
      <c r="I11" s="97">
        <v>7000</v>
      </c>
      <c r="J11" s="97">
        <f t="shared" si="0"/>
        <v>0</v>
      </c>
      <c r="K11" s="97"/>
      <c r="L11" s="97"/>
    </row>
    <row r="12" spans="1:12" ht="15.75" x14ac:dyDescent="0.25">
      <c r="A12" s="109" t="s">
        <v>293</v>
      </c>
      <c r="B12" s="94" t="s">
        <v>21</v>
      </c>
      <c r="C12" s="100"/>
      <c r="D12" s="96">
        <f>'SEPTEMBER 21'!J12:J77</f>
        <v>3650</v>
      </c>
      <c r="E12" s="101">
        <v>5500</v>
      </c>
      <c r="F12" s="88"/>
      <c r="G12" s="101">
        <v>150</v>
      </c>
      <c r="H12" s="97">
        <f t="shared" si="1"/>
        <v>9300</v>
      </c>
      <c r="I12" s="97">
        <f>4000</f>
        <v>4000</v>
      </c>
      <c r="J12" s="97">
        <f t="shared" si="0"/>
        <v>5300</v>
      </c>
      <c r="K12" s="97"/>
      <c r="L12" s="97"/>
    </row>
    <row r="13" spans="1:12" ht="15.75" x14ac:dyDescent="0.25">
      <c r="A13" s="107" t="s">
        <v>445</v>
      </c>
      <c r="B13" s="94" t="s">
        <v>22</v>
      </c>
      <c r="C13" s="100"/>
      <c r="D13" s="96">
        <f>'SEPTEMBER 21'!J13:J78</f>
        <v>3950</v>
      </c>
      <c r="E13" s="101">
        <v>7000</v>
      </c>
      <c r="F13" s="108"/>
      <c r="G13" s="101">
        <v>150</v>
      </c>
      <c r="H13" s="97">
        <f t="shared" si="1"/>
        <v>11100</v>
      </c>
      <c r="I13" s="97">
        <f>7650</f>
        <v>7650</v>
      </c>
      <c r="J13" s="97">
        <f t="shared" si="0"/>
        <v>3450</v>
      </c>
      <c r="K13" s="97"/>
      <c r="L13" s="97"/>
    </row>
    <row r="14" spans="1:12" ht="15.75" x14ac:dyDescent="0.25">
      <c r="A14" s="109" t="s">
        <v>459</v>
      </c>
      <c r="B14" s="94" t="s">
        <v>23</v>
      </c>
      <c r="C14" s="100">
        <v>6500</v>
      </c>
      <c r="D14" s="96">
        <f>'SEPTEMBER 21'!J14:J79</f>
        <v>0</v>
      </c>
      <c r="E14" s="101">
        <v>6500</v>
      </c>
      <c r="F14" s="102"/>
      <c r="G14" s="101"/>
      <c r="H14" s="97">
        <f t="shared" si="1"/>
        <v>13000</v>
      </c>
      <c r="I14" s="97">
        <v>13000</v>
      </c>
      <c r="J14" s="97">
        <f t="shared" si="0"/>
        <v>0</v>
      </c>
      <c r="K14" s="97"/>
      <c r="L14" s="97">
        <v>1000</v>
      </c>
    </row>
    <row r="15" spans="1:12" ht="15.75" x14ac:dyDescent="0.25">
      <c r="A15" s="109" t="s">
        <v>439</v>
      </c>
      <c r="B15" s="94" t="s">
        <v>24</v>
      </c>
      <c r="C15" s="100"/>
      <c r="D15" s="96">
        <f>'SEPTEMBER 21'!J15:J80</f>
        <v>0</v>
      </c>
      <c r="E15" s="101">
        <v>6500</v>
      </c>
      <c r="F15" s="102"/>
      <c r="G15" s="101">
        <v>150</v>
      </c>
      <c r="H15" s="97">
        <f t="shared" si="1"/>
        <v>6650</v>
      </c>
      <c r="I15" s="97">
        <v>6500</v>
      </c>
      <c r="J15" s="97">
        <f>H15-I15</f>
        <v>150</v>
      </c>
      <c r="K15" s="97"/>
      <c r="L15" s="97"/>
    </row>
    <row r="16" spans="1:12" ht="15.75" x14ac:dyDescent="0.25">
      <c r="A16" s="99" t="s">
        <v>461</v>
      </c>
      <c r="B16" s="94" t="s">
        <v>25</v>
      </c>
      <c r="C16" s="100">
        <v>6500</v>
      </c>
      <c r="D16" s="96"/>
      <c r="E16" s="101">
        <v>6500</v>
      </c>
      <c r="F16" s="102"/>
      <c r="G16" s="101"/>
      <c r="H16" s="97">
        <f t="shared" si="1"/>
        <v>13000</v>
      </c>
      <c r="I16" s="97">
        <v>13000</v>
      </c>
      <c r="J16" s="97">
        <f t="shared" si="0"/>
        <v>0</v>
      </c>
      <c r="K16" s="97"/>
      <c r="L16" s="97">
        <v>1000</v>
      </c>
    </row>
    <row r="17" spans="1:12" ht="15.75" x14ac:dyDescent="0.25">
      <c r="A17" s="93" t="s">
        <v>133</v>
      </c>
      <c r="B17" s="94" t="s">
        <v>26</v>
      </c>
      <c r="C17" s="100"/>
      <c r="D17" s="96">
        <f>'SEPTEMBER 21'!J17:J82</f>
        <v>2650</v>
      </c>
      <c r="E17" s="101">
        <v>6500</v>
      </c>
      <c r="F17" s="102"/>
      <c r="G17" s="101">
        <v>150</v>
      </c>
      <c r="H17" s="97">
        <f t="shared" si="1"/>
        <v>9300</v>
      </c>
      <c r="I17" s="97">
        <v>9300</v>
      </c>
      <c r="J17" s="97">
        <f t="shared" si="0"/>
        <v>0</v>
      </c>
      <c r="K17" s="97"/>
      <c r="L17" s="97"/>
    </row>
    <row r="18" spans="1:12" ht="15.75" x14ac:dyDescent="0.25">
      <c r="A18" s="109" t="s">
        <v>217</v>
      </c>
      <c r="B18" s="94" t="s">
        <v>27</v>
      </c>
      <c r="C18" s="95"/>
      <c r="D18" s="96">
        <f>'SEPTEMBER 21'!J18:J83</f>
        <v>150</v>
      </c>
      <c r="E18" s="101">
        <v>6500</v>
      </c>
      <c r="F18" s="102"/>
      <c r="G18" s="101">
        <v>150</v>
      </c>
      <c r="H18" s="97">
        <f t="shared" si="1"/>
        <v>6800</v>
      </c>
      <c r="I18" s="97">
        <f>6500</f>
        <v>6500</v>
      </c>
      <c r="J18" s="97">
        <f>H18-I18</f>
        <v>300</v>
      </c>
      <c r="K18" s="97"/>
      <c r="L18" s="97"/>
    </row>
    <row r="19" spans="1:12" ht="15.75" x14ac:dyDescent="0.25">
      <c r="A19" s="109" t="s">
        <v>374</v>
      </c>
      <c r="B19" s="94" t="s">
        <v>50</v>
      </c>
      <c r="C19" s="100"/>
      <c r="D19" s="96">
        <f>'SEPTEMBER 21'!J19:J84</f>
        <v>200</v>
      </c>
      <c r="E19" s="101">
        <v>6500</v>
      </c>
      <c r="F19" s="102"/>
      <c r="G19" s="101">
        <v>150</v>
      </c>
      <c r="H19" s="97">
        <f t="shared" si="1"/>
        <v>6850</v>
      </c>
      <c r="I19" s="97">
        <v>6700</v>
      </c>
      <c r="J19" s="97">
        <f t="shared" si="0"/>
        <v>150</v>
      </c>
      <c r="K19" s="97"/>
      <c r="L19" s="97"/>
    </row>
    <row r="20" spans="1:12" ht="15.75" x14ac:dyDescent="0.25">
      <c r="A20" s="99" t="s">
        <v>260</v>
      </c>
      <c r="B20" s="94" t="s">
        <v>51</v>
      </c>
      <c r="C20" s="100"/>
      <c r="D20" s="96">
        <f>'SEPTEMBER 21'!J20:J85</f>
        <v>-800</v>
      </c>
      <c r="E20" s="101">
        <v>6500</v>
      </c>
      <c r="F20" s="102"/>
      <c r="G20" s="101">
        <v>150</v>
      </c>
      <c r="H20" s="97">
        <f t="shared" si="1"/>
        <v>5850</v>
      </c>
      <c r="I20" s="97">
        <v>5850</v>
      </c>
      <c r="J20" s="97">
        <f t="shared" si="0"/>
        <v>0</v>
      </c>
      <c r="K20" s="97"/>
      <c r="L20" s="97"/>
    </row>
    <row r="21" spans="1:12" ht="15.75" x14ac:dyDescent="0.25">
      <c r="A21" s="109" t="s">
        <v>431</v>
      </c>
      <c r="B21" s="94" t="s">
        <v>52</v>
      </c>
      <c r="C21" s="100"/>
      <c r="D21" s="96">
        <f>'SEPTEMBER 21'!J21:J86</f>
        <v>0</v>
      </c>
      <c r="E21" s="101">
        <v>6500</v>
      </c>
      <c r="F21" s="102"/>
      <c r="G21" s="101">
        <v>150</v>
      </c>
      <c r="H21" s="97">
        <f t="shared" si="1"/>
        <v>6650</v>
      </c>
      <c r="I21" s="97">
        <v>6500</v>
      </c>
      <c r="J21" s="97">
        <f t="shared" si="0"/>
        <v>150</v>
      </c>
      <c r="K21" s="97"/>
      <c r="L21" s="97"/>
    </row>
    <row r="22" spans="1:12" ht="15.75" x14ac:dyDescent="0.25">
      <c r="A22" s="109" t="s">
        <v>375</v>
      </c>
      <c r="B22" s="94" t="s">
        <v>53</v>
      </c>
      <c r="C22" s="100"/>
      <c r="D22" s="96">
        <f>'SEPTEMBER 21'!J22:J87</f>
        <v>0</v>
      </c>
      <c r="E22" s="101">
        <v>6500</v>
      </c>
      <c r="F22" s="102"/>
      <c r="G22" s="101">
        <v>150</v>
      </c>
      <c r="H22" s="97">
        <f t="shared" si="1"/>
        <v>6650</v>
      </c>
      <c r="I22" s="97">
        <v>6500</v>
      </c>
      <c r="J22" s="97">
        <f t="shared" si="0"/>
        <v>150</v>
      </c>
      <c r="K22" s="97"/>
      <c r="L22" s="97"/>
    </row>
    <row r="23" spans="1:12" ht="15.75" x14ac:dyDescent="0.25">
      <c r="A23" s="99" t="s">
        <v>425</v>
      </c>
      <c r="B23" s="94" t="s">
        <v>54</v>
      </c>
      <c r="C23" s="100"/>
      <c r="D23" s="96">
        <f>'SEPTEMBER 21'!J23:J88</f>
        <v>0</v>
      </c>
      <c r="E23" s="101">
        <v>6500</v>
      </c>
      <c r="F23" s="102"/>
      <c r="G23" s="101"/>
      <c r="H23" s="97">
        <f t="shared" si="1"/>
        <v>6500</v>
      </c>
      <c r="I23" s="97">
        <f>2500+2000</f>
        <v>4500</v>
      </c>
      <c r="J23" s="97">
        <f t="shared" si="0"/>
        <v>2000</v>
      </c>
      <c r="K23" s="97"/>
      <c r="L23" s="97"/>
    </row>
    <row r="24" spans="1:12" ht="15.75" x14ac:dyDescent="0.25">
      <c r="A24" s="109" t="s">
        <v>417</v>
      </c>
      <c r="B24" s="94" t="s">
        <v>55</v>
      </c>
      <c r="C24" s="100"/>
      <c r="D24" s="96">
        <f>'SEPTEMBER 21'!J24:J89</f>
        <v>0</v>
      </c>
      <c r="E24" s="101">
        <v>7000</v>
      </c>
      <c r="F24" s="102"/>
      <c r="G24" s="101">
        <v>150</v>
      </c>
      <c r="H24" s="97">
        <f t="shared" si="1"/>
        <v>7150</v>
      </c>
      <c r="I24" s="97">
        <v>7150</v>
      </c>
      <c r="J24" s="97">
        <f t="shared" si="0"/>
        <v>0</v>
      </c>
      <c r="K24" s="97"/>
      <c r="L24" s="97"/>
    </row>
    <row r="25" spans="1:12" ht="15.75" x14ac:dyDescent="0.25">
      <c r="A25" s="109" t="s">
        <v>155</v>
      </c>
      <c r="B25" s="94" t="s">
        <v>56</v>
      </c>
      <c r="C25" s="100"/>
      <c r="D25" s="96">
        <f>'SEPTEMBER 21'!J25:J90</f>
        <v>450</v>
      </c>
      <c r="E25" s="101">
        <v>5500</v>
      </c>
      <c r="F25" s="102"/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2" ht="15.75" x14ac:dyDescent="0.25">
      <c r="A26" s="109" t="s">
        <v>130</v>
      </c>
      <c r="B26" s="94" t="s">
        <v>57</v>
      </c>
      <c r="C26" s="100"/>
      <c r="D26" s="96">
        <f>'SEPTEMBER 21'!J26:J91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v>7150</v>
      </c>
      <c r="J26" s="97">
        <f t="shared" si="0"/>
        <v>0</v>
      </c>
      <c r="K26" s="97"/>
      <c r="L26" s="97"/>
    </row>
    <row r="27" spans="1:12" ht="15.75" x14ac:dyDescent="0.25">
      <c r="A27" s="109" t="s">
        <v>132</v>
      </c>
      <c r="B27" s="94" t="s">
        <v>58</v>
      </c>
      <c r="C27" s="100"/>
      <c r="D27" s="96">
        <f>'SEPTEMBER 21'!J27:J92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f>6650</f>
        <v>6650</v>
      </c>
      <c r="J27" s="97">
        <f t="shared" si="0"/>
        <v>0</v>
      </c>
      <c r="K27" s="97"/>
      <c r="L27" s="97"/>
    </row>
    <row r="28" spans="1:12" ht="15.75" x14ac:dyDescent="0.25">
      <c r="A28" s="109" t="s">
        <v>235</v>
      </c>
      <c r="B28" s="94" t="s">
        <v>59</v>
      </c>
      <c r="C28" s="100"/>
      <c r="D28" s="96">
        <f>'SEPTEMBER 21'!J28:J93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v>6550</v>
      </c>
      <c r="J28" s="97">
        <f>H28-I28</f>
        <v>100</v>
      </c>
      <c r="K28" s="97"/>
      <c r="L28" s="97"/>
    </row>
    <row r="29" spans="1:12" ht="15.75" x14ac:dyDescent="0.25">
      <c r="A29" s="114" t="s">
        <v>17</v>
      </c>
      <c r="B29" s="94" t="s">
        <v>60</v>
      </c>
      <c r="C29" s="100"/>
      <c r="D29" s="96">
        <f>'SEPTEMBER 21'!J29:J94</f>
        <v>0</v>
      </c>
      <c r="E29" s="101"/>
      <c r="F29" s="102"/>
      <c r="G29" s="101"/>
      <c r="H29" s="97">
        <f t="shared" si="1"/>
        <v>0</v>
      </c>
      <c r="I29" s="97"/>
      <c r="J29" s="97">
        <f>H29-I29</f>
        <v>0</v>
      </c>
      <c r="K29" s="97"/>
      <c r="L29" s="97"/>
    </row>
    <row r="30" spans="1:12" ht="15.75" x14ac:dyDescent="0.25">
      <c r="A30" s="109" t="s">
        <v>241</v>
      </c>
      <c r="B30" s="94" t="s">
        <v>61</v>
      </c>
      <c r="C30" s="100"/>
      <c r="D30" s="96">
        <f>'SEPTEMBER 21'!J30:J95</f>
        <v>0</v>
      </c>
      <c r="E30" s="101">
        <v>6500</v>
      </c>
      <c r="F30" s="102"/>
      <c r="G30" s="101">
        <v>150</v>
      </c>
      <c r="H30" s="97">
        <f t="shared" si="1"/>
        <v>6650</v>
      </c>
      <c r="I30" s="97">
        <v>6650</v>
      </c>
      <c r="J30" s="97">
        <f t="shared" si="0"/>
        <v>0</v>
      </c>
      <c r="K30" s="97"/>
      <c r="L30" s="97"/>
    </row>
    <row r="31" spans="1:12" ht="15.75" x14ac:dyDescent="0.25">
      <c r="A31" s="109" t="s">
        <v>106</v>
      </c>
      <c r="B31" s="94" t="s">
        <v>62</v>
      </c>
      <c r="C31" s="95"/>
      <c r="D31" s="96">
        <f>'SEPTEMBER 21'!J31:J96</f>
        <v>0</v>
      </c>
      <c r="E31" s="101">
        <v>6500</v>
      </c>
      <c r="F31" s="102"/>
      <c r="G31" s="101">
        <v>150</v>
      </c>
      <c r="H31" s="97">
        <f t="shared" si="1"/>
        <v>6650</v>
      </c>
      <c r="I31" s="97">
        <v>6650</v>
      </c>
      <c r="J31" s="97">
        <f t="shared" si="0"/>
        <v>0</v>
      </c>
      <c r="K31" s="97"/>
      <c r="L31" s="97"/>
    </row>
    <row r="32" spans="1:12" ht="15.75" x14ac:dyDescent="0.25">
      <c r="A32" s="109" t="s">
        <v>181</v>
      </c>
      <c r="B32" s="94" t="s">
        <v>63</v>
      </c>
      <c r="C32" s="100"/>
      <c r="D32" s="96">
        <f>'SEPTEMBER 21'!J32:J97</f>
        <v>3750</v>
      </c>
      <c r="E32" s="101">
        <v>6500</v>
      </c>
      <c r="F32" s="102"/>
      <c r="G32" s="101"/>
      <c r="H32" s="97">
        <f t="shared" si="1"/>
        <v>10250</v>
      </c>
      <c r="I32" s="97">
        <f>6500</f>
        <v>6500</v>
      </c>
      <c r="J32" s="97">
        <f t="shared" si="0"/>
        <v>3750</v>
      </c>
      <c r="K32" s="97"/>
      <c r="L32" s="97"/>
    </row>
    <row r="33" spans="1:12" ht="15.75" x14ac:dyDescent="0.25">
      <c r="A33" s="109" t="s">
        <v>171</v>
      </c>
      <c r="B33" s="94" t="s">
        <v>64</v>
      </c>
      <c r="C33" s="100"/>
      <c r="D33" s="96">
        <f>'SEPTEMBER 21'!J33:J99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v>6650</v>
      </c>
      <c r="J33" s="97">
        <f t="shared" si="0"/>
        <v>0</v>
      </c>
      <c r="K33" s="97"/>
      <c r="L33" s="97"/>
    </row>
    <row r="34" spans="1:12" ht="15.75" x14ac:dyDescent="0.25">
      <c r="A34" s="109" t="s">
        <v>288</v>
      </c>
      <c r="B34" s="94" t="s">
        <v>65</v>
      </c>
      <c r="C34" s="100"/>
      <c r="D34" s="96">
        <f>'SEPTEMBER 21'!J34:J100</f>
        <v>150</v>
      </c>
      <c r="E34" s="102">
        <v>6500</v>
      </c>
      <c r="F34" s="102"/>
      <c r="G34" s="101">
        <v>150</v>
      </c>
      <c r="H34" s="97">
        <f t="shared" si="1"/>
        <v>6800</v>
      </c>
      <c r="I34" s="97">
        <v>6650</v>
      </c>
      <c r="J34" s="97">
        <f t="shared" si="0"/>
        <v>150</v>
      </c>
      <c r="K34" s="97"/>
      <c r="L34" s="97"/>
    </row>
    <row r="35" spans="1:12" ht="15.75" x14ac:dyDescent="0.25">
      <c r="A35" s="109" t="s">
        <v>356</v>
      </c>
      <c r="B35" s="94" t="s">
        <v>66</v>
      </c>
      <c r="C35" s="95"/>
      <c r="D35" s="96">
        <f>'SEPTEMBER 21'!J35:J101</f>
        <v>0</v>
      </c>
      <c r="E35" s="102">
        <v>6500</v>
      </c>
      <c r="F35" s="102"/>
      <c r="G35" s="101">
        <v>150</v>
      </c>
      <c r="H35" s="97">
        <f t="shared" si="1"/>
        <v>6650</v>
      </c>
      <c r="I35" s="97">
        <v>6650</v>
      </c>
      <c r="J35" s="160">
        <f t="shared" si="0"/>
        <v>0</v>
      </c>
      <c r="K35" s="160"/>
      <c r="L35" s="160"/>
    </row>
    <row r="36" spans="1:12" ht="15.75" x14ac:dyDescent="0.25">
      <c r="A36" s="109" t="s">
        <v>426</v>
      </c>
      <c r="B36" s="94" t="s">
        <v>67</v>
      </c>
      <c r="C36" s="100"/>
      <c r="D36" s="96">
        <f>'SEPTEMBER 21'!J36:J102</f>
        <v>150</v>
      </c>
      <c r="E36" s="102">
        <v>6500</v>
      </c>
      <c r="F36" s="102"/>
      <c r="G36" s="101">
        <v>150</v>
      </c>
      <c r="H36" s="97">
        <f t="shared" si="1"/>
        <v>6800</v>
      </c>
      <c r="I36" s="97">
        <v>6800</v>
      </c>
      <c r="J36" s="97">
        <f t="shared" si="0"/>
        <v>0</v>
      </c>
      <c r="K36" s="97"/>
      <c r="L36" s="97"/>
    </row>
    <row r="37" spans="1:12" ht="15.75" x14ac:dyDescent="0.25">
      <c r="A37" s="109" t="s">
        <v>432</v>
      </c>
      <c r="B37" s="94" t="s">
        <v>68</v>
      </c>
      <c r="C37" s="100"/>
      <c r="D37" s="96">
        <f>'SEPTEMBER 21'!J37:J103</f>
        <v>0</v>
      </c>
      <c r="E37" s="102">
        <v>7000</v>
      </c>
      <c r="F37" s="102"/>
      <c r="G37" s="101"/>
      <c r="H37" s="97">
        <f t="shared" si="1"/>
        <v>7000</v>
      </c>
      <c r="I37" s="97">
        <v>7000</v>
      </c>
      <c r="J37" s="97">
        <f t="shared" si="0"/>
        <v>0</v>
      </c>
      <c r="L37" s="97"/>
    </row>
    <row r="38" spans="1:12" ht="15.75" x14ac:dyDescent="0.25">
      <c r="A38" s="109" t="s">
        <v>280</v>
      </c>
      <c r="B38" s="94" t="s">
        <v>69</v>
      </c>
      <c r="C38" s="100"/>
      <c r="D38" s="96">
        <f>'SEPTEMBER 21'!J38:J104</f>
        <v>150</v>
      </c>
      <c r="E38" s="102">
        <v>5500</v>
      </c>
      <c r="F38" s="102"/>
      <c r="G38" s="101"/>
      <c r="H38" s="97">
        <f t="shared" si="1"/>
        <v>5650</v>
      </c>
      <c r="I38" s="97">
        <v>5650</v>
      </c>
      <c r="J38" s="97">
        <f t="shared" si="0"/>
        <v>0</v>
      </c>
      <c r="K38" s="97"/>
      <c r="L38" s="97"/>
    </row>
    <row r="39" spans="1:12" ht="15.75" x14ac:dyDescent="0.25">
      <c r="A39" s="109" t="s">
        <v>125</v>
      </c>
      <c r="B39" s="94" t="s">
        <v>70</v>
      </c>
      <c r="C39" s="100"/>
      <c r="D39" s="96">
        <f>'SEPTEMBER 21'!J39:J105</f>
        <v>0</v>
      </c>
      <c r="E39" s="102">
        <v>7000</v>
      </c>
      <c r="F39" s="102"/>
      <c r="G39" s="101">
        <v>150</v>
      </c>
      <c r="H39" s="97">
        <f t="shared" si="1"/>
        <v>7150</v>
      </c>
      <c r="I39" s="97">
        <f>7000</f>
        <v>7000</v>
      </c>
      <c r="J39" s="97">
        <f t="shared" si="0"/>
        <v>150</v>
      </c>
      <c r="K39" s="97"/>
      <c r="L39" s="97"/>
    </row>
    <row r="40" spans="1:12" ht="15.75" x14ac:dyDescent="0.25">
      <c r="A40" s="109" t="s">
        <v>351</v>
      </c>
      <c r="B40" s="167" t="s">
        <v>71</v>
      </c>
      <c r="C40" s="168"/>
      <c r="D40" s="96">
        <f>'SEPTEMBER 21'!J40:J106</f>
        <v>150</v>
      </c>
      <c r="E40" s="102">
        <v>6500</v>
      </c>
      <c r="F40" s="102"/>
      <c r="G40" s="101">
        <v>150</v>
      </c>
      <c r="H40" s="97">
        <f t="shared" si="1"/>
        <v>6800</v>
      </c>
      <c r="I40" s="97">
        <v>6650</v>
      </c>
      <c r="J40" s="97">
        <f t="shared" si="0"/>
        <v>150</v>
      </c>
      <c r="K40" s="160"/>
      <c r="L40" s="160"/>
    </row>
    <row r="41" spans="1:12" ht="15.75" x14ac:dyDescent="0.25">
      <c r="A41" s="109" t="s">
        <v>127</v>
      </c>
      <c r="B41" s="94" t="s">
        <v>72</v>
      </c>
      <c r="C41" s="100"/>
      <c r="D41" s="96">
        <f>'SEPTEMBER 21'!J41:J107</f>
        <v>150</v>
      </c>
      <c r="E41" s="102">
        <v>6500</v>
      </c>
      <c r="F41" s="102"/>
      <c r="G41" s="101">
        <v>150</v>
      </c>
      <c r="H41" s="97">
        <f t="shared" si="1"/>
        <v>6800</v>
      </c>
      <c r="I41" s="97">
        <v>6800</v>
      </c>
      <c r="J41" s="97">
        <f>H41-I41</f>
        <v>0</v>
      </c>
      <c r="K41" s="97"/>
      <c r="L41" s="97"/>
    </row>
    <row r="42" spans="1:12" ht="15.75" x14ac:dyDescent="0.25">
      <c r="A42" s="109" t="s">
        <v>124</v>
      </c>
      <c r="B42" s="94" t="s">
        <v>73</v>
      </c>
      <c r="C42" s="100"/>
      <c r="D42" s="96">
        <f>'SEPTEMBER 21'!J42:J108</f>
        <v>150</v>
      </c>
      <c r="E42" s="102">
        <v>6500</v>
      </c>
      <c r="F42" s="102"/>
      <c r="G42" s="101">
        <v>150</v>
      </c>
      <c r="H42" s="97">
        <f t="shared" si="1"/>
        <v>6800</v>
      </c>
      <c r="I42" s="97">
        <v>6800</v>
      </c>
      <c r="J42" s="97">
        <f t="shared" si="0"/>
        <v>0</v>
      </c>
      <c r="K42" s="97"/>
      <c r="L42" s="97"/>
    </row>
    <row r="43" spans="1:12" ht="15.75" x14ac:dyDescent="0.25">
      <c r="A43" s="109" t="s">
        <v>353</v>
      </c>
      <c r="B43" s="94" t="s">
        <v>74</v>
      </c>
      <c r="C43" s="100"/>
      <c r="D43" s="96">
        <f>'SEPTEMBER 21'!J43:J109</f>
        <v>3750</v>
      </c>
      <c r="E43" s="102">
        <v>6500</v>
      </c>
      <c r="F43" s="102"/>
      <c r="G43" s="101">
        <v>150</v>
      </c>
      <c r="H43" s="97">
        <f>D43+E43+F43+G43+C43</f>
        <v>10400</v>
      </c>
      <c r="I43" s="97">
        <f>4000+2000+3000</f>
        <v>9000</v>
      </c>
      <c r="J43" s="97">
        <f t="shared" si="0"/>
        <v>1400</v>
      </c>
      <c r="K43" s="97"/>
      <c r="L43" s="97"/>
    </row>
    <row r="44" spans="1:12" ht="15.75" x14ac:dyDescent="0.25">
      <c r="A44" s="109" t="s">
        <v>270</v>
      </c>
      <c r="B44" s="94" t="s">
        <v>75</v>
      </c>
      <c r="C44" s="100"/>
      <c r="D44" s="96">
        <f>'SEPTEMBER 21'!J44:J110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6500</f>
        <v>6500</v>
      </c>
      <c r="J44" s="97">
        <f t="shared" si="0"/>
        <v>150</v>
      </c>
      <c r="K44" s="97"/>
      <c r="L44" s="97"/>
    </row>
    <row r="45" spans="1:12" ht="15.75" x14ac:dyDescent="0.25">
      <c r="A45" s="109" t="s">
        <v>307</v>
      </c>
      <c r="B45" s="94" t="s">
        <v>76</v>
      </c>
      <c r="C45" s="100"/>
      <c r="D45" s="96">
        <f>'SEPTEMBER 21'!J45:J111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1000+5500</f>
        <v>6500</v>
      </c>
      <c r="J45" s="97">
        <f t="shared" si="0"/>
        <v>150</v>
      </c>
      <c r="K45" s="97"/>
      <c r="L45" s="97"/>
    </row>
    <row r="46" spans="1:12" ht="15.75" x14ac:dyDescent="0.25">
      <c r="A46" s="109" t="s">
        <v>430</v>
      </c>
      <c r="B46" s="94" t="s">
        <v>77</v>
      </c>
      <c r="C46" s="100"/>
      <c r="D46" s="96">
        <f>'SEPTEMBER 21'!J46:J112</f>
        <v>0</v>
      </c>
      <c r="E46" s="102">
        <v>6500</v>
      </c>
      <c r="F46" s="102"/>
      <c r="G46" s="101">
        <v>150</v>
      </c>
      <c r="H46" s="97">
        <f>D46+E46+G46+C46</f>
        <v>6650</v>
      </c>
      <c r="I46" s="97">
        <f>1500+3000</f>
        <v>4500</v>
      </c>
      <c r="J46" s="97">
        <f t="shared" si="0"/>
        <v>2150</v>
      </c>
      <c r="K46" s="97"/>
      <c r="L46" s="97"/>
    </row>
    <row r="47" spans="1:12" ht="15.75" x14ac:dyDescent="0.25">
      <c r="A47" s="109" t="s">
        <v>427</v>
      </c>
      <c r="B47" s="94" t="s">
        <v>78</v>
      </c>
      <c r="C47" s="100"/>
      <c r="D47" s="96">
        <f>'SEPTEMBER 21'!J47:J113</f>
        <v>150</v>
      </c>
      <c r="E47" s="102">
        <v>6500</v>
      </c>
      <c r="F47" s="102"/>
      <c r="G47" s="101">
        <v>150</v>
      </c>
      <c r="H47" s="97">
        <f t="shared" si="1"/>
        <v>6800</v>
      </c>
      <c r="I47" s="97">
        <v>6650</v>
      </c>
      <c r="J47" s="97">
        <f t="shared" si="0"/>
        <v>150</v>
      </c>
      <c r="K47" s="97"/>
      <c r="L47" s="97"/>
    </row>
    <row r="48" spans="1:12" ht="15.75" x14ac:dyDescent="0.25">
      <c r="A48" s="109" t="s">
        <v>361</v>
      </c>
      <c r="B48" s="94" t="s">
        <v>79</v>
      </c>
      <c r="C48" s="100"/>
      <c r="D48" s="96">
        <f>'SEPTEMBER 21'!J48:J114</f>
        <v>0</v>
      </c>
      <c r="E48" s="102">
        <v>6500</v>
      </c>
      <c r="F48" s="102"/>
      <c r="G48" s="101">
        <v>150</v>
      </c>
      <c r="H48" s="97">
        <f t="shared" si="1"/>
        <v>6650</v>
      </c>
      <c r="I48" s="97">
        <v>6650</v>
      </c>
      <c r="J48" s="160">
        <f t="shared" si="0"/>
        <v>0</v>
      </c>
      <c r="K48" s="97"/>
      <c r="L48" s="97"/>
    </row>
    <row r="49" spans="1:12" ht="15.75" x14ac:dyDescent="0.25">
      <c r="A49" s="109" t="s">
        <v>428</v>
      </c>
      <c r="B49" s="94" t="s">
        <v>80</v>
      </c>
      <c r="C49" s="100"/>
      <c r="D49" s="96">
        <f>'SEPTEMBER 21'!J49:J115</f>
        <v>0</v>
      </c>
      <c r="E49" s="102">
        <v>6500</v>
      </c>
      <c r="F49" s="102"/>
      <c r="G49" s="101">
        <v>150</v>
      </c>
      <c r="H49" s="97">
        <f t="shared" si="1"/>
        <v>6650</v>
      </c>
      <c r="I49" s="97">
        <v>6500</v>
      </c>
      <c r="J49" s="97">
        <f t="shared" si="0"/>
        <v>150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'SEPTEMBER 21'!J50:J116</f>
        <v>23100</v>
      </c>
      <c r="E50" s="102">
        <v>7000</v>
      </c>
      <c r="F50" s="102"/>
      <c r="G50" s="101"/>
      <c r="H50" s="97">
        <f t="shared" si="1"/>
        <v>30100</v>
      </c>
      <c r="I50" s="97">
        <v>10000</v>
      </c>
      <c r="J50" s="97">
        <f t="shared" si="0"/>
        <v>20100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'SEPTEMBER 21'!J51:J117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5500</f>
        <v>5500</v>
      </c>
      <c r="J51" s="97">
        <f t="shared" si="0"/>
        <v>300</v>
      </c>
      <c r="K51" s="97"/>
      <c r="L51" s="97"/>
    </row>
    <row r="52" spans="1:12" ht="15.75" x14ac:dyDescent="0.25">
      <c r="A52" s="109" t="s">
        <v>438</v>
      </c>
      <c r="B52" s="94" t="s">
        <v>83</v>
      </c>
      <c r="C52" s="100"/>
      <c r="D52" s="96">
        <f>'SEPTEMBER 21'!J52:J118</f>
        <v>-3500</v>
      </c>
      <c r="E52" s="102">
        <v>6500</v>
      </c>
      <c r="F52" s="102"/>
      <c r="G52" s="101"/>
      <c r="H52" s="97">
        <f t="shared" si="1"/>
        <v>3000</v>
      </c>
      <c r="I52" s="97"/>
      <c r="J52" s="97">
        <f>H52-I52</f>
        <v>3000</v>
      </c>
      <c r="K52" s="97"/>
      <c r="L52" s="97"/>
    </row>
    <row r="53" spans="1:12" ht="15.75" x14ac:dyDescent="0.25">
      <c r="A53" s="109" t="s">
        <v>429</v>
      </c>
      <c r="B53" s="94" t="s">
        <v>84</v>
      </c>
      <c r="C53" s="100"/>
      <c r="D53" s="96">
        <f>'SEPTEMBER 21'!J53:J119</f>
        <v>150</v>
      </c>
      <c r="E53" s="102">
        <v>6500</v>
      </c>
      <c r="F53" s="102"/>
      <c r="G53" s="101">
        <v>150</v>
      </c>
      <c r="H53" s="97">
        <f t="shared" si="1"/>
        <v>6800</v>
      </c>
      <c r="I53" s="97">
        <f>4000</f>
        <v>4000</v>
      </c>
      <c r="J53" s="97">
        <f t="shared" si="0"/>
        <v>2800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'SEPTEMBER 21'!J54:J120</f>
        <v>500</v>
      </c>
      <c r="E54" s="102">
        <v>6500</v>
      </c>
      <c r="F54" s="102"/>
      <c r="G54" s="101"/>
      <c r="H54" s="97">
        <f t="shared" si="1"/>
        <v>7000</v>
      </c>
      <c r="I54" s="97">
        <v>6650</v>
      </c>
      <c r="J54" s="97">
        <f t="shared" si="0"/>
        <v>350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'SEPTEMBER 21'!J55:J121</f>
        <v>150</v>
      </c>
      <c r="E55" s="102">
        <v>6500</v>
      </c>
      <c r="F55" s="102"/>
      <c r="G55" s="101">
        <v>150</v>
      </c>
      <c r="H55" s="97">
        <f>D55+E55+F55+G55+C55</f>
        <v>6800</v>
      </c>
      <c r="I55" s="97">
        <v>6500</v>
      </c>
      <c r="J55" s="97">
        <f>H55-I55</f>
        <v>300</v>
      </c>
      <c r="K55" s="97"/>
      <c r="L55" s="97"/>
    </row>
    <row r="56" spans="1:12" ht="15.75" x14ac:dyDescent="0.25">
      <c r="A56" s="114" t="s">
        <v>469</v>
      </c>
      <c r="B56" s="94" t="s">
        <v>87</v>
      </c>
      <c r="C56" s="100"/>
      <c r="D56" s="96">
        <f>'SEPTEMBER 21'!J56:J122</f>
        <v>0</v>
      </c>
      <c r="E56" s="102"/>
      <c r="F56" s="102"/>
      <c r="G56" s="101"/>
      <c r="H56" s="163">
        <f>D56+E56+F56+G56+C56</f>
        <v>0</v>
      </c>
      <c r="I56" s="191"/>
      <c r="J56" s="163">
        <f t="shared" si="0"/>
        <v>0</v>
      </c>
      <c r="K56" s="97"/>
      <c r="L56" s="97"/>
    </row>
    <row r="57" spans="1:12" ht="15.75" x14ac:dyDescent="0.25">
      <c r="A57" s="109" t="s">
        <v>405</v>
      </c>
      <c r="B57" s="94" t="s">
        <v>88</v>
      </c>
      <c r="C57" s="100"/>
      <c r="D57" s="96">
        <f>'SEPTEMBER 21'!J57:J123</f>
        <v>150</v>
      </c>
      <c r="E57" s="102">
        <v>6500</v>
      </c>
      <c r="F57" s="102"/>
      <c r="G57" s="101">
        <v>150</v>
      </c>
      <c r="H57" s="97">
        <f t="shared" si="1"/>
        <v>6800</v>
      </c>
      <c r="I57" s="97">
        <v>6650</v>
      </c>
      <c r="J57" s="97">
        <f t="shared" si="0"/>
        <v>150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'SEPTEMBER 21'!J58:J124</f>
        <v>8500</v>
      </c>
      <c r="E58" s="102">
        <v>7000</v>
      </c>
      <c r="F58" s="102"/>
      <c r="G58" s="101">
        <v>150</v>
      </c>
      <c r="H58" s="97">
        <f t="shared" si="1"/>
        <v>15650</v>
      </c>
      <c r="I58" s="97">
        <f>5150</f>
        <v>5150</v>
      </c>
      <c r="J58" s="97">
        <f t="shared" si="0"/>
        <v>10500</v>
      </c>
      <c r="K58" s="97"/>
      <c r="L58" s="97"/>
    </row>
    <row r="59" spans="1:12" ht="15.75" x14ac:dyDescent="0.25">
      <c r="A59" s="114" t="s">
        <v>17</v>
      </c>
      <c r="B59" s="94" t="s">
        <v>90</v>
      </c>
      <c r="C59" s="100"/>
      <c r="D59" s="96">
        <f>'SEPTEMBER 21'!J59:J125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'SEPTEMBER 21'!J60:J126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'SEPTEMBER 21'!J61:J127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'SEPTEMBER 21'!J62:J128</f>
        <v>300</v>
      </c>
      <c r="E62" s="102">
        <v>6500</v>
      </c>
      <c r="F62" s="102"/>
      <c r="G62" s="101"/>
      <c r="H62" s="97">
        <f t="shared" si="1"/>
        <v>6800</v>
      </c>
      <c r="I62" s="97"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'SEPTEMBER 21'!J63:J129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09" t="s">
        <v>464</v>
      </c>
      <c r="B64" s="94" t="s">
        <v>95</v>
      </c>
      <c r="C64" s="100"/>
      <c r="D64" s="96">
        <f>'SEPTEMBER 21'!J64:J130</f>
        <v>0</v>
      </c>
      <c r="E64" s="102">
        <v>5500</v>
      </c>
      <c r="F64" s="102"/>
      <c r="G64" s="101"/>
      <c r="H64" s="97">
        <f t="shared" si="1"/>
        <v>5500</v>
      </c>
      <c r="I64" s="97">
        <v>5500</v>
      </c>
      <c r="J64" s="97">
        <f t="shared" si="0"/>
        <v>0</v>
      </c>
      <c r="K64" s="97"/>
      <c r="L64" s="97"/>
    </row>
    <row r="65" spans="1:12" ht="15.75" x14ac:dyDescent="0.25">
      <c r="A65" s="109" t="s">
        <v>204</v>
      </c>
      <c r="B65" s="94" t="s">
        <v>96</v>
      </c>
      <c r="C65" s="100"/>
      <c r="D65" s="96">
        <f>'SEPTEMBER 21'!J65:J131</f>
        <v>2000</v>
      </c>
      <c r="E65" s="102">
        <v>7000</v>
      </c>
      <c r="F65" s="102"/>
      <c r="G65" s="101"/>
      <c r="H65" s="97">
        <f t="shared" si="1"/>
        <v>9000</v>
      </c>
      <c r="I65" s="97">
        <f>4000+5000</f>
        <v>9000</v>
      </c>
      <c r="J65" s="97">
        <f>H65-I65</f>
        <v>0</v>
      </c>
      <c r="K65" s="97"/>
      <c r="L65" s="97"/>
    </row>
    <row r="66" spans="1:12" ht="15.75" x14ac:dyDescent="0.25">
      <c r="A66" s="109" t="s">
        <v>462</v>
      </c>
      <c r="B66" s="94" t="s">
        <v>97</v>
      </c>
      <c r="C66" s="100">
        <v>6500</v>
      </c>
      <c r="D66" s="96"/>
      <c r="E66" s="102">
        <v>6500</v>
      </c>
      <c r="F66" s="102"/>
      <c r="G66" s="101"/>
      <c r="H66" s="97">
        <f t="shared" si="1"/>
        <v>13000</v>
      </c>
      <c r="I66" s="97">
        <v>13000</v>
      </c>
      <c r="J66" s="97">
        <f t="shared" si="0"/>
        <v>0</v>
      </c>
      <c r="K66" s="97"/>
      <c r="L66" s="97">
        <v>1000</v>
      </c>
    </row>
    <row r="67" spans="1:12" ht="15.75" x14ac:dyDescent="0.25">
      <c r="A67" s="109" t="s">
        <v>354</v>
      </c>
      <c r="B67" s="94" t="s">
        <v>98</v>
      </c>
      <c r="C67" s="100"/>
      <c r="D67" s="96">
        <f>'SEPTEMBER 21'!J67:J133</f>
        <v>850</v>
      </c>
      <c r="E67" s="102">
        <v>6500</v>
      </c>
      <c r="F67" s="102"/>
      <c r="G67" s="101">
        <v>150</v>
      </c>
      <c r="H67" s="97">
        <f t="shared" si="1"/>
        <v>7500</v>
      </c>
      <c r="I67" s="97">
        <v>6350</v>
      </c>
      <c r="J67" s="97">
        <f t="shared" si="0"/>
        <v>1150</v>
      </c>
      <c r="K67" s="97"/>
      <c r="L67" s="97"/>
    </row>
    <row r="68" spans="1:12" ht="15.75" x14ac:dyDescent="0.25">
      <c r="A68" s="109" t="s">
        <v>115</v>
      </c>
      <c r="B68" s="94" t="s">
        <v>99</v>
      </c>
      <c r="C68" s="100"/>
      <c r="D68" s="96">
        <f>'SEPTEMBER 21'!J68:J134</f>
        <v>0</v>
      </c>
      <c r="E68" s="102">
        <v>6500</v>
      </c>
      <c r="F68" s="102"/>
      <c r="G68" s="101">
        <v>150</v>
      </c>
      <c r="H68" s="97">
        <f t="shared" si="1"/>
        <v>6650</v>
      </c>
      <c r="I68" s="97">
        <v>6650</v>
      </c>
      <c r="J68" s="97">
        <f>H68-I68</f>
        <v>0</v>
      </c>
      <c r="K68" s="97"/>
      <c r="L68" s="97"/>
    </row>
    <row r="69" spans="1:12" ht="15.75" x14ac:dyDescent="0.25">
      <c r="A69" s="109" t="s">
        <v>423</v>
      </c>
      <c r="B69" s="94" t="s">
        <v>100</v>
      </c>
      <c r="C69" s="100"/>
      <c r="D69" s="96">
        <f>'SEPTEMBER 21'!J69:J135</f>
        <v>0</v>
      </c>
      <c r="E69" s="102">
        <v>6500</v>
      </c>
      <c r="F69" s="102"/>
      <c r="G69" s="101"/>
      <c r="H69" s="97">
        <f t="shared" si="1"/>
        <v>6500</v>
      </c>
      <c r="I69" s="97">
        <f>6500</f>
        <v>6500</v>
      </c>
      <c r="J69" s="97">
        <f>H69-I69</f>
        <v>0</v>
      </c>
      <c r="K69" s="97"/>
      <c r="L69" s="97"/>
    </row>
    <row r="70" spans="1:12" ht="15.75" x14ac:dyDescent="0.25">
      <c r="A70" s="109" t="s">
        <v>116</v>
      </c>
      <c r="B70" s="94" t="s">
        <v>101</v>
      </c>
      <c r="C70" s="100"/>
      <c r="D70" s="96">
        <f>'SEPTEMBER 21'!J70:J136</f>
        <v>0</v>
      </c>
      <c r="E70" s="102">
        <v>7000</v>
      </c>
      <c r="F70" s="102"/>
      <c r="G70" s="101">
        <v>150</v>
      </c>
      <c r="H70" s="97">
        <f t="shared" si="1"/>
        <v>7150</v>
      </c>
      <c r="I70" s="97">
        <v>7150</v>
      </c>
      <c r="J70" s="97">
        <f>H70-I70</f>
        <v>0</v>
      </c>
      <c r="K70" s="97"/>
      <c r="L70" s="97"/>
    </row>
    <row r="71" spans="1:12" ht="15.75" x14ac:dyDescent="0.25">
      <c r="A71" s="115" t="s">
        <v>28</v>
      </c>
      <c r="B71" s="109"/>
      <c r="C71" s="100">
        <f>SUM(C6:C70)</f>
        <v>19500</v>
      </c>
      <c r="D71" s="96">
        <f>'SEPTEMBER 21'!J71:J137</f>
        <v>70300</v>
      </c>
      <c r="E71" s="116">
        <f>SUM(E6:E70)</f>
        <v>383500</v>
      </c>
      <c r="F71" s="147">
        <f t="shared" ref="F71:L71" si="2">SUM(F6:F70)</f>
        <v>0</v>
      </c>
      <c r="G71" s="148">
        <f>SUM(G6:G70)</f>
        <v>6300</v>
      </c>
      <c r="H71" s="97">
        <f>SUM(H6:H70)</f>
        <v>460750</v>
      </c>
      <c r="I71" s="97">
        <f t="shared" si="2"/>
        <v>399633</v>
      </c>
      <c r="J71" s="97">
        <f>SUM(J6:J70)</f>
        <v>61117</v>
      </c>
      <c r="K71" s="97">
        <f t="shared" si="2"/>
        <v>0</v>
      </c>
      <c r="L71" s="97">
        <f t="shared" si="2"/>
        <v>3000</v>
      </c>
    </row>
    <row r="72" spans="1:12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2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</row>
    <row r="74" spans="1:12" ht="15.75" x14ac:dyDescent="0.25">
      <c r="A74" s="109" t="s">
        <v>457</v>
      </c>
      <c r="B74" s="124">
        <f>E71</f>
        <v>383500</v>
      </c>
      <c r="C74" s="109"/>
      <c r="D74" s="109"/>
      <c r="E74" s="109"/>
      <c r="F74" s="109" t="s">
        <v>457</v>
      </c>
      <c r="G74" s="109"/>
      <c r="H74" s="125">
        <f>I71</f>
        <v>399633</v>
      </c>
      <c r="I74" s="109"/>
      <c r="J74" s="109"/>
      <c r="K74" s="109"/>
      <c r="L74" s="126"/>
    </row>
    <row r="75" spans="1:12" ht="15.75" x14ac:dyDescent="0.25">
      <c r="A75" s="109" t="s">
        <v>37</v>
      </c>
      <c r="B75" s="124">
        <f>'SEPTEMBER 21'!D100</f>
        <v>124053.18999999994</v>
      </c>
      <c r="C75" s="109"/>
      <c r="D75" s="109"/>
      <c r="E75" s="109"/>
      <c r="F75" s="109" t="s">
        <v>37</v>
      </c>
      <c r="G75" s="109"/>
      <c r="H75" s="124">
        <f>'SEPTEMBER 21'!J100</f>
        <v>15073.189999999944</v>
      </c>
      <c r="I75" s="109"/>
      <c r="J75" s="109"/>
      <c r="K75" s="109"/>
      <c r="L75" s="126"/>
    </row>
    <row r="76" spans="1:12" ht="15.75" x14ac:dyDescent="0.25">
      <c r="A76" s="109" t="s">
        <v>38</v>
      </c>
      <c r="B76" s="124">
        <f>C71</f>
        <v>19500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</row>
    <row r="77" spans="1:12" ht="15.75" x14ac:dyDescent="0.25">
      <c r="A77" s="109" t="s">
        <v>7</v>
      </c>
      <c r="B77" s="124">
        <f>F71</f>
        <v>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</row>
    <row r="78" spans="1:12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</row>
    <row r="79" spans="1:12" ht="15.75" x14ac:dyDescent="0.25">
      <c r="A79" s="109" t="s">
        <v>40</v>
      </c>
      <c r="B79" s="125">
        <f>L71</f>
        <v>3000</v>
      </c>
      <c r="C79" s="109"/>
      <c r="D79" s="109"/>
      <c r="E79" s="109"/>
      <c r="F79" s="109" t="s">
        <v>40</v>
      </c>
      <c r="G79" s="109"/>
      <c r="H79" s="125">
        <f>L71</f>
        <v>3000</v>
      </c>
      <c r="I79" s="109"/>
      <c r="J79" s="109"/>
      <c r="K79" s="109"/>
      <c r="L79" s="126"/>
    </row>
    <row r="80" spans="1:12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</row>
    <row r="81" spans="1:12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</row>
    <row r="82" spans="1:12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</row>
    <row r="83" spans="1:12" ht="15.75" x14ac:dyDescent="0.25">
      <c r="A83" s="131" t="s">
        <v>43</v>
      </c>
      <c r="B83" s="132">
        <v>7.0000000000000007E-2</v>
      </c>
      <c r="C83" s="133">
        <f>B83*E71</f>
        <v>26845.000000000004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26845.000000000004</v>
      </c>
      <c r="J83" s="109"/>
      <c r="K83" s="109"/>
      <c r="L83" s="126"/>
    </row>
    <row r="84" spans="1:12" ht="15.75" x14ac:dyDescent="0.25">
      <c r="A84" s="134" t="s">
        <v>136</v>
      </c>
      <c r="B84" s="135">
        <v>0.3</v>
      </c>
      <c r="C84" s="106"/>
      <c r="D84" s="125"/>
      <c r="E84" s="125"/>
      <c r="F84" s="134" t="s">
        <v>136</v>
      </c>
      <c r="G84" s="135">
        <v>0.3</v>
      </c>
      <c r="H84" s="88"/>
      <c r="I84" s="106">
        <f>C84</f>
        <v>0</v>
      </c>
      <c r="J84" s="88"/>
      <c r="K84" s="125"/>
      <c r="L84" s="136"/>
    </row>
    <row r="85" spans="1:12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6300</v>
      </c>
      <c r="J85" s="88"/>
      <c r="K85" s="125"/>
      <c r="L85" s="136"/>
    </row>
    <row r="86" spans="1:12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2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2" ht="15.75" x14ac:dyDescent="0.25">
      <c r="A88" s="134" t="s">
        <v>120</v>
      </c>
      <c r="B88" s="132"/>
      <c r="C88" s="93">
        <v>1000</v>
      </c>
      <c r="D88" s="109"/>
      <c r="E88" s="109"/>
      <c r="F88" s="134" t="s">
        <v>120</v>
      </c>
      <c r="G88" s="132"/>
      <c r="H88" s="93"/>
      <c r="I88" s="125">
        <v>1000</v>
      </c>
      <c r="J88" s="109"/>
      <c r="K88" s="109"/>
      <c r="L88" s="126"/>
    </row>
    <row r="89" spans="1:12" ht="15.75" x14ac:dyDescent="0.25">
      <c r="A89" s="186" t="s">
        <v>463</v>
      </c>
      <c r="B89" s="187"/>
      <c r="C89" s="188">
        <v>7075</v>
      </c>
      <c r="D89" s="189"/>
      <c r="E89" s="189"/>
      <c r="F89" s="186" t="s">
        <v>463</v>
      </c>
      <c r="G89" s="187"/>
      <c r="H89" s="188"/>
      <c r="I89" s="188">
        <v>7075</v>
      </c>
      <c r="J89" s="109"/>
      <c r="K89" s="109"/>
      <c r="L89" s="126"/>
    </row>
    <row r="90" spans="1:12" ht="15.75" x14ac:dyDescent="0.25">
      <c r="A90" s="186" t="s">
        <v>467</v>
      </c>
      <c r="B90" s="187"/>
      <c r="C90" s="188">
        <v>642</v>
      </c>
      <c r="D90" s="189"/>
      <c r="E90" s="189"/>
      <c r="F90" s="186" t="s">
        <v>467</v>
      </c>
      <c r="G90" s="187"/>
      <c r="H90" s="188"/>
      <c r="I90" s="188">
        <v>642</v>
      </c>
      <c r="J90" s="109"/>
      <c r="K90" s="109"/>
      <c r="L90" s="126"/>
    </row>
    <row r="91" spans="1:12" ht="15.75" x14ac:dyDescent="0.25">
      <c r="A91" s="186" t="s">
        <v>465</v>
      </c>
      <c r="B91" s="187"/>
      <c r="C91" s="188">
        <v>300</v>
      </c>
      <c r="D91" s="189"/>
      <c r="E91" s="189"/>
      <c r="F91" s="186" t="s">
        <v>465</v>
      </c>
      <c r="G91" s="187"/>
      <c r="H91" s="188"/>
      <c r="I91" s="188">
        <v>300</v>
      </c>
      <c r="J91" s="109"/>
      <c r="K91" s="109"/>
      <c r="L91" s="126"/>
    </row>
    <row r="92" spans="1:12" ht="15.75" x14ac:dyDescent="0.25">
      <c r="A92" s="186" t="s">
        <v>466</v>
      </c>
      <c r="B92" s="187"/>
      <c r="C92" s="188">
        <v>1500</v>
      </c>
      <c r="D92" s="189"/>
      <c r="E92" s="189"/>
      <c r="F92" s="186" t="s">
        <v>466</v>
      </c>
      <c r="G92" s="187"/>
      <c r="H92" s="188"/>
      <c r="I92" s="188">
        <v>1500</v>
      </c>
      <c r="J92" s="109"/>
      <c r="K92" s="109"/>
      <c r="L92" s="126"/>
    </row>
    <row r="93" spans="1:12" ht="15.75" x14ac:dyDescent="0.25">
      <c r="A93" s="186" t="s">
        <v>468</v>
      </c>
      <c r="B93" s="187"/>
      <c r="C93" s="190">
        <v>2532</v>
      </c>
      <c r="D93" s="189"/>
      <c r="E93" s="189"/>
      <c r="F93" s="186" t="s">
        <v>468</v>
      </c>
      <c r="G93" s="187"/>
      <c r="H93" s="190"/>
      <c r="I93" s="190">
        <v>2532</v>
      </c>
      <c r="J93" s="109"/>
      <c r="K93" s="109"/>
      <c r="L93" s="126"/>
    </row>
    <row r="94" spans="1:12" ht="15.75" x14ac:dyDescent="0.25">
      <c r="A94" s="186" t="s">
        <v>470</v>
      </c>
      <c r="B94" s="187"/>
      <c r="C94" s="190">
        <v>336000</v>
      </c>
      <c r="D94" s="189"/>
      <c r="E94" s="189"/>
      <c r="F94" s="186" t="s">
        <v>470</v>
      </c>
      <c r="G94" s="187"/>
      <c r="H94" s="190"/>
      <c r="I94" s="190">
        <v>336000</v>
      </c>
      <c r="J94" s="109"/>
      <c r="K94" s="109"/>
      <c r="L94" s="126"/>
    </row>
    <row r="95" spans="1:12" ht="15.75" x14ac:dyDescent="0.25">
      <c r="A95" s="186" t="s">
        <v>471</v>
      </c>
      <c r="B95" s="187"/>
      <c r="C95" s="190">
        <v>15000</v>
      </c>
      <c r="D95" s="189"/>
      <c r="E95" s="189"/>
      <c r="F95" s="186" t="s">
        <v>471</v>
      </c>
      <c r="G95" s="187"/>
      <c r="H95" s="190"/>
      <c r="I95" s="190">
        <v>15000</v>
      </c>
      <c r="J95" s="109"/>
      <c r="K95" s="109"/>
      <c r="L95" s="126"/>
    </row>
    <row r="96" spans="1:12" ht="15.75" x14ac:dyDescent="0.25">
      <c r="A96" s="186" t="s">
        <v>475</v>
      </c>
      <c r="B96" s="187"/>
      <c r="C96" s="190">
        <v>3500</v>
      </c>
      <c r="D96" s="189"/>
      <c r="E96" s="189"/>
      <c r="F96" s="186"/>
      <c r="G96" s="187"/>
      <c r="H96" s="190"/>
      <c r="I96" s="190"/>
      <c r="J96" s="109"/>
      <c r="K96" s="109"/>
      <c r="L96" s="126"/>
    </row>
    <row r="97" spans="1:12" ht="15.75" x14ac:dyDescent="0.25">
      <c r="A97" s="186" t="s">
        <v>476</v>
      </c>
      <c r="B97" s="187"/>
      <c r="C97" s="188">
        <v>2000</v>
      </c>
      <c r="D97" s="189"/>
      <c r="E97" s="189"/>
      <c r="F97" s="186"/>
      <c r="G97" s="187"/>
      <c r="H97" s="188"/>
      <c r="I97" s="188"/>
      <c r="J97" s="109"/>
      <c r="K97" s="109"/>
      <c r="L97" s="126"/>
    </row>
    <row r="98" spans="1:12" ht="15.75" x14ac:dyDescent="0.25">
      <c r="A98" s="134" t="s">
        <v>478</v>
      </c>
      <c r="B98" s="132"/>
      <c r="C98" s="125">
        <v>5300</v>
      </c>
      <c r="D98" s="109"/>
      <c r="E98" s="109"/>
      <c r="F98" s="134"/>
      <c r="G98" s="132"/>
      <c r="H98" s="125"/>
      <c r="I98" s="125"/>
      <c r="J98" s="109"/>
      <c r="K98" s="109"/>
      <c r="L98" s="126"/>
    </row>
    <row r="99" spans="1:12" ht="15.75" x14ac:dyDescent="0.25">
      <c r="A99" s="115" t="s">
        <v>29</v>
      </c>
      <c r="B99" s="139">
        <f>B74+B75+B76+B77+B78+B79+B81+B80</f>
        <v>530053.18999999994</v>
      </c>
      <c r="C99" s="139">
        <f>SUM(C83:C98)</f>
        <v>417694</v>
      </c>
      <c r="D99" s="139">
        <f>B99-C99</f>
        <v>112359.18999999994</v>
      </c>
      <c r="E99" s="139"/>
      <c r="F99" s="115"/>
      <c r="G99" s="115"/>
      <c r="H99" s="139">
        <f>H74+H75+H77+H79+H80</f>
        <v>417706.18999999994</v>
      </c>
      <c r="I99" s="139">
        <f>SUM(I83:I98)</f>
        <v>413194</v>
      </c>
      <c r="J99" s="139">
        <f>H99-I99</f>
        <v>4512.1899999999441</v>
      </c>
      <c r="K99" s="139"/>
      <c r="L99" s="140"/>
    </row>
    <row r="100" spans="1:12" ht="15.75" x14ac:dyDescent="0.25">
      <c r="A100" s="141" t="s">
        <v>44</v>
      </c>
      <c r="B100" s="142"/>
      <c r="C100" s="142" t="s">
        <v>45</v>
      </c>
      <c r="D100" s="138"/>
      <c r="E100" s="138"/>
      <c r="F100" s="141"/>
      <c r="G100" s="141"/>
      <c r="H100" s="141" t="s">
        <v>46</v>
      </c>
      <c r="I100" s="143">
        <f>I99-I85</f>
        <v>406894</v>
      </c>
      <c r="J100" s="87"/>
      <c r="K100" s="87"/>
      <c r="L100" s="86"/>
    </row>
    <row r="101" spans="1:12" ht="15.75" x14ac:dyDescent="0.25">
      <c r="A101" s="87" t="s">
        <v>47</v>
      </c>
      <c r="B101" s="87"/>
      <c r="C101" s="87" t="s">
        <v>48</v>
      </c>
      <c r="D101" s="105"/>
      <c r="E101" s="87"/>
      <c r="F101" s="87"/>
      <c r="G101" s="87"/>
      <c r="H101" s="87" t="s">
        <v>118</v>
      </c>
      <c r="I101" s="113">
        <f>I99-I83</f>
        <v>386349</v>
      </c>
      <c r="J101" s="87"/>
      <c r="K101" s="105"/>
      <c r="L101" s="86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zoomScale="70" zoomScaleNormal="70" workbookViewId="0">
      <selection activeCell="I21" sqref="I21"/>
    </sheetView>
  </sheetViews>
  <sheetFormatPr defaultRowHeight="15" x14ac:dyDescent="0.25"/>
  <cols>
    <col min="1" max="1" width="47.5703125" customWidth="1"/>
    <col min="2" max="2" width="13.5703125" bestFit="1" customWidth="1"/>
    <col min="3" max="3" width="19.28515625" customWidth="1"/>
    <col min="4" max="4" width="13.5703125" bestFit="1" customWidth="1"/>
    <col min="5" max="5" width="18" customWidth="1"/>
    <col min="6" max="6" width="16.42578125" customWidth="1"/>
    <col min="7" max="7" width="17.85546875" customWidth="1"/>
    <col min="8" max="8" width="22.42578125" customWidth="1"/>
    <col min="9" max="9" width="22.7109375" customWidth="1"/>
    <col min="10" max="10" width="17.5703125" customWidth="1"/>
    <col min="11" max="11" width="27.5703125" customWidth="1"/>
    <col min="12" max="12" width="26.42578125" customWidth="1"/>
    <col min="15" max="15" width="9.5703125" bestFit="1" customWidth="1"/>
  </cols>
  <sheetData>
    <row r="1" spans="1:15" ht="23.25" x14ac:dyDescent="0.35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3"/>
      <c r="N1" s="193"/>
      <c r="O1" s="193"/>
    </row>
    <row r="2" spans="1:15" ht="23.25" x14ac:dyDescent="0.35">
      <c r="A2" s="194"/>
      <c r="B2" s="195"/>
      <c r="C2" s="195"/>
      <c r="D2" s="195"/>
      <c r="E2" s="195" t="s">
        <v>49</v>
      </c>
      <c r="F2" s="194"/>
      <c r="G2" s="195"/>
      <c r="H2" s="196"/>
      <c r="I2" s="194">
        <f>7500-2167</f>
        <v>5333</v>
      </c>
      <c r="J2" s="194"/>
      <c r="K2" s="194"/>
      <c r="L2" s="194"/>
      <c r="M2" s="193"/>
      <c r="N2" s="193"/>
      <c r="O2" s="193"/>
    </row>
    <row r="3" spans="1:15" ht="23.25" x14ac:dyDescent="0.35">
      <c r="A3" s="194"/>
      <c r="B3" s="195"/>
      <c r="C3" s="195"/>
      <c r="D3" s="195"/>
      <c r="E3" s="195" t="s">
        <v>0</v>
      </c>
      <c r="F3" s="195"/>
      <c r="G3" s="195"/>
      <c r="H3" s="197"/>
      <c r="I3" s="194"/>
      <c r="J3" s="194"/>
      <c r="K3" s="194"/>
      <c r="L3" s="194"/>
      <c r="M3" s="193"/>
      <c r="N3" s="193"/>
      <c r="O3" s="193"/>
    </row>
    <row r="4" spans="1:15" ht="23.25" x14ac:dyDescent="0.35">
      <c r="A4" s="195"/>
      <c r="B4" s="193"/>
      <c r="C4" s="193"/>
      <c r="D4" s="195" t="s">
        <v>472</v>
      </c>
      <c r="E4" s="195"/>
      <c r="F4" s="193"/>
      <c r="G4" s="195"/>
      <c r="H4" s="198"/>
      <c r="I4" s="198"/>
      <c r="J4" s="198"/>
      <c r="K4" s="198"/>
      <c r="L4" s="198"/>
      <c r="M4" s="193"/>
      <c r="N4" s="193"/>
      <c r="O4" s="193"/>
    </row>
    <row r="5" spans="1:15" ht="23.25" x14ac:dyDescent="0.35">
      <c r="A5" s="199" t="s">
        <v>2</v>
      </c>
      <c r="B5" s="199" t="s">
        <v>3</v>
      </c>
      <c r="C5" s="199" t="s">
        <v>38</v>
      </c>
      <c r="D5" s="200" t="s">
        <v>5</v>
      </c>
      <c r="E5" s="199" t="s">
        <v>6</v>
      </c>
      <c r="F5" s="201" t="s">
        <v>7</v>
      </c>
      <c r="G5" s="199" t="s">
        <v>8</v>
      </c>
      <c r="H5" s="202" t="s">
        <v>9</v>
      </c>
      <c r="I5" s="199" t="s">
        <v>10</v>
      </c>
      <c r="J5" s="199" t="s">
        <v>11</v>
      </c>
      <c r="K5" s="199" t="s">
        <v>12</v>
      </c>
      <c r="L5" s="199" t="s">
        <v>13</v>
      </c>
      <c r="M5" s="193"/>
      <c r="N5" s="193"/>
      <c r="O5" s="193"/>
    </row>
    <row r="6" spans="1:15" ht="23.25" x14ac:dyDescent="0.35">
      <c r="A6" s="203" t="s">
        <v>474</v>
      </c>
      <c r="B6" s="204" t="s">
        <v>14</v>
      </c>
      <c r="C6" s="205">
        <v>5350</v>
      </c>
      <c r="D6" s="206">
        <f>'OCTOBER  21'!J6:J70</f>
        <v>0</v>
      </c>
      <c r="E6" s="207">
        <v>6500</v>
      </c>
      <c r="F6" s="208">
        <v>150</v>
      </c>
      <c r="G6" s="207">
        <v>150</v>
      </c>
      <c r="H6" s="207">
        <f>D6+E6+F6+G6+C6</f>
        <v>12150</v>
      </c>
      <c r="I6" s="207">
        <v>12150</v>
      </c>
      <c r="J6" s="207">
        <f t="shared" ref="J6:J67" si="0">H6-I6</f>
        <v>0</v>
      </c>
      <c r="K6" s="207"/>
      <c r="L6" s="207"/>
      <c r="M6" s="193"/>
      <c r="N6" s="193"/>
      <c r="O6" s="193"/>
    </row>
    <row r="7" spans="1:15" ht="23.25" x14ac:dyDescent="0.35">
      <c r="A7" s="209" t="s">
        <v>411</v>
      </c>
      <c r="B7" s="204" t="s">
        <v>15</v>
      </c>
      <c r="C7" s="210"/>
      <c r="D7" s="206">
        <f>'OCTOBER  21'!J7:J71</f>
        <v>300</v>
      </c>
      <c r="E7" s="211">
        <v>6500</v>
      </c>
      <c r="F7" s="212"/>
      <c r="G7" s="211">
        <v>150</v>
      </c>
      <c r="H7" s="207">
        <f>D7+E7+F7+G7+C7</f>
        <v>6950</v>
      </c>
      <c r="I7" s="207">
        <v>6000</v>
      </c>
      <c r="J7" s="207">
        <f>H7-I7</f>
        <v>950</v>
      </c>
      <c r="K7" s="207"/>
      <c r="L7" s="207"/>
      <c r="M7" s="193"/>
      <c r="N7" s="193"/>
      <c r="O7" s="193"/>
    </row>
    <row r="8" spans="1:15" ht="23.25" x14ac:dyDescent="0.35">
      <c r="A8" s="209" t="s">
        <v>448</v>
      </c>
      <c r="B8" s="204" t="s">
        <v>16</v>
      </c>
      <c r="C8" s="210"/>
      <c r="D8" s="206">
        <f>'OCTOBER  21'!J8:J72</f>
        <v>1167</v>
      </c>
      <c r="E8" s="211">
        <v>6500</v>
      </c>
      <c r="F8" s="212">
        <v>150</v>
      </c>
      <c r="G8" s="211"/>
      <c r="H8" s="207">
        <f t="shared" ref="H8:H70" si="1">D8+E8+F8+G8+C8</f>
        <v>7817</v>
      </c>
      <c r="I8" s="207">
        <v>6600</v>
      </c>
      <c r="J8" s="213">
        <f t="shared" si="0"/>
        <v>1217</v>
      </c>
      <c r="K8" s="207"/>
      <c r="L8" s="207"/>
      <c r="M8" s="193"/>
      <c r="N8" s="193"/>
      <c r="O8" s="193"/>
    </row>
    <row r="9" spans="1:15" ht="23.25" x14ac:dyDescent="0.35">
      <c r="A9" s="209" t="s">
        <v>422</v>
      </c>
      <c r="B9" s="204" t="s">
        <v>18</v>
      </c>
      <c r="C9" s="210"/>
      <c r="D9" s="206">
        <f>'OCTOBER  21'!J9:J73</f>
        <v>150</v>
      </c>
      <c r="E9" s="206">
        <v>6500</v>
      </c>
      <c r="F9" s="214">
        <v>0</v>
      </c>
      <c r="G9" s="211">
        <v>150</v>
      </c>
      <c r="H9" s="207">
        <f t="shared" si="1"/>
        <v>6800</v>
      </c>
      <c r="I9" s="207">
        <v>6500</v>
      </c>
      <c r="J9" s="207">
        <f t="shared" si="0"/>
        <v>300</v>
      </c>
      <c r="K9" s="207"/>
      <c r="L9" s="207"/>
      <c r="M9" s="193"/>
      <c r="N9" s="193"/>
      <c r="O9" s="193"/>
    </row>
    <row r="10" spans="1:15" ht="23.25" x14ac:dyDescent="0.35">
      <c r="A10" s="209" t="s">
        <v>424</v>
      </c>
      <c r="B10" s="204" t="s">
        <v>19</v>
      </c>
      <c r="C10" s="210"/>
      <c r="D10" s="206">
        <f>'OCTOBER  21'!J10:J74</f>
        <v>0</v>
      </c>
      <c r="E10" s="211">
        <v>6500</v>
      </c>
      <c r="F10" s="212">
        <v>150</v>
      </c>
      <c r="G10" s="211">
        <v>150</v>
      </c>
      <c r="H10" s="207">
        <f t="shared" si="1"/>
        <v>6800</v>
      </c>
      <c r="I10" s="207">
        <v>6650</v>
      </c>
      <c r="J10" s="207">
        <f t="shared" si="0"/>
        <v>150</v>
      </c>
      <c r="K10" s="207"/>
      <c r="L10" s="207"/>
      <c r="M10" s="193"/>
      <c r="N10" s="193"/>
      <c r="O10" s="193"/>
    </row>
    <row r="11" spans="1:15" ht="23.25" x14ac:dyDescent="0.35">
      <c r="A11" s="215" t="s">
        <v>437</v>
      </c>
      <c r="B11" s="204" t="s">
        <v>20</v>
      </c>
      <c r="C11" s="210"/>
      <c r="D11" s="206">
        <f>'OCTOBER  21'!J11:J75</f>
        <v>0</v>
      </c>
      <c r="E11" s="211">
        <v>7000</v>
      </c>
      <c r="F11" s="212">
        <v>0</v>
      </c>
      <c r="G11" s="211"/>
      <c r="H11" s="207">
        <f t="shared" si="1"/>
        <v>7000</v>
      </c>
      <c r="I11" s="207">
        <v>7000</v>
      </c>
      <c r="J11" s="207">
        <f t="shared" si="0"/>
        <v>0</v>
      </c>
      <c r="K11" s="207"/>
      <c r="L11" s="207"/>
      <c r="M11" s="193"/>
      <c r="N11" s="193"/>
      <c r="O11" s="193"/>
    </row>
    <row r="12" spans="1:15" ht="23.25" x14ac:dyDescent="0.35">
      <c r="A12" s="216" t="s">
        <v>480</v>
      </c>
      <c r="B12" s="204" t="s">
        <v>21</v>
      </c>
      <c r="C12" s="210">
        <v>5500</v>
      </c>
      <c r="D12" s="206"/>
      <c r="E12" s="211">
        <v>2750</v>
      </c>
      <c r="F12" s="193"/>
      <c r="G12" s="211">
        <v>150</v>
      </c>
      <c r="H12" s="207">
        <f t="shared" si="1"/>
        <v>8400</v>
      </c>
      <c r="I12" s="207">
        <v>8400</v>
      </c>
      <c r="J12" s="207">
        <f t="shared" si="0"/>
        <v>0</v>
      </c>
      <c r="K12" s="207"/>
      <c r="L12" s="207"/>
      <c r="M12" s="193"/>
      <c r="N12" s="193"/>
      <c r="O12" s="193"/>
    </row>
    <row r="13" spans="1:15" ht="23.25" x14ac:dyDescent="0.35">
      <c r="A13" s="217" t="s">
        <v>445</v>
      </c>
      <c r="B13" s="204" t="s">
        <v>22</v>
      </c>
      <c r="C13" s="210"/>
      <c r="D13" s="206">
        <f>'OCTOBER  21'!J13:J77</f>
        <v>3450</v>
      </c>
      <c r="E13" s="211">
        <v>7000</v>
      </c>
      <c r="F13" s="218">
        <v>150</v>
      </c>
      <c r="G13" s="211">
        <v>150</v>
      </c>
      <c r="H13" s="207">
        <f t="shared" si="1"/>
        <v>10750</v>
      </c>
      <c r="I13" s="207">
        <f>5000+2300</f>
        <v>7300</v>
      </c>
      <c r="J13" s="207">
        <f t="shared" si="0"/>
        <v>3450</v>
      </c>
      <c r="K13" s="207"/>
      <c r="L13" s="207"/>
      <c r="M13" s="193"/>
      <c r="N13" s="193"/>
      <c r="O13" s="193"/>
    </row>
    <row r="14" spans="1:15" ht="23.25" x14ac:dyDescent="0.35">
      <c r="A14" s="216" t="s">
        <v>459</v>
      </c>
      <c r="B14" s="204" t="s">
        <v>23</v>
      </c>
      <c r="C14" s="210"/>
      <c r="D14" s="206">
        <f>'OCTOBER  21'!J14:J78</f>
        <v>0</v>
      </c>
      <c r="E14" s="211">
        <v>6500</v>
      </c>
      <c r="F14" s="212">
        <v>150</v>
      </c>
      <c r="G14" s="211">
        <v>150</v>
      </c>
      <c r="H14" s="207">
        <f t="shared" si="1"/>
        <v>6800</v>
      </c>
      <c r="I14" s="207">
        <f>6500</f>
        <v>6500</v>
      </c>
      <c r="J14" s="207">
        <f t="shared" si="0"/>
        <v>300</v>
      </c>
      <c r="K14" s="207"/>
      <c r="L14" s="207"/>
      <c r="M14" s="193"/>
      <c r="N14" s="193"/>
      <c r="O14" s="193"/>
    </row>
    <row r="15" spans="1:15" ht="23.25" x14ac:dyDescent="0.35">
      <c r="A15" s="216" t="s">
        <v>439</v>
      </c>
      <c r="B15" s="204" t="s">
        <v>24</v>
      </c>
      <c r="C15" s="210"/>
      <c r="D15" s="206">
        <f>'OCTOBER  21'!J15:J79</f>
        <v>150</v>
      </c>
      <c r="E15" s="211">
        <v>6500</v>
      </c>
      <c r="F15" s="212">
        <v>150</v>
      </c>
      <c r="G15" s="211">
        <v>150</v>
      </c>
      <c r="H15" s="207">
        <f t="shared" si="1"/>
        <v>6950</v>
      </c>
      <c r="I15" s="207">
        <v>6500</v>
      </c>
      <c r="J15" s="207">
        <f>H15-I15</f>
        <v>450</v>
      </c>
      <c r="K15" s="207"/>
      <c r="L15" s="207"/>
      <c r="M15" s="193"/>
      <c r="N15" s="193"/>
      <c r="O15" s="193"/>
    </row>
    <row r="16" spans="1:15" ht="23.25" x14ac:dyDescent="0.35">
      <c r="A16" s="209" t="s">
        <v>461</v>
      </c>
      <c r="B16" s="204" t="s">
        <v>25</v>
      </c>
      <c r="C16" s="210"/>
      <c r="D16" s="206">
        <f>'OCTOBER  21'!J16:J80</f>
        <v>0</v>
      </c>
      <c r="E16" s="211">
        <v>6500</v>
      </c>
      <c r="F16" s="212">
        <v>0</v>
      </c>
      <c r="G16" s="211"/>
      <c r="H16" s="207">
        <f t="shared" si="1"/>
        <v>6500</v>
      </c>
      <c r="I16" s="207">
        <f>6500</f>
        <v>6500</v>
      </c>
      <c r="J16" s="207">
        <f t="shared" si="0"/>
        <v>0</v>
      </c>
      <c r="K16" s="207"/>
      <c r="L16" s="207"/>
      <c r="M16" s="193"/>
      <c r="N16" s="193"/>
      <c r="O16" s="193"/>
    </row>
    <row r="17" spans="1:15" ht="23.25" x14ac:dyDescent="0.35">
      <c r="A17" s="203" t="s">
        <v>133</v>
      </c>
      <c r="B17" s="204" t="s">
        <v>26</v>
      </c>
      <c r="C17" s="210"/>
      <c r="D17" s="206">
        <f>'OCTOBER  21'!J17:J81</f>
        <v>0</v>
      </c>
      <c r="E17" s="211">
        <v>6500</v>
      </c>
      <c r="F17" s="212">
        <v>150</v>
      </c>
      <c r="G17" s="211">
        <v>150</v>
      </c>
      <c r="H17" s="207">
        <f t="shared" si="1"/>
        <v>6800</v>
      </c>
      <c r="I17" s="207">
        <v>6650</v>
      </c>
      <c r="J17" s="207">
        <f t="shared" si="0"/>
        <v>150</v>
      </c>
      <c r="K17" s="207"/>
      <c r="L17" s="207"/>
      <c r="M17" s="193"/>
      <c r="N17" s="193"/>
      <c r="O17" s="193"/>
    </row>
    <row r="18" spans="1:15" ht="23.25" x14ac:dyDescent="0.35">
      <c r="A18" s="216" t="s">
        <v>217</v>
      </c>
      <c r="B18" s="204" t="s">
        <v>27</v>
      </c>
      <c r="C18" s="205"/>
      <c r="D18" s="206">
        <f>'OCTOBER  21'!J18:J82</f>
        <v>300</v>
      </c>
      <c r="E18" s="211">
        <v>6500</v>
      </c>
      <c r="F18" s="212">
        <v>0</v>
      </c>
      <c r="G18" s="211">
        <v>150</v>
      </c>
      <c r="H18" s="207">
        <f t="shared" si="1"/>
        <v>6950</v>
      </c>
      <c r="I18" s="207">
        <v>6500</v>
      </c>
      <c r="J18" s="207">
        <f>H18-I18</f>
        <v>450</v>
      </c>
      <c r="K18" s="207"/>
      <c r="L18" s="207"/>
      <c r="M18" s="193"/>
      <c r="N18" s="193"/>
      <c r="O18" s="193"/>
    </row>
    <row r="19" spans="1:15" ht="23.25" x14ac:dyDescent="0.35">
      <c r="A19" s="216" t="s">
        <v>374</v>
      </c>
      <c r="B19" s="204" t="s">
        <v>50</v>
      </c>
      <c r="C19" s="210"/>
      <c r="D19" s="206">
        <f>'OCTOBER  21'!J19:J83</f>
        <v>150</v>
      </c>
      <c r="E19" s="211">
        <v>6500</v>
      </c>
      <c r="F19" s="212">
        <v>150</v>
      </c>
      <c r="G19" s="211">
        <v>150</v>
      </c>
      <c r="H19" s="207">
        <f t="shared" si="1"/>
        <v>6950</v>
      </c>
      <c r="I19" s="207">
        <f>6800</f>
        <v>6800</v>
      </c>
      <c r="J19" s="207">
        <f t="shared" si="0"/>
        <v>150</v>
      </c>
      <c r="K19" s="207"/>
      <c r="L19" s="207"/>
      <c r="M19" s="193"/>
      <c r="N19" s="193"/>
      <c r="O19" s="193">
        <f>5500/2</f>
        <v>2750</v>
      </c>
    </row>
    <row r="20" spans="1:15" ht="23.25" x14ac:dyDescent="0.35">
      <c r="A20" s="209" t="s">
        <v>260</v>
      </c>
      <c r="B20" s="204" t="s">
        <v>51</v>
      </c>
      <c r="C20" s="210"/>
      <c r="D20" s="206">
        <f>'OCTOBER  21'!J20:J84</f>
        <v>0</v>
      </c>
      <c r="E20" s="211">
        <v>6500</v>
      </c>
      <c r="F20" s="212">
        <v>300</v>
      </c>
      <c r="G20" s="211">
        <v>150</v>
      </c>
      <c r="H20" s="207">
        <f t="shared" si="1"/>
        <v>6950</v>
      </c>
      <c r="I20" s="207">
        <f>6500+200+200</f>
        <v>6900</v>
      </c>
      <c r="J20" s="207">
        <f t="shared" si="0"/>
        <v>50</v>
      </c>
      <c r="K20" s="207"/>
      <c r="L20" s="207"/>
      <c r="M20" s="193"/>
      <c r="N20" s="193"/>
      <c r="O20" s="193"/>
    </row>
    <row r="21" spans="1:15" ht="23.25" x14ac:dyDescent="0.35">
      <c r="A21" s="216" t="s">
        <v>431</v>
      </c>
      <c r="B21" s="204" t="s">
        <v>52</v>
      </c>
      <c r="C21" s="210"/>
      <c r="D21" s="206">
        <f>'OCTOBER  21'!J21:J85</f>
        <v>150</v>
      </c>
      <c r="E21" s="211">
        <v>6500</v>
      </c>
      <c r="F21" s="212">
        <v>0</v>
      </c>
      <c r="G21" s="211">
        <v>150</v>
      </c>
      <c r="H21" s="207">
        <f t="shared" si="1"/>
        <v>6800</v>
      </c>
      <c r="I21" s="207">
        <f>6500</f>
        <v>6500</v>
      </c>
      <c r="J21" s="207">
        <f t="shared" si="0"/>
        <v>300</v>
      </c>
      <c r="K21" s="207"/>
      <c r="L21" s="207"/>
      <c r="M21" s="193"/>
      <c r="N21" s="193"/>
      <c r="O21" s="193"/>
    </row>
    <row r="22" spans="1:15" ht="23.25" x14ac:dyDescent="0.35">
      <c r="A22" s="216" t="s">
        <v>375</v>
      </c>
      <c r="B22" s="204" t="s">
        <v>53</v>
      </c>
      <c r="C22" s="210"/>
      <c r="D22" s="206">
        <f>'OCTOBER  21'!J22:J86</f>
        <v>150</v>
      </c>
      <c r="E22" s="211">
        <v>6500</v>
      </c>
      <c r="F22" s="212">
        <v>150</v>
      </c>
      <c r="G22" s="211">
        <v>150</v>
      </c>
      <c r="H22" s="207">
        <f t="shared" si="1"/>
        <v>6950</v>
      </c>
      <c r="I22" s="207">
        <f>6500</f>
        <v>6500</v>
      </c>
      <c r="J22" s="207">
        <f t="shared" si="0"/>
        <v>450</v>
      </c>
      <c r="K22" s="207"/>
      <c r="L22" s="207"/>
      <c r="M22" s="193"/>
      <c r="N22" s="193"/>
      <c r="O22" s="193"/>
    </row>
    <row r="23" spans="1:15" ht="23.25" x14ac:dyDescent="0.35">
      <c r="A23" s="209" t="s">
        <v>479</v>
      </c>
      <c r="B23" s="204" t="s">
        <v>54</v>
      </c>
      <c r="C23" s="210">
        <v>6400</v>
      </c>
      <c r="D23" s="206"/>
      <c r="E23" s="211">
        <v>6500</v>
      </c>
      <c r="F23" s="212"/>
      <c r="G23" s="211"/>
      <c r="H23" s="207">
        <f t="shared" si="1"/>
        <v>12900</v>
      </c>
      <c r="I23" s="207">
        <v>12900</v>
      </c>
      <c r="J23" s="207">
        <f t="shared" si="0"/>
        <v>0</v>
      </c>
      <c r="K23" s="207"/>
      <c r="L23" s="207"/>
      <c r="M23" s="193"/>
      <c r="N23" s="193"/>
      <c r="O23" s="193"/>
    </row>
    <row r="24" spans="1:15" ht="23.25" x14ac:dyDescent="0.35">
      <c r="A24" s="216" t="s">
        <v>417</v>
      </c>
      <c r="B24" s="204" t="s">
        <v>55</v>
      </c>
      <c r="C24" s="210"/>
      <c r="D24" s="206">
        <f>'OCTOBER  21'!J24:J88</f>
        <v>0</v>
      </c>
      <c r="E24" s="211">
        <v>7000</v>
      </c>
      <c r="F24" s="212">
        <v>0</v>
      </c>
      <c r="G24" s="211">
        <v>150</v>
      </c>
      <c r="H24" s="207">
        <f t="shared" si="1"/>
        <v>7150</v>
      </c>
      <c r="I24" s="207">
        <v>7150</v>
      </c>
      <c r="J24" s="207">
        <f t="shared" si="0"/>
        <v>0</v>
      </c>
      <c r="K24" s="207"/>
      <c r="L24" s="207"/>
      <c r="M24" s="193"/>
      <c r="N24" s="193"/>
      <c r="O24" s="193"/>
    </row>
    <row r="25" spans="1:15" ht="23.25" x14ac:dyDescent="0.35">
      <c r="A25" s="216" t="s">
        <v>155</v>
      </c>
      <c r="B25" s="204" t="s">
        <v>56</v>
      </c>
      <c r="C25" s="210"/>
      <c r="D25" s="206">
        <f>'OCTOBER  21'!J25:J89</f>
        <v>450</v>
      </c>
      <c r="E25" s="211">
        <v>5500</v>
      </c>
      <c r="F25" s="212">
        <v>0</v>
      </c>
      <c r="G25" s="211">
        <v>150</v>
      </c>
      <c r="H25" s="207">
        <f t="shared" si="1"/>
        <v>6100</v>
      </c>
      <c r="I25" s="207">
        <v>5650</v>
      </c>
      <c r="J25" s="207">
        <f t="shared" si="0"/>
        <v>450</v>
      </c>
      <c r="K25" s="207"/>
      <c r="L25" s="207"/>
      <c r="M25" s="193"/>
      <c r="N25" s="193"/>
      <c r="O25" s="193"/>
    </row>
    <row r="26" spans="1:15" ht="23.25" x14ac:dyDescent="0.35">
      <c r="A26" s="216" t="s">
        <v>130</v>
      </c>
      <c r="B26" s="204" t="s">
        <v>57</v>
      </c>
      <c r="C26" s="210"/>
      <c r="D26" s="206">
        <f>'OCTOBER  21'!J26:J90</f>
        <v>0</v>
      </c>
      <c r="E26" s="211">
        <v>7000</v>
      </c>
      <c r="F26" s="212">
        <v>0</v>
      </c>
      <c r="G26" s="211">
        <v>150</v>
      </c>
      <c r="H26" s="207">
        <f t="shared" si="1"/>
        <v>7150</v>
      </c>
      <c r="I26" s="207">
        <v>7150</v>
      </c>
      <c r="J26" s="207">
        <f t="shared" si="0"/>
        <v>0</v>
      </c>
      <c r="K26" s="207"/>
      <c r="L26" s="207"/>
      <c r="M26" s="193"/>
      <c r="N26" s="193"/>
      <c r="O26" s="193"/>
    </row>
    <row r="27" spans="1:15" ht="23.25" x14ac:dyDescent="0.35">
      <c r="A27" s="216" t="s">
        <v>132</v>
      </c>
      <c r="B27" s="204" t="s">
        <v>58</v>
      </c>
      <c r="C27" s="210"/>
      <c r="D27" s="206">
        <f>'OCTOBER  21'!J27:J91</f>
        <v>0</v>
      </c>
      <c r="E27" s="211">
        <v>6500</v>
      </c>
      <c r="F27" s="212">
        <v>150</v>
      </c>
      <c r="G27" s="211">
        <v>150</v>
      </c>
      <c r="H27" s="207">
        <f t="shared" si="1"/>
        <v>6800</v>
      </c>
      <c r="I27" s="207">
        <f>5000+1650</f>
        <v>6650</v>
      </c>
      <c r="J27" s="207">
        <f t="shared" si="0"/>
        <v>150</v>
      </c>
      <c r="K27" s="207"/>
      <c r="L27" s="207"/>
      <c r="M27" s="193"/>
      <c r="N27" s="193"/>
      <c r="O27" s="193"/>
    </row>
    <row r="28" spans="1:15" ht="23.25" x14ac:dyDescent="0.35">
      <c r="A28" s="216" t="s">
        <v>235</v>
      </c>
      <c r="B28" s="204" t="s">
        <v>59</v>
      </c>
      <c r="C28" s="210"/>
      <c r="D28" s="206">
        <f>'OCTOBER  21'!J28:J92</f>
        <v>100</v>
      </c>
      <c r="E28" s="211">
        <v>6500</v>
      </c>
      <c r="F28" s="212">
        <v>0</v>
      </c>
      <c r="G28" s="211">
        <v>150</v>
      </c>
      <c r="H28" s="207">
        <f t="shared" si="1"/>
        <v>6750</v>
      </c>
      <c r="I28" s="207">
        <v>6500</v>
      </c>
      <c r="J28" s="207">
        <f>H28-I28</f>
        <v>250</v>
      </c>
      <c r="K28" s="207"/>
      <c r="L28" s="207"/>
      <c r="M28" s="193"/>
      <c r="N28" s="193"/>
      <c r="O28" s="193"/>
    </row>
    <row r="29" spans="1:15" ht="23.25" x14ac:dyDescent="0.35">
      <c r="A29" s="219" t="s">
        <v>17</v>
      </c>
      <c r="B29" s="204" t="s">
        <v>60</v>
      </c>
      <c r="C29" s="210"/>
      <c r="D29" s="206">
        <f>'OCTOBER  21'!J29:J93</f>
        <v>0</v>
      </c>
      <c r="E29" s="211"/>
      <c r="F29" s="212"/>
      <c r="G29" s="211"/>
      <c r="H29" s="207">
        <f t="shared" si="1"/>
        <v>0</v>
      </c>
      <c r="I29" s="207"/>
      <c r="J29" s="207">
        <f>H29-I29</f>
        <v>0</v>
      </c>
      <c r="K29" s="207"/>
      <c r="L29" s="207"/>
      <c r="M29" s="193"/>
      <c r="N29" s="193"/>
      <c r="O29" s="193"/>
    </row>
    <row r="30" spans="1:15" ht="23.25" x14ac:dyDescent="0.35">
      <c r="A30" s="216" t="s">
        <v>241</v>
      </c>
      <c r="B30" s="204" t="s">
        <v>61</v>
      </c>
      <c r="C30" s="210"/>
      <c r="D30" s="206">
        <f>'OCTOBER  21'!J30:J94</f>
        <v>0</v>
      </c>
      <c r="E30" s="211">
        <v>6500</v>
      </c>
      <c r="F30" s="212">
        <v>150</v>
      </c>
      <c r="G30" s="211">
        <v>150</v>
      </c>
      <c r="H30" s="207">
        <f t="shared" si="1"/>
        <v>6800</v>
      </c>
      <c r="I30" s="207">
        <v>6800</v>
      </c>
      <c r="J30" s="207">
        <f t="shared" si="0"/>
        <v>0</v>
      </c>
      <c r="K30" s="207"/>
      <c r="L30" s="207"/>
      <c r="M30" s="193"/>
      <c r="N30" s="193"/>
      <c r="O30" s="193"/>
    </row>
    <row r="31" spans="1:15" ht="23.25" x14ac:dyDescent="0.35">
      <c r="A31" s="216" t="s">
        <v>106</v>
      </c>
      <c r="B31" s="204" t="s">
        <v>62</v>
      </c>
      <c r="C31" s="205"/>
      <c r="D31" s="206">
        <f>'OCTOBER  21'!J31:J95</f>
        <v>0</v>
      </c>
      <c r="E31" s="211">
        <v>6500</v>
      </c>
      <c r="F31" s="212">
        <v>150</v>
      </c>
      <c r="G31" s="211">
        <v>150</v>
      </c>
      <c r="H31" s="207">
        <f t="shared" si="1"/>
        <v>6800</v>
      </c>
      <c r="I31" s="207">
        <v>6800</v>
      </c>
      <c r="J31" s="207">
        <f t="shared" si="0"/>
        <v>0</v>
      </c>
      <c r="K31" s="207"/>
      <c r="L31" s="207"/>
      <c r="M31" s="193"/>
      <c r="N31" s="193"/>
      <c r="O31" s="193"/>
    </row>
    <row r="32" spans="1:15" ht="23.25" x14ac:dyDescent="0.35">
      <c r="A32" s="216" t="s">
        <v>181</v>
      </c>
      <c r="B32" s="204" t="s">
        <v>63</v>
      </c>
      <c r="C32" s="210"/>
      <c r="D32" s="206">
        <f>'OCTOBER  21'!J32:J96</f>
        <v>3750</v>
      </c>
      <c r="E32" s="211">
        <v>6500</v>
      </c>
      <c r="F32" s="212">
        <v>0</v>
      </c>
      <c r="G32" s="211"/>
      <c r="H32" s="207">
        <f t="shared" si="1"/>
        <v>10250</v>
      </c>
      <c r="I32" s="207">
        <v>6500</v>
      </c>
      <c r="J32" s="207">
        <f t="shared" si="0"/>
        <v>3750</v>
      </c>
      <c r="K32" s="207"/>
      <c r="L32" s="207"/>
      <c r="M32" s="193"/>
      <c r="N32" s="193"/>
      <c r="O32" s="193"/>
    </row>
    <row r="33" spans="1:15" ht="23.25" x14ac:dyDescent="0.35">
      <c r="A33" s="216" t="s">
        <v>171</v>
      </c>
      <c r="B33" s="204" t="s">
        <v>64</v>
      </c>
      <c r="C33" s="210"/>
      <c r="D33" s="206">
        <f>'OCTOBER  21'!J33:J97</f>
        <v>0</v>
      </c>
      <c r="E33" s="211">
        <v>6500</v>
      </c>
      <c r="F33" s="212">
        <v>150</v>
      </c>
      <c r="G33" s="211">
        <v>150</v>
      </c>
      <c r="H33" s="207">
        <f t="shared" si="1"/>
        <v>6800</v>
      </c>
      <c r="I33" s="207">
        <v>6800</v>
      </c>
      <c r="J33" s="207">
        <f t="shared" si="0"/>
        <v>0</v>
      </c>
      <c r="K33" s="207"/>
      <c r="L33" s="207"/>
      <c r="M33" s="193"/>
      <c r="N33" s="193"/>
      <c r="O33" s="193"/>
    </row>
    <row r="34" spans="1:15" ht="23.25" x14ac:dyDescent="0.35">
      <c r="A34" s="216" t="s">
        <v>288</v>
      </c>
      <c r="B34" s="204" t="s">
        <v>65</v>
      </c>
      <c r="C34" s="210"/>
      <c r="D34" s="206">
        <f>'OCTOBER  21'!J34:J98</f>
        <v>150</v>
      </c>
      <c r="E34" s="212">
        <v>6500</v>
      </c>
      <c r="F34" s="212">
        <v>0</v>
      </c>
      <c r="G34" s="211">
        <v>150</v>
      </c>
      <c r="H34" s="207">
        <f t="shared" si="1"/>
        <v>6800</v>
      </c>
      <c r="I34" s="207">
        <f>6650</f>
        <v>6650</v>
      </c>
      <c r="J34" s="207">
        <f t="shared" si="0"/>
        <v>150</v>
      </c>
      <c r="K34" s="207"/>
      <c r="L34" s="207"/>
      <c r="M34" s="193"/>
      <c r="N34" s="193"/>
      <c r="O34" s="193"/>
    </row>
    <row r="35" spans="1:15" ht="23.25" x14ac:dyDescent="0.35">
      <c r="A35" s="216" t="s">
        <v>356</v>
      </c>
      <c r="B35" s="204" t="s">
        <v>66</v>
      </c>
      <c r="C35" s="205"/>
      <c r="D35" s="206">
        <f>'OCTOBER  21'!J35:J99</f>
        <v>0</v>
      </c>
      <c r="E35" s="212">
        <v>6500</v>
      </c>
      <c r="F35" s="212"/>
      <c r="G35" s="211"/>
      <c r="H35" s="207">
        <f t="shared" si="1"/>
        <v>6500</v>
      </c>
      <c r="I35" s="207"/>
      <c r="J35" s="213">
        <f t="shared" si="0"/>
        <v>6500</v>
      </c>
      <c r="K35" s="213"/>
      <c r="L35" s="213"/>
      <c r="M35" s="193" t="s">
        <v>493</v>
      </c>
      <c r="N35" s="193"/>
      <c r="O35" s="193"/>
    </row>
    <row r="36" spans="1:15" ht="23.25" x14ac:dyDescent="0.35">
      <c r="A36" s="216" t="s">
        <v>426</v>
      </c>
      <c r="B36" s="204" t="s">
        <v>67</v>
      </c>
      <c r="C36" s="210"/>
      <c r="D36" s="206">
        <f>'OCTOBER  21'!J36:J100</f>
        <v>0</v>
      </c>
      <c r="E36" s="212">
        <v>6500</v>
      </c>
      <c r="F36" s="212">
        <v>0</v>
      </c>
      <c r="G36" s="211">
        <v>150</v>
      </c>
      <c r="H36" s="207">
        <f t="shared" si="1"/>
        <v>6650</v>
      </c>
      <c r="I36" s="207">
        <v>6650</v>
      </c>
      <c r="J36" s="207">
        <f t="shared" si="0"/>
        <v>0</v>
      </c>
      <c r="K36" s="207"/>
      <c r="L36" s="207"/>
      <c r="M36" s="193"/>
      <c r="N36" s="193"/>
      <c r="O36" s="193"/>
    </row>
    <row r="37" spans="1:15" ht="23.25" x14ac:dyDescent="0.35">
      <c r="A37" s="216" t="s">
        <v>432</v>
      </c>
      <c r="B37" s="204" t="s">
        <v>68</v>
      </c>
      <c r="C37" s="210"/>
      <c r="D37" s="206">
        <f>'OCTOBER  21'!J37:J101</f>
        <v>0</v>
      </c>
      <c r="E37" s="212">
        <v>7000</v>
      </c>
      <c r="F37" s="212">
        <v>0</v>
      </c>
      <c r="G37" s="211"/>
      <c r="H37" s="207">
        <f t="shared" si="1"/>
        <v>7000</v>
      </c>
      <c r="I37" s="207">
        <f>7000</f>
        <v>7000</v>
      </c>
      <c r="J37" s="207">
        <f t="shared" si="0"/>
        <v>0</v>
      </c>
      <c r="K37" s="193"/>
      <c r="L37" s="207"/>
      <c r="M37" s="193"/>
      <c r="N37" s="193"/>
      <c r="O37" s="193"/>
    </row>
    <row r="38" spans="1:15" ht="23.25" x14ac:dyDescent="0.35">
      <c r="A38" s="216" t="s">
        <v>280</v>
      </c>
      <c r="B38" s="204" t="s">
        <v>69</v>
      </c>
      <c r="C38" s="210"/>
      <c r="D38" s="206">
        <f>'OCTOBER  21'!J38:J102</f>
        <v>0</v>
      </c>
      <c r="E38" s="212">
        <v>5500</v>
      </c>
      <c r="F38" s="212">
        <v>150</v>
      </c>
      <c r="G38" s="211"/>
      <c r="H38" s="207">
        <f t="shared" si="1"/>
        <v>5650</v>
      </c>
      <c r="I38" s="207">
        <v>5650</v>
      </c>
      <c r="J38" s="207">
        <f t="shared" si="0"/>
        <v>0</v>
      </c>
      <c r="K38" s="207"/>
      <c r="L38" s="207"/>
      <c r="M38" s="193"/>
      <c r="N38" s="193"/>
      <c r="O38" s="193"/>
    </row>
    <row r="39" spans="1:15" ht="23.25" x14ac:dyDescent="0.35">
      <c r="A39" s="216" t="s">
        <v>125</v>
      </c>
      <c r="B39" s="204" t="s">
        <v>70</v>
      </c>
      <c r="C39" s="210"/>
      <c r="D39" s="206">
        <f>'OCTOBER  21'!J39:J103</f>
        <v>150</v>
      </c>
      <c r="E39" s="212">
        <v>7000</v>
      </c>
      <c r="F39" s="212">
        <v>150</v>
      </c>
      <c r="G39" s="211">
        <v>150</v>
      </c>
      <c r="H39" s="207">
        <f t="shared" si="1"/>
        <v>7450</v>
      </c>
      <c r="I39" s="207">
        <v>7450</v>
      </c>
      <c r="J39" s="207">
        <f t="shared" si="0"/>
        <v>0</v>
      </c>
      <c r="K39" s="207"/>
      <c r="L39" s="207"/>
      <c r="M39" s="193"/>
      <c r="N39" s="193"/>
      <c r="O39" s="193"/>
    </row>
    <row r="40" spans="1:15" ht="23.25" x14ac:dyDescent="0.35">
      <c r="A40" s="216" t="s">
        <v>351</v>
      </c>
      <c r="B40" s="220" t="s">
        <v>71</v>
      </c>
      <c r="C40" s="221"/>
      <c r="D40" s="206">
        <f>'OCTOBER  21'!J40:J104</f>
        <v>150</v>
      </c>
      <c r="E40" s="212">
        <v>6500</v>
      </c>
      <c r="F40" s="212">
        <v>150</v>
      </c>
      <c r="G40" s="211">
        <v>150</v>
      </c>
      <c r="H40" s="207">
        <f t="shared" si="1"/>
        <v>6950</v>
      </c>
      <c r="I40" s="207">
        <v>6650</v>
      </c>
      <c r="J40" s="207">
        <f t="shared" si="0"/>
        <v>300</v>
      </c>
      <c r="K40" s="213"/>
      <c r="L40" s="213"/>
      <c r="M40" s="193"/>
      <c r="N40" s="193"/>
      <c r="O40" s="193"/>
    </row>
    <row r="41" spans="1:15" ht="23.25" x14ac:dyDescent="0.35">
      <c r="A41" s="216" t="s">
        <v>127</v>
      </c>
      <c r="B41" s="204" t="s">
        <v>72</v>
      </c>
      <c r="C41" s="210"/>
      <c r="D41" s="206">
        <f>'OCTOBER  21'!J41:J105</f>
        <v>0</v>
      </c>
      <c r="E41" s="212">
        <v>6500</v>
      </c>
      <c r="F41" s="212">
        <v>150</v>
      </c>
      <c r="G41" s="211">
        <v>150</v>
      </c>
      <c r="H41" s="207">
        <f t="shared" si="1"/>
        <v>6800</v>
      </c>
      <c r="I41" s="207">
        <v>6800</v>
      </c>
      <c r="J41" s="207">
        <f>H41-I41</f>
        <v>0</v>
      </c>
      <c r="K41" s="207"/>
      <c r="L41" s="207"/>
      <c r="M41" s="193"/>
      <c r="N41" s="193"/>
      <c r="O41" s="193"/>
    </row>
    <row r="42" spans="1:15" ht="23.25" x14ac:dyDescent="0.35">
      <c r="A42" s="216" t="s">
        <v>124</v>
      </c>
      <c r="B42" s="204" t="s">
        <v>73</v>
      </c>
      <c r="C42" s="210"/>
      <c r="D42" s="206">
        <f>'OCTOBER  21'!J42:J106</f>
        <v>0</v>
      </c>
      <c r="E42" s="212">
        <v>6500</v>
      </c>
      <c r="F42" s="212">
        <v>0</v>
      </c>
      <c r="G42" s="211">
        <v>150</v>
      </c>
      <c r="H42" s="207">
        <f t="shared" si="1"/>
        <v>6650</v>
      </c>
      <c r="I42" s="207">
        <f>6100</f>
        <v>6100</v>
      </c>
      <c r="J42" s="207">
        <f t="shared" si="0"/>
        <v>550</v>
      </c>
      <c r="K42" s="207"/>
      <c r="L42" s="207"/>
      <c r="M42" s="193"/>
      <c r="N42" s="193"/>
      <c r="O42" s="193"/>
    </row>
    <row r="43" spans="1:15" ht="23.25" x14ac:dyDescent="0.35">
      <c r="A43" s="216" t="s">
        <v>353</v>
      </c>
      <c r="B43" s="204" t="s">
        <v>74</v>
      </c>
      <c r="C43" s="210"/>
      <c r="D43" s="206">
        <f>'OCTOBER  21'!J43:J107</f>
        <v>1400</v>
      </c>
      <c r="E43" s="212">
        <v>6500</v>
      </c>
      <c r="F43" s="212">
        <v>150</v>
      </c>
      <c r="G43" s="211">
        <v>150</v>
      </c>
      <c r="H43" s="207">
        <f>D43+E43+F43+G43+C43</f>
        <v>8200</v>
      </c>
      <c r="I43" s="207">
        <f>4000+1000</f>
        <v>5000</v>
      </c>
      <c r="J43" s="207">
        <f t="shared" si="0"/>
        <v>3200</v>
      </c>
      <c r="K43" s="207"/>
      <c r="L43" s="207"/>
      <c r="M43" s="193"/>
      <c r="N43" s="193"/>
      <c r="O43" s="193"/>
    </row>
    <row r="44" spans="1:15" ht="23.25" x14ac:dyDescent="0.35">
      <c r="A44" s="216" t="s">
        <v>270</v>
      </c>
      <c r="B44" s="204" t="s">
        <v>75</v>
      </c>
      <c r="C44" s="210"/>
      <c r="D44" s="206">
        <f>'OCTOBER  21'!J44:J108</f>
        <v>150</v>
      </c>
      <c r="E44" s="212">
        <v>6500</v>
      </c>
      <c r="F44" s="212">
        <v>150</v>
      </c>
      <c r="G44" s="211">
        <v>150</v>
      </c>
      <c r="H44" s="207">
        <f t="shared" si="1"/>
        <v>6950</v>
      </c>
      <c r="I44" s="207">
        <f>6800+150</f>
        <v>6950</v>
      </c>
      <c r="J44" s="207">
        <f t="shared" si="0"/>
        <v>0</v>
      </c>
      <c r="K44" s="207"/>
      <c r="L44" s="207"/>
      <c r="M44" s="193"/>
      <c r="N44" s="193"/>
      <c r="O44" s="193"/>
    </row>
    <row r="45" spans="1:15" ht="23.25" x14ac:dyDescent="0.35">
      <c r="A45" s="216" t="s">
        <v>307</v>
      </c>
      <c r="B45" s="204" t="s">
        <v>76</v>
      </c>
      <c r="C45" s="210"/>
      <c r="D45" s="206">
        <f>'OCTOBER  21'!J45:J109</f>
        <v>150</v>
      </c>
      <c r="E45" s="212">
        <v>6500</v>
      </c>
      <c r="F45" s="218">
        <v>150</v>
      </c>
      <c r="G45" s="211">
        <v>150</v>
      </c>
      <c r="H45" s="207">
        <f>D45+E45+F45+G45+C45</f>
        <v>6950</v>
      </c>
      <c r="I45" s="207">
        <v>6800</v>
      </c>
      <c r="J45" s="207">
        <f t="shared" si="0"/>
        <v>150</v>
      </c>
      <c r="K45" s="207"/>
      <c r="L45" s="207"/>
      <c r="M45" s="193"/>
      <c r="N45" s="193"/>
      <c r="O45" s="193"/>
    </row>
    <row r="46" spans="1:15" ht="23.25" x14ac:dyDescent="0.35">
      <c r="A46" s="216" t="s">
        <v>430</v>
      </c>
      <c r="B46" s="204" t="s">
        <v>77</v>
      </c>
      <c r="C46" s="210"/>
      <c r="D46" s="206">
        <f>'OCTOBER  21'!J46:J110</f>
        <v>2150</v>
      </c>
      <c r="E46" s="212">
        <v>6500</v>
      </c>
      <c r="F46" s="212">
        <v>0</v>
      </c>
      <c r="G46" s="211">
        <v>150</v>
      </c>
      <c r="H46" s="207">
        <f>D46+E46+G46+C46</f>
        <v>8800</v>
      </c>
      <c r="I46" s="207">
        <f>3000+1000+1000</f>
        <v>5000</v>
      </c>
      <c r="J46" s="207">
        <f t="shared" si="0"/>
        <v>3800</v>
      </c>
      <c r="K46" s="207"/>
      <c r="L46" s="207"/>
      <c r="M46" s="193"/>
      <c r="N46" s="193"/>
      <c r="O46" s="193"/>
    </row>
    <row r="47" spans="1:15" ht="23.25" x14ac:dyDescent="0.35">
      <c r="A47" s="216" t="s">
        <v>487</v>
      </c>
      <c r="B47" s="204" t="s">
        <v>78</v>
      </c>
      <c r="C47" s="210">
        <v>6500</v>
      </c>
      <c r="D47" s="206"/>
      <c r="E47" s="212">
        <v>3250</v>
      </c>
      <c r="F47" s="212">
        <v>0</v>
      </c>
      <c r="G47" s="211"/>
      <c r="H47" s="207">
        <f t="shared" si="1"/>
        <v>9750</v>
      </c>
      <c r="I47" s="207">
        <v>9750</v>
      </c>
      <c r="J47" s="207">
        <f t="shared" si="0"/>
        <v>0</v>
      </c>
      <c r="K47" s="207"/>
      <c r="L47" s="207">
        <v>1000</v>
      </c>
      <c r="M47" s="193"/>
      <c r="N47" s="193"/>
      <c r="O47" s="193"/>
    </row>
    <row r="48" spans="1:15" ht="23.25" x14ac:dyDescent="0.35">
      <c r="A48" s="216" t="s">
        <v>361</v>
      </c>
      <c r="B48" s="204" t="s">
        <v>79</v>
      </c>
      <c r="C48" s="210"/>
      <c r="D48" s="206">
        <f>'OCTOBER  21'!J48:J112</f>
        <v>0</v>
      </c>
      <c r="E48" s="212">
        <v>6500</v>
      </c>
      <c r="F48" s="212">
        <v>150</v>
      </c>
      <c r="G48" s="211">
        <v>150</v>
      </c>
      <c r="H48" s="207">
        <f t="shared" si="1"/>
        <v>6800</v>
      </c>
      <c r="I48" s="207">
        <f>3400+3400</f>
        <v>6800</v>
      </c>
      <c r="J48" s="213">
        <f t="shared" si="0"/>
        <v>0</v>
      </c>
      <c r="K48" s="207"/>
      <c r="L48" s="207"/>
      <c r="M48" s="193"/>
      <c r="N48" s="193"/>
      <c r="O48" s="193"/>
    </row>
    <row r="49" spans="1:15" ht="23.25" x14ac:dyDescent="0.35">
      <c r="A49" s="216" t="s">
        <v>428</v>
      </c>
      <c r="B49" s="204" t="s">
        <v>80</v>
      </c>
      <c r="C49" s="210"/>
      <c r="D49" s="206">
        <f>'OCTOBER  21'!J49:J113</f>
        <v>150</v>
      </c>
      <c r="E49" s="212">
        <v>6500</v>
      </c>
      <c r="F49" s="212">
        <v>0</v>
      </c>
      <c r="G49" s="211">
        <v>300</v>
      </c>
      <c r="H49" s="207">
        <f t="shared" si="1"/>
        <v>6950</v>
      </c>
      <c r="I49" s="207">
        <v>6500</v>
      </c>
      <c r="J49" s="207">
        <f t="shared" si="0"/>
        <v>450</v>
      </c>
      <c r="K49" s="207"/>
      <c r="L49" s="207"/>
      <c r="M49" s="193"/>
      <c r="N49" s="193"/>
      <c r="O49" s="193"/>
    </row>
    <row r="50" spans="1:15" ht="23.25" x14ac:dyDescent="0.35">
      <c r="A50" s="216" t="s">
        <v>135</v>
      </c>
      <c r="B50" s="204" t="s">
        <v>81</v>
      </c>
      <c r="C50" s="210"/>
      <c r="D50" s="206">
        <f>'OCTOBER  21'!J50:J114</f>
        <v>20100</v>
      </c>
      <c r="E50" s="212">
        <v>7000</v>
      </c>
      <c r="F50" s="212">
        <v>0</v>
      </c>
      <c r="G50" s="211"/>
      <c r="H50" s="207">
        <f t="shared" si="1"/>
        <v>27100</v>
      </c>
      <c r="I50" s="207"/>
      <c r="J50" s="207">
        <f t="shared" si="0"/>
        <v>27100</v>
      </c>
      <c r="K50" s="207"/>
      <c r="L50" s="207"/>
      <c r="M50" s="193"/>
      <c r="N50" s="193"/>
      <c r="O50" s="193"/>
    </row>
    <row r="51" spans="1:15" ht="23.25" x14ac:dyDescent="0.35">
      <c r="A51" s="216" t="s">
        <v>138</v>
      </c>
      <c r="B51" s="204" t="s">
        <v>82</v>
      </c>
      <c r="C51" s="210"/>
      <c r="D51" s="206">
        <f>'OCTOBER  21'!J51:J115</f>
        <v>300</v>
      </c>
      <c r="E51" s="212">
        <v>5500</v>
      </c>
      <c r="F51" s="212">
        <v>150</v>
      </c>
      <c r="G51" s="211">
        <v>150</v>
      </c>
      <c r="H51" s="207">
        <f t="shared" si="1"/>
        <v>6100</v>
      </c>
      <c r="I51" s="207">
        <v>5650</v>
      </c>
      <c r="J51" s="207">
        <f t="shared" si="0"/>
        <v>450</v>
      </c>
      <c r="K51" s="207"/>
      <c r="L51" s="207"/>
      <c r="M51" s="193"/>
      <c r="N51" s="193"/>
      <c r="O51" s="193"/>
    </row>
    <row r="52" spans="1:15" ht="23.25" x14ac:dyDescent="0.35">
      <c r="A52" s="216" t="s">
        <v>477</v>
      </c>
      <c r="B52" s="204" t="s">
        <v>83</v>
      </c>
      <c r="C52" s="210">
        <v>4350</v>
      </c>
      <c r="D52" s="206"/>
      <c r="E52" s="212">
        <v>7000</v>
      </c>
      <c r="F52" s="212">
        <v>150</v>
      </c>
      <c r="G52" s="211">
        <v>150</v>
      </c>
      <c r="H52" s="207">
        <f t="shared" si="1"/>
        <v>11650</v>
      </c>
      <c r="I52" s="207">
        <v>11500</v>
      </c>
      <c r="J52" s="207">
        <f>H52-I52</f>
        <v>150</v>
      </c>
      <c r="K52" s="207"/>
      <c r="L52" s="207"/>
      <c r="M52" s="193"/>
      <c r="N52" s="193"/>
      <c r="O52" s="193"/>
    </row>
    <row r="53" spans="1:15" ht="23.25" x14ac:dyDescent="0.35">
      <c r="A53" s="216" t="s">
        <v>429</v>
      </c>
      <c r="B53" s="204" t="s">
        <v>84</v>
      </c>
      <c r="C53" s="210"/>
      <c r="D53" s="206">
        <f>'OCTOBER  21'!J53:J117</f>
        <v>2800</v>
      </c>
      <c r="E53" s="212">
        <v>6500</v>
      </c>
      <c r="F53" s="212"/>
      <c r="G53" s="211">
        <v>150</v>
      </c>
      <c r="H53" s="207">
        <f t="shared" si="1"/>
        <v>9450</v>
      </c>
      <c r="I53" s="207">
        <f>4000+3550</f>
        <v>7550</v>
      </c>
      <c r="J53" s="207">
        <f t="shared" si="0"/>
        <v>1900</v>
      </c>
      <c r="K53" s="207"/>
      <c r="L53" s="207"/>
      <c r="M53" s="193"/>
      <c r="N53" s="193"/>
      <c r="O53" s="193"/>
    </row>
    <row r="54" spans="1:15" ht="23.25" x14ac:dyDescent="0.35">
      <c r="A54" s="216" t="s">
        <v>212</v>
      </c>
      <c r="B54" s="204" t="s">
        <v>85</v>
      </c>
      <c r="C54" s="210"/>
      <c r="D54" s="206">
        <f>'OCTOBER  21'!J54:J118</f>
        <v>350</v>
      </c>
      <c r="E54" s="212">
        <v>6500</v>
      </c>
      <c r="F54" s="212">
        <v>300</v>
      </c>
      <c r="G54" s="211"/>
      <c r="H54" s="207">
        <f t="shared" si="1"/>
        <v>7150</v>
      </c>
      <c r="I54" s="207">
        <v>6800</v>
      </c>
      <c r="J54" s="207">
        <f t="shared" si="0"/>
        <v>350</v>
      </c>
      <c r="K54" s="207"/>
      <c r="L54" s="207"/>
      <c r="M54" s="193"/>
      <c r="N54" s="222"/>
      <c r="O54" s="193"/>
    </row>
    <row r="55" spans="1:15" ht="23.25" x14ac:dyDescent="0.35">
      <c r="A55" s="203" t="s">
        <v>289</v>
      </c>
      <c r="B55" s="204" t="s">
        <v>86</v>
      </c>
      <c r="C55" s="210"/>
      <c r="D55" s="206">
        <f>'OCTOBER  21'!J55:J119</f>
        <v>300</v>
      </c>
      <c r="E55" s="212">
        <v>6500</v>
      </c>
      <c r="F55" s="212">
        <v>150</v>
      </c>
      <c r="G55" s="211">
        <v>150</v>
      </c>
      <c r="H55" s="207">
        <f>D55+E55+F55+G55+C55</f>
        <v>7100</v>
      </c>
      <c r="I55" s="207">
        <v>6500</v>
      </c>
      <c r="J55" s="207">
        <f>H55-I55</f>
        <v>600</v>
      </c>
      <c r="K55" s="207"/>
      <c r="L55" s="207"/>
      <c r="M55" s="193"/>
      <c r="N55" s="193"/>
      <c r="O55" s="193"/>
    </row>
    <row r="56" spans="1:15" ht="23.25" x14ac:dyDescent="0.35">
      <c r="A56" s="216" t="s">
        <v>433</v>
      </c>
      <c r="B56" s="204" t="s">
        <v>87</v>
      </c>
      <c r="C56" s="210"/>
      <c r="D56" s="206">
        <f>'OCTOBER  21'!J56:J120</f>
        <v>0</v>
      </c>
      <c r="E56" s="212">
        <v>6500</v>
      </c>
      <c r="F56" s="212">
        <v>150</v>
      </c>
      <c r="G56" s="211">
        <v>150</v>
      </c>
      <c r="H56" s="223">
        <f>D56+E56+F56+G56+C56</f>
        <v>6800</v>
      </c>
      <c r="I56" s="224">
        <v>6650</v>
      </c>
      <c r="J56" s="223">
        <f t="shared" si="0"/>
        <v>150</v>
      </c>
      <c r="K56" s="207"/>
      <c r="L56" s="207"/>
      <c r="M56" s="193"/>
      <c r="N56" s="193"/>
      <c r="O56" s="193"/>
    </row>
    <row r="57" spans="1:15" ht="23.25" x14ac:dyDescent="0.35">
      <c r="A57" s="216" t="s">
        <v>405</v>
      </c>
      <c r="B57" s="204" t="s">
        <v>88</v>
      </c>
      <c r="C57" s="210"/>
      <c r="D57" s="206">
        <f>'OCTOBER  21'!J57:J121</f>
        <v>150</v>
      </c>
      <c r="E57" s="212">
        <v>6500</v>
      </c>
      <c r="F57" s="212"/>
      <c r="G57" s="211">
        <v>150</v>
      </c>
      <c r="H57" s="207">
        <f t="shared" si="1"/>
        <v>6800</v>
      </c>
      <c r="I57" s="207">
        <v>6650</v>
      </c>
      <c r="J57" s="207">
        <f t="shared" si="0"/>
        <v>150</v>
      </c>
      <c r="K57" s="207"/>
      <c r="L57" s="207"/>
      <c r="M57" s="193"/>
      <c r="N57" s="193"/>
      <c r="O57" s="193"/>
    </row>
    <row r="58" spans="1:15" ht="23.25" x14ac:dyDescent="0.35">
      <c r="A58" s="216" t="s">
        <v>110</v>
      </c>
      <c r="B58" s="204" t="s">
        <v>89</v>
      </c>
      <c r="C58" s="210"/>
      <c r="D58" s="206">
        <f>'OCTOBER  21'!J58:J122</f>
        <v>10500</v>
      </c>
      <c r="E58" s="212">
        <v>7000</v>
      </c>
      <c r="F58" s="212">
        <v>300</v>
      </c>
      <c r="G58" s="211">
        <v>150</v>
      </c>
      <c r="H58" s="207">
        <f t="shared" si="1"/>
        <v>17950</v>
      </c>
      <c r="I58" s="207">
        <f>6650+10000</f>
        <v>16650</v>
      </c>
      <c r="J58" s="207">
        <f t="shared" si="0"/>
        <v>1300</v>
      </c>
      <c r="K58" s="207"/>
      <c r="L58" s="207"/>
      <c r="M58" s="193"/>
      <c r="N58" s="193"/>
      <c r="O58" s="193"/>
    </row>
    <row r="59" spans="1:15" ht="23.25" x14ac:dyDescent="0.35">
      <c r="A59" s="219" t="s">
        <v>17</v>
      </c>
      <c r="B59" s="204" t="s">
        <v>90</v>
      </c>
      <c r="C59" s="210"/>
      <c r="D59" s="206">
        <f>'OCTOBER  21'!J59:J123</f>
        <v>0</v>
      </c>
      <c r="E59" s="212"/>
      <c r="F59" s="212"/>
      <c r="G59" s="211"/>
      <c r="H59" s="207">
        <f t="shared" si="1"/>
        <v>0</v>
      </c>
      <c r="I59" s="207"/>
      <c r="J59" s="207">
        <f>H59-I59</f>
        <v>0</v>
      </c>
      <c r="K59" s="207"/>
      <c r="L59" s="207"/>
      <c r="M59" s="193"/>
      <c r="N59" s="193"/>
      <c r="O59" s="193"/>
    </row>
    <row r="60" spans="1:15" ht="23.25" x14ac:dyDescent="0.35">
      <c r="A60" s="219" t="s">
        <v>17</v>
      </c>
      <c r="B60" s="204" t="s">
        <v>91</v>
      </c>
      <c r="C60" s="210"/>
      <c r="D60" s="206">
        <f>'OCTOBER  21'!J60:J124</f>
        <v>0</v>
      </c>
      <c r="E60" s="212"/>
      <c r="F60" s="212"/>
      <c r="G60" s="211"/>
      <c r="H60" s="207">
        <f t="shared" si="1"/>
        <v>0</v>
      </c>
      <c r="I60" s="207"/>
      <c r="J60" s="207">
        <f>H60-I60</f>
        <v>0</v>
      </c>
      <c r="K60" s="207"/>
      <c r="L60" s="207"/>
      <c r="M60" s="193"/>
      <c r="N60" s="193"/>
      <c r="O60" s="193"/>
    </row>
    <row r="61" spans="1:15" ht="23.25" x14ac:dyDescent="0.35">
      <c r="A61" s="219" t="s">
        <v>17</v>
      </c>
      <c r="B61" s="204" t="s">
        <v>92</v>
      </c>
      <c r="C61" s="210"/>
      <c r="D61" s="206">
        <f>'OCTOBER  21'!J61:J125</f>
        <v>0</v>
      </c>
      <c r="E61" s="212"/>
      <c r="F61" s="212"/>
      <c r="G61" s="211"/>
      <c r="H61" s="207">
        <f t="shared" si="1"/>
        <v>0</v>
      </c>
      <c r="I61" s="207"/>
      <c r="J61" s="207">
        <f t="shared" si="0"/>
        <v>0</v>
      </c>
      <c r="K61" s="207"/>
      <c r="L61" s="207"/>
      <c r="M61" s="193"/>
      <c r="N61" s="193"/>
      <c r="O61" s="193"/>
    </row>
    <row r="62" spans="1:15" ht="23.25" x14ac:dyDescent="0.35">
      <c r="A62" s="203" t="s">
        <v>331</v>
      </c>
      <c r="B62" s="204" t="s">
        <v>93</v>
      </c>
      <c r="C62" s="210"/>
      <c r="D62" s="206">
        <f>'OCTOBER  21'!J62:J126</f>
        <v>300</v>
      </c>
      <c r="E62" s="212">
        <v>6500</v>
      </c>
      <c r="F62" s="212">
        <v>150</v>
      </c>
      <c r="G62" s="211"/>
      <c r="H62" s="207">
        <f t="shared" si="1"/>
        <v>6950</v>
      </c>
      <c r="I62" s="207">
        <f>6500</f>
        <v>6500</v>
      </c>
      <c r="J62" s="207">
        <f t="shared" si="0"/>
        <v>450</v>
      </c>
      <c r="K62" s="207"/>
      <c r="L62" s="207"/>
      <c r="M62" s="193"/>
      <c r="N62" s="193"/>
      <c r="O62" s="193"/>
    </row>
    <row r="63" spans="1:15" ht="23.25" x14ac:dyDescent="0.35">
      <c r="A63" s="219" t="s">
        <v>17</v>
      </c>
      <c r="B63" s="204" t="s">
        <v>94</v>
      </c>
      <c r="C63" s="210"/>
      <c r="D63" s="206">
        <f>'OCTOBER  21'!J63:J127</f>
        <v>0</v>
      </c>
      <c r="E63" s="212"/>
      <c r="F63" s="212"/>
      <c r="G63" s="211"/>
      <c r="H63" s="207">
        <f t="shared" si="1"/>
        <v>0</v>
      </c>
      <c r="I63" s="207"/>
      <c r="J63" s="207">
        <f t="shared" si="0"/>
        <v>0</v>
      </c>
      <c r="K63" s="207"/>
      <c r="L63" s="207"/>
      <c r="M63" s="193"/>
      <c r="N63" s="193"/>
      <c r="O63" s="193"/>
    </row>
    <row r="64" spans="1:15" ht="23.25" x14ac:dyDescent="0.35">
      <c r="A64" s="216" t="s">
        <v>464</v>
      </c>
      <c r="B64" s="204" t="s">
        <v>95</v>
      </c>
      <c r="C64" s="210"/>
      <c r="D64" s="206">
        <f>'OCTOBER  21'!J64:J128</f>
        <v>0</v>
      </c>
      <c r="E64" s="212">
        <v>5500</v>
      </c>
      <c r="F64" s="212">
        <v>0</v>
      </c>
      <c r="G64" s="211">
        <v>150</v>
      </c>
      <c r="H64" s="207">
        <f t="shared" si="1"/>
        <v>5650</v>
      </c>
      <c r="I64" s="207">
        <f>2000+800+2850</f>
        <v>5650</v>
      </c>
      <c r="J64" s="207">
        <f t="shared" si="0"/>
        <v>0</v>
      </c>
      <c r="K64" s="207"/>
      <c r="L64" s="207"/>
      <c r="M64" s="193"/>
      <c r="N64" s="193"/>
      <c r="O64" s="193"/>
    </row>
    <row r="65" spans="1:15" ht="23.25" x14ac:dyDescent="0.35">
      <c r="A65" s="216" t="s">
        <v>204</v>
      </c>
      <c r="B65" s="204" t="s">
        <v>96</v>
      </c>
      <c r="C65" s="210"/>
      <c r="D65" s="206">
        <f>'OCTOBER  21'!J65:J129</f>
        <v>0</v>
      </c>
      <c r="E65" s="212">
        <v>7000</v>
      </c>
      <c r="F65" s="212">
        <v>150</v>
      </c>
      <c r="G65" s="211"/>
      <c r="H65" s="207">
        <f t="shared" si="1"/>
        <v>7150</v>
      </c>
      <c r="I65" s="207">
        <f>3500</f>
        <v>3500</v>
      </c>
      <c r="J65" s="207">
        <f>H65-I65</f>
        <v>3650</v>
      </c>
      <c r="K65" s="207"/>
      <c r="L65" s="207"/>
      <c r="M65" s="193"/>
      <c r="N65" s="193"/>
      <c r="O65" s="193"/>
    </row>
    <row r="66" spans="1:15" ht="23.25" x14ac:dyDescent="0.35">
      <c r="A66" s="216" t="s">
        <v>462</v>
      </c>
      <c r="B66" s="204" t="s">
        <v>97</v>
      </c>
      <c r="C66" s="210"/>
      <c r="D66" s="206">
        <f>'OCTOBER  21'!J66:J130</f>
        <v>0</v>
      </c>
      <c r="E66" s="212">
        <v>6500</v>
      </c>
      <c r="F66" s="212"/>
      <c r="G66" s="211"/>
      <c r="H66" s="207">
        <f t="shared" si="1"/>
        <v>6500</v>
      </c>
      <c r="I66" s="207">
        <f>6500</f>
        <v>6500</v>
      </c>
      <c r="J66" s="207">
        <f t="shared" si="0"/>
        <v>0</v>
      </c>
      <c r="K66" s="207"/>
      <c r="L66" s="207"/>
      <c r="M66" s="193"/>
      <c r="N66" s="193"/>
      <c r="O66" s="193"/>
    </row>
    <row r="67" spans="1:15" ht="23.25" x14ac:dyDescent="0.35">
      <c r="A67" s="216" t="s">
        <v>354</v>
      </c>
      <c r="B67" s="204" t="s">
        <v>98</v>
      </c>
      <c r="C67" s="210"/>
      <c r="D67" s="206">
        <f>'OCTOBER  21'!J67:J131</f>
        <v>1150</v>
      </c>
      <c r="E67" s="212">
        <v>6500</v>
      </c>
      <c r="F67" s="212">
        <v>300</v>
      </c>
      <c r="G67" s="211">
        <v>150</v>
      </c>
      <c r="H67" s="207">
        <f t="shared" si="1"/>
        <v>8100</v>
      </c>
      <c r="I67" s="207">
        <f>4000+1290</f>
        <v>5290</v>
      </c>
      <c r="J67" s="207">
        <f t="shared" si="0"/>
        <v>2810</v>
      </c>
      <c r="K67" s="207"/>
      <c r="L67" s="207"/>
      <c r="M67" s="193"/>
      <c r="N67" s="193"/>
      <c r="O67" s="193"/>
    </row>
    <row r="68" spans="1:15" ht="23.25" x14ac:dyDescent="0.35">
      <c r="A68" s="216" t="s">
        <v>115</v>
      </c>
      <c r="B68" s="204" t="s">
        <v>99</v>
      </c>
      <c r="C68" s="210"/>
      <c r="D68" s="206">
        <f>'OCTOBER  21'!J68:J132</f>
        <v>0</v>
      </c>
      <c r="E68" s="212">
        <v>6500</v>
      </c>
      <c r="F68" s="212">
        <v>300</v>
      </c>
      <c r="G68" s="211">
        <v>150</v>
      </c>
      <c r="H68" s="207">
        <f t="shared" si="1"/>
        <v>6950</v>
      </c>
      <c r="I68" s="207">
        <f>5000+1000</f>
        <v>6000</v>
      </c>
      <c r="J68" s="207">
        <f>H68-I68</f>
        <v>950</v>
      </c>
      <c r="K68" s="207"/>
      <c r="L68" s="207"/>
      <c r="M68" s="193"/>
      <c r="N68" s="193"/>
      <c r="O68" s="193"/>
    </row>
    <row r="69" spans="1:15" ht="23.25" x14ac:dyDescent="0.35">
      <c r="A69" s="216" t="s">
        <v>423</v>
      </c>
      <c r="B69" s="204" t="s">
        <v>100</v>
      </c>
      <c r="C69" s="210"/>
      <c r="D69" s="206">
        <f>'OCTOBER  21'!J69:J133</f>
        <v>0</v>
      </c>
      <c r="E69" s="212">
        <v>6500</v>
      </c>
      <c r="F69" s="212"/>
      <c r="G69" s="211"/>
      <c r="H69" s="207">
        <f t="shared" si="1"/>
        <v>6500</v>
      </c>
      <c r="I69" s="207"/>
      <c r="J69" s="207">
        <f>H69-I69</f>
        <v>6500</v>
      </c>
      <c r="K69" s="207"/>
      <c r="L69" s="207"/>
      <c r="M69" s="193" t="s">
        <v>493</v>
      </c>
      <c r="N69" s="193"/>
      <c r="O69" s="193"/>
    </row>
    <row r="70" spans="1:15" ht="23.25" x14ac:dyDescent="0.35">
      <c r="A70" s="216" t="s">
        <v>116</v>
      </c>
      <c r="B70" s="204" t="s">
        <v>101</v>
      </c>
      <c r="C70" s="210"/>
      <c r="D70" s="206">
        <f>'OCTOBER  21'!J70:J134</f>
        <v>0</v>
      </c>
      <c r="E70" s="212">
        <v>7000</v>
      </c>
      <c r="F70" s="212">
        <v>150</v>
      </c>
      <c r="G70" s="211">
        <v>150</v>
      </c>
      <c r="H70" s="207">
        <f t="shared" si="1"/>
        <v>7300</v>
      </c>
      <c r="I70" s="207">
        <v>7300</v>
      </c>
      <c r="J70" s="207">
        <f>H70-I70</f>
        <v>0</v>
      </c>
      <c r="K70" s="207"/>
      <c r="L70" s="207"/>
      <c r="M70" s="193"/>
      <c r="N70" s="193"/>
      <c r="O70" s="193"/>
    </row>
    <row r="71" spans="1:15" ht="23.25" x14ac:dyDescent="0.35">
      <c r="A71" s="225" t="s">
        <v>28</v>
      </c>
      <c r="B71" s="216"/>
      <c r="C71" s="210">
        <f>SUM(C6:C70)</f>
        <v>28100</v>
      </c>
      <c r="D71" s="206">
        <f>SUM(D6:D70)</f>
        <v>50667</v>
      </c>
      <c r="E71" s="226">
        <f>SUM(E6:E70)</f>
        <v>384500</v>
      </c>
      <c r="F71" s="227">
        <f t="shared" ref="F71:L71" si="2">SUM(F6:F70)</f>
        <v>5700</v>
      </c>
      <c r="G71" s="228">
        <f>SUM(G6:G70)</f>
        <v>6900</v>
      </c>
      <c r="H71" s="207">
        <f>SUM(H6:H70)</f>
        <v>475867</v>
      </c>
      <c r="I71" s="207">
        <f t="shared" si="2"/>
        <v>401290</v>
      </c>
      <c r="J71" s="207">
        <f>SUM(J6:J70)</f>
        <v>74577</v>
      </c>
      <c r="K71" s="207">
        <f t="shared" si="2"/>
        <v>0</v>
      </c>
      <c r="L71" s="207">
        <f t="shared" si="2"/>
        <v>1000</v>
      </c>
      <c r="M71" s="193"/>
      <c r="N71" s="193"/>
      <c r="O71" s="193"/>
    </row>
    <row r="72" spans="1:15" ht="23.25" x14ac:dyDescent="0.35">
      <c r="A72" s="229" t="s">
        <v>30</v>
      </c>
      <c r="B72" s="229"/>
      <c r="C72" s="229"/>
      <c r="D72" s="230"/>
      <c r="E72" s="231"/>
      <c r="F72" s="229" t="s">
        <v>10</v>
      </c>
      <c r="G72" s="229"/>
      <c r="H72" s="229"/>
      <c r="I72" s="194"/>
      <c r="J72" s="194"/>
      <c r="K72" s="194"/>
      <c r="L72" s="192"/>
      <c r="M72" s="193"/>
      <c r="N72" s="193"/>
      <c r="O72" s="193"/>
    </row>
    <row r="73" spans="1:15" ht="23.25" x14ac:dyDescent="0.35">
      <c r="A73" s="225" t="s">
        <v>31</v>
      </c>
      <c r="B73" s="225" t="s">
        <v>32</v>
      </c>
      <c r="C73" s="225" t="s">
        <v>33</v>
      </c>
      <c r="D73" s="225" t="s">
        <v>34</v>
      </c>
      <c r="E73" s="225"/>
      <c r="F73" s="225" t="s">
        <v>31</v>
      </c>
      <c r="G73" s="225"/>
      <c r="H73" s="225" t="s">
        <v>35</v>
      </c>
      <c r="I73" s="225" t="s">
        <v>33</v>
      </c>
      <c r="J73" s="225" t="s">
        <v>34</v>
      </c>
      <c r="K73" s="225"/>
      <c r="L73" s="232"/>
      <c r="M73" s="193"/>
      <c r="N73" s="193"/>
      <c r="O73" s="193"/>
    </row>
    <row r="74" spans="1:15" ht="23.25" x14ac:dyDescent="0.35">
      <c r="A74" s="216" t="s">
        <v>473</v>
      </c>
      <c r="B74" s="233">
        <f>E71</f>
        <v>384500</v>
      </c>
      <c r="C74" s="216"/>
      <c r="D74" s="216"/>
      <c r="E74" s="216"/>
      <c r="F74" s="216" t="s">
        <v>473</v>
      </c>
      <c r="G74" s="216"/>
      <c r="H74" s="234">
        <f>I71</f>
        <v>401290</v>
      </c>
      <c r="I74" s="216"/>
      <c r="J74" s="216"/>
      <c r="K74" s="216"/>
      <c r="L74" s="235"/>
      <c r="M74" s="193"/>
      <c r="N74" s="193"/>
      <c r="O74" s="193"/>
    </row>
    <row r="75" spans="1:15" ht="23.25" x14ac:dyDescent="0.35">
      <c r="A75" s="216" t="s">
        <v>37</v>
      </c>
      <c r="B75" s="233">
        <f>'OCTOBER  21'!D99</f>
        <v>112359.18999999994</v>
      </c>
      <c r="C75" s="216"/>
      <c r="D75" s="216"/>
      <c r="E75" s="216"/>
      <c r="F75" s="216" t="s">
        <v>37</v>
      </c>
      <c r="G75" s="216"/>
      <c r="H75" s="233">
        <f>'OCTOBER  21'!J99</f>
        <v>4512.1899999999441</v>
      </c>
      <c r="I75" s="216"/>
      <c r="J75" s="216"/>
      <c r="K75" s="216"/>
      <c r="L75" s="235"/>
      <c r="M75" s="193"/>
      <c r="N75" s="193"/>
      <c r="O75" s="193"/>
    </row>
    <row r="76" spans="1:15" ht="23.25" x14ac:dyDescent="0.35">
      <c r="A76" s="216" t="s">
        <v>38</v>
      </c>
      <c r="B76" s="233">
        <f>C71</f>
        <v>28100</v>
      </c>
      <c r="C76" s="216"/>
      <c r="D76" s="216"/>
      <c r="E76" s="216"/>
      <c r="F76" s="216"/>
      <c r="G76" s="216"/>
      <c r="H76" s="216"/>
      <c r="I76" s="216"/>
      <c r="J76" s="216"/>
      <c r="K76" s="216"/>
      <c r="L76" s="235"/>
      <c r="M76" s="193"/>
      <c r="N76" s="193"/>
      <c r="O76" s="193"/>
    </row>
    <row r="77" spans="1:15" ht="23.25" x14ac:dyDescent="0.35">
      <c r="A77" s="216" t="s">
        <v>7</v>
      </c>
      <c r="B77" s="233">
        <f>F71</f>
        <v>5700</v>
      </c>
      <c r="C77" s="216"/>
      <c r="D77" s="216"/>
      <c r="E77" s="216"/>
      <c r="F77" s="216"/>
      <c r="G77" s="216"/>
      <c r="H77" s="216"/>
      <c r="I77" s="216"/>
      <c r="J77" s="216"/>
      <c r="K77" s="216"/>
      <c r="L77" s="235"/>
      <c r="M77" s="193"/>
      <c r="N77" s="193"/>
      <c r="O77" s="193"/>
    </row>
    <row r="78" spans="1:15" ht="23.25" x14ac:dyDescent="0.35">
      <c r="A78" s="216" t="s">
        <v>39</v>
      </c>
      <c r="B78" s="233">
        <f>K71</f>
        <v>0</v>
      </c>
      <c r="C78" s="216"/>
      <c r="D78" s="216"/>
      <c r="E78" s="216"/>
      <c r="F78" s="216"/>
      <c r="G78" s="216"/>
      <c r="H78" s="216"/>
      <c r="I78" s="216"/>
      <c r="J78" s="216"/>
      <c r="K78" s="216"/>
      <c r="L78" s="235"/>
      <c r="M78" s="193"/>
      <c r="N78" s="193"/>
      <c r="O78" s="193"/>
    </row>
    <row r="79" spans="1:15" ht="23.25" x14ac:dyDescent="0.35">
      <c r="A79" s="216" t="s">
        <v>40</v>
      </c>
      <c r="B79" s="234">
        <f>L71</f>
        <v>1000</v>
      </c>
      <c r="C79" s="216"/>
      <c r="D79" s="216"/>
      <c r="E79" s="216"/>
      <c r="F79" s="216" t="s">
        <v>40</v>
      </c>
      <c r="G79" s="216"/>
      <c r="H79" s="234">
        <f>L71</f>
        <v>1000</v>
      </c>
      <c r="I79" s="216"/>
      <c r="J79" s="216"/>
      <c r="K79" s="216"/>
      <c r="L79" s="235"/>
      <c r="M79" s="193"/>
      <c r="N79" s="193"/>
      <c r="O79" s="193"/>
    </row>
    <row r="80" spans="1:15" ht="23.25" x14ac:dyDescent="0.35">
      <c r="A80" s="216"/>
      <c r="B80" s="233"/>
      <c r="C80" s="216"/>
      <c r="D80" s="216"/>
      <c r="E80" s="216"/>
      <c r="F80" s="216"/>
      <c r="G80" s="233"/>
      <c r="H80" s="193"/>
      <c r="I80" s="193"/>
      <c r="J80" s="216"/>
      <c r="K80" s="216"/>
      <c r="L80" s="235"/>
      <c r="M80" s="193"/>
      <c r="N80" s="193"/>
      <c r="O80" s="193"/>
    </row>
    <row r="81" spans="1:15" ht="23.25" x14ac:dyDescent="0.35">
      <c r="A81" s="216"/>
      <c r="B81" s="234"/>
      <c r="C81" s="233"/>
      <c r="D81" s="216"/>
      <c r="E81" s="216"/>
      <c r="F81" s="216"/>
      <c r="G81" s="216"/>
      <c r="H81" s="216"/>
      <c r="I81" s="233"/>
      <c r="J81" s="233"/>
      <c r="K81" s="233"/>
      <c r="L81" s="236"/>
      <c r="M81" s="193"/>
      <c r="N81" s="193"/>
      <c r="O81" s="193"/>
    </row>
    <row r="82" spans="1:15" ht="23.25" x14ac:dyDescent="0.35">
      <c r="A82" s="225" t="s">
        <v>41</v>
      </c>
      <c r="B82" s="216" t="s">
        <v>42</v>
      </c>
      <c r="C82" s="216"/>
      <c r="D82" s="216"/>
      <c r="E82" s="216"/>
      <c r="F82" s="225" t="s">
        <v>41</v>
      </c>
      <c r="G82" s="225"/>
      <c r="H82" s="225"/>
      <c r="I82" s="216"/>
      <c r="J82" s="216"/>
      <c r="K82" s="216"/>
      <c r="L82" s="235"/>
      <c r="M82" s="193"/>
      <c r="N82" s="193"/>
      <c r="O82" s="193"/>
    </row>
    <row r="83" spans="1:15" ht="23.25" x14ac:dyDescent="0.35">
      <c r="A83" s="237" t="s">
        <v>43</v>
      </c>
      <c r="B83" s="238">
        <v>7.0000000000000007E-2</v>
      </c>
      <c r="C83" s="239">
        <f>B83*E71</f>
        <v>26915.000000000004</v>
      </c>
      <c r="D83" s="216"/>
      <c r="E83" s="216"/>
      <c r="F83" s="237" t="s">
        <v>43</v>
      </c>
      <c r="G83" s="237"/>
      <c r="H83" s="238">
        <v>7.0000000000000007E-2</v>
      </c>
      <c r="I83" s="234">
        <f>H83*E71</f>
        <v>26915.000000000004</v>
      </c>
      <c r="J83" s="216"/>
      <c r="K83" s="216"/>
      <c r="L83" s="235"/>
      <c r="M83" s="193"/>
      <c r="N83" s="193"/>
      <c r="O83" s="193"/>
    </row>
    <row r="84" spans="1:15" ht="23.25" x14ac:dyDescent="0.35">
      <c r="A84" s="240" t="s">
        <v>136</v>
      </c>
      <c r="B84" s="241">
        <v>0.3</v>
      </c>
      <c r="C84" s="222"/>
      <c r="D84" s="234"/>
      <c r="E84" s="234"/>
      <c r="F84" s="240" t="s">
        <v>136</v>
      </c>
      <c r="G84" s="241">
        <v>0.3</v>
      </c>
      <c r="H84" s="193"/>
      <c r="I84" s="222">
        <f>C84</f>
        <v>0</v>
      </c>
      <c r="J84" s="193"/>
      <c r="K84" s="234"/>
      <c r="L84" s="242"/>
      <c r="M84" s="193"/>
      <c r="N84" s="193"/>
      <c r="O84" s="193"/>
    </row>
    <row r="85" spans="1:15" ht="23.25" x14ac:dyDescent="0.35">
      <c r="A85" s="240"/>
      <c r="B85" s="241"/>
      <c r="C85" s="222"/>
      <c r="D85" s="234"/>
      <c r="E85" s="234"/>
      <c r="F85" s="243" t="s">
        <v>8</v>
      </c>
      <c r="G85" s="238"/>
      <c r="H85" s="234"/>
      <c r="I85" s="234">
        <f>G71</f>
        <v>6900</v>
      </c>
      <c r="J85" s="193"/>
      <c r="K85" s="234"/>
      <c r="L85" s="242"/>
      <c r="M85" s="193"/>
      <c r="N85" s="193"/>
      <c r="O85" s="193"/>
    </row>
    <row r="86" spans="1:15" ht="23.25" x14ac:dyDescent="0.35">
      <c r="A86" s="240" t="s">
        <v>134</v>
      </c>
      <c r="B86" s="238"/>
      <c r="C86" s="234">
        <v>8000</v>
      </c>
      <c r="D86" s="216"/>
      <c r="E86" s="216"/>
      <c r="F86" s="240" t="s">
        <v>134</v>
      </c>
      <c r="G86" s="238"/>
      <c r="H86" s="234"/>
      <c r="I86" s="234">
        <v>8000</v>
      </c>
      <c r="J86" s="216"/>
      <c r="K86" s="216"/>
      <c r="L86" s="235"/>
      <c r="M86" s="193"/>
      <c r="N86" s="193"/>
      <c r="O86" s="193"/>
    </row>
    <row r="87" spans="1:15" ht="23.25" x14ac:dyDescent="0.35">
      <c r="A87" s="240" t="s">
        <v>160</v>
      </c>
      <c r="B87" s="238"/>
      <c r="C87" s="244">
        <v>8000</v>
      </c>
      <c r="D87" s="216"/>
      <c r="E87" s="216"/>
      <c r="F87" s="240" t="s">
        <v>160</v>
      </c>
      <c r="G87" s="238"/>
      <c r="H87" s="244"/>
      <c r="I87" s="245">
        <v>8000</v>
      </c>
      <c r="J87" s="216"/>
      <c r="K87" s="216"/>
      <c r="L87" s="235"/>
      <c r="M87" s="193"/>
      <c r="N87" s="193"/>
      <c r="O87" s="193"/>
    </row>
    <row r="88" spans="1:15" ht="23.25" x14ac:dyDescent="0.35">
      <c r="A88" s="240" t="s">
        <v>120</v>
      </c>
      <c r="B88" s="238"/>
      <c r="C88" s="203">
        <v>1000</v>
      </c>
      <c r="D88" s="216"/>
      <c r="E88" s="216"/>
      <c r="F88" s="240" t="s">
        <v>120</v>
      </c>
      <c r="G88" s="238"/>
      <c r="H88" s="203"/>
      <c r="I88" s="234">
        <v>1000</v>
      </c>
      <c r="J88" s="216"/>
      <c r="K88" s="216"/>
      <c r="L88" s="235"/>
      <c r="M88" s="193"/>
      <c r="N88" s="193"/>
      <c r="O88" s="193"/>
    </row>
    <row r="89" spans="1:15" ht="23.25" x14ac:dyDescent="0.35">
      <c r="A89" s="246" t="s">
        <v>481</v>
      </c>
      <c r="B89" s="247"/>
      <c r="C89" s="248">
        <v>2372</v>
      </c>
      <c r="D89" s="249"/>
      <c r="E89" s="249"/>
      <c r="F89" s="246" t="s">
        <v>481</v>
      </c>
      <c r="G89" s="247"/>
      <c r="H89" s="248"/>
      <c r="I89" s="248">
        <v>2372</v>
      </c>
      <c r="J89" s="216"/>
      <c r="K89" s="216"/>
      <c r="L89" s="235"/>
      <c r="M89" s="193"/>
      <c r="N89" s="193"/>
      <c r="O89" s="193"/>
    </row>
    <row r="90" spans="1:15" ht="23.25" x14ac:dyDescent="0.35">
      <c r="A90" s="246" t="s">
        <v>482</v>
      </c>
      <c r="B90" s="247"/>
      <c r="C90" s="248">
        <v>1012</v>
      </c>
      <c r="D90" s="249"/>
      <c r="E90" s="249"/>
      <c r="F90" s="246" t="s">
        <v>482</v>
      </c>
      <c r="G90" s="247"/>
      <c r="H90" s="248"/>
      <c r="I90" s="248">
        <v>1012</v>
      </c>
      <c r="J90" s="216"/>
      <c r="K90" s="216"/>
      <c r="L90" s="235"/>
      <c r="M90" s="193"/>
      <c r="N90" s="193"/>
      <c r="O90" s="193"/>
    </row>
    <row r="91" spans="1:15" ht="23.25" x14ac:dyDescent="0.35">
      <c r="A91" s="246" t="s">
        <v>483</v>
      </c>
      <c r="B91" s="247"/>
      <c r="C91" s="248">
        <f>2400</f>
        <v>2400</v>
      </c>
      <c r="D91" s="249"/>
      <c r="E91" s="249"/>
      <c r="F91" s="246" t="s">
        <v>483</v>
      </c>
      <c r="G91" s="247"/>
      <c r="H91" s="248"/>
      <c r="I91" s="248">
        <v>2400</v>
      </c>
      <c r="J91" s="216"/>
      <c r="K91" s="216"/>
      <c r="L91" s="235"/>
      <c r="M91" s="193"/>
      <c r="N91" s="193"/>
      <c r="O91" s="193"/>
    </row>
    <row r="92" spans="1:15" ht="23.25" x14ac:dyDescent="0.35">
      <c r="A92" s="246" t="s">
        <v>484</v>
      </c>
      <c r="B92" s="247"/>
      <c r="C92" s="248">
        <v>1522</v>
      </c>
      <c r="D92" s="249"/>
      <c r="E92" s="249"/>
      <c r="F92" s="246" t="s">
        <v>484</v>
      </c>
      <c r="G92" s="247"/>
      <c r="H92" s="248"/>
      <c r="I92" s="248">
        <v>1522</v>
      </c>
      <c r="J92" s="216"/>
      <c r="K92" s="216"/>
      <c r="L92" s="235"/>
      <c r="M92" s="193"/>
      <c r="N92" s="193"/>
      <c r="O92" s="193"/>
    </row>
    <row r="93" spans="1:15" ht="23.25" x14ac:dyDescent="0.35">
      <c r="A93" s="246" t="s">
        <v>485</v>
      </c>
      <c r="B93" s="247"/>
      <c r="C93" s="250">
        <v>2951</v>
      </c>
      <c r="D93" s="249"/>
      <c r="E93" s="249"/>
      <c r="F93" s="246" t="s">
        <v>485</v>
      </c>
      <c r="G93" s="247"/>
      <c r="H93" s="250"/>
      <c r="I93" s="250">
        <v>2951</v>
      </c>
      <c r="J93" s="216"/>
      <c r="K93" s="216"/>
      <c r="L93" s="235"/>
      <c r="M93" s="193"/>
      <c r="N93" s="193"/>
      <c r="O93" s="193"/>
    </row>
    <row r="94" spans="1:15" ht="23.25" x14ac:dyDescent="0.35">
      <c r="A94" s="246" t="s">
        <v>486</v>
      </c>
      <c r="B94" s="247"/>
      <c r="C94" s="250">
        <v>2400</v>
      </c>
      <c r="D94" s="249"/>
      <c r="E94" s="249"/>
      <c r="F94" s="246" t="s">
        <v>486</v>
      </c>
      <c r="G94" s="247"/>
      <c r="H94" s="250"/>
      <c r="I94" s="250">
        <v>2400</v>
      </c>
      <c r="J94" s="216"/>
      <c r="K94" s="216"/>
      <c r="L94" s="235"/>
      <c r="M94" s="193"/>
      <c r="N94" s="193"/>
      <c r="O94" s="193"/>
    </row>
    <row r="95" spans="1:15" ht="23.25" x14ac:dyDescent="0.35">
      <c r="A95" s="246" t="s">
        <v>489</v>
      </c>
      <c r="B95" s="247"/>
      <c r="C95" s="250">
        <v>300000</v>
      </c>
      <c r="D95" s="249"/>
      <c r="E95" s="249"/>
      <c r="F95" s="246" t="s">
        <v>489</v>
      </c>
      <c r="G95" s="247"/>
      <c r="H95" s="250"/>
      <c r="I95" s="250">
        <v>300000</v>
      </c>
      <c r="J95" s="216"/>
      <c r="K95" s="216"/>
      <c r="L95" s="235"/>
      <c r="M95" s="193"/>
      <c r="N95" s="193"/>
      <c r="O95" s="193"/>
    </row>
    <row r="96" spans="1:15" ht="23.25" x14ac:dyDescent="0.35">
      <c r="A96" s="246" t="s">
        <v>490</v>
      </c>
      <c r="B96" s="247"/>
      <c r="C96" s="250">
        <f>H35</f>
        <v>6500</v>
      </c>
      <c r="D96" s="249"/>
      <c r="E96" s="249"/>
      <c r="F96" s="246"/>
      <c r="G96" s="247"/>
      <c r="H96" s="250"/>
      <c r="I96" s="250"/>
      <c r="J96" s="216"/>
      <c r="K96" s="216"/>
      <c r="L96" s="235"/>
      <c r="M96" s="193"/>
      <c r="N96" s="193"/>
      <c r="O96" s="193"/>
    </row>
    <row r="97" spans="1:15" ht="23.25" x14ac:dyDescent="0.35">
      <c r="A97" s="246" t="s">
        <v>491</v>
      </c>
      <c r="B97" s="247"/>
      <c r="C97" s="257">
        <f>H69</f>
        <v>6500</v>
      </c>
      <c r="D97" s="249"/>
      <c r="E97" s="249"/>
      <c r="F97" s="246"/>
      <c r="G97" s="247"/>
      <c r="H97" s="248"/>
      <c r="I97" s="248"/>
      <c r="J97" s="216"/>
      <c r="K97" s="216"/>
      <c r="L97" s="235"/>
      <c r="M97" s="193"/>
      <c r="N97" s="193"/>
      <c r="O97" s="193"/>
    </row>
    <row r="98" spans="1:15" ht="23.25" x14ac:dyDescent="0.35">
      <c r="A98" s="246" t="s">
        <v>496</v>
      </c>
      <c r="B98" s="247"/>
      <c r="C98" s="257">
        <v>5055</v>
      </c>
      <c r="D98" s="249"/>
      <c r="E98" s="249"/>
      <c r="F98" s="246" t="s">
        <v>496</v>
      </c>
      <c r="G98" s="247"/>
      <c r="H98" s="257"/>
      <c r="I98" s="248">
        <v>5055</v>
      </c>
      <c r="J98" s="216"/>
      <c r="K98" s="216"/>
      <c r="L98" s="235"/>
      <c r="M98" s="193"/>
      <c r="N98" s="193"/>
      <c r="O98" s="193"/>
    </row>
    <row r="99" spans="1:15" ht="23.25" x14ac:dyDescent="0.35">
      <c r="A99" s="240" t="s">
        <v>494</v>
      </c>
      <c r="B99" s="238"/>
      <c r="C99" s="234">
        <f>6075</f>
        <v>6075</v>
      </c>
      <c r="D99" s="216"/>
      <c r="E99" s="216"/>
      <c r="F99" s="240" t="s">
        <v>494</v>
      </c>
      <c r="G99" s="238"/>
      <c r="H99" s="234"/>
      <c r="I99" s="234">
        <v>6075</v>
      </c>
      <c r="J99" s="216"/>
      <c r="K99" s="216"/>
      <c r="L99" s="235"/>
      <c r="M99" s="193"/>
      <c r="N99" s="193"/>
      <c r="O99" s="193"/>
    </row>
    <row r="100" spans="1:15" ht="23.25" x14ac:dyDescent="0.35">
      <c r="A100" s="225" t="s">
        <v>29</v>
      </c>
      <c r="B100" s="251">
        <f>B74+B75+B76+B77+B78+B79+B81+B80</f>
        <v>531659.18999999994</v>
      </c>
      <c r="C100" s="251">
        <f>SUM(C83:C99)</f>
        <v>380702</v>
      </c>
      <c r="D100" s="251">
        <f>B100-C100</f>
        <v>150957.18999999994</v>
      </c>
      <c r="E100" s="251"/>
      <c r="F100" s="225"/>
      <c r="G100" s="225"/>
      <c r="H100" s="251">
        <f>H74+H75+H77+H79+H80</f>
        <v>406802.18999999994</v>
      </c>
      <c r="I100" s="251">
        <f>SUM(I83:I99)</f>
        <v>374602</v>
      </c>
      <c r="J100" s="251">
        <f>H100-I100</f>
        <v>32200.189999999944</v>
      </c>
      <c r="K100" s="251"/>
      <c r="L100" s="252"/>
      <c r="M100" s="193"/>
      <c r="N100" s="193"/>
      <c r="O100" s="193"/>
    </row>
    <row r="101" spans="1:15" ht="23.25" x14ac:dyDescent="0.35">
      <c r="A101" s="253" t="s">
        <v>44</v>
      </c>
      <c r="B101" s="254"/>
      <c r="C101" s="254" t="s">
        <v>45</v>
      </c>
      <c r="D101" s="244"/>
      <c r="E101" s="244"/>
      <c r="F101" s="253"/>
      <c r="G101" s="253"/>
      <c r="H101" s="253" t="s">
        <v>46</v>
      </c>
      <c r="I101" s="255">
        <f>I100-I85</f>
        <v>367702</v>
      </c>
      <c r="J101" s="194"/>
      <c r="K101" s="194"/>
      <c r="L101" s="192"/>
      <c r="M101" s="193"/>
      <c r="N101" s="193"/>
      <c r="O101" s="193"/>
    </row>
    <row r="102" spans="1:15" ht="23.25" x14ac:dyDescent="0.35">
      <c r="A102" s="194" t="s">
        <v>47</v>
      </c>
      <c r="B102" s="194"/>
      <c r="C102" s="194" t="s">
        <v>48</v>
      </c>
      <c r="D102" s="245"/>
      <c r="E102" s="194"/>
      <c r="F102" s="194"/>
      <c r="G102" s="194"/>
      <c r="H102" s="194" t="s">
        <v>118</v>
      </c>
      <c r="I102" s="256">
        <f>I100-I83</f>
        <v>347687</v>
      </c>
      <c r="J102" s="194"/>
      <c r="K102" s="245"/>
      <c r="L102" s="192"/>
      <c r="M102" s="193"/>
      <c r="N102" s="193"/>
      <c r="O102" s="193"/>
    </row>
    <row r="103" spans="1:15" ht="23.25" x14ac:dyDescent="0.35">
      <c r="A103" s="193"/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21" zoomScale="60" zoomScaleNormal="60" workbookViewId="0">
      <selection activeCell="I42" sqref="I42"/>
    </sheetView>
  </sheetViews>
  <sheetFormatPr defaultRowHeight="15" x14ac:dyDescent="0.25"/>
  <cols>
    <col min="1" max="1" width="36" customWidth="1"/>
    <col min="2" max="2" width="17.28515625" customWidth="1"/>
    <col min="3" max="3" width="18.42578125" customWidth="1"/>
    <col min="4" max="4" width="20" customWidth="1"/>
    <col min="5" max="5" width="14.140625" customWidth="1"/>
    <col min="6" max="6" width="23.85546875" customWidth="1"/>
    <col min="7" max="7" width="15.85546875" customWidth="1"/>
    <col min="8" max="8" width="16.85546875" customWidth="1"/>
    <col min="9" max="9" width="15.28515625" customWidth="1"/>
    <col min="10" max="10" width="16.140625" customWidth="1"/>
    <col min="11" max="11" width="13.85546875" customWidth="1"/>
    <col min="12" max="12" width="16.28515625" customWidth="1"/>
  </cols>
  <sheetData>
    <row r="1" spans="1:12" ht="23.25" x14ac:dyDescent="0.35">
      <c r="A1" s="192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12" ht="23.25" x14ac:dyDescent="0.35">
      <c r="A2" s="194"/>
      <c r="B2" s="195"/>
      <c r="C2" s="195"/>
      <c r="D2" s="195"/>
      <c r="E2" s="195" t="s">
        <v>49</v>
      </c>
      <c r="F2" s="194"/>
      <c r="G2" s="195"/>
      <c r="H2" s="196"/>
      <c r="I2" s="194">
        <f>7500-2167</f>
        <v>5333</v>
      </c>
      <c r="J2" s="194"/>
      <c r="K2" s="194"/>
      <c r="L2" s="194"/>
    </row>
    <row r="3" spans="1:12" ht="23.25" x14ac:dyDescent="0.35">
      <c r="A3" s="194"/>
      <c r="B3" s="195"/>
      <c r="C3" s="195"/>
      <c r="D3" s="195"/>
      <c r="E3" s="195" t="s">
        <v>0</v>
      </c>
      <c r="F3" s="195"/>
      <c r="G3" s="195"/>
      <c r="H3" s="197"/>
      <c r="I3" s="194"/>
      <c r="J3" s="194"/>
      <c r="K3" s="194"/>
      <c r="L3" s="194"/>
    </row>
    <row r="4" spans="1:12" ht="23.25" x14ac:dyDescent="0.35">
      <c r="A4" s="195"/>
      <c r="B4" s="193"/>
      <c r="C4" s="193"/>
      <c r="D4" s="195" t="s">
        <v>488</v>
      </c>
      <c r="E4" s="195"/>
      <c r="F4" s="193"/>
      <c r="G4" s="195"/>
      <c r="H4" s="198"/>
      <c r="I4" s="198"/>
      <c r="J4" s="198"/>
      <c r="K4" s="198"/>
      <c r="L4" s="198"/>
    </row>
    <row r="5" spans="1:12" ht="22.5" x14ac:dyDescent="0.3">
      <c r="A5" s="199" t="s">
        <v>2</v>
      </c>
      <c r="B5" s="199" t="s">
        <v>3</v>
      </c>
      <c r="C5" s="199" t="s">
        <v>38</v>
      </c>
      <c r="D5" s="200" t="s">
        <v>5</v>
      </c>
      <c r="E5" s="199" t="s">
        <v>6</v>
      </c>
      <c r="F5" s="201" t="s">
        <v>7</v>
      </c>
      <c r="G5" s="199" t="s">
        <v>8</v>
      </c>
      <c r="H5" s="202" t="s">
        <v>9</v>
      </c>
      <c r="I5" s="199" t="s">
        <v>10</v>
      </c>
      <c r="J5" s="199" t="s">
        <v>11</v>
      </c>
      <c r="K5" s="199" t="s">
        <v>12</v>
      </c>
      <c r="L5" s="199" t="s">
        <v>13</v>
      </c>
    </row>
    <row r="6" spans="1:12" ht="23.25" x14ac:dyDescent="0.35">
      <c r="A6" s="203" t="s">
        <v>474</v>
      </c>
      <c r="B6" s="204" t="s">
        <v>14</v>
      </c>
      <c r="C6" s="205"/>
      <c r="D6" s="206">
        <f>'NOVEMBER 21'!J6:J70</f>
        <v>0</v>
      </c>
      <c r="E6" s="207">
        <v>6500</v>
      </c>
      <c r="F6" s="208">
        <v>250</v>
      </c>
      <c r="G6" s="207">
        <v>250</v>
      </c>
      <c r="H6" s="207">
        <f>D6+E6+F6+G6+C6</f>
        <v>7000</v>
      </c>
      <c r="I6" s="207">
        <v>7000</v>
      </c>
      <c r="J6" s="207">
        <f t="shared" ref="J6:J67" si="0">H6-I6</f>
        <v>0</v>
      </c>
      <c r="K6" s="207"/>
      <c r="L6" s="207"/>
    </row>
    <row r="7" spans="1:12" ht="23.25" x14ac:dyDescent="0.35">
      <c r="A7" s="209" t="s">
        <v>411</v>
      </c>
      <c r="B7" s="204" t="s">
        <v>15</v>
      </c>
      <c r="C7" s="210"/>
      <c r="D7" s="206">
        <f>'NOVEMBER 21'!J7:J71</f>
        <v>950</v>
      </c>
      <c r="E7" s="211">
        <v>6500</v>
      </c>
      <c r="F7" s="212"/>
      <c r="G7" s="211">
        <v>150</v>
      </c>
      <c r="H7" s="207">
        <f>D7+E7+F7+G7+C7</f>
        <v>7600</v>
      </c>
      <c r="I7" s="207">
        <v>6000</v>
      </c>
      <c r="J7" s="207">
        <f>H7-I7</f>
        <v>1600</v>
      </c>
      <c r="K7" s="207"/>
      <c r="L7" s="207"/>
    </row>
    <row r="8" spans="1:12" ht="23.25" x14ac:dyDescent="0.35">
      <c r="A8" s="209" t="s">
        <v>448</v>
      </c>
      <c r="B8" s="204" t="s">
        <v>16</v>
      </c>
      <c r="C8" s="210"/>
      <c r="D8" s="206">
        <f>'NOVEMBER 21'!J8:J72</f>
        <v>1217</v>
      </c>
      <c r="E8" s="211">
        <v>6500</v>
      </c>
      <c r="F8" s="212"/>
      <c r="G8" s="211"/>
      <c r="H8" s="207">
        <f t="shared" ref="H8:H70" si="1">D8+E8+F8+G8+C8</f>
        <v>7717</v>
      </c>
      <c r="I8" s="207"/>
      <c r="J8" s="213">
        <f t="shared" si="0"/>
        <v>7717</v>
      </c>
      <c r="K8" s="207"/>
      <c r="L8" s="207"/>
    </row>
    <row r="9" spans="1:12" ht="23.25" x14ac:dyDescent="0.35">
      <c r="A9" s="209" t="s">
        <v>422</v>
      </c>
      <c r="B9" s="204" t="s">
        <v>18</v>
      </c>
      <c r="C9" s="210"/>
      <c r="D9" s="206">
        <f>'NOVEMBER 21'!J9:J73</f>
        <v>300</v>
      </c>
      <c r="E9" s="206">
        <v>6500</v>
      </c>
      <c r="F9" s="214"/>
      <c r="G9" s="211">
        <v>150</v>
      </c>
      <c r="H9" s="207">
        <f t="shared" si="1"/>
        <v>6950</v>
      </c>
      <c r="I9" s="207"/>
      <c r="J9" s="207">
        <f t="shared" si="0"/>
        <v>6950</v>
      </c>
      <c r="K9" s="207"/>
      <c r="L9" s="207"/>
    </row>
    <row r="10" spans="1:12" ht="23.25" x14ac:dyDescent="0.35">
      <c r="A10" s="209" t="s">
        <v>424</v>
      </c>
      <c r="B10" s="204" t="s">
        <v>19</v>
      </c>
      <c r="C10" s="210"/>
      <c r="D10" s="206">
        <f>'NOVEMBER 21'!J10:J74</f>
        <v>150</v>
      </c>
      <c r="E10" s="211">
        <v>6500</v>
      </c>
      <c r="F10" s="212"/>
      <c r="G10" s="211">
        <v>150</v>
      </c>
      <c r="H10" s="207">
        <f t="shared" si="1"/>
        <v>6800</v>
      </c>
      <c r="I10" s="207"/>
      <c r="J10" s="207">
        <f t="shared" si="0"/>
        <v>6800</v>
      </c>
      <c r="K10" s="207"/>
      <c r="L10" s="207"/>
    </row>
    <row r="11" spans="1:12" ht="23.25" x14ac:dyDescent="0.35">
      <c r="A11" s="215" t="s">
        <v>437</v>
      </c>
      <c r="B11" s="204" t="s">
        <v>20</v>
      </c>
      <c r="C11" s="210"/>
      <c r="D11" s="206">
        <f>'NOVEMBER 21'!J11:J75</f>
        <v>0</v>
      </c>
      <c r="E11" s="211">
        <v>7000</v>
      </c>
      <c r="F11" s="212"/>
      <c r="G11" s="211"/>
      <c r="H11" s="207">
        <f t="shared" si="1"/>
        <v>7000</v>
      </c>
      <c r="I11" s="207"/>
      <c r="J11" s="207">
        <f t="shared" si="0"/>
        <v>7000</v>
      </c>
      <c r="K11" s="207"/>
      <c r="L11" s="207"/>
    </row>
    <row r="12" spans="1:12" ht="23.25" x14ac:dyDescent="0.35">
      <c r="A12" s="216" t="s">
        <v>480</v>
      </c>
      <c r="B12" s="204" t="s">
        <v>21</v>
      </c>
      <c r="C12" s="210"/>
      <c r="D12" s="206">
        <f>'NOVEMBER 21'!J12:J76</f>
        <v>0</v>
      </c>
      <c r="E12" s="211">
        <v>5500</v>
      </c>
      <c r="F12" s="193"/>
      <c r="G12" s="211">
        <v>150</v>
      </c>
      <c r="H12" s="207">
        <f t="shared" si="1"/>
        <v>5650</v>
      </c>
      <c r="I12" s="207"/>
      <c r="J12" s="207">
        <f t="shared" si="0"/>
        <v>5650</v>
      </c>
      <c r="K12" s="207"/>
      <c r="L12" s="207"/>
    </row>
    <row r="13" spans="1:12" ht="23.25" x14ac:dyDescent="0.35">
      <c r="A13" s="217" t="s">
        <v>445</v>
      </c>
      <c r="B13" s="204" t="s">
        <v>22</v>
      </c>
      <c r="C13" s="210"/>
      <c r="D13" s="206">
        <f>'NOVEMBER 21'!J13:J77</f>
        <v>3450</v>
      </c>
      <c r="E13" s="211">
        <v>7000</v>
      </c>
      <c r="F13" s="218"/>
      <c r="G13" s="211">
        <v>150</v>
      </c>
      <c r="H13" s="207">
        <f t="shared" si="1"/>
        <v>10600</v>
      </c>
      <c r="I13" s="207"/>
      <c r="J13" s="207">
        <f t="shared" si="0"/>
        <v>10600</v>
      </c>
      <c r="K13" s="207"/>
      <c r="L13" s="207"/>
    </row>
    <row r="14" spans="1:12" ht="23.25" x14ac:dyDescent="0.35">
      <c r="A14" s="216" t="s">
        <v>459</v>
      </c>
      <c r="B14" s="204" t="s">
        <v>23</v>
      </c>
      <c r="C14" s="210"/>
      <c r="D14" s="206">
        <f>'NOVEMBER 21'!J14:J78</f>
        <v>300</v>
      </c>
      <c r="E14" s="211">
        <v>6500</v>
      </c>
      <c r="F14" s="212"/>
      <c r="G14" s="211"/>
      <c r="H14" s="207">
        <f t="shared" si="1"/>
        <v>6800</v>
      </c>
      <c r="I14" s="207"/>
      <c r="J14" s="207">
        <f t="shared" si="0"/>
        <v>6800</v>
      </c>
      <c r="K14" s="207"/>
      <c r="L14" s="207"/>
    </row>
    <row r="15" spans="1:12" ht="23.25" x14ac:dyDescent="0.35">
      <c r="A15" s="216" t="s">
        <v>439</v>
      </c>
      <c r="B15" s="204" t="s">
        <v>24</v>
      </c>
      <c r="C15" s="210"/>
      <c r="D15" s="206">
        <f>'NOVEMBER 21'!J15:J79</f>
        <v>450</v>
      </c>
      <c r="E15" s="211">
        <v>6500</v>
      </c>
      <c r="F15" s="212"/>
      <c r="G15" s="211">
        <v>150</v>
      </c>
      <c r="H15" s="207">
        <f t="shared" si="1"/>
        <v>7100</v>
      </c>
      <c r="I15" s="207"/>
      <c r="J15" s="207">
        <f>H15-I15</f>
        <v>7100</v>
      </c>
      <c r="K15" s="207"/>
      <c r="L15" s="207"/>
    </row>
    <row r="16" spans="1:12" ht="23.25" x14ac:dyDescent="0.35">
      <c r="A16" s="209" t="s">
        <v>461</v>
      </c>
      <c r="B16" s="204" t="s">
        <v>25</v>
      </c>
      <c r="C16" s="210"/>
      <c r="D16" s="206">
        <f>'NOVEMBER 21'!J16:J80</f>
        <v>0</v>
      </c>
      <c r="E16" s="211">
        <v>6500</v>
      </c>
      <c r="F16" s="212"/>
      <c r="G16" s="211"/>
      <c r="H16" s="207">
        <f t="shared" si="1"/>
        <v>6500</v>
      </c>
      <c r="I16" s="207"/>
      <c r="J16" s="207">
        <f t="shared" si="0"/>
        <v>6500</v>
      </c>
      <c r="K16" s="207"/>
      <c r="L16" s="207"/>
    </row>
    <row r="17" spans="1:12" ht="23.25" x14ac:dyDescent="0.35">
      <c r="A17" s="203" t="s">
        <v>133</v>
      </c>
      <c r="B17" s="204" t="s">
        <v>26</v>
      </c>
      <c r="C17" s="210"/>
      <c r="D17" s="206">
        <f>'NOVEMBER 21'!J17:J81</f>
        <v>150</v>
      </c>
      <c r="E17" s="211">
        <v>6500</v>
      </c>
      <c r="F17" s="212"/>
      <c r="G17" s="211">
        <v>150</v>
      </c>
      <c r="H17" s="207">
        <f t="shared" si="1"/>
        <v>6800</v>
      </c>
      <c r="I17" s="207"/>
      <c r="J17" s="207">
        <f t="shared" si="0"/>
        <v>6800</v>
      </c>
      <c r="K17" s="207"/>
      <c r="L17" s="207"/>
    </row>
    <row r="18" spans="1:12" ht="23.25" x14ac:dyDescent="0.35">
      <c r="A18" s="216" t="s">
        <v>217</v>
      </c>
      <c r="B18" s="204" t="s">
        <v>27</v>
      </c>
      <c r="C18" s="205"/>
      <c r="D18" s="206">
        <f>'NOVEMBER 21'!J18:J82</f>
        <v>450</v>
      </c>
      <c r="E18" s="211">
        <v>6500</v>
      </c>
      <c r="F18" s="212"/>
      <c r="G18" s="211">
        <v>150</v>
      </c>
      <c r="H18" s="207">
        <f t="shared" si="1"/>
        <v>7100</v>
      </c>
      <c r="I18" s="207"/>
      <c r="J18" s="207">
        <f>H18-I18</f>
        <v>7100</v>
      </c>
      <c r="K18" s="207"/>
      <c r="L18" s="207"/>
    </row>
    <row r="19" spans="1:12" ht="23.25" x14ac:dyDescent="0.35">
      <c r="A19" s="216" t="s">
        <v>374</v>
      </c>
      <c r="B19" s="204" t="s">
        <v>50</v>
      </c>
      <c r="C19" s="210"/>
      <c r="D19" s="206">
        <f>'NOVEMBER 21'!J19:J83</f>
        <v>150</v>
      </c>
      <c r="E19" s="211">
        <v>6500</v>
      </c>
      <c r="F19" s="212"/>
      <c r="G19" s="211">
        <v>150</v>
      </c>
      <c r="H19" s="207">
        <f t="shared" si="1"/>
        <v>6800</v>
      </c>
      <c r="I19" s="207"/>
      <c r="J19" s="207">
        <f t="shared" si="0"/>
        <v>6800</v>
      </c>
      <c r="K19" s="207"/>
      <c r="L19" s="207"/>
    </row>
    <row r="20" spans="1:12" ht="23.25" x14ac:dyDescent="0.35">
      <c r="A20" s="209" t="s">
        <v>260</v>
      </c>
      <c r="B20" s="204" t="s">
        <v>51</v>
      </c>
      <c r="C20" s="210"/>
      <c r="D20" s="206">
        <f>'NOVEMBER 21'!J20:J84</f>
        <v>50</v>
      </c>
      <c r="E20" s="211">
        <v>6500</v>
      </c>
      <c r="F20" s="212"/>
      <c r="G20" s="211">
        <v>150</v>
      </c>
      <c r="H20" s="207">
        <f t="shared" si="1"/>
        <v>6700</v>
      </c>
      <c r="I20" s="207"/>
      <c r="J20" s="207">
        <f t="shared" si="0"/>
        <v>6700</v>
      </c>
      <c r="K20" s="207"/>
      <c r="L20" s="207"/>
    </row>
    <row r="21" spans="1:12" ht="23.25" x14ac:dyDescent="0.35">
      <c r="A21" s="216" t="s">
        <v>431</v>
      </c>
      <c r="B21" s="204" t="s">
        <v>52</v>
      </c>
      <c r="C21" s="210"/>
      <c r="D21" s="206">
        <f>'NOVEMBER 21'!J21:J85</f>
        <v>300</v>
      </c>
      <c r="E21" s="211">
        <v>6500</v>
      </c>
      <c r="F21" s="212"/>
      <c r="G21" s="211">
        <v>150</v>
      </c>
      <c r="H21" s="207">
        <f t="shared" si="1"/>
        <v>6950</v>
      </c>
      <c r="I21" s="207">
        <v>6500</v>
      </c>
      <c r="J21" s="207">
        <f t="shared" si="0"/>
        <v>450</v>
      </c>
      <c r="K21" s="207"/>
      <c r="L21" s="207"/>
    </row>
    <row r="22" spans="1:12" ht="23.25" x14ac:dyDescent="0.35">
      <c r="A22" s="216" t="s">
        <v>375</v>
      </c>
      <c r="B22" s="204" t="s">
        <v>53</v>
      </c>
      <c r="C22" s="210"/>
      <c r="D22" s="206">
        <f>'NOVEMBER 21'!J22:J86</f>
        <v>450</v>
      </c>
      <c r="E22" s="211">
        <v>6500</v>
      </c>
      <c r="F22" s="212"/>
      <c r="G22" s="211">
        <v>150</v>
      </c>
      <c r="H22" s="207">
        <f t="shared" si="1"/>
        <v>7100</v>
      </c>
      <c r="I22" s="207"/>
      <c r="J22" s="207">
        <f t="shared" si="0"/>
        <v>7100</v>
      </c>
      <c r="K22" s="207"/>
      <c r="L22" s="207"/>
    </row>
    <row r="23" spans="1:12" ht="23.25" x14ac:dyDescent="0.35">
      <c r="A23" s="209" t="s">
        <v>479</v>
      </c>
      <c r="B23" s="204" t="s">
        <v>54</v>
      </c>
      <c r="C23" s="210"/>
      <c r="D23" s="206">
        <f>'NOVEMBER 21'!J23:J87</f>
        <v>0</v>
      </c>
      <c r="E23" s="211">
        <v>6500</v>
      </c>
      <c r="F23" s="212"/>
      <c r="G23" s="211"/>
      <c r="H23" s="207">
        <f t="shared" si="1"/>
        <v>6500</v>
      </c>
      <c r="I23" s="207">
        <v>6500</v>
      </c>
      <c r="J23" s="207">
        <f t="shared" si="0"/>
        <v>0</v>
      </c>
      <c r="K23" s="207"/>
      <c r="L23" s="207"/>
    </row>
    <row r="24" spans="1:12" ht="23.25" x14ac:dyDescent="0.35">
      <c r="A24" s="216" t="s">
        <v>417</v>
      </c>
      <c r="B24" s="204" t="s">
        <v>55</v>
      </c>
      <c r="C24" s="210"/>
      <c r="D24" s="206">
        <f>'NOVEMBER 21'!J24:J88</f>
        <v>0</v>
      </c>
      <c r="E24" s="211">
        <v>7000</v>
      </c>
      <c r="F24" s="212"/>
      <c r="G24" s="211">
        <v>150</v>
      </c>
      <c r="H24" s="207">
        <f t="shared" si="1"/>
        <v>7150</v>
      </c>
      <c r="I24" s="207">
        <v>7000</v>
      </c>
      <c r="J24" s="207">
        <f t="shared" si="0"/>
        <v>150</v>
      </c>
      <c r="K24" s="207"/>
      <c r="L24" s="207"/>
    </row>
    <row r="25" spans="1:12" ht="23.25" x14ac:dyDescent="0.35">
      <c r="A25" s="216" t="s">
        <v>155</v>
      </c>
      <c r="B25" s="204" t="s">
        <v>56</v>
      </c>
      <c r="C25" s="210"/>
      <c r="D25" s="206">
        <f>'NOVEMBER 21'!J25:J89</f>
        <v>450</v>
      </c>
      <c r="E25" s="211">
        <v>5500</v>
      </c>
      <c r="F25" s="212"/>
      <c r="G25" s="211">
        <v>150</v>
      </c>
      <c r="H25" s="207">
        <f t="shared" si="1"/>
        <v>6100</v>
      </c>
      <c r="I25" s="207"/>
      <c r="J25" s="207">
        <f t="shared" si="0"/>
        <v>6100</v>
      </c>
      <c r="K25" s="207"/>
      <c r="L25" s="207"/>
    </row>
    <row r="26" spans="1:12" ht="23.25" x14ac:dyDescent="0.35">
      <c r="A26" s="216" t="s">
        <v>130</v>
      </c>
      <c r="B26" s="204" t="s">
        <v>57</v>
      </c>
      <c r="C26" s="210"/>
      <c r="D26" s="206">
        <f>'NOVEMBER 21'!J26:J90</f>
        <v>0</v>
      </c>
      <c r="E26" s="211">
        <v>7000</v>
      </c>
      <c r="F26" s="212"/>
      <c r="G26" s="211">
        <v>150</v>
      </c>
      <c r="H26" s="207">
        <f t="shared" si="1"/>
        <v>7150</v>
      </c>
      <c r="I26" s="207">
        <v>7150</v>
      </c>
      <c r="J26" s="207">
        <f t="shared" si="0"/>
        <v>0</v>
      </c>
      <c r="K26" s="207"/>
      <c r="L26" s="207"/>
    </row>
    <row r="27" spans="1:12" ht="23.25" x14ac:dyDescent="0.35">
      <c r="A27" s="216" t="s">
        <v>132</v>
      </c>
      <c r="B27" s="204" t="s">
        <v>58</v>
      </c>
      <c r="C27" s="210"/>
      <c r="D27" s="206">
        <f>'NOVEMBER 21'!J27:J91</f>
        <v>150</v>
      </c>
      <c r="E27" s="211">
        <v>6500</v>
      </c>
      <c r="F27" s="212"/>
      <c r="G27" s="211">
        <v>150</v>
      </c>
      <c r="H27" s="207">
        <f t="shared" si="1"/>
        <v>6800</v>
      </c>
      <c r="I27" s="207"/>
      <c r="J27" s="207">
        <f t="shared" si="0"/>
        <v>6800</v>
      </c>
      <c r="K27" s="207"/>
      <c r="L27" s="207"/>
    </row>
    <row r="28" spans="1:12" ht="23.25" x14ac:dyDescent="0.35">
      <c r="A28" s="216" t="s">
        <v>235</v>
      </c>
      <c r="B28" s="204" t="s">
        <v>59</v>
      </c>
      <c r="C28" s="210"/>
      <c r="D28" s="206">
        <f>'NOVEMBER 21'!J28:J92</f>
        <v>250</v>
      </c>
      <c r="E28" s="211">
        <v>6500</v>
      </c>
      <c r="F28" s="212"/>
      <c r="G28" s="211">
        <v>150</v>
      </c>
      <c r="H28" s="207">
        <f t="shared" si="1"/>
        <v>6900</v>
      </c>
      <c r="I28" s="207"/>
      <c r="J28" s="207">
        <f>H28-I28</f>
        <v>6900</v>
      </c>
      <c r="K28" s="207"/>
      <c r="L28" s="207"/>
    </row>
    <row r="29" spans="1:12" ht="23.25" x14ac:dyDescent="0.35">
      <c r="A29" s="219" t="s">
        <v>495</v>
      </c>
      <c r="B29" s="204" t="s">
        <v>60</v>
      </c>
      <c r="C29" s="210">
        <v>6500</v>
      </c>
      <c r="D29" s="206">
        <f>'NOVEMBER 21'!J29:J93</f>
        <v>0</v>
      </c>
      <c r="E29" s="211"/>
      <c r="F29" s="212"/>
      <c r="G29" s="211"/>
      <c r="H29" s="207">
        <f t="shared" si="1"/>
        <v>6500</v>
      </c>
      <c r="I29" s="207">
        <v>6500</v>
      </c>
      <c r="J29" s="207">
        <f>H29-I29</f>
        <v>0</v>
      </c>
      <c r="K29" s="207"/>
      <c r="L29" s="207">
        <v>1000</v>
      </c>
    </row>
    <row r="30" spans="1:12" ht="23.25" x14ac:dyDescent="0.35">
      <c r="A30" s="216" t="s">
        <v>241</v>
      </c>
      <c r="B30" s="204" t="s">
        <v>61</v>
      </c>
      <c r="C30" s="210"/>
      <c r="D30" s="206">
        <f>'NOVEMBER 21'!J30:J94</f>
        <v>0</v>
      </c>
      <c r="E30" s="211">
        <v>6500</v>
      </c>
      <c r="F30" s="212"/>
      <c r="G30" s="211">
        <v>150</v>
      </c>
      <c r="H30" s="207">
        <f t="shared" si="1"/>
        <v>6650</v>
      </c>
      <c r="I30" s="207">
        <v>6500</v>
      </c>
      <c r="J30" s="207">
        <f t="shared" si="0"/>
        <v>150</v>
      </c>
      <c r="K30" s="207"/>
      <c r="L30" s="207"/>
    </row>
    <row r="31" spans="1:12" ht="23.25" x14ac:dyDescent="0.35">
      <c r="A31" s="216" t="s">
        <v>106</v>
      </c>
      <c r="B31" s="204" t="s">
        <v>62</v>
      </c>
      <c r="C31" s="205"/>
      <c r="D31" s="206">
        <f>'NOVEMBER 21'!J31:J95</f>
        <v>0</v>
      </c>
      <c r="E31" s="211">
        <v>6500</v>
      </c>
      <c r="F31" s="212"/>
      <c r="G31" s="211">
        <v>150</v>
      </c>
      <c r="H31" s="207">
        <f t="shared" si="1"/>
        <v>6650</v>
      </c>
      <c r="I31" s="207">
        <v>6650</v>
      </c>
      <c r="J31" s="207">
        <f t="shared" si="0"/>
        <v>0</v>
      </c>
      <c r="K31" s="207"/>
      <c r="L31" s="207"/>
    </row>
    <row r="32" spans="1:12" ht="23.25" x14ac:dyDescent="0.35">
      <c r="A32" s="216" t="s">
        <v>181</v>
      </c>
      <c r="B32" s="204" t="s">
        <v>63</v>
      </c>
      <c r="C32" s="210"/>
      <c r="D32" s="206">
        <f>'NOVEMBER 21'!J32:J96</f>
        <v>3750</v>
      </c>
      <c r="E32" s="211">
        <v>6500</v>
      </c>
      <c r="F32" s="212"/>
      <c r="G32" s="211"/>
      <c r="H32" s="207">
        <f t="shared" si="1"/>
        <v>10250</v>
      </c>
      <c r="I32" s="207"/>
      <c r="J32" s="207">
        <f t="shared" si="0"/>
        <v>10250</v>
      </c>
      <c r="K32" s="207"/>
      <c r="L32" s="207"/>
    </row>
    <row r="33" spans="1:12" ht="23.25" x14ac:dyDescent="0.35">
      <c r="A33" s="216" t="s">
        <v>171</v>
      </c>
      <c r="B33" s="204" t="s">
        <v>64</v>
      </c>
      <c r="C33" s="210"/>
      <c r="D33" s="206">
        <f>'NOVEMBER 21'!J33:J97</f>
        <v>0</v>
      </c>
      <c r="E33" s="211">
        <v>6500</v>
      </c>
      <c r="F33" s="212"/>
      <c r="G33" s="211">
        <v>150</v>
      </c>
      <c r="H33" s="207">
        <f t="shared" si="1"/>
        <v>6650</v>
      </c>
      <c r="I33" s="207"/>
      <c r="J33" s="207">
        <f t="shared" si="0"/>
        <v>6650</v>
      </c>
      <c r="K33" s="207"/>
      <c r="L33" s="207"/>
    </row>
    <row r="34" spans="1:12" ht="23.25" x14ac:dyDescent="0.35">
      <c r="A34" s="216" t="s">
        <v>288</v>
      </c>
      <c r="B34" s="204" t="s">
        <v>65</v>
      </c>
      <c r="C34" s="210"/>
      <c r="D34" s="206">
        <f>'NOVEMBER 21'!J34:J99</f>
        <v>150</v>
      </c>
      <c r="E34" s="212">
        <v>6500</v>
      </c>
      <c r="F34" s="212"/>
      <c r="G34" s="211">
        <v>150</v>
      </c>
      <c r="H34" s="207">
        <f t="shared" si="1"/>
        <v>6800</v>
      </c>
      <c r="I34" s="207">
        <v>6500</v>
      </c>
      <c r="J34" s="207">
        <f t="shared" si="0"/>
        <v>300</v>
      </c>
      <c r="K34" s="207"/>
      <c r="L34" s="207"/>
    </row>
    <row r="35" spans="1:12" ht="23.25" x14ac:dyDescent="0.35">
      <c r="A35" s="216"/>
      <c r="B35" s="204" t="s">
        <v>66</v>
      </c>
      <c r="C35" s="205"/>
      <c r="D35" s="206"/>
      <c r="E35" s="212"/>
      <c r="F35" s="212"/>
      <c r="G35" s="211"/>
      <c r="H35" s="207">
        <f t="shared" si="1"/>
        <v>0</v>
      </c>
      <c r="I35" s="207"/>
      <c r="J35" s="213">
        <f t="shared" si="0"/>
        <v>0</v>
      </c>
      <c r="K35" s="213"/>
      <c r="L35" s="213"/>
    </row>
    <row r="36" spans="1:12" ht="23.25" x14ac:dyDescent="0.35">
      <c r="A36" s="216" t="s">
        <v>426</v>
      </c>
      <c r="B36" s="204" t="s">
        <v>67</v>
      </c>
      <c r="C36" s="210"/>
      <c r="D36" s="206">
        <f>'NOVEMBER 21'!J36:J101</f>
        <v>0</v>
      </c>
      <c r="E36" s="212">
        <v>6500</v>
      </c>
      <c r="F36" s="212"/>
      <c r="G36" s="211">
        <v>150</v>
      </c>
      <c r="H36" s="207">
        <f t="shared" si="1"/>
        <v>6650</v>
      </c>
      <c r="I36" s="207">
        <v>6500</v>
      </c>
      <c r="J36" s="207">
        <f t="shared" si="0"/>
        <v>150</v>
      </c>
      <c r="K36" s="207"/>
      <c r="L36" s="207"/>
    </row>
    <row r="37" spans="1:12" ht="23.25" x14ac:dyDescent="0.35">
      <c r="A37" s="216" t="s">
        <v>432</v>
      </c>
      <c r="B37" s="204" t="s">
        <v>68</v>
      </c>
      <c r="C37" s="210"/>
      <c r="D37" s="206">
        <f>'NOVEMBER 21'!J37:J102</f>
        <v>0</v>
      </c>
      <c r="E37" s="212">
        <v>7000</v>
      </c>
      <c r="F37" s="212"/>
      <c r="G37" s="211"/>
      <c r="H37" s="207">
        <f t="shared" si="1"/>
        <v>7000</v>
      </c>
      <c r="I37" s="207"/>
      <c r="J37" s="207">
        <f t="shared" si="0"/>
        <v>7000</v>
      </c>
      <c r="K37" s="193"/>
      <c r="L37" s="207"/>
    </row>
    <row r="38" spans="1:12" ht="23.25" x14ac:dyDescent="0.35">
      <c r="A38" s="216" t="s">
        <v>280</v>
      </c>
      <c r="B38" s="204" t="s">
        <v>69</v>
      </c>
      <c r="C38" s="210"/>
      <c r="D38" s="206">
        <f>'NOVEMBER 21'!J38:J103</f>
        <v>0</v>
      </c>
      <c r="E38" s="212">
        <v>5500</v>
      </c>
      <c r="F38" s="212"/>
      <c r="G38" s="211"/>
      <c r="H38" s="207">
        <f t="shared" si="1"/>
        <v>5500</v>
      </c>
      <c r="I38" s="207"/>
      <c r="J38" s="207">
        <f t="shared" si="0"/>
        <v>5500</v>
      </c>
      <c r="K38" s="207"/>
      <c r="L38" s="207"/>
    </row>
    <row r="39" spans="1:12" ht="23.25" x14ac:dyDescent="0.35">
      <c r="A39" s="216" t="s">
        <v>125</v>
      </c>
      <c r="B39" s="204" t="s">
        <v>70</v>
      </c>
      <c r="C39" s="210"/>
      <c r="D39" s="206">
        <f>'NOVEMBER 21'!J39:J104</f>
        <v>0</v>
      </c>
      <c r="E39" s="212">
        <v>7000</v>
      </c>
      <c r="F39" s="212"/>
      <c r="G39" s="211">
        <v>150</v>
      </c>
      <c r="H39" s="207">
        <f t="shared" si="1"/>
        <v>7150</v>
      </c>
      <c r="I39" s="207"/>
      <c r="J39" s="207">
        <f t="shared" si="0"/>
        <v>7150</v>
      </c>
      <c r="K39" s="207"/>
      <c r="L39" s="207"/>
    </row>
    <row r="40" spans="1:12" ht="23.25" x14ac:dyDescent="0.35">
      <c r="A40" s="216" t="s">
        <v>351</v>
      </c>
      <c r="B40" s="220" t="s">
        <v>71</v>
      </c>
      <c r="C40" s="221"/>
      <c r="D40" s="206">
        <f>'NOVEMBER 21'!J40:J105</f>
        <v>300</v>
      </c>
      <c r="E40" s="212">
        <v>6500</v>
      </c>
      <c r="F40" s="212"/>
      <c r="G40" s="211">
        <v>150</v>
      </c>
      <c r="H40" s="207">
        <f t="shared" si="1"/>
        <v>6950</v>
      </c>
      <c r="I40" s="207"/>
      <c r="J40" s="207">
        <f t="shared" si="0"/>
        <v>6950</v>
      </c>
      <c r="K40" s="213"/>
      <c r="L40" s="213"/>
    </row>
    <row r="41" spans="1:12" ht="23.25" x14ac:dyDescent="0.35">
      <c r="A41" s="216" t="s">
        <v>127</v>
      </c>
      <c r="B41" s="204" t="s">
        <v>72</v>
      </c>
      <c r="C41" s="210"/>
      <c r="D41" s="206">
        <f>'NOVEMBER 21'!J41:J106</f>
        <v>0</v>
      </c>
      <c r="E41" s="212">
        <v>6500</v>
      </c>
      <c r="F41" s="212"/>
      <c r="G41" s="211">
        <v>150</v>
      </c>
      <c r="H41" s="207">
        <f t="shared" si="1"/>
        <v>6650</v>
      </c>
      <c r="I41" s="207">
        <v>6650</v>
      </c>
      <c r="J41" s="207">
        <f>H41-I41</f>
        <v>0</v>
      </c>
      <c r="K41" s="207"/>
      <c r="L41" s="207"/>
    </row>
    <row r="42" spans="1:12" ht="23.25" x14ac:dyDescent="0.35">
      <c r="A42" s="216" t="s">
        <v>124</v>
      </c>
      <c r="B42" s="204" t="s">
        <v>73</v>
      </c>
      <c r="C42" s="210"/>
      <c r="D42" s="206">
        <f>'NOVEMBER 21'!J42:J107</f>
        <v>550</v>
      </c>
      <c r="E42" s="212">
        <v>6500</v>
      </c>
      <c r="F42" s="212"/>
      <c r="G42" s="211">
        <v>150</v>
      </c>
      <c r="H42" s="207">
        <f t="shared" si="1"/>
        <v>7200</v>
      </c>
      <c r="I42" s="207"/>
      <c r="J42" s="207">
        <f t="shared" si="0"/>
        <v>7200</v>
      </c>
      <c r="K42" s="207"/>
      <c r="L42" s="207"/>
    </row>
    <row r="43" spans="1:12" ht="23.25" x14ac:dyDescent="0.35">
      <c r="A43" s="216" t="s">
        <v>353</v>
      </c>
      <c r="B43" s="204" t="s">
        <v>74</v>
      </c>
      <c r="C43" s="210"/>
      <c r="D43" s="206">
        <f>'NOVEMBER 21'!J43:J108</f>
        <v>3200</v>
      </c>
      <c r="E43" s="212">
        <v>6500</v>
      </c>
      <c r="F43" s="212"/>
      <c r="G43" s="211">
        <v>150</v>
      </c>
      <c r="H43" s="207">
        <f>D43+E43+F43+G43+C43</f>
        <v>9850</v>
      </c>
      <c r="I43" s="207"/>
      <c r="J43" s="207">
        <f t="shared" si="0"/>
        <v>9850</v>
      </c>
      <c r="K43" s="207"/>
      <c r="L43" s="207"/>
    </row>
    <row r="44" spans="1:12" ht="23.25" x14ac:dyDescent="0.35">
      <c r="A44" s="216" t="s">
        <v>270</v>
      </c>
      <c r="B44" s="204" t="s">
        <v>75</v>
      </c>
      <c r="C44" s="210"/>
      <c r="D44" s="206">
        <f>'NOVEMBER 21'!J44:J109</f>
        <v>0</v>
      </c>
      <c r="E44" s="212">
        <v>6500</v>
      </c>
      <c r="F44" s="212"/>
      <c r="G44" s="211">
        <v>150</v>
      </c>
      <c r="H44" s="207">
        <f t="shared" si="1"/>
        <v>6650</v>
      </c>
      <c r="I44" s="207"/>
      <c r="J44" s="207">
        <f t="shared" si="0"/>
        <v>6650</v>
      </c>
      <c r="K44" s="207"/>
      <c r="L44" s="207"/>
    </row>
    <row r="45" spans="1:12" ht="23.25" x14ac:dyDescent="0.35">
      <c r="A45" s="216" t="s">
        <v>307</v>
      </c>
      <c r="B45" s="204" t="s">
        <v>76</v>
      </c>
      <c r="C45" s="210"/>
      <c r="D45" s="206">
        <f>'NOVEMBER 21'!J45:J110</f>
        <v>150</v>
      </c>
      <c r="E45" s="212">
        <v>6500</v>
      </c>
      <c r="F45" s="218"/>
      <c r="G45" s="211">
        <v>150</v>
      </c>
      <c r="H45" s="207">
        <f>D45+E45+F45+G45+C45</f>
        <v>6800</v>
      </c>
      <c r="I45" s="207"/>
      <c r="J45" s="207">
        <f t="shared" si="0"/>
        <v>6800</v>
      </c>
      <c r="K45" s="207"/>
      <c r="L45" s="207"/>
    </row>
    <row r="46" spans="1:12" ht="23.25" x14ac:dyDescent="0.35">
      <c r="A46" s="216" t="s">
        <v>430</v>
      </c>
      <c r="B46" s="204" t="s">
        <v>77</v>
      </c>
      <c r="C46" s="210"/>
      <c r="D46" s="206">
        <f>'NOVEMBER 21'!J46:J111</f>
        <v>3800</v>
      </c>
      <c r="E46" s="212">
        <v>6500</v>
      </c>
      <c r="F46" s="212"/>
      <c r="G46" s="211">
        <v>150</v>
      </c>
      <c r="H46" s="207">
        <f>D46+E46+G46+C46</f>
        <v>10450</v>
      </c>
      <c r="I46" s="207">
        <v>5000</v>
      </c>
      <c r="J46" s="207">
        <f t="shared" si="0"/>
        <v>5450</v>
      </c>
      <c r="K46" s="207"/>
      <c r="L46" s="207"/>
    </row>
    <row r="47" spans="1:12" ht="23.25" x14ac:dyDescent="0.35">
      <c r="A47" s="216" t="s">
        <v>487</v>
      </c>
      <c r="B47" s="204" t="s">
        <v>78</v>
      </c>
      <c r="C47" s="210"/>
      <c r="D47" s="206">
        <f>'NOVEMBER 21'!J47:J112</f>
        <v>0</v>
      </c>
      <c r="E47" s="212">
        <v>6500</v>
      </c>
      <c r="F47" s="212"/>
      <c r="G47" s="211"/>
      <c r="H47" s="207">
        <f t="shared" si="1"/>
        <v>6500</v>
      </c>
      <c r="I47" s="207">
        <f>1000+4000</f>
        <v>5000</v>
      </c>
      <c r="J47" s="207">
        <f t="shared" si="0"/>
        <v>1500</v>
      </c>
      <c r="K47" s="207"/>
      <c r="L47" s="207"/>
    </row>
    <row r="48" spans="1:12" ht="23.25" x14ac:dyDescent="0.35">
      <c r="A48" s="216" t="s">
        <v>361</v>
      </c>
      <c r="B48" s="204" t="s">
        <v>79</v>
      </c>
      <c r="C48" s="210"/>
      <c r="D48" s="206">
        <f>'NOVEMBER 21'!J48:J113</f>
        <v>0</v>
      </c>
      <c r="E48" s="212">
        <v>6500</v>
      </c>
      <c r="F48" s="212"/>
      <c r="G48" s="211">
        <v>150</v>
      </c>
      <c r="H48" s="207">
        <f t="shared" si="1"/>
        <v>6650</v>
      </c>
      <c r="I48" s="207"/>
      <c r="J48" s="213">
        <f t="shared" si="0"/>
        <v>6650</v>
      </c>
      <c r="K48" s="207"/>
      <c r="L48" s="207"/>
    </row>
    <row r="49" spans="1:12" ht="23.25" x14ac:dyDescent="0.35">
      <c r="A49" s="216" t="s">
        <v>428</v>
      </c>
      <c r="B49" s="204" t="s">
        <v>80</v>
      </c>
      <c r="C49" s="210"/>
      <c r="D49" s="206">
        <f>'NOVEMBER 21'!J49:J114</f>
        <v>450</v>
      </c>
      <c r="E49" s="212">
        <v>6500</v>
      </c>
      <c r="F49" s="212"/>
      <c r="G49" s="211">
        <v>300</v>
      </c>
      <c r="H49" s="207">
        <f t="shared" si="1"/>
        <v>7250</v>
      </c>
      <c r="I49" s="207"/>
      <c r="J49" s="207">
        <f t="shared" si="0"/>
        <v>7250</v>
      </c>
      <c r="K49" s="207"/>
      <c r="L49" s="207"/>
    </row>
    <row r="50" spans="1:12" ht="23.25" x14ac:dyDescent="0.35">
      <c r="A50" s="216" t="s">
        <v>497</v>
      </c>
      <c r="B50" s="204" t="s">
        <v>81</v>
      </c>
      <c r="C50" s="210">
        <v>7000</v>
      </c>
      <c r="D50" s="206"/>
      <c r="E50" s="212">
        <v>7000</v>
      </c>
      <c r="F50" s="212"/>
      <c r="G50" s="211">
        <v>150</v>
      </c>
      <c r="H50" s="207">
        <f>D50+E50+F50+G50+N40</f>
        <v>7150</v>
      </c>
      <c r="I50" s="207">
        <v>15150</v>
      </c>
      <c r="J50" s="207"/>
      <c r="K50" s="207">
        <v>1000</v>
      </c>
      <c r="L50" s="207"/>
    </row>
    <row r="51" spans="1:12" ht="23.25" x14ac:dyDescent="0.35">
      <c r="A51" s="216" t="s">
        <v>138</v>
      </c>
      <c r="B51" s="204" t="s">
        <v>82</v>
      </c>
      <c r="C51" s="210"/>
      <c r="D51" s="206">
        <f>'NOVEMBER 21'!J51:J116</f>
        <v>450</v>
      </c>
      <c r="E51" s="212">
        <v>5500</v>
      </c>
      <c r="F51" s="212"/>
      <c r="G51" s="211">
        <v>150</v>
      </c>
      <c r="H51" s="207">
        <f t="shared" si="1"/>
        <v>6100</v>
      </c>
      <c r="I51" s="207">
        <v>6100</v>
      </c>
      <c r="J51" s="207">
        <f t="shared" si="0"/>
        <v>0</v>
      </c>
      <c r="K51" s="207"/>
      <c r="L51" s="207"/>
    </row>
    <row r="52" spans="1:12" ht="23.25" x14ac:dyDescent="0.35">
      <c r="A52" s="216" t="s">
        <v>477</v>
      </c>
      <c r="B52" s="204" t="s">
        <v>83</v>
      </c>
      <c r="C52" s="210">
        <v>1000</v>
      </c>
      <c r="D52" s="206">
        <f>'NOVEMBER 21'!J52:J117</f>
        <v>150</v>
      </c>
      <c r="E52" s="212">
        <v>7000</v>
      </c>
      <c r="F52" s="212"/>
      <c r="G52" s="211">
        <v>150</v>
      </c>
      <c r="H52" s="207">
        <f t="shared" si="1"/>
        <v>8300</v>
      </c>
      <c r="I52" s="207">
        <v>7000</v>
      </c>
      <c r="J52" s="207">
        <f>H52-I52</f>
        <v>1300</v>
      </c>
      <c r="K52" s="207"/>
      <c r="L52" s="207"/>
    </row>
    <row r="53" spans="1:12" ht="23.25" x14ac:dyDescent="0.35">
      <c r="A53" s="216" t="s">
        <v>429</v>
      </c>
      <c r="B53" s="204" t="s">
        <v>84</v>
      </c>
      <c r="C53" s="210"/>
      <c r="D53" s="206">
        <f>'NOVEMBER 21'!J53:J118</f>
        <v>1900</v>
      </c>
      <c r="E53" s="212">
        <v>6500</v>
      </c>
      <c r="F53" s="212"/>
      <c r="G53" s="211">
        <v>150</v>
      </c>
      <c r="H53" s="207">
        <f t="shared" si="1"/>
        <v>8550</v>
      </c>
      <c r="I53" s="207"/>
      <c r="J53" s="207">
        <f t="shared" si="0"/>
        <v>8550</v>
      </c>
      <c r="K53" s="207"/>
      <c r="L53" s="207"/>
    </row>
    <row r="54" spans="1:12" ht="23.25" x14ac:dyDescent="0.35">
      <c r="A54" s="216" t="s">
        <v>212</v>
      </c>
      <c r="B54" s="204" t="s">
        <v>85</v>
      </c>
      <c r="C54" s="210"/>
      <c r="D54" s="206">
        <f>'NOVEMBER 21'!J54:J119</f>
        <v>350</v>
      </c>
      <c r="E54" s="212">
        <v>6500</v>
      </c>
      <c r="F54" s="212"/>
      <c r="G54" s="211"/>
      <c r="H54" s="207">
        <f t="shared" si="1"/>
        <v>6850</v>
      </c>
      <c r="I54" s="207"/>
      <c r="J54" s="207">
        <f t="shared" si="0"/>
        <v>6850</v>
      </c>
      <c r="K54" s="207"/>
      <c r="L54" s="207"/>
    </row>
    <row r="55" spans="1:12" ht="23.25" x14ac:dyDescent="0.35">
      <c r="A55" s="203" t="s">
        <v>289</v>
      </c>
      <c r="B55" s="204" t="s">
        <v>86</v>
      </c>
      <c r="C55" s="210"/>
      <c r="D55" s="206">
        <f>'NOVEMBER 21'!J55:J120</f>
        <v>600</v>
      </c>
      <c r="E55" s="212">
        <v>6500</v>
      </c>
      <c r="F55" s="212"/>
      <c r="G55" s="211">
        <v>150</v>
      </c>
      <c r="H55" s="207">
        <f>D55+E55+F55+G55+C55</f>
        <v>7250</v>
      </c>
      <c r="I55" s="207"/>
      <c r="J55" s="207">
        <f>H55-I55</f>
        <v>7250</v>
      </c>
      <c r="K55" s="207"/>
      <c r="L55" s="207"/>
    </row>
    <row r="56" spans="1:12" ht="23.25" x14ac:dyDescent="0.35">
      <c r="A56" s="216" t="s">
        <v>433</v>
      </c>
      <c r="B56" s="204" t="s">
        <v>87</v>
      </c>
      <c r="C56" s="210"/>
      <c r="D56" s="206">
        <f>'NOVEMBER 21'!J56:J121</f>
        <v>150</v>
      </c>
      <c r="E56" s="212">
        <v>6500</v>
      </c>
      <c r="F56" s="212"/>
      <c r="G56" s="211">
        <v>150</v>
      </c>
      <c r="H56" s="223">
        <f>D56+E56+F56+G56+C56</f>
        <v>6800</v>
      </c>
      <c r="I56" s="224"/>
      <c r="J56" s="223">
        <f t="shared" si="0"/>
        <v>6800</v>
      </c>
      <c r="K56" s="207"/>
      <c r="L56" s="207"/>
    </row>
    <row r="57" spans="1:12" ht="23.25" x14ac:dyDescent="0.35">
      <c r="A57" s="216" t="s">
        <v>405</v>
      </c>
      <c r="B57" s="204" t="s">
        <v>88</v>
      </c>
      <c r="C57" s="210"/>
      <c r="D57" s="206">
        <f>'NOVEMBER 21'!J57:J122</f>
        <v>150</v>
      </c>
      <c r="E57" s="212">
        <v>6500</v>
      </c>
      <c r="F57" s="212"/>
      <c r="G57" s="211">
        <v>150</v>
      </c>
      <c r="H57" s="207">
        <f t="shared" si="1"/>
        <v>6800</v>
      </c>
      <c r="I57" s="207"/>
      <c r="J57" s="207">
        <f t="shared" si="0"/>
        <v>6800</v>
      </c>
      <c r="K57" s="207"/>
      <c r="L57" s="207"/>
    </row>
    <row r="58" spans="1:12" ht="23.25" x14ac:dyDescent="0.35">
      <c r="A58" s="216" t="s">
        <v>110</v>
      </c>
      <c r="B58" s="204" t="s">
        <v>89</v>
      </c>
      <c r="C58" s="210"/>
      <c r="D58" s="206">
        <f>'NOVEMBER 21'!J58:J123</f>
        <v>1300</v>
      </c>
      <c r="E58" s="212">
        <v>7000</v>
      </c>
      <c r="F58" s="212"/>
      <c r="G58" s="211">
        <v>150</v>
      </c>
      <c r="H58" s="207">
        <f t="shared" si="1"/>
        <v>8450</v>
      </c>
      <c r="I58" s="207"/>
      <c r="J58" s="207">
        <f t="shared" si="0"/>
        <v>8450</v>
      </c>
      <c r="K58" s="207"/>
      <c r="L58" s="207"/>
    </row>
    <row r="59" spans="1:12" ht="23.25" x14ac:dyDescent="0.35">
      <c r="A59" s="219" t="s">
        <v>17</v>
      </c>
      <c r="B59" s="204" t="s">
        <v>90</v>
      </c>
      <c r="C59" s="210"/>
      <c r="D59" s="206">
        <f>'NOVEMBER 21'!J59:J124</f>
        <v>0</v>
      </c>
      <c r="E59" s="212"/>
      <c r="F59" s="212"/>
      <c r="G59" s="211"/>
      <c r="H59" s="207">
        <f t="shared" si="1"/>
        <v>0</v>
      </c>
      <c r="I59" s="207"/>
      <c r="J59" s="207">
        <f>H59-I59</f>
        <v>0</v>
      </c>
      <c r="K59" s="207"/>
      <c r="L59" s="207"/>
    </row>
    <row r="60" spans="1:12" ht="23.25" x14ac:dyDescent="0.35">
      <c r="A60" s="219" t="s">
        <v>17</v>
      </c>
      <c r="B60" s="204" t="s">
        <v>91</v>
      </c>
      <c r="C60" s="210"/>
      <c r="D60" s="206">
        <f>'NOVEMBER 21'!J60:J125</f>
        <v>0</v>
      </c>
      <c r="E60" s="212"/>
      <c r="F60" s="212"/>
      <c r="G60" s="211"/>
      <c r="H60" s="207">
        <f t="shared" si="1"/>
        <v>0</v>
      </c>
      <c r="I60" s="207"/>
      <c r="J60" s="207">
        <f>H60-I60</f>
        <v>0</v>
      </c>
      <c r="K60" s="207"/>
      <c r="L60" s="207"/>
    </row>
    <row r="61" spans="1:12" ht="23.25" x14ac:dyDescent="0.35">
      <c r="A61" s="219" t="s">
        <v>17</v>
      </c>
      <c r="B61" s="204" t="s">
        <v>92</v>
      </c>
      <c r="C61" s="210"/>
      <c r="D61" s="206">
        <f>'NOVEMBER 21'!J61:J126</f>
        <v>0</v>
      </c>
      <c r="E61" s="212"/>
      <c r="F61" s="212"/>
      <c r="G61" s="211"/>
      <c r="H61" s="207">
        <f t="shared" si="1"/>
        <v>0</v>
      </c>
      <c r="I61" s="207"/>
      <c r="J61" s="207">
        <f t="shared" si="0"/>
        <v>0</v>
      </c>
      <c r="K61" s="207"/>
      <c r="L61" s="207"/>
    </row>
    <row r="62" spans="1:12" ht="23.25" x14ac:dyDescent="0.35">
      <c r="A62" s="203" t="s">
        <v>331</v>
      </c>
      <c r="B62" s="204" t="s">
        <v>93</v>
      </c>
      <c r="C62" s="210"/>
      <c r="D62" s="206">
        <f>'NOVEMBER 21'!J62:J127</f>
        <v>450</v>
      </c>
      <c r="E62" s="212">
        <v>6500</v>
      </c>
      <c r="F62" s="212"/>
      <c r="G62" s="211"/>
      <c r="H62" s="207">
        <f t="shared" si="1"/>
        <v>6950</v>
      </c>
      <c r="I62" s="207"/>
      <c r="J62" s="207">
        <f t="shared" si="0"/>
        <v>6950</v>
      </c>
      <c r="K62" s="207"/>
      <c r="L62" s="207"/>
    </row>
    <row r="63" spans="1:12" ht="23.25" x14ac:dyDescent="0.35">
      <c r="A63" s="219" t="s">
        <v>17</v>
      </c>
      <c r="B63" s="204" t="s">
        <v>94</v>
      </c>
      <c r="C63" s="210"/>
      <c r="D63" s="206">
        <f>'NOVEMBER 21'!J63:J128</f>
        <v>0</v>
      </c>
      <c r="E63" s="212"/>
      <c r="F63" s="212"/>
      <c r="G63" s="211"/>
      <c r="H63" s="207">
        <f t="shared" si="1"/>
        <v>0</v>
      </c>
      <c r="I63" s="207"/>
      <c r="J63" s="207">
        <f t="shared" si="0"/>
        <v>0</v>
      </c>
      <c r="K63" s="207"/>
      <c r="L63" s="207"/>
    </row>
    <row r="64" spans="1:12" ht="23.25" x14ac:dyDescent="0.35">
      <c r="A64" s="216" t="s">
        <v>464</v>
      </c>
      <c r="B64" s="204" t="s">
        <v>95</v>
      </c>
      <c r="C64" s="210"/>
      <c r="D64" s="206">
        <f>'NOVEMBER 21'!J64:J129</f>
        <v>0</v>
      </c>
      <c r="E64" s="212">
        <v>5500</v>
      </c>
      <c r="F64" s="212"/>
      <c r="G64" s="211">
        <v>150</v>
      </c>
      <c r="H64" s="207">
        <f t="shared" si="1"/>
        <v>5650</v>
      </c>
      <c r="I64" s="207">
        <v>5500</v>
      </c>
      <c r="J64" s="207">
        <f t="shared" si="0"/>
        <v>150</v>
      </c>
      <c r="K64" s="207"/>
      <c r="L64" s="207"/>
    </row>
    <row r="65" spans="1:12" ht="23.25" x14ac:dyDescent="0.35">
      <c r="A65" s="216" t="s">
        <v>204</v>
      </c>
      <c r="B65" s="204" t="s">
        <v>96</v>
      </c>
      <c r="C65" s="210"/>
      <c r="D65" s="206">
        <f>'NOVEMBER 21'!J65:J130</f>
        <v>3650</v>
      </c>
      <c r="E65" s="212">
        <v>7000</v>
      </c>
      <c r="F65" s="212"/>
      <c r="G65" s="211"/>
      <c r="H65" s="207">
        <f t="shared" si="1"/>
        <v>10650</v>
      </c>
      <c r="I65" s="207"/>
      <c r="J65" s="207">
        <f>H65-I65</f>
        <v>10650</v>
      </c>
      <c r="K65" s="207"/>
      <c r="L65" s="207"/>
    </row>
    <row r="66" spans="1:12" ht="23.25" x14ac:dyDescent="0.35">
      <c r="A66" s="216" t="s">
        <v>462</v>
      </c>
      <c r="B66" s="204" t="s">
        <v>97</v>
      </c>
      <c r="C66" s="210"/>
      <c r="D66" s="206">
        <f>'NOVEMBER 21'!J66:J131</f>
        <v>0</v>
      </c>
      <c r="E66" s="212">
        <v>6500</v>
      </c>
      <c r="F66" s="212"/>
      <c r="G66" s="211"/>
      <c r="H66" s="207">
        <f t="shared" si="1"/>
        <v>6500</v>
      </c>
      <c r="I66" s="207">
        <v>6500</v>
      </c>
      <c r="J66" s="207">
        <f t="shared" si="0"/>
        <v>0</v>
      </c>
      <c r="K66" s="207"/>
      <c r="L66" s="207"/>
    </row>
    <row r="67" spans="1:12" ht="23.25" x14ac:dyDescent="0.35">
      <c r="A67" s="216" t="s">
        <v>354</v>
      </c>
      <c r="B67" s="204" t="s">
        <v>98</v>
      </c>
      <c r="C67" s="210"/>
      <c r="D67" s="206">
        <f>'NOVEMBER 21'!J67:J132</f>
        <v>2810</v>
      </c>
      <c r="E67" s="212">
        <v>6500</v>
      </c>
      <c r="F67" s="212"/>
      <c r="G67" s="211">
        <v>150</v>
      </c>
      <c r="H67" s="207">
        <f t="shared" si="1"/>
        <v>9460</v>
      </c>
      <c r="I67" s="207"/>
      <c r="J67" s="207">
        <f t="shared" si="0"/>
        <v>9460</v>
      </c>
      <c r="K67" s="207"/>
      <c r="L67" s="207"/>
    </row>
    <row r="68" spans="1:12" ht="23.25" x14ac:dyDescent="0.35">
      <c r="A68" s="216" t="s">
        <v>115</v>
      </c>
      <c r="B68" s="204" t="s">
        <v>99</v>
      </c>
      <c r="C68" s="210"/>
      <c r="D68" s="206">
        <f>'NOVEMBER 21'!J68:J133</f>
        <v>950</v>
      </c>
      <c r="E68" s="212">
        <v>6500</v>
      </c>
      <c r="F68" s="212"/>
      <c r="G68" s="211">
        <v>150</v>
      </c>
      <c r="H68" s="207">
        <f t="shared" si="1"/>
        <v>7600</v>
      </c>
      <c r="I68" s="207"/>
      <c r="J68" s="207">
        <f>H68-I68</f>
        <v>7600</v>
      </c>
      <c r="K68" s="207"/>
      <c r="L68" s="207"/>
    </row>
    <row r="69" spans="1:12" ht="23.25" x14ac:dyDescent="0.35">
      <c r="A69" s="216"/>
      <c r="B69" s="204" t="s">
        <v>100</v>
      </c>
      <c r="C69" s="210"/>
      <c r="D69" s="206"/>
      <c r="E69" s="212"/>
      <c r="F69" s="212"/>
      <c r="G69" s="211"/>
      <c r="H69" s="207">
        <f t="shared" si="1"/>
        <v>0</v>
      </c>
      <c r="I69" s="207"/>
      <c r="J69" s="207">
        <f>H69-I69</f>
        <v>0</v>
      </c>
      <c r="K69" s="207"/>
      <c r="L69" s="207"/>
    </row>
    <row r="70" spans="1:12" ht="23.25" x14ac:dyDescent="0.35">
      <c r="A70" s="216" t="s">
        <v>116</v>
      </c>
      <c r="B70" s="204" t="s">
        <v>101</v>
      </c>
      <c r="C70" s="210"/>
      <c r="D70" s="206">
        <f>'NOVEMBER 21'!J70:J135</f>
        <v>0</v>
      </c>
      <c r="E70" s="212">
        <v>7000</v>
      </c>
      <c r="F70" s="212"/>
      <c r="G70" s="211">
        <v>150</v>
      </c>
      <c r="H70" s="207">
        <f t="shared" si="1"/>
        <v>7150</v>
      </c>
      <c r="I70" s="207"/>
      <c r="J70" s="207">
        <f>H70-I70</f>
        <v>7150</v>
      </c>
      <c r="K70" s="207"/>
      <c r="L70" s="207"/>
    </row>
    <row r="71" spans="1:12" ht="23.25" x14ac:dyDescent="0.35">
      <c r="A71" s="225" t="s">
        <v>28</v>
      </c>
      <c r="B71" s="216"/>
      <c r="C71" s="210"/>
      <c r="D71" s="206">
        <f>SUM(D6:D70)</f>
        <v>34477</v>
      </c>
      <c r="E71" s="226">
        <f>SUM(E6:E70)</f>
        <v>377500</v>
      </c>
      <c r="F71" s="227">
        <f t="shared" ref="F71:L71" si="2">SUM(F6:F70)</f>
        <v>250</v>
      </c>
      <c r="G71" s="228">
        <f>SUM(G6:G70)</f>
        <v>7000</v>
      </c>
      <c r="H71" s="207">
        <f>SUM(H6:H70)</f>
        <v>426727</v>
      </c>
      <c r="I71" s="207">
        <f t="shared" si="2"/>
        <v>129700</v>
      </c>
      <c r="J71" s="207">
        <f>SUM(J6:J70)</f>
        <v>305027</v>
      </c>
      <c r="K71" s="207">
        <f t="shared" si="2"/>
        <v>1000</v>
      </c>
      <c r="L71" s="207">
        <f t="shared" si="2"/>
        <v>1000</v>
      </c>
    </row>
    <row r="72" spans="1:12" ht="23.25" x14ac:dyDescent="0.35">
      <c r="A72" s="229" t="s">
        <v>30</v>
      </c>
      <c r="B72" s="229"/>
      <c r="C72" s="229"/>
      <c r="D72" s="230"/>
      <c r="E72" s="231"/>
      <c r="F72" s="229" t="s">
        <v>10</v>
      </c>
      <c r="G72" s="229"/>
      <c r="H72" s="229"/>
      <c r="I72" s="194"/>
      <c r="J72" s="194"/>
      <c r="K72" s="194"/>
      <c r="L72" s="192"/>
    </row>
    <row r="73" spans="1:12" ht="23.25" x14ac:dyDescent="0.35">
      <c r="A73" s="225" t="s">
        <v>31</v>
      </c>
      <c r="B73" s="225" t="s">
        <v>32</v>
      </c>
      <c r="C73" s="225" t="s">
        <v>33</v>
      </c>
      <c r="D73" s="225" t="s">
        <v>34</v>
      </c>
      <c r="E73" s="225"/>
      <c r="F73" s="225" t="s">
        <v>31</v>
      </c>
      <c r="G73" s="225"/>
      <c r="H73" s="225" t="s">
        <v>35</v>
      </c>
      <c r="I73" s="225" t="s">
        <v>33</v>
      </c>
      <c r="J73" s="225" t="s">
        <v>34</v>
      </c>
      <c r="K73" s="225"/>
      <c r="L73" s="232"/>
    </row>
    <row r="74" spans="1:12" ht="23.25" x14ac:dyDescent="0.35">
      <c r="A74" s="216" t="s">
        <v>473</v>
      </c>
      <c r="B74" s="233">
        <f>E71</f>
        <v>377500</v>
      </c>
      <c r="C74" s="216"/>
      <c r="D74" s="216"/>
      <c r="E74" s="216"/>
      <c r="F74" s="216" t="s">
        <v>473</v>
      </c>
      <c r="G74" s="216"/>
      <c r="H74" s="234">
        <f>I71</f>
        <v>129700</v>
      </c>
      <c r="I74" s="216"/>
      <c r="J74" s="216"/>
      <c r="K74" s="216"/>
      <c r="L74" s="235"/>
    </row>
    <row r="75" spans="1:12" ht="23.25" x14ac:dyDescent="0.35">
      <c r="A75" s="216" t="s">
        <v>37</v>
      </c>
      <c r="B75" s="233">
        <f>'NOVEMBER 21'!D100</f>
        <v>150957.18999999994</v>
      </c>
      <c r="C75" s="216"/>
      <c r="D75" s="216"/>
      <c r="E75" s="216"/>
      <c r="F75" s="216" t="s">
        <v>37</v>
      </c>
      <c r="G75" s="216"/>
      <c r="H75" s="233">
        <f>'NOVEMBER 21'!J100</f>
        <v>32200.189999999944</v>
      </c>
      <c r="I75" s="216"/>
      <c r="J75" s="216"/>
      <c r="K75" s="216"/>
      <c r="L75" s="235"/>
    </row>
    <row r="76" spans="1:12" ht="23.25" x14ac:dyDescent="0.35">
      <c r="A76" s="216" t="s">
        <v>38</v>
      </c>
      <c r="B76" s="233">
        <f>C71</f>
        <v>0</v>
      </c>
      <c r="C76" s="216"/>
      <c r="D76" s="216"/>
      <c r="E76" s="216"/>
      <c r="F76" s="216"/>
      <c r="G76" s="216"/>
      <c r="H76" s="216"/>
      <c r="I76" s="216"/>
      <c r="J76" s="216"/>
      <c r="K76" s="216"/>
      <c r="L76" s="235"/>
    </row>
    <row r="77" spans="1:12" ht="23.25" x14ac:dyDescent="0.35">
      <c r="A77" s="216" t="s">
        <v>7</v>
      </c>
      <c r="B77" s="233">
        <f>F71</f>
        <v>250</v>
      </c>
      <c r="C77" s="216"/>
      <c r="D77" s="216"/>
      <c r="E77" s="216"/>
      <c r="F77" s="216"/>
      <c r="G77" s="216"/>
      <c r="H77" s="216"/>
      <c r="I77" s="216"/>
      <c r="J77" s="216"/>
      <c r="K77" s="216"/>
      <c r="L77" s="235"/>
    </row>
    <row r="78" spans="1:12" ht="23.25" x14ac:dyDescent="0.35">
      <c r="A78" s="216" t="s">
        <v>39</v>
      </c>
      <c r="B78" s="233">
        <f>K71</f>
        <v>1000</v>
      </c>
      <c r="C78" s="216"/>
      <c r="D78" s="216"/>
      <c r="E78" s="216"/>
      <c r="F78" s="216"/>
      <c r="G78" s="216"/>
      <c r="H78" s="216"/>
      <c r="I78" s="216"/>
      <c r="J78" s="216"/>
      <c r="K78" s="216"/>
      <c r="L78" s="235"/>
    </row>
    <row r="79" spans="1:12" ht="23.25" x14ac:dyDescent="0.35">
      <c r="A79" s="216" t="s">
        <v>40</v>
      </c>
      <c r="B79" s="234">
        <f>L71</f>
        <v>1000</v>
      </c>
      <c r="C79" s="216"/>
      <c r="D79" s="216"/>
      <c r="E79" s="216"/>
      <c r="F79" s="216" t="s">
        <v>40</v>
      </c>
      <c r="G79" s="216"/>
      <c r="H79" s="234">
        <f>L71</f>
        <v>1000</v>
      </c>
      <c r="I79" s="216"/>
      <c r="J79" s="216"/>
      <c r="K79" s="216"/>
      <c r="L79" s="235"/>
    </row>
    <row r="80" spans="1:12" ht="23.25" x14ac:dyDescent="0.35">
      <c r="A80" s="216"/>
      <c r="B80" s="233"/>
      <c r="C80" s="216"/>
      <c r="D80" s="216"/>
      <c r="E80" s="216"/>
      <c r="F80" s="216"/>
      <c r="G80" s="233"/>
      <c r="H80" s="193"/>
      <c r="I80" s="193"/>
      <c r="J80" s="216"/>
      <c r="K80" s="216"/>
      <c r="L80" s="235"/>
    </row>
    <row r="81" spans="1:12" ht="23.25" x14ac:dyDescent="0.35">
      <c r="A81" s="216"/>
      <c r="B81" s="234"/>
      <c r="C81" s="233"/>
      <c r="D81" s="216"/>
      <c r="E81" s="216"/>
      <c r="F81" s="216"/>
      <c r="G81" s="216"/>
      <c r="H81" s="216"/>
      <c r="I81" s="233"/>
      <c r="J81" s="233"/>
      <c r="K81" s="233"/>
      <c r="L81" s="236"/>
    </row>
    <row r="82" spans="1:12" ht="23.25" x14ac:dyDescent="0.35">
      <c r="A82" s="225" t="s">
        <v>41</v>
      </c>
      <c r="B82" s="216" t="s">
        <v>42</v>
      </c>
      <c r="C82" s="216"/>
      <c r="D82" s="216"/>
      <c r="E82" s="216"/>
      <c r="F82" s="225" t="s">
        <v>41</v>
      </c>
      <c r="G82" s="225"/>
      <c r="H82" s="225"/>
      <c r="I82" s="216"/>
      <c r="J82" s="216"/>
      <c r="K82" s="216"/>
      <c r="L82" s="235"/>
    </row>
    <row r="83" spans="1:12" ht="23.25" x14ac:dyDescent="0.35">
      <c r="A83" s="237" t="s">
        <v>43</v>
      </c>
      <c r="B83" s="238">
        <v>7.0000000000000007E-2</v>
      </c>
      <c r="C83" s="239">
        <f>B83*E71</f>
        <v>26425.000000000004</v>
      </c>
      <c r="D83" s="216"/>
      <c r="E83" s="216"/>
      <c r="F83" s="237" t="s">
        <v>43</v>
      </c>
      <c r="G83" s="237"/>
      <c r="H83" s="238">
        <v>7.0000000000000007E-2</v>
      </c>
      <c r="I83" s="234">
        <f>H83*E71</f>
        <v>26425.000000000004</v>
      </c>
      <c r="J83" s="216"/>
      <c r="K83" s="216"/>
      <c r="L83" s="235"/>
    </row>
    <row r="84" spans="1:12" ht="23.25" x14ac:dyDescent="0.35">
      <c r="A84" s="240" t="s">
        <v>136</v>
      </c>
      <c r="B84" s="241">
        <v>0.3</v>
      </c>
      <c r="C84" s="222"/>
      <c r="D84" s="234"/>
      <c r="E84" s="234"/>
      <c r="F84" s="240" t="s">
        <v>136</v>
      </c>
      <c r="G84" s="241">
        <v>0.3</v>
      </c>
      <c r="H84" s="193"/>
      <c r="I84" s="222">
        <f>C84</f>
        <v>0</v>
      </c>
      <c r="J84" s="193"/>
      <c r="K84" s="234"/>
      <c r="L84" s="242"/>
    </row>
    <row r="85" spans="1:12" ht="23.25" x14ac:dyDescent="0.35">
      <c r="A85" s="240"/>
      <c r="B85" s="241"/>
      <c r="C85" s="222"/>
      <c r="D85" s="234"/>
      <c r="E85" s="234"/>
      <c r="F85" s="243" t="s">
        <v>8</v>
      </c>
      <c r="G85" s="238"/>
      <c r="H85" s="234"/>
      <c r="I85" s="234">
        <f>G71</f>
        <v>7000</v>
      </c>
      <c r="J85" s="193"/>
      <c r="K85" s="234"/>
      <c r="L85" s="242"/>
    </row>
    <row r="86" spans="1:12" ht="23.25" x14ac:dyDescent="0.35">
      <c r="A86" s="240" t="s">
        <v>134</v>
      </c>
      <c r="B86" s="238"/>
      <c r="C86" s="234">
        <v>8000</v>
      </c>
      <c r="D86" s="216"/>
      <c r="E86" s="216"/>
      <c r="F86" s="240" t="s">
        <v>134</v>
      </c>
      <c r="G86" s="238"/>
      <c r="H86" s="234"/>
      <c r="I86" s="234">
        <v>8000</v>
      </c>
      <c r="J86" s="216"/>
      <c r="K86" s="216"/>
      <c r="L86" s="235"/>
    </row>
    <row r="87" spans="1:12" ht="23.25" x14ac:dyDescent="0.35">
      <c r="A87" s="240" t="s">
        <v>160</v>
      </c>
      <c r="B87" s="238"/>
      <c r="C87" s="244">
        <v>8000</v>
      </c>
      <c r="D87" s="216"/>
      <c r="E87" s="216"/>
      <c r="F87" s="240" t="s">
        <v>160</v>
      </c>
      <c r="G87" s="238"/>
      <c r="H87" s="244"/>
      <c r="I87" s="245">
        <v>8000</v>
      </c>
      <c r="J87" s="216"/>
      <c r="K87" s="216"/>
      <c r="L87" s="235"/>
    </row>
    <row r="88" spans="1:12" ht="23.25" x14ac:dyDescent="0.35">
      <c r="A88" s="240" t="s">
        <v>120</v>
      </c>
      <c r="B88" s="238"/>
      <c r="C88" s="203">
        <v>1000</v>
      </c>
      <c r="D88" s="216"/>
      <c r="E88" s="216"/>
      <c r="F88" s="240" t="s">
        <v>120</v>
      </c>
      <c r="G88" s="238"/>
      <c r="H88" s="203"/>
      <c r="I88" s="234">
        <v>1000</v>
      </c>
      <c r="J88" s="216"/>
      <c r="K88" s="216"/>
      <c r="L88" s="235"/>
    </row>
    <row r="89" spans="1:12" ht="23.25" x14ac:dyDescent="0.35">
      <c r="A89" s="246"/>
      <c r="B89" s="247"/>
      <c r="C89" s="248"/>
      <c r="D89" s="249"/>
      <c r="E89" s="249"/>
      <c r="F89" s="246"/>
      <c r="G89" s="247"/>
      <c r="H89" s="248"/>
      <c r="I89" s="248"/>
      <c r="J89" s="216"/>
      <c r="K89" s="216"/>
      <c r="L89" s="235"/>
    </row>
    <row r="90" spans="1:12" ht="23.25" x14ac:dyDescent="0.35">
      <c r="A90" s="246"/>
      <c r="B90" s="247"/>
      <c r="C90" s="248"/>
      <c r="D90" s="249"/>
      <c r="E90" s="249"/>
      <c r="F90" s="246"/>
      <c r="G90" s="247"/>
      <c r="H90" s="248"/>
      <c r="I90" s="248"/>
      <c r="J90" s="216"/>
      <c r="K90" s="216"/>
      <c r="L90" s="235"/>
    </row>
    <row r="91" spans="1:12" ht="23.25" x14ac:dyDescent="0.35">
      <c r="A91" s="246"/>
      <c r="B91" s="247"/>
      <c r="C91" s="248"/>
      <c r="D91" s="249"/>
      <c r="E91" s="249"/>
      <c r="F91" s="246"/>
      <c r="G91" s="247"/>
      <c r="H91" s="248"/>
      <c r="I91" s="248"/>
      <c r="J91" s="216"/>
      <c r="K91" s="216"/>
      <c r="L91" s="235"/>
    </row>
    <row r="92" spans="1:12" ht="23.25" x14ac:dyDescent="0.35">
      <c r="A92" s="246"/>
      <c r="B92" s="247"/>
      <c r="C92" s="248"/>
      <c r="D92" s="249"/>
      <c r="E92" s="249"/>
      <c r="F92" s="246"/>
      <c r="G92" s="247"/>
      <c r="H92" s="248"/>
      <c r="I92" s="248"/>
      <c r="J92" s="216"/>
      <c r="K92" s="216"/>
      <c r="L92" s="235"/>
    </row>
    <row r="93" spans="1:12" ht="23.25" x14ac:dyDescent="0.35">
      <c r="A93" s="246"/>
      <c r="B93" s="247"/>
      <c r="C93" s="250"/>
      <c r="D93" s="249"/>
      <c r="E93" s="249"/>
      <c r="F93" s="246"/>
      <c r="G93" s="247"/>
      <c r="H93" s="250"/>
      <c r="I93" s="250"/>
      <c r="J93" s="216"/>
      <c r="K93" s="216"/>
      <c r="L93" s="235"/>
    </row>
    <row r="94" spans="1:12" ht="23.25" x14ac:dyDescent="0.35">
      <c r="A94" s="246"/>
      <c r="B94" s="247"/>
      <c r="C94" s="250"/>
      <c r="D94" s="249"/>
      <c r="E94" s="249"/>
      <c r="F94" s="246"/>
      <c r="G94" s="247"/>
      <c r="H94" s="250"/>
      <c r="I94" s="250"/>
      <c r="J94" s="216"/>
      <c r="K94" s="216"/>
      <c r="L94" s="235"/>
    </row>
    <row r="95" spans="1:12" ht="23.25" x14ac:dyDescent="0.35">
      <c r="A95" s="246"/>
      <c r="B95" s="247"/>
      <c r="C95" s="250"/>
      <c r="D95" s="249"/>
      <c r="E95" s="249"/>
      <c r="F95" s="246"/>
      <c r="G95" s="247"/>
      <c r="H95" s="250"/>
      <c r="I95" s="250"/>
      <c r="J95" s="216"/>
      <c r="K95" s="216"/>
      <c r="L95" s="235"/>
    </row>
    <row r="96" spans="1:12" ht="23.25" x14ac:dyDescent="0.35">
      <c r="A96" s="246"/>
      <c r="B96" s="247"/>
      <c r="C96" s="250"/>
      <c r="D96" s="249"/>
      <c r="E96" s="249"/>
      <c r="F96" s="246"/>
      <c r="G96" s="247"/>
      <c r="H96" s="250"/>
      <c r="I96" s="250"/>
      <c r="J96" s="216"/>
      <c r="K96" s="216"/>
      <c r="L96" s="235"/>
    </row>
    <row r="97" spans="1:12" ht="23.25" x14ac:dyDescent="0.35">
      <c r="A97" s="246"/>
      <c r="B97" s="247"/>
      <c r="C97" s="248"/>
      <c r="D97" s="249"/>
      <c r="E97" s="249"/>
      <c r="F97" s="246"/>
      <c r="G97" s="247"/>
      <c r="H97" s="248"/>
      <c r="I97" s="248"/>
      <c r="J97" s="216"/>
      <c r="K97" s="216"/>
      <c r="L97" s="235"/>
    </row>
    <row r="98" spans="1:12" ht="23.25" x14ac:dyDescent="0.35">
      <c r="A98" s="240"/>
      <c r="B98" s="238"/>
      <c r="C98" s="234"/>
      <c r="D98" s="216"/>
      <c r="E98" s="216"/>
      <c r="F98" s="240"/>
      <c r="G98" s="238"/>
      <c r="H98" s="234"/>
      <c r="I98" s="234"/>
      <c r="J98" s="216"/>
      <c r="K98" s="216"/>
      <c r="L98" s="235"/>
    </row>
    <row r="99" spans="1:12" ht="23.25" x14ac:dyDescent="0.35">
      <c r="A99" s="225" t="s">
        <v>29</v>
      </c>
      <c r="B99" s="251">
        <f>B74+B75+B76+B77+B78+B79+B81+B80</f>
        <v>530707.18999999994</v>
      </c>
      <c r="C99" s="251">
        <f>SUM(C83:C98)</f>
        <v>43425</v>
      </c>
      <c r="D99" s="251">
        <f>B99-C99</f>
        <v>487282.18999999994</v>
      </c>
      <c r="E99" s="251"/>
      <c r="F99" s="225"/>
      <c r="G99" s="225"/>
      <c r="H99" s="251">
        <f>H74+H75+H77+H79+H80</f>
        <v>162900.18999999994</v>
      </c>
      <c r="I99" s="251">
        <f>SUM(I83:I98)</f>
        <v>50425</v>
      </c>
      <c r="J99" s="251">
        <f>H99-I99</f>
        <v>112475.18999999994</v>
      </c>
      <c r="K99" s="251"/>
      <c r="L99" s="252"/>
    </row>
    <row r="100" spans="1:12" ht="23.25" x14ac:dyDescent="0.35">
      <c r="A100" s="253" t="s">
        <v>44</v>
      </c>
      <c r="B100" s="254"/>
      <c r="C100" s="254" t="s">
        <v>45</v>
      </c>
      <c r="D100" s="244"/>
      <c r="E100" s="244"/>
      <c r="F100" s="253"/>
      <c r="G100" s="253"/>
      <c r="H100" s="253" t="s">
        <v>46</v>
      </c>
      <c r="I100" s="255">
        <f>I99-I85</f>
        <v>43425</v>
      </c>
      <c r="J100" s="194"/>
      <c r="K100" s="194"/>
      <c r="L100" s="192"/>
    </row>
    <row r="101" spans="1:12" ht="23.25" x14ac:dyDescent="0.35">
      <c r="A101" s="194" t="s">
        <v>47</v>
      </c>
      <c r="B101" s="194"/>
      <c r="C101" s="194" t="s">
        <v>48</v>
      </c>
      <c r="D101" s="245"/>
      <c r="E101" s="194"/>
      <c r="F101" s="194"/>
      <c r="G101" s="194"/>
      <c r="H101" s="194" t="s">
        <v>118</v>
      </c>
      <c r="I101" s="256">
        <f>I99-I83</f>
        <v>23999.999999999996</v>
      </c>
      <c r="J101" s="194"/>
      <c r="K101" s="245"/>
      <c r="L101" s="192"/>
    </row>
    <row r="102" spans="1:12" ht="23.25" x14ac:dyDescent="0.35">
      <c r="A102" s="193"/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opLeftCell="A4" workbookViewId="0">
      <selection activeCell="L110" sqref="L110"/>
    </sheetView>
  </sheetViews>
  <sheetFormatPr defaultRowHeight="15" x14ac:dyDescent="0.25"/>
  <cols>
    <col min="1" max="1" width="18.42578125" customWidth="1"/>
    <col min="3" max="3" width="10.5703125" bestFit="1" customWidth="1"/>
    <col min="9" max="9" width="11.570312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6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6" ht="18.75" x14ac:dyDescent="0.3">
      <c r="A4" s="6"/>
      <c r="D4" s="3" t="s">
        <v>129</v>
      </c>
      <c r="E4" s="3"/>
      <c r="G4" s="3"/>
      <c r="H4" s="7"/>
      <c r="I4" s="8"/>
      <c r="J4" s="8"/>
      <c r="K4" s="8"/>
      <c r="L4" s="8"/>
      <c r="M4" s="2"/>
    </row>
    <row r="5" spans="1:16" x14ac:dyDescent="0.25">
      <c r="A5" s="9" t="s">
        <v>2</v>
      </c>
      <c r="B5" s="9" t="s">
        <v>3</v>
      </c>
      <c r="C5" s="9" t="s">
        <v>38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6" x14ac:dyDescent="0.25">
      <c r="A6" s="71" t="s">
        <v>175</v>
      </c>
      <c r="B6" s="62" t="s">
        <v>14</v>
      </c>
      <c r="C6" s="63">
        <v>6500</v>
      </c>
      <c r="D6" s="64"/>
      <c r="E6" s="67">
        <v>2000</v>
      </c>
      <c r="F6" s="68"/>
      <c r="G6" s="67"/>
      <c r="H6" s="67">
        <f>D6+E6+F6+G6+C6</f>
        <v>8500</v>
      </c>
      <c r="I6" s="67">
        <f>8500</f>
        <v>8500</v>
      </c>
      <c r="J6" s="17">
        <f t="shared" ref="J6:J67" si="0">H6-I6</f>
        <v>0</v>
      </c>
      <c r="K6" s="17"/>
      <c r="L6" s="17"/>
      <c r="M6" s="2" t="s">
        <v>121</v>
      </c>
    </row>
    <row r="7" spans="1:16" x14ac:dyDescent="0.25">
      <c r="A7" s="26" t="s">
        <v>17</v>
      </c>
      <c r="B7" s="14" t="s">
        <v>15</v>
      </c>
      <c r="C7" s="15"/>
      <c r="D7" s="64">
        <f>'SEPTEMBER 20'!J7:J71</f>
        <v>0</v>
      </c>
      <c r="E7" s="18"/>
      <c r="F7" s="19"/>
      <c r="G7" s="18"/>
      <c r="H7" s="67"/>
      <c r="I7" s="17">
        <f>H7</f>
        <v>0</v>
      </c>
      <c r="J7" s="17">
        <f t="shared" si="0"/>
        <v>0</v>
      </c>
      <c r="K7" s="17"/>
      <c r="L7" s="17"/>
      <c r="M7" s="2"/>
    </row>
    <row r="8" spans="1:16" x14ac:dyDescent="0.25">
      <c r="A8" s="26" t="s">
        <v>17</v>
      </c>
      <c r="B8" s="14" t="s">
        <v>16</v>
      </c>
      <c r="C8" s="15"/>
      <c r="D8" s="64">
        <f>'SEPTEMBER 20'!J8:J72</f>
        <v>0</v>
      </c>
      <c r="E8" s="18"/>
      <c r="F8" s="19"/>
      <c r="G8" s="18"/>
      <c r="H8" s="67">
        <f t="shared" ref="H8:H70" si="1">D8+E8+F8+G8+C8</f>
        <v>0</v>
      </c>
      <c r="I8" s="17"/>
      <c r="J8" s="17">
        <f t="shared" si="0"/>
        <v>0</v>
      </c>
      <c r="K8" s="17"/>
      <c r="L8" s="17"/>
      <c r="M8" s="2"/>
      <c r="P8" t="s">
        <v>147</v>
      </c>
    </row>
    <row r="9" spans="1:16" x14ac:dyDescent="0.25">
      <c r="A9" s="26" t="s">
        <v>17</v>
      </c>
      <c r="B9" s="14" t="s">
        <v>18</v>
      </c>
      <c r="C9" s="15"/>
      <c r="D9" s="64">
        <f>'SEPTEMBER 20'!J9:J73</f>
        <v>0</v>
      </c>
      <c r="E9" s="16"/>
      <c r="F9" s="21"/>
      <c r="G9" s="18"/>
      <c r="H9" s="67">
        <f t="shared" si="1"/>
        <v>0</v>
      </c>
      <c r="I9" s="17"/>
      <c r="J9" s="17">
        <f t="shared" si="0"/>
        <v>0</v>
      </c>
      <c r="K9" s="17"/>
      <c r="L9" s="17"/>
      <c r="M9" s="2"/>
      <c r="P9" t="s">
        <v>149</v>
      </c>
    </row>
    <row r="10" spans="1:16" x14ac:dyDescent="0.25">
      <c r="A10" s="74" t="s">
        <v>141</v>
      </c>
      <c r="B10" s="14" t="s">
        <v>19</v>
      </c>
      <c r="C10" s="15"/>
      <c r="D10" s="64"/>
      <c r="E10" s="18">
        <f>6500+6500</f>
        <v>13000</v>
      </c>
      <c r="F10" s="19"/>
      <c r="G10" s="18"/>
      <c r="H10" s="17">
        <f t="shared" si="1"/>
        <v>13000</v>
      </c>
      <c r="I10" s="17">
        <v>13000</v>
      </c>
      <c r="J10" s="17">
        <f t="shared" si="0"/>
        <v>0</v>
      </c>
      <c r="K10" s="17"/>
      <c r="L10" s="17"/>
      <c r="M10" s="2"/>
      <c r="P10" t="s">
        <v>148</v>
      </c>
    </row>
    <row r="11" spans="1:16" x14ac:dyDescent="0.25">
      <c r="A11" s="73" t="s">
        <v>134</v>
      </c>
      <c r="B11" s="14" t="s">
        <v>20</v>
      </c>
      <c r="C11" s="15"/>
      <c r="D11" s="64">
        <f>'SEPTEMBER 20'!J11:J75</f>
        <v>0</v>
      </c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  <c r="P11" t="s">
        <v>150</v>
      </c>
    </row>
    <row r="12" spans="1:16" x14ac:dyDescent="0.25">
      <c r="A12" s="71" t="s">
        <v>139</v>
      </c>
      <c r="B12" s="14" t="s">
        <v>21</v>
      </c>
      <c r="C12" s="15"/>
      <c r="D12" s="64">
        <f>'SEPTEMBER 20'!J12:J76</f>
        <v>0</v>
      </c>
      <c r="E12" s="18">
        <v>5500</v>
      </c>
      <c r="F12" s="19">
        <v>150</v>
      </c>
      <c r="G12" s="18">
        <v>150</v>
      </c>
      <c r="H12" s="17">
        <f t="shared" si="1"/>
        <v>5800</v>
      </c>
      <c r="I12" s="17">
        <v>5800</v>
      </c>
      <c r="J12" s="17">
        <f t="shared" si="0"/>
        <v>0</v>
      </c>
      <c r="K12" s="17"/>
      <c r="L12" s="17"/>
      <c r="M12" s="23"/>
    </row>
    <row r="13" spans="1:16" x14ac:dyDescent="0.25">
      <c r="A13" s="24" t="s">
        <v>103</v>
      </c>
      <c r="B13" s="14" t="s">
        <v>22</v>
      </c>
      <c r="C13" s="15"/>
      <c r="D13" s="64">
        <f>'SEPTEMBER 20'!J13:J77</f>
        <v>150</v>
      </c>
      <c r="E13" s="18">
        <v>7000</v>
      </c>
      <c r="F13" s="19">
        <v>450</v>
      </c>
      <c r="G13" s="18">
        <v>150</v>
      </c>
      <c r="H13" s="17">
        <f t="shared" si="1"/>
        <v>7750</v>
      </c>
      <c r="I13" s="17">
        <v>6000</v>
      </c>
      <c r="J13" s="17">
        <f t="shared" si="0"/>
        <v>1750</v>
      </c>
      <c r="K13" s="17"/>
      <c r="L13" s="17"/>
      <c r="M13" s="22"/>
    </row>
    <row r="14" spans="1:16" x14ac:dyDescent="0.25">
      <c r="A14" s="71" t="s">
        <v>140</v>
      </c>
      <c r="B14" s="14" t="s">
        <v>23</v>
      </c>
      <c r="C14" s="15">
        <v>6500</v>
      </c>
      <c r="D14" s="64">
        <f>'SEPTEMBER 20'!J14:J78</f>
        <v>0</v>
      </c>
      <c r="E14" s="18">
        <v>3250</v>
      </c>
      <c r="F14" s="19"/>
      <c r="G14" s="18">
        <v>150</v>
      </c>
      <c r="H14" s="17">
        <f t="shared" si="1"/>
        <v>9900</v>
      </c>
      <c r="I14" s="17">
        <v>9900</v>
      </c>
      <c r="J14" s="17">
        <f t="shared" si="0"/>
        <v>0</v>
      </c>
      <c r="K14" s="17"/>
      <c r="L14" s="17">
        <v>1000</v>
      </c>
      <c r="M14" s="2"/>
    </row>
    <row r="15" spans="1:16" x14ac:dyDescent="0.25">
      <c r="A15" s="13" t="s">
        <v>102</v>
      </c>
      <c r="B15" s="14" t="s">
        <v>24</v>
      </c>
      <c r="C15" s="15"/>
      <c r="D15" s="64">
        <f>'SEPTEMBER 20'!J15:J79</f>
        <v>0</v>
      </c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 t="s">
        <v>154</v>
      </c>
    </row>
    <row r="16" spans="1:16" x14ac:dyDescent="0.25">
      <c r="A16" s="29" t="s">
        <v>176</v>
      </c>
      <c r="B16" s="14" t="s">
        <v>25</v>
      </c>
      <c r="C16" s="15">
        <v>6500</v>
      </c>
      <c r="D16" s="64">
        <f>'SEPTEMBER 20'!J16:J80</f>
        <v>0</v>
      </c>
      <c r="E16" s="18">
        <v>2166</v>
      </c>
      <c r="F16" s="19"/>
      <c r="G16" s="18"/>
      <c r="H16" s="17">
        <f t="shared" si="1"/>
        <v>8666</v>
      </c>
      <c r="I16" s="17">
        <v>8666</v>
      </c>
      <c r="J16" s="17">
        <f t="shared" si="0"/>
        <v>0</v>
      </c>
      <c r="K16" s="17"/>
      <c r="L16" s="17">
        <f>1000</f>
        <v>1000</v>
      </c>
      <c r="M16" s="2"/>
    </row>
    <row r="17" spans="1:13" x14ac:dyDescent="0.25">
      <c r="A17" s="71" t="s">
        <v>133</v>
      </c>
      <c r="B17" s="14" t="s">
        <v>26</v>
      </c>
      <c r="C17" s="15"/>
      <c r="D17" s="64">
        <f>'SEPTEMBER 20'!J17:J81</f>
        <v>0</v>
      </c>
      <c r="E17" s="18"/>
      <c r="F17" s="19"/>
      <c r="G17" s="18"/>
      <c r="H17" s="17">
        <f t="shared" si="1"/>
        <v>0</v>
      </c>
      <c r="I17" s="17"/>
      <c r="J17" s="17">
        <f t="shared" si="0"/>
        <v>0</v>
      </c>
      <c r="K17" s="17"/>
      <c r="L17" s="17"/>
      <c r="M17" s="27"/>
    </row>
    <row r="18" spans="1:13" x14ac:dyDescent="0.25">
      <c r="A18" s="13" t="s">
        <v>104</v>
      </c>
      <c r="B18" s="14" t="s">
        <v>27</v>
      </c>
      <c r="C18" s="15"/>
      <c r="D18" s="64">
        <f>'SEPTEMBER 20'!J18:J82</f>
        <v>19950</v>
      </c>
      <c r="E18" s="18">
        <v>6500</v>
      </c>
      <c r="F18" s="19">
        <v>150</v>
      </c>
      <c r="G18" s="18">
        <v>150</v>
      </c>
      <c r="H18" s="17">
        <f t="shared" si="1"/>
        <v>26750</v>
      </c>
      <c r="I18" s="17"/>
      <c r="J18" s="17">
        <f t="shared" si="0"/>
        <v>26750</v>
      </c>
      <c r="K18" s="17"/>
      <c r="L18" s="17"/>
      <c r="M18" s="22"/>
    </row>
    <row r="19" spans="1:13" x14ac:dyDescent="0.25">
      <c r="A19" s="25" t="s">
        <v>131</v>
      </c>
      <c r="B19" s="14" t="s">
        <v>50</v>
      </c>
      <c r="C19" s="15">
        <v>6500</v>
      </c>
      <c r="D19" s="64">
        <f>'SEPTEMBER 20'!J19:J83</f>
        <v>0</v>
      </c>
      <c r="E19" s="18">
        <v>6500</v>
      </c>
      <c r="F19" s="19"/>
      <c r="G19" s="18">
        <v>150</v>
      </c>
      <c r="H19" s="17">
        <f t="shared" si="1"/>
        <v>13150</v>
      </c>
      <c r="I19" s="17">
        <v>13150</v>
      </c>
      <c r="J19" s="17">
        <f t="shared" si="0"/>
        <v>0</v>
      </c>
      <c r="K19" s="17"/>
      <c r="L19" s="17"/>
      <c r="M19" s="2"/>
    </row>
    <row r="20" spans="1:13" x14ac:dyDescent="0.25">
      <c r="A20" s="74" t="s">
        <v>152</v>
      </c>
      <c r="B20" s="14" t="s">
        <v>51</v>
      </c>
      <c r="C20" s="15"/>
      <c r="D20" s="64">
        <f>'SEPTEMBER 20'!J20:J84</f>
        <v>0</v>
      </c>
      <c r="E20" s="18">
        <v>13000</v>
      </c>
      <c r="F20" s="19"/>
      <c r="G20" s="18">
        <v>150</v>
      </c>
      <c r="H20" s="17">
        <f t="shared" si="1"/>
        <v>13150</v>
      </c>
      <c r="I20" s="17">
        <v>13000</v>
      </c>
      <c r="J20" s="17">
        <f t="shared" si="0"/>
        <v>150</v>
      </c>
      <c r="K20" s="17"/>
      <c r="L20" s="17"/>
      <c r="M20" s="22"/>
    </row>
    <row r="21" spans="1:13" x14ac:dyDescent="0.25">
      <c r="A21" s="29" t="s">
        <v>17</v>
      </c>
      <c r="B21" s="14" t="s">
        <v>52</v>
      </c>
      <c r="C21" s="15"/>
      <c r="D21" s="64">
        <f>'SEPTEMBER 20'!J21:J85</f>
        <v>0</v>
      </c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3" x14ac:dyDescent="0.25">
      <c r="A22" s="29" t="s">
        <v>17</v>
      </c>
      <c r="B22" s="14" t="s">
        <v>53</v>
      </c>
      <c r="C22" s="15"/>
      <c r="D22" s="64">
        <f>'SEPTEMBER 20'!J22:J86</f>
        <v>0</v>
      </c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/>
    </row>
    <row r="23" spans="1:13" x14ac:dyDescent="0.25">
      <c r="A23" s="72" t="s">
        <v>17</v>
      </c>
      <c r="B23" s="14" t="s">
        <v>54</v>
      </c>
      <c r="C23" s="15"/>
      <c r="D23" s="64">
        <f>'SEPTEMBER 20'!J23:J87</f>
        <v>0</v>
      </c>
      <c r="E23" s="18"/>
      <c r="F23" s="19"/>
      <c r="G23" s="18"/>
      <c r="H23" s="17">
        <f t="shared" si="1"/>
        <v>0</v>
      </c>
      <c r="I23" s="17"/>
      <c r="J23" s="17">
        <f t="shared" si="0"/>
        <v>0</v>
      </c>
      <c r="K23" s="17"/>
      <c r="L23" s="17"/>
      <c r="M23" s="2"/>
    </row>
    <row r="24" spans="1:13" x14ac:dyDescent="0.25">
      <c r="A24" s="29" t="s">
        <v>183</v>
      </c>
      <c r="B24" s="14" t="s">
        <v>55</v>
      </c>
      <c r="C24" s="15">
        <v>7000</v>
      </c>
      <c r="D24" s="64">
        <f>'SEPTEMBER 20'!J24:J88</f>
        <v>0</v>
      </c>
      <c r="E24" s="18">
        <v>3500</v>
      </c>
      <c r="F24" s="19"/>
      <c r="G24" s="18"/>
      <c r="H24" s="17">
        <f t="shared" si="1"/>
        <v>10500</v>
      </c>
      <c r="I24" s="17">
        <f>10000+500</f>
        <v>10500</v>
      </c>
      <c r="J24" s="17">
        <f t="shared" si="0"/>
        <v>0</v>
      </c>
      <c r="K24" s="17"/>
      <c r="L24" s="17">
        <v>1000</v>
      </c>
      <c r="M24" s="2"/>
    </row>
    <row r="25" spans="1:13" x14ac:dyDescent="0.25">
      <c r="A25" s="69" t="s">
        <v>123</v>
      </c>
      <c r="B25" s="14" t="s">
        <v>56</v>
      </c>
      <c r="C25" s="15"/>
      <c r="D25" s="64">
        <f>'SEPTEMBER 20'!J25:J91</f>
        <v>0</v>
      </c>
      <c r="E25" s="18"/>
      <c r="F25" s="19"/>
      <c r="G25" s="18"/>
      <c r="H25" s="17">
        <f t="shared" si="1"/>
        <v>0</v>
      </c>
      <c r="I25" s="17"/>
      <c r="J25" s="17">
        <f t="shared" si="0"/>
        <v>0</v>
      </c>
      <c r="K25" s="17"/>
      <c r="L25" s="17"/>
      <c r="M25" s="2"/>
    </row>
    <row r="26" spans="1:13" x14ac:dyDescent="0.25">
      <c r="A26" s="13" t="s">
        <v>130</v>
      </c>
      <c r="B26" s="14" t="s">
        <v>57</v>
      </c>
      <c r="C26" s="15"/>
      <c r="D26" s="64">
        <f>'SEPTEMBER 20'!J26:J92</f>
        <v>0</v>
      </c>
      <c r="E26" s="18">
        <v>7000</v>
      </c>
      <c r="F26" s="19">
        <v>150</v>
      </c>
      <c r="G26" s="18">
        <v>150</v>
      </c>
      <c r="H26" s="17">
        <f t="shared" si="1"/>
        <v>7300</v>
      </c>
      <c r="I26" s="17">
        <f>7150</f>
        <v>7150</v>
      </c>
      <c r="J26" s="17">
        <f t="shared" si="0"/>
        <v>150</v>
      </c>
      <c r="K26" s="17"/>
      <c r="L26" s="17"/>
      <c r="M26" s="28"/>
    </row>
    <row r="27" spans="1:13" x14ac:dyDescent="0.25">
      <c r="A27" s="13" t="s">
        <v>132</v>
      </c>
      <c r="B27" s="14" t="s">
        <v>58</v>
      </c>
      <c r="C27" s="15"/>
      <c r="D27" s="64">
        <f>'SEPTEMBER 20'!J27:J93</f>
        <v>0</v>
      </c>
      <c r="E27" s="18">
        <v>6500</v>
      </c>
      <c r="F27" s="19">
        <v>450</v>
      </c>
      <c r="G27" s="18">
        <v>150</v>
      </c>
      <c r="H27" s="17">
        <f t="shared" si="1"/>
        <v>7100</v>
      </c>
      <c r="I27" s="17">
        <v>6900</v>
      </c>
      <c r="J27" s="17">
        <f t="shared" si="0"/>
        <v>200</v>
      </c>
      <c r="K27" s="17"/>
      <c r="L27" s="17"/>
      <c r="M27" s="28"/>
    </row>
    <row r="28" spans="1:13" x14ac:dyDescent="0.25">
      <c r="A28" s="75" t="s">
        <v>145</v>
      </c>
      <c r="B28" s="14" t="s">
        <v>59</v>
      </c>
      <c r="C28" s="15"/>
      <c r="D28" s="64">
        <f>'SEPTEMBER 20'!J28:J94</f>
        <v>0</v>
      </c>
      <c r="E28" s="18"/>
      <c r="F28" s="19"/>
      <c r="G28" s="18"/>
      <c r="H28" s="67">
        <f t="shared" si="1"/>
        <v>0</v>
      </c>
      <c r="I28" s="17"/>
      <c r="J28" s="17">
        <f t="shared" si="0"/>
        <v>0</v>
      </c>
      <c r="K28" s="17"/>
      <c r="L28" s="17"/>
      <c r="M28" s="22"/>
    </row>
    <row r="29" spans="1:13" x14ac:dyDescent="0.25">
      <c r="A29" s="13" t="s">
        <v>177</v>
      </c>
      <c r="B29" s="14" t="s">
        <v>60</v>
      </c>
      <c r="C29" s="15"/>
      <c r="D29" s="64"/>
      <c r="E29" s="18">
        <v>6500</v>
      </c>
      <c r="F29" s="19"/>
      <c r="G29" s="18"/>
      <c r="H29" s="67">
        <f t="shared" si="1"/>
        <v>6500</v>
      </c>
      <c r="I29" s="17">
        <v>6500</v>
      </c>
      <c r="J29" s="17">
        <f t="shared" si="0"/>
        <v>0</v>
      </c>
      <c r="K29" s="17"/>
      <c r="L29" s="17"/>
      <c r="M29" s="22"/>
    </row>
    <row r="30" spans="1:13" x14ac:dyDescent="0.25">
      <c r="A30" s="75" t="s">
        <v>145</v>
      </c>
      <c r="B30" s="14" t="s">
        <v>61</v>
      </c>
      <c r="C30" s="15"/>
      <c r="D30" s="64">
        <f>'SEPTEMBER 20'!J30:J96</f>
        <v>0</v>
      </c>
      <c r="E30" s="18"/>
      <c r="F30" s="19"/>
      <c r="G30" s="18"/>
      <c r="H30" s="67">
        <f t="shared" si="1"/>
        <v>0</v>
      </c>
      <c r="I30" s="17"/>
      <c r="J30" s="17">
        <f t="shared" si="0"/>
        <v>0</v>
      </c>
      <c r="K30" s="17"/>
      <c r="L30" s="17"/>
      <c r="M30" s="2"/>
    </row>
    <row r="31" spans="1:13" x14ac:dyDescent="0.25">
      <c r="A31" s="13" t="s">
        <v>106</v>
      </c>
      <c r="B31" s="14" t="s">
        <v>62</v>
      </c>
      <c r="C31" s="63"/>
      <c r="D31" s="64">
        <f>'SEPTEMBER 20'!J31:J97</f>
        <v>150</v>
      </c>
      <c r="E31" s="18">
        <v>6500</v>
      </c>
      <c r="F31" s="19">
        <v>300</v>
      </c>
      <c r="G31" s="18">
        <v>150</v>
      </c>
      <c r="H31" s="17">
        <f t="shared" si="1"/>
        <v>7100</v>
      </c>
      <c r="I31" s="67">
        <v>7100</v>
      </c>
      <c r="J31" s="17">
        <f t="shared" si="0"/>
        <v>0</v>
      </c>
      <c r="K31" s="17"/>
      <c r="L31" s="17"/>
      <c r="M31" s="22" t="s">
        <v>121</v>
      </c>
    </row>
    <row r="32" spans="1:13" x14ac:dyDescent="0.25">
      <c r="A32" s="29" t="s">
        <v>17</v>
      </c>
      <c r="B32" s="14" t="s">
        <v>63</v>
      </c>
      <c r="C32" s="15"/>
      <c r="D32" s="64">
        <f>'SEPTEMBER 20'!J32:J98</f>
        <v>0</v>
      </c>
      <c r="E32" s="18"/>
      <c r="F32" s="19"/>
      <c r="G32" s="18"/>
      <c r="H32" s="67">
        <f t="shared" si="1"/>
        <v>0</v>
      </c>
      <c r="I32" s="17"/>
      <c r="J32" s="17">
        <f t="shared" si="0"/>
        <v>0</v>
      </c>
      <c r="K32" s="17"/>
      <c r="L32" s="17"/>
      <c r="M32" s="30">
        <f>J32-D32</f>
        <v>0</v>
      </c>
    </row>
    <row r="33" spans="1:18" x14ac:dyDescent="0.25">
      <c r="A33" s="69" t="s">
        <v>171</v>
      </c>
      <c r="B33" s="14" t="s">
        <v>64</v>
      </c>
      <c r="C33" s="15">
        <v>6500</v>
      </c>
      <c r="D33" s="64">
        <f>'SEPTEMBER 20'!J33:J99</f>
        <v>0</v>
      </c>
      <c r="E33" s="18">
        <v>3250</v>
      </c>
      <c r="F33" s="19"/>
      <c r="G33" s="18"/>
      <c r="H33" s="67">
        <f t="shared" si="1"/>
        <v>9750</v>
      </c>
      <c r="I33" s="17">
        <v>9750</v>
      </c>
      <c r="J33" s="17">
        <f t="shared" si="0"/>
        <v>0</v>
      </c>
      <c r="K33" s="17"/>
      <c r="L33" s="17">
        <v>1000</v>
      </c>
      <c r="M33" s="22"/>
    </row>
    <row r="34" spans="1:18" x14ac:dyDescent="0.25">
      <c r="A34" s="13" t="s">
        <v>161</v>
      </c>
      <c r="B34" s="14" t="s">
        <v>65</v>
      </c>
      <c r="C34" s="15">
        <v>6500</v>
      </c>
      <c r="D34" s="64">
        <f>'SEPTEMBER 20'!J34:J100</f>
        <v>0</v>
      </c>
      <c r="E34" s="19">
        <v>6500</v>
      </c>
      <c r="F34" s="19"/>
      <c r="G34" s="18">
        <v>150</v>
      </c>
      <c r="H34" s="67">
        <f t="shared" si="1"/>
        <v>13150</v>
      </c>
      <c r="I34" s="17">
        <v>13150</v>
      </c>
      <c r="J34" s="17">
        <f t="shared" si="0"/>
        <v>0</v>
      </c>
      <c r="K34" s="17"/>
      <c r="L34" s="17">
        <v>1000</v>
      </c>
      <c r="M34" s="22"/>
    </row>
    <row r="35" spans="1:18" x14ac:dyDescent="0.25">
      <c r="A35" s="75" t="s">
        <v>145</v>
      </c>
      <c r="B35" s="14" t="s">
        <v>66</v>
      </c>
      <c r="C35" s="15"/>
      <c r="D35" s="64">
        <f>'SEPTEMBER 20'!J35:J101</f>
        <v>0</v>
      </c>
      <c r="E35" s="19"/>
      <c r="F35" s="19"/>
      <c r="G35" s="18"/>
      <c r="H35" s="67">
        <f t="shared" si="1"/>
        <v>0</v>
      </c>
      <c r="I35" s="17"/>
      <c r="J35" s="17">
        <f t="shared" si="0"/>
        <v>0</v>
      </c>
      <c r="K35" s="17"/>
      <c r="L35" s="17"/>
      <c r="M35" s="22"/>
      <c r="R35">
        <f>6500/30</f>
        <v>216.66666666666666</v>
      </c>
    </row>
    <row r="36" spans="1:18" x14ac:dyDescent="0.25">
      <c r="A36" s="69" t="s">
        <v>162</v>
      </c>
      <c r="B36" s="14" t="s">
        <v>67</v>
      </c>
      <c r="C36" s="15"/>
      <c r="D36" s="64">
        <f>32500+6500</f>
        <v>39000</v>
      </c>
      <c r="E36" s="19">
        <v>6500</v>
      </c>
      <c r="F36" s="19"/>
      <c r="G36" s="18"/>
      <c r="H36" s="67">
        <f t="shared" si="1"/>
        <v>45500</v>
      </c>
      <c r="I36" s="17">
        <f>26500+12500</f>
        <v>39000</v>
      </c>
      <c r="J36" s="17">
        <f t="shared" si="0"/>
        <v>6500</v>
      </c>
      <c r="K36" s="17">
        <v>32500</v>
      </c>
      <c r="L36" s="17"/>
      <c r="M36" s="22"/>
      <c r="R36">
        <f>R35*10</f>
        <v>2166.6666666666665</v>
      </c>
    </row>
    <row r="37" spans="1:18" x14ac:dyDescent="0.25">
      <c r="A37" s="71" t="s">
        <v>126</v>
      </c>
      <c r="B37" s="14" t="s">
        <v>68</v>
      </c>
      <c r="C37" s="15"/>
      <c r="D37" s="64">
        <f>'SEPTEMBER 20'!J37:J103</f>
        <v>0</v>
      </c>
      <c r="E37" s="19">
        <v>7000</v>
      </c>
      <c r="F37" s="19"/>
      <c r="G37" s="18">
        <v>150</v>
      </c>
      <c r="H37" s="67">
        <f t="shared" si="1"/>
        <v>7150</v>
      </c>
      <c r="I37" s="17">
        <v>7000</v>
      </c>
      <c r="J37" s="17">
        <f t="shared" si="0"/>
        <v>150</v>
      </c>
      <c r="K37" s="17"/>
      <c r="L37" s="17"/>
      <c r="M37" s="22">
        <f>H36+650</f>
        <v>46150</v>
      </c>
      <c r="R37">
        <v>6500</v>
      </c>
    </row>
    <row r="38" spans="1:18" x14ac:dyDescent="0.25">
      <c r="A38" s="71" t="s">
        <v>172</v>
      </c>
      <c r="B38" s="14" t="s">
        <v>69</v>
      </c>
      <c r="C38" s="15">
        <v>5500</v>
      </c>
      <c r="D38" s="64">
        <f>'SEPTEMBER 20'!J38:J104</f>
        <v>0</v>
      </c>
      <c r="E38" s="19">
        <v>2750</v>
      </c>
      <c r="F38" s="19"/>
      <c r="G38" s="18"/>
      <c r="H38" s="67">
        <f t="shared" si="1"/>
        <v>8250</v>
      </c>
      <c r="I38" s="17">
        <v>8250</v>
      </c>
      <c r="J38" s="17">
        <f t="shared" si="0"/>
        <v>0</v>
      </c>
      <c r="K38" s="17"/>
      <c r="L38" s="17">
        <v>1000</v>
      </c>
      <c r="M38" s="22"/>
    </row>
    <row r="39" spans="1:18" x14ac:dyDescent="0.25">
      <c r="A39" s="71" t="s">
        <v>125</v>
      </c>
      <c r="B39" s="14" t="s">
        <v>70</v>
      </c>
      <c r="C39" s="15"/>
      <c r="D39" s="64">
        <f>'SEPTEMBER 20'!J39:J105</f>
        <v>500</v>
      </c>
      <c r="E39" s="19">
        <v>7000</v>
      </c>
      <c r="F39" s="19">
        <v>450</v>
      </c>
      <c r="G39" s="18">
        <v>150</v>
      </c>
      <c r="H39" s="67">
        <f t="shared" si="1"/>
        <v>8100</v>
      </c>
      <c r="I39" s="17">
        <v>7450</v>
      </c>
      <c r="J39" s="17">
        <f t="shared" si="0"/>
        <v>650</v>
      </c>
      <c r="K39" s="17"/>
      <c r="L39" s="17"/>
      <c r="M39" s="22"/>
      <c r="R39">
        <v>1000</v>
      </c>
    </row>
    <row r="40" spans="1:18" x14ac:dyDescent="0.25">
      <c r="A40" s="75" t="s">
        <v>145</v>
      </c>
      <c r="B40" s="14" t="s">
        <v>71</v>
      </c>
      <c r="C40" s="15"/>
      <c r="D40" s="64">
        <f>'SEPTEMBER 20'!J40:J106</f>
        <v>0</v>
      </c>
      <c r="E40" s="19"/>
      <c r="F40" s="19"/>
      <c r="G40" s="18"/>
      <c r="H40" s="67">
        <f t="shared" si="1"/>
        <v>0</v>
      </c>
      <c r="I40" s="17"/>
      <c r="J40" s="17">
        <f t="shared" si="0"/>
        <v>0</v>
      </c>
      <c r="K40" s="17"/>
      <c r="L40" s="17"/>
      <c r="M40" s="22"/>
      <c r="R40">
        <f>SUM(R36:R39)</f>
        <v>9666.6666666666661</v>
      </c>
    </row>
    <row r="41" spans="1:18" x14ac:dyDescent="0.25">
      <c r="A41" s="13" t="s">
        <v>127</v>
      </c>
      <c r="B41" s="14" t="s">
        <v>72</v>
      </c>
      <c r="C41" s="15"/>
      <c r="D41" s="64">
        <f>'SEPTEMBER 20'!J41:J107</f>
        <v>3000</v>
      </c>
      <c r="E41" s="19">
        <v>6500</v>
      </c>
      <c r="F41" s="19">
        <v>300</v>
      </c>
      <c r="G41" s="18">
        <v>150</v>
      </c>
      <c r="H41" s="67">
        <f t="shared" si="1"/>
        <v>9950</v>
      </c>
      <c r="I41" s="17">
        <f>5500</f>
        <v>5500</v>
      </c>
      <c r="J41" s="17">
        <f t="shared" si="0"/>
        <v>4450</v>
      </c>
      <c r="K41" s="17"/>
      <c r="L41" s="17"/>
      <c r="M41" s="22"/>
      <c r="O41">
        <f>6500*5</f>
        <v>32500</v>
      </c>
      <c r="R41">
        <v>9666</v>
      </c>
    </row>
    <row r="42" spans="1:18" x14ac:dyDescent="0.25">
      <c r="A42" s="71" t="s">
        <v>124</v>
      </c>
      <c r="B42" s="14" t="s">
        <v>73</v>
      </c>
      <c r="C42" s="15"/>
      <c r="D42" s="64">
        <f>'SEPTEMBER 20'!J42:J108</f>
        <v>200</v>
      </c>
      <c r="E42" s="19">
        <v>6500</v>
      </c>
      <c r="F42" s="19"/>
      <c r="G42" s="18">
        <v>150</v>
      </c>
      <c r="H42" s="67">
        <f t="shared" si="1"/>
        <v>6850</v>
      </c>
      <c r="I42" s="17">
        <v>6500</v>
      </c>
      <c r="J42" s="17">
        <f t="shared" si="0"/>
        <v>350</v>
      </c>
      <c r="K42" s="17"/>
      <c r="L42" s="17"/>
      <c r="M42" s="22"/>
      <c r="O42">
        <f>O41+6500</f>
        <v>39000</v>
      </c>
      <c r="R42">
        <f>R40-R41</f>
        <v>0.66666666666606034</v>
      </c>
    </row>
    <row r="43" spans="1:18" x14ac:dyDescent="0.25">
      <c r="A43" s="13" t="s">
        <v>155</v>
      </c>
      <c r="B43" s="14" t="s">
        <v>74</v>
      </c>
      <c r="C43" s="15">
        <v>6500</v>
      </c>
      <c r="D43" s="64">
        <f>'SEPTEMBER 20'!J43:J109</f>
        <v>0</v>
      </c>
      <c r="E43" s="19">
        <v>6500</v>
      </c>
      <c r="F43" s="19"/>
      <c r="G43" s="18">
        <v>150</v>
      </c>
      <c r="H43" s="67">
        <f>D43+E43+F43+G43+C43</f>
        <v>13150</v>
      </c>
      <c r="I43" s="17">
        <f>13000+150</f>
        <v>13150</v>
      </c>
      <c r="J43" s="17">
        <f t="shared" si="0"/>
        <v>0</v>
      </c>
      <c r="K43" s="17"/>
      <c r="L43" s="17"/>
      <c r="M43" s="22"/>
    </row>
    <row r="44" spans="1:18" x14ac:dyDescent="0.25">
      <c r="A44" s="13" t="s">
        <v>117</v>
      </c>
      <c r="B44" s="14" t="s">
        <v>75</v>
      </c>
      <c r="C44" s="15"/>
      <c r="D44" s="16">
        <f>'SEPTEMBER 20'!J44:J110</f>
        <v>5000</v>
      </c>
      <c r="E44" s="19">
        <v>6500</v>
      </c>
      <c r="F44" s="19">
        <v>300</v>
      </c>
      <c r="G44" s="18">
        <v>150</v>
      </c>
      <c r="H44" s="17">
        <f t="shared" si="1"/>
        <v>11950</v>
      </c>
      <c r="I44" s="17">
        <v>6800</v>
      </c>
      <c r="J44" s="17">
        <f t="shared" si="0"/>
        <v>5150</v>
      </c>
      <c r="K44" s="17"/>
      <c r="L44" s="17"/>
      <c r="M44" s="22" t="s">
        <v>121</v>
      </c>
    </row>
    <row r="45" spans="1:18" x14ac:dyDescent="0.25">
      <c r="A45" s="13" t="s">
        <v>107</v>
      </c>
      <c r="B45" s="14" t="s">
        <v>76</v>
      </c>
      <c r="C45" s="15"/>
      <c r="D45" s="64">
        <f>'SEPTEMBER 20'!J45:J111</f>
        <v>0</v>
      </c>
      <c r="E45" s="19">
        <v>6500</v>
      </c>
      <c r="F45" s="19">
        <v>150</v>
      </c>
      <c r="G45" s="18">
        <v>150</v>
      </c>
      <c r="H45" s="67">
        <f t="shared" si="1"/>
        <v>6800</v>
      </c>
      <c r="I45" s="17">
        <v>6800</v>
      </c>
      <c r="J45" s="17">
        <f t="shared" si="0"/>
        <v>0</v>
      </c>
      <c r="K45" s="17"/>
      <c r="L45" s="17"/>
      <c r="M45" s="22"/>
    </row>
    <row r="46" spans="1:18" x14ac:dyDescent="0.25">
      <c r="A46" s="29" t="s">
        <v>178</v>
      </c>
      <c r="B46" s="14" t="s">
        <v>77</v>
      </c>
      <c r="C46" s="15">
        <v>6500</v>
      </c>
      <c r="D46" s="64">
        <f>'SEPTEMBER 20'!J46:J112</f>
        <v>0</v>
      </c>
      <c r="E46" s="19">
        <f>2167</f>
        <v>2167</v>
      </c>
      <c r="F46" s="19"/>
      <c r="G46" s="18"/>
      <c r="H46" s="67">
        <f t="shared" si="1"/>
        <v>8667</v>
      </c>
      <c r="I46" s="17">
        <f>6500+2167</f>
        <v>8667</v>
      </c>
      <c r="J46" s="17">
        <f t="shared" si="0"/>
        <v>0</v>
      </c>
      <c r="K46" s="17"/>
      <c r="L46" s="17">
        <v>1000</v>
      </c>
      <c r="M46" s="22"/>
      <c r="N46">
        <f>0.3*C46</f>
        <v>1950</v>
      </c>
    </row>
    <row r="47" spans="1:18" x14ac:dyDescent="0.25">
      <c r="A47" s="29" t="s">
        <v>17</v>
      </c>
      <c r="B47" s="14" t="s">
        <v>78</v>
      </c>
      <c r="C47" s="15"/>
      <c r="D47" s="64">
        <f>'SEPTEMBER 20'!J47:J113</f>
        <v>0</v>
      </c>
      <c r="E47" s="19"/>
      <c r="F47" s="19"/>
      <c r="G47" s="18"/>
      <c r="H47" s="67">
        <f t="shared" si="1"/>
        <v>0</v>
      </c>
      <c r="I47" s="17"/>
      <c r="J47" s="17">
        <f t="shared" si="0"/>
        <v>0</v>
      </c>
      <c r="K47" s="17"/>
      <c r="L47" s="17"/>
      <c r="M47" s="22"/>
      <c r="N47">
        <f>7500-N46</f>
        <v>5550</v>
      </c>
    </row>
    <row r="48" spans="1:18" x14ac:dyDescent="0.25">
      <c r="A48" s="13" t="s">
        <v>153</v>
      </c>
      <c r="B48" s="14" t="s">
        <v>79</v>
      </c>
      <c r="C48" s="15"/>
      <c r="D48" s="64">
        <f>'SEPTEMBER 20'!J48:J114</f>
        <v>0</v>
      </c>
      <c r="E48" s="19">
        <v>6500</v>
      </c>
      <c r="F48" s="19"/>
      <c r="G48" s="18">
        <v>150</v>
      </c>
      <c r="H48" s="67">
        <f t="shared" si="1"/>
        <v>6650</v>
      </c>
      <c r="I48" s="17">
        <f>5800</f>
        <v>5800</v>
      </c>
      <c r="J48" s="17">
        <f t="shared" si="0"/>
        <v>850</v>
      </c>
      <c r="K48" s="17"/>
      <c r="L48" s="17"/>
      <c r="M48" s="22"/>
    </row>
    <row r="49" spans="1:16" x14ac:dyDescent="0.25">
      <c r="A49" s="29" t="s">
        <v>108</v>
      </c>
      <c r="B49" s="14" t="s">
        <v>80</v>
      </c>
      <c r="C49" s="15"/>
      <c r="D49" s="64">
        <f>'SEPTEMBER 20'!J49:J115</f>
        <v>0</v>
      </c>
      <c r="E49" s="19"/>
      <c r="F49" s="19"/>
      <c r="G49" s="18"/>
      <c r="H49" s="67">
        <f t="shared" si="1"/>
        <v>0</v>
      </c>
      <c r="I49" s="17"/>
      <c r="J49" s="17">
        <f t="shared" si="0"/>
        <v>0</v>
      </c>
      <c r="K49" s="17"/>
      <c r="L49" s="17"/>
    </row>
    <row r="50" spans="1:16" x14ac:dyDescent="0.25">
      <c r="A50" s="71" t="s">
        <v>135</v>
      </c>
      <c r="B50" s="14" t="s">
        <v>81</v>
      </c>
      <c r="C50" s="15"/>
      <c r="D50" s="64">
        <f>'SEPTEMBER 20'!J50:J116</f>
        <v>0</v>
      </c>
      <c r="E50" s="19">
        <v>7000</v>
      </c>
      <c r="F50" s="19">
        <v>300</v>
      </c>
      <c r="G50" s="18">
        <v>150</v>
      </c>
      <c r="H50" s="67">
        <f t="shared" si="1"/>
        <v>7450</v>
      </c>
      <c r="I50" s="17">
        <v>7000</v>
      </c>
      <c r="J50" s="17">
        <f t="shared" si="0"/>
        <v>450</v>
      </c>
      <c r="K50" s="17"/>
      <c r="L50" s="17"/>
      <c r="M50" s="22"/>
    </row>
    <row r="51" spans="1:16" x14ac:dyDescent="0.25">
      <c r="A51" s="71" t="s">
        <v>138</v>
      </c>
      <c r="B51" s="14" t="s">
        <v>82</v>
      </c>
      <c r="C51" s="15">
        <v>5500</v>
      </c>
      <c r="D51" s="64"/>
      <c r="E51" s="19">
        <v>5500</v>
      </c>
      <c r="F51" s="19"/>
      <c r="G51" s="18">
        <v>150</v>
      </c>
      <c r="H51" s="67">
        <f t="shared" si="1"/>
        <v>11150</v>
      </c>
      <c r="I51" s="17">
        <v>11150</v>
      </c>
      <c r="J51" s="17">
        <f t="shared" si="0"/>
        <v>0</v>
      </c>
      <c r="K51" s="17"/>
      <c r="L51" s="17">
        <v>1000</v>
      </c>
      <c r="M51" s="22"/>
    </row>
    <row r="52" spans="1:16" x14ac:dyDescent="0.25">
      <c r="A52" s="13" t="s">
        <v>109</v>
      </c>
      <c r="B52" s="14" t="s">
        <v>83</v>
      </c>
      <c r="C52" s="15"/>
      <c r="D52" s="64"/>
      <c r="E52" s="19">
        <v>7000</v>
      </c>
      <c r="F52" s="19">
        <v>150</v>
      </c>
      <c r="G52" s="18">
        <v>150</v>
      </c>
      <c r="H52" s="67">
        <f>D52+E52+F52+G52+C52</f>
        <v>7300</v>
      </c>
      <c r="I52" s="17">
        <f>3000</f>
        <v>3000</v>
      </c>
      <c r="J52" s="17">
        <f t="shared" si="0"/>
        <v>4300</v>
      </c>
      <c r="K52" s="17"/>
      <c r="L52" s="17"/>
      <c r="M52" s="22">
        <f>J52-D52</f>
        <v>4300</v>
      </c>
    </row>
    <row r="53" spans="1:16" x14ac:dyDescent="0.25">
      <c r="A53" s="69" t="s">
        <v>146</v>
      </c>
      <c r="B53" s="14" t="s">
        <v>84</v>
      </c>
      <c r="C53" s="15"/>
      <c r="D53" s="64">
        <f>'SEPTEMBER 20'!J53:J119</f>
        <v>0</v>
      </c>
      <c r="E53" s="19"/>
      <c r="F53" s="19"/>
      <c r="G53" s="18"/>
      <c r="H53" s="67">
        <f t="shared" si="1"/>
        <v>0</v>
      </c>
      <c r="I53" s="17"/>
      <c r="J53" s="17">
        <f t="shared" si="0"/>
        <v>0</v>
      </c>
      <c r="K53" s="17"/>
      <c r="L53" s="17"/>
      <c r="M53" s="22"/>
      <c r="O53" s="23">
        <f>H48+J39+J37+J27+J26+J20+E18+F18+G18</f>
        <v>14750</v>
      </c>
    </row>
    <row r="54" spans="1:16" x14ac:dyDescent="0.25">
      <c r="A54" s="29" t="s">
        <v>17</v>
      </c>
      <c r="B54" s="14" t="s">
        <v>85</v>
      </c>
      <c r="C54" s="15"/>
      <c r="D54" s="64">
        <f>'SEPTEMBER 20'!J54:J120</f>
        <v>0</v>
      </c>
      <c r="E54" s="19"/>
      <c r="F54" s="19"/>
      <c r="G54" s="18"/>
      <c r="H54" s="67">
        <f t="shared" si="1"/>
        <v>0</v>
      </c>
      <c r="I54" s="17"/>
      <c r="J54" s="17">
        <f t="shared" si="0"/>
        <v>0</v>
      </c>
      <c r="K54" s="17"/>
      <c r="L54" s="17"/>
      <c r="M54" s="22"/>
    </row>
    <row r="55" spans="1:16" x14ac:dyDescent="0.25">
      <c r="A55" s="75" t="s">
        <v>137</v>
      </c>
      <c r="B55" s="14" t="s">
        <v>86</v>
      </c>
      <c r="C55" s="15">
        <v>6500</v>
      </c>
      <c r="D55" s="64">
        <f>'SEPTEMBER 20'!J55:J121</f>
        <v>0</v>
      </c>
      <c r="E55" s="19">
        <v>6500</v>
      </c>
      <c r="F55" s="19"/>
      <c r="G55" s="18">
        <v>150</v>
      </c>
      <c r="H55" s="67">
        <f t="shared" si="1"/>
        <v>13150</v>
      </c>
      <c r="I55" s="17">
        <f>6650+6500</f>
        <v>13150</v>
      </c>
      <c r="J55" s="17">
        <f t="shared" si="0"/>
        <v>0</v>
      </c>
      <c r="K55" s="17"/>
      <c r="L55" s="17">
        <v>1000</v>
      </c>
      <c r="M55" s="22"/>
    </row>
    <row r="56" spans="1:16" x14ac:dyDescent="0.25">
      <c r="A56" s="29" t="s">
        <v>17</v>
      </c>
      <c r="B56" s="14" t="s">
        <v>87</v>
      </c>
      <c r="C56" s="15"/>
      <c r="D56" s="64">
        <f>'SEPTEMBER 20'!J56:J122</f>
        <v>0</v>
      </c>
      <c r="E56" s="19"/>
      <c r="F56" s="19"/>
      <c r="G56" s="18"/>
      <c r="H56" s="67">
        <f t="shared" si="1"/>
        <v>0</v>
      </c>
      <c r="I56" s="17"/>
      <c r="J56" s="17">
        <f t="shared" si="0"/>
        <v>0</v>
      </c>
      <c r="K56" s="17"/>
      <c r="L56" s="17"/>
      <c r="M56" s="22"/>
    </row>
    <row r="57" spans="1:16" x14ac:dyDescent="0.25">
      <c r="A57" s="13" t="s">
        <v>151</v>
      </c>
      <c r="B57" s="14" t="s">
        <v>88</v>
      </c>
      <c r="C57" s="15">
        <v>6500</v>
      </c>
      <c r="D57" s="64">
        <f>'SEPTEMBER 20'!J57:J123</f>
        <v>0</v>
      </c>
      <c r="E57" s="19">
        <v>6500</v>
      </c>
      <c r="F57" s="19"/>
      <c r="G57" s="18">
        <v>150</v>
      </c>
      <c r="H57" s="67">
        <f t="shared" si="1"/>
        <v>13150</v>
      </c>
      <c r="I57" s="17">
        <v>13000</v>
      </c>
      <c r="J57" s="17">
        <f t="shared" si="0"/>
        <v>150</v>
      </c>
      <c r="K57" s="17"/>
      <c r="L57" s="17"/>
      <c r="M57" s="22"/>
    </row>
    <row r="58" spans="1:16" x14ac:dyDescent="0.25">
      <c r="A58" s="13" t="s">
        <v>110</v>
      </c>
      <c r="B58" s="14" t="s">
        <v>89</v>
      </c>
      <c r="C58" s="15"/>
      <c r="D58" s="64">
        <f>'SEPTEMBER 20'!J58:J124</f>
        <v>7150</v>
      </c>
      <c r="E58" s="19">
        <v>7000</v>
      </c>
      <c r="F58" s="19">
        <v>450</v>
      </c>
      <c r="G58" s="18">
        <v>150</v>
      </c>
      <c r="H58" s="67">
        <f t="shared" si="1"/>
        <v>14750</v>
      </c>
      <c r="I58" s="17">
        <f>3500+7600</f>
        <v>11100</v>
      </c>
      <c r="J58" s="17">
        <f t="shared" si="0"/>
        <v>3650</v>
      </c>
      <c r="K58" s="17"/>
      <c r="L58" s="17"/>
      <c r="M58" s="22"/>
    </row>
    <row r="59" spans="1:16" x14ac:dyDescent="0.25">
      <c r="A59" s="13"/>
      <c r="B59" s="14" t="s">
        <v>90</v>
      </c>
      <c r="C59" s="15"/>
      <c r="D59" s="64">
        <f>'SEPTEMBER 20'!J59:J125</f>
        <v>0</v>
      </c>
      <c r="E59" s="19"/>
      <c r="F59" s="19"/>
      <c r="G59" s="18"/>
      <c r="H59" s="67">
        <f t="shared" si="1"/>
        <v>0</v>
      </c>
      <c r="I59" s="17"/>
      <c r="J59" s="17">
        <f t="shared" si="0"/>
        <v>0</v>
      </c>
      <c r="K59" s="17"/>
      <c r="L59" s="17"/>
      <c r="M59" s="22"/>
      <c r="P59">
        <f>C57+C55+C51+C43+C34+C19+C14</f>
        <v>44500</v>
      </c>
    </row>
    <row r="60" spans="1:16" x14ac:dyDescent="0.25">
      <c r="A60" s="13" t="s">
        <v>111</v>
      </c>
      <c r="B60" s="14" t="s">
        <v>91</v>
      </c>
      <c r="C60" s="15"/>
      <c r="D60" s="64">
        <f>'SEPTEMBER 20'!J60:J126</f>
        <v>0</v>
      </c>
      <c r="E60" s="19">
        <v>6500</v>
      </c>
      <c r="F60" s="19">
        <v>300</v>
      </c>
      <c r="G60" s="18">
        <v>150</v>
      </c>
      <c r="H60" s="67">
        <f t="shared" si="1"/>
        <v>6950</v>
      </c>
      <c r="I60" s="17">
        <f>6500+450</f>
        <v>6950</v>
      </c>
      <c r="J60" s="17">
        <f>H60-I60</f>
        <v>0</v>
      </c>
      <c r="K60" s="17"/>
      <c r="L60" s="17"/>
      <c r="M60" s="2"/>
    </row>
    <row r="61" spans="1:16" x14ac:dyDescent="0.25">
      <c r="A61" s="20" t="s">
        <v>17</v>
      </c>
      <c r="B61" s="14" t="s">
        <v>92</v>
      </c>
      <c r="C61" s="15"/>
      <c r="D61" s="64">
        <f>'SEPTEMBER 20'!J61:J127</f>
        <v>0</v>
      </c>
      <c r="E61" s="19"/>
      <c r="F61" s="19"/>
      <c r="G61" s="18"/>
      <c r="H61" s="67">
        <f t="shared" si="1"/>
        <v>0</v>
      </c>
      <c r="I61" s="17"/>
      <c r="J61" s="17">
        <f t="shared" si="0"/>
        <v>0</v>
      </c>
      <c r="K61" s="17"/>
      <c r="L61" s="17"/>
      <c r="M61" s="2"/>
    </row>
    <row r="62" spans="1:16" x14ac:dyDescent="0.25">
      <c r="A62" s="20" t="s">
        <v>17</v>
      </c>
      <c r="B62" s="14" t="s">
        <v>93</v>
      </c>
      <c r="C62" s="15"/>
      <c r="D62" s="64">
        <f>'SEPTEMBER 20'!J62:J128</f>
        <v>0</v>
      </c>
      <c r="E62" s="19"/>
      <c r="F62" s="19"/>
      <c r="G62" s="18"/>
      <c r="H62" s="67">
        <f t="shared" si="1"/>
        <v>0</v>
      </c>
      <c r="I62" s="17"/>
      <c r="J62" s="17">
        <f t="shared" si="0"/>
        <v>0</v>
      </c>
      <c r="K62" s="17"/>
      <c r="L62" s="17"/>
      <c r="M62" s="2"/>
    </row>
    <row r="63" spans="1:16" x14ac:dyDescent="0.25">
      <c r="A63" s="25" t="s">
        <v>112</v>
      </c>
      <c r="B63" s="14" t="s">
        <v>94</v>
      </c>
      <c r="C63" s="15"/>
      <c r="D63" s="64">
        <f>'SEPTEMBER 20'!J63:J129</f>
        <v>300</v>
      </c>
      <c r="E63" s="19">
        <v>7000</v>
      </c>
      <c r="F63" s="19">
        <v>300</v>
      </c>
      <c r="G63" s="18">
        <v>150</v>
      </c>
      <c r="H63" s="67">
        <f t="shared" si="1"/>
        <v>7750</v>
      </c>
      <c r="I63" s="17">
        <v>7300</v>
      </c>
      <c r="J63" s="17">
        <f t="shared" si="0"/>
        <v>450</v>
      </c>
      <c r="K63" s="17"/>
      <c r="L63" s="17"/>
      <c r="M63" s="2"/>
    </row>
    <row r="64" spans="1:16" x14ac:dyDescent="0.25">
      <c r="A64" s="48" t="s">
        <v>145</v>
      </c>
      <c r="B64" s="14" t="s">
        <v>95</v>
      </c>
      <c r="C64" s="15"/>
      <c r="D64" s="64">
        <f>'SEPTEMBER 20'!J64:J130</f>
        <v>0</v>
      </c>
      <c r="E64" s="19"/>
      <c r="F64" s="19"/>
      <c r="G64" s="18"/>
      <c r="H64" s="67">
        <f t="shared" si="1"/>
        <v>0</v>
      </c>
      <c r="I64" s="17"/>
      <c r="J64" s="17">
        <f t="shared" si="0"/>
        <v>0</v>
      </c>
      <c r="K64" s="17"/>
      <c r="L64" s="17"/>
      <c r="M64" s="2"/>
    </row>
    <row r="65" spans="1:18" x14ac:dyDescent="0.25">
      <c r="A65" s="25" t="s">
        <v>113</v>
      </c>
      <c r="B65" s="14" t="s">
        <v>96</v>
      </c>
      <c r="C65" s="15"/>
      <c r="D65" s="16"/>
      <c r="E65" s="19">
        <v>7000</v>
      </c>
      <c r="F65" s="19">
        <v>150</v>
      </c>
      <c r="G65" s="18">
        <v>150</v>
      </c>
      <c r="H65" s="67">
        <f t="shared" si="1"/>
        <v>7300</v>
      </c>
      <c r="I65" s="17">
        <f>7300</f>
        <v>7300</v>
      </c>
      <c r="J65" s="17">
        <f t="shared" si="0"/>
        <v>0</v>
      </c>
      <c r="K65" s="17"/>
      <c r="L65" s="17"/>
      <c r="M65" s="2"/>
    </row>
    <row r="66" spans="1:18" x14ac:dyDescent="0.25">
      <c r="A66" s="20" t="s">
        <v>17</v>
      </c>
      <c r="B66" s="14" t="s">
        <v>97</v>
      </c>
      <c r="C66" s="15"/>
      <c r="D66" s="64"/>
      <c r="E66" s="19"/>
      <c r="F66" s="19"/>
      <c r="G66" s="18"/>
      <c r="H66" s="67">
        <f t="shared" si="1"/>
        <v>0</v>
      </c>
      <c r="I66" s="17"/>
      <c r="J66" s="17">
        <f t="shared" si="0"/>
        <v>0</v>
      </c>
      <c r="K66" s="17"/>
      <c r="L66" s="17"/>
      <c r="M66" s="2"/>
    </row>
    <row r="67" spans="1:18" x14ac:dyDescent="0.25">
      <c r="A67" s="20" t="s">
        <v>17</v>
      </c>
      <c r="B67" s="14" t="s">
        <v>98</v>
      </c>
      <c r="C67" s="15"/>
      <c r="D67" s="64">
        <f>'SEPTEMBER 20'!J67:J133</f>
        <v>0</v>
      </c>
      <c r="E67" s="19"/>
      <c r="F67" s="19"/>
      <c r="G67" s="18"/>
      <c r="H67" s="67">
        <f t="shared" si="1"/>
        <v>0</v>
      </c>
      <c r="I67" s="17"/>
      <c r="J67" s="17">
        <f t="shared" si="0"/>
        <v>0</v>
      </c>
      <c r="K67" s="17"/>
      <c r="L67" s="17"/>
      <c r="M67" s="2"/>
    </row>
    <row r="68" spans="1:18" x14ac:dyDescent="0.25">
      <c r="A68" s="25" t="s">
        <v>115</v>
      </c>
      <c r="B68" s="14" t="s">
        <v>99</v>
      </c>
      <c r="C68" s="15"/>
      <c r="D68" s="16">
        <f>'SEPTEMBER 20'!J68:J134</f>
        <v>650</v>
      </c>
      <c r="E68" s="19">
        <v>6500</v>
      </c>
      <c r="F68" s="19">
        <v>150</v>
      </c>
      <c r="G68" s="18">
        <v>150</v>
      </c>
      <c r="H68" s="67">
        <f t="shared" si="1"/>
        <v>7450</v>
      </c>
      <c r="I68" s="17">
        <f>6800</f>
        <v>6800</v>
      </c>
      <c r="J68" s="17">
        <f>H68-I68</f>
        <v>650</v>
      </c>
      <c r="K68" s="17"/>
      <c r="L68" s="17"/>
      <c r="M68" s="2"/>
    </row>
    <row r="69" spans="1:18" x14ac:dyDescent="0.25">
      <c r="A69" s="25" t="s">
        <v>105</v>
      </c>
      <c r="B69" s="14" t="s">
        <v>100</v>
      </c>
      <c r="C69" s="15"/>
      <c r="D69" s="64">
        <f>'SEPTEMBER 20'!J69:J135</f>
        <v>0</v>
      </c>
      <c r="E69" s="19"/>
      <c r="F69" s="19"/>
      <c r="G69" s="18"/>
      <c r="H69" s="67">
        <f t="shared" si="1"/>
        <v>0</v>
      </c>
      <c r="I69" s="17"/>
      <c r="J69" s="17">
        <f>H69-I69</f>
        <v>0</v>
      </c>
      <c r="K69" s="17"/>
      <c r="L69" s="17"/>
      <c r="M69" s="2"/>
    </row>
    <row r="70" spans="1:18" x14ac:dyDescent="0.25">
      <c r="A70" s="13" t="s">
        <v>116</v>
      </c>
      <c r="B70" s="14" t="s">
        <v>101</v>
      </c>
      <c r="C70" s="15"/>
      <c r="D70" s="64">
        <f>'SEPTEMBER 20'!J70:J136</f>
        <v>7600</v>
      </c>
      <c r="E70" s="19">
        <v>7000</v>
      </c>
      <c r="F70" s="19">
        <v>450</v>
      </c>
      <c r="G70" s="18">
        <v>150</v>
      </c>
      <c r="H70" s="67">
        <f t="shared" si="1"/>
        <v>15200</v>
      </c>
      <c r="I70" s="17">
        <f>7450</f>
        <v>7450</v>
      </c>
      <c r="J70" s="17">
        <f>H70-I70</f>
        <v>7750</v>
      </c>
      <c r="K70" s="17"/>
      <c r="L70" s="17"/>
      <c r="M70" s="2"/>
    </row>
    <row r="71" spans="1:18" x14ac:dyDescent="0.25">
      <c r="A71" s="31" t="s">
        <v>28</v>
      </c>
      <c r="B71" s="25"/>
      <c r="C71" s="15">
        <f>SUM(C6:C70)</f>
        <v>83000</v>
      </c>
      <c r="D71" s="64">
        <f>SUM(D6:D70)</f>
        <v>83650</v>
      </c>
      <c r="E71" s="32">
        <f>SUM(E6:E70)</f>
        <v>236583</v>
      </c>
      <c r="F71" s="33">
        <f t="shared" ref="F71:L71" si="2">SUM(F6:F70)</f>
        <v>5100</v>
      </c>
      <c r="G71" s="34">
        <f>SUM(G6:G70)</f>
        <v>4350</v>
      </c>
      <c r="H71" s="35">
        <f>SUM(H6:H70)</f>
        <v>412683</v>
      </c>
      <c r="I71" s="35">
        <f t="shared" si="2"/>
        <v>348183</v>
      </c>
      <c r="J71" s="35">
        <f t="shared" si="2"/>
        <v>64500</v>
      </c>
      <c r="K71" s="35">
        <f t="shared" si="2"/>
        <v>32500</v>
      </c>
      <c r="L71" s="35">
        <f t="shared" si="2"/>
        <v>9000</v>
      </c>
      <c r="M71" s="2"/>
    </row>
    <row r="72" spans="1:18" x14ac:dyDescent="0.25">
      <c r="A72" s="2"/>
      <c r="B72" s="2"/>
      <c r="D72" s="64"/>
      <c r="E72" s="2"/>
      <c r="F72" s="2"/>
      <c r="G72" s="36"/>
      <c r="H72" s="36"/>
      <c r="I72" s="36"/>
      <c r="J72" s="36"/>
      <c r="K72" s="36"/>
      <c r="L72" s="36"/>
      <c r="M72" s="36"/>
    </row>
    <row r="73" spans="1:18" x14ac:dyDescent="0.25">
      <c r="B73" s="38"/>
      <c r="C73" s="39"/>
      <c r="D73" s="39"/>
      <c r="E73" s="37"/>
      <c r="F73" s="36"/>
      <c r="G73" s="37"/>
      <c r="H73" s="36"/>
      <c r="J73" s="23">
        <f>J69+F68+G68+E52+F52+G52+E50+F50+G50+E48+G48+J27+J26+G20+E18+F18+G18++J13</f>
        <v>30750</v>
      </c>
      <c r="Q73">
        <f>3286+1000</f>
        <v>4286</v>
      </c>
    </row>
    <row r="74" spans="1:18" x14ac:dyDescent="0.25">
      <c r="A74" s="40" t="s">
        <v>30</v>
      </c>
      <c r="B74" s="40"/>
      <c r="C74" s="40"/>
      <c r="D74" s="41"/>
      <c r="E74" s="42"/>
      <c r="F74" s="40" t="s">
        <v>10</v>
      </c>
      <c r="G74" s="40"/>
      <c r="H74" s="40"/>
      <c r="I74" s="2"/>
      <c r="J74" s="2"/>
      <c r="K74" s="2"/>
      <c r="L74" s="1"/>
      <c r="M74" s="43"/>
      <c r="N74" s="23">
        <f>E71+C71</f>
        <v>319583</v>
      </c>
    </row>
    <row r="75" spans="1:18" x14ac:dyDescent="0.25">
      <c r="A75" s="44" t="s">
        <v>31</v>
      </c>
      <c r="B75" s="44" t="s">
        <v>32</v>
      </c>
      <c r="C75" s="44" t="s">
        <v>33</v>
      </c>
      <c r="D75" s="44" t="s">
        <v>34</v>
      </c>
      <c r="E75" s="44"/>
      <c r="F75" s="44" t="s">
        <v>31</v>
      </c>
      <c r="G75" s="44"/>
      <c r="H75" s="44" t="s">
        <v>35</v>
      </c>
      <c r="I75" s="44" t="s">
        <v>33</v>
      </c>
      <c r="J75" s="44" t="s">
        <v>34</v>
      </c>
      <c r="K75" s="44"/>
      <c r="L75" s="45"/>
      <c r="M75" s="43"/>
      <c r="R75">
        <f>Q79-Q73</f>
        <v>4736</v>
      </c>
    </row>
    <row r="76" spans="1:18" x14ac:dyDescent="0.25">
      <c r="A76" s="25" t="s">
        <v>128</v>
      </c>
      <c r="B76" s="46">
        <f>E71</f>
        <v>236583</v>
      </c>
      <c r="C76" s="25"/>
      <c r="D76" s="25"/>
      <c r="E76" s="25"/>
      <c r="F76" s="25" t="s">
        <v>128</v>
      </c>
      <c r="G76" s="25"/>
      <c r="H76" s="47">
        <f>I71</f>
        <v>348183</v>
      </c>
      <c r="I76" s="25"/>
      <c r="J76" s="25"/>
      <c r="K76" s="25"/>
      <c r="L76" s="48"/>
      <c r="M76" s="77" t="s">
        <v>156</v>
      </c>
      <c r="N76" s="78"/>
    </row>
    <row r="77" spans="1:18" x14ac:dyDescent="0.25">
      <c r="A77" s="25" t="s">
        <v>37</v>
      </c>
      <c r="B77" s="46">
        <f>'SEPTEMBER 20'!D92</f>
        <v>27331</v>
      </c>
      <c r="C77" s="25"/>
      <c r="D77" s="25"/>
      <c r="E77" s="25"/>
      <c r="F77" s="25" t="s">
        <v>37</v>
      </c>
      <c r="G77" s="25"/>
      <c r="H77" s="46">
        <f>'SEPTEMBER 20'!J92</f>
        <v>2931</v>
      </c>
      <c r="I77" s="25"/>
      <c r="J77" s="25"/>
      <c r="K77" s="25"/>
      <c r="L77" s="48"/>
      <c r="M77" s="79" t="s">
        <v>157</v>
      </c>
      <c r="N77" s="78"/>
    </row>
    <row r="78" spans="1:18" x14ac:dyDescent="0.25">
      <c r="A78" s="25" t="s">
        <v>165</v>
      </c>
      <c r="B78" s="46">
        <f>C71</f>
        <v>83000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79"/>
      <c r="N78" s="78"/>
      <c r="O78" t="s">
        <v>163</v>
      </c>
      <c r="Q78">
        <v>500</v>
      </c>
    </row>
    <row r="79" spans="1:18" x14ac:dyDescent="0.25">
      <c r="A79" s="25" t="s">
        <v>7</v>
      </c>
      <c r="B79" s="46">
        <f>F71</f>
        <v>5100</v>
      </c>
      <c r="C79" s="25"/>
      <c r="D79" s="25"/>
      <c r="E79" s="25"/>
      <c r="F79" s="25"/>
      <c r="G79" s="25"/>
      <c r="H79" s="25"/>
      <c r="I79" s="25"/>
      <c r="J79" s="25"/>
      <c r="K79" s="25"/>
      <c r="L79" s="48"/>
      <c r="O79" t="s">
        <v>144</v>
      </c>
      <c r="Q79">
        <f>2596+1226+1000+4200</f>
        <v>9022</v>
      </c>
    </row>
    <row r="80" spans="1:18" x14ac:dyDescent="0.25">
      <c r="A80" s="25" t="s">
        <v>39</v>
      </c>
      <c r="B80" s="46">
        <f>K71</f>
        <v>32500</v>
      </c>
      <c r="C80" s="25"/>
      <c r="D80" s="25"/>
      <c r="E80" s="25"/>
      <c r="F80" s="25"/>
      <c r="G80" s="25"/>
      <c r="H80" s="25"/>
      <c r="I80" s="25"/>
      <c r="J80" s="25"/>
      <c r="K80" s="25"/>
      <c r="L80" s="48"/>
      <c r="O80" t="s">
        <v>144</v>
      </c>
      <c r="Q80">
        <f>3286</f>
        <v>3286</v>
      </c>
    </row>
    <row r="81" spans="1:17" x14ac:dyDescent="0.25">
      <c r="A81" s="25"/>
      <c r="B81" s="46"/>
      <c r="C81" s="25"/>
      <c r="D81" s="25"/>
      <c r="E81" s="25"/>
      <c r="F81" s="25" t="s">
        <v>40</v>
      </c>
      <c r="G81" s="25"/>
      <c r="H81" s="47">
        <f>L71</f>
        <v>9000</v>
      </c>
      <c r="I81" s="25"/>
      <c r="J81" s="25"/>
      <c r="K81" s="25"/>
      <c r="L81" s="48"/>
      <c r="M81" s="43"/>
      <c r="O81" t="s">
        <v>159</v>
      </c>
      <c r="Q81">
        <v>5127</v>
      </c>
    </row>
    <row r="82" spans="1:17" x14ac:dyDescent="0.25">
      <c r="A82" s="25"/>
      <c r="B82" s="46"/>
      <c r="C82" s="25"/>
      <c r="D82" s="25"/>
      <c r="E82" s="25"/>
      <c r="F82" s="25"/>
      <c r="G82" s="46"/>
      <c r="J82" s="25"/>
      <c r="K82" s="25"/>
      <c r="L82" s="48"/>
      <c r="M82" s="43">
        <v>2</v>
      </c>
      <c r="N82" t="s">
        <v>164</v>
      </c>
      <c r="Q82">
        <v>800</v>
      </c>
    </row>
    <row r="83" spans="1:17" x14ac:dyDescent="0.25">
      <c r="A83" s="25" t="s">
        <v>40</v>
      </c>
      <c r="B83" s="47">
        <f>L71</f>
        <v>9000</v>
      </c>
      <c r="C83" s="46"/>
      <c r="D83" s="25"/>
      <c r="E83" s="25"/>
      <c r="F83" s="25"/>
      <c r="G83" s="25"/>
      <c r="H83" s="25"/>
      <c r="I83" s="46"/>
      <c r="J83" s="46"/>
      <c r="K83" s="46"/>
      <c r="L83" s="49"/>
      <c r="O83" t="s">
        <v>167</v>
      </c>
      <c r="Q83">
        <v>1950</v>
      </c>
    </row>
    <row r="84" spans="1:17" x14ac:dyDescent="0.25">
      <c r="A84" s="44" t="s">
        <v>41</v>
      </c>
      <c r="B84" s="25" t="s">
        <v>42</v>
      </c>
      <c r="C84" s="25"/>
      <c r="D84" s="25"/>
      <c r="E84" s="25"/>
      <c r="F84" s="44" t="s">
        <v>41</v>
      </c>
      <c r="G84" s="44"/>
      <c r="H84" s="44"/>
      <c r="I84" s="25"/>
      <c r="J84" s="25"/>
      <c r="K84" s="25"/>
      <c r="L84" s="48"/>
      <c r="O84" t="s">
        <v>168</v>
      </c>
      <c r="Q84">
        <v>1150</v>
      </c>
    </row>
    <row r="85" spans="1:17" x14ac:dyDescent="0.25">
      <c r="A85" s="50" t="s">
        <v>43</v>
      </c>
      <c r="B85" s="51">
        <v>7.0000000000000007E-2</v>
      </c>
      <c r="C85" s="80">
        <f>B85*E71</f>
        <v>16560.810000000001</v>
      </c>
      <c r="D85" s="25"/>
      <c r="E85" s="25"/>
      <c r="F85" s="50" t="s">
        <v>43</v>
      </c>
      <c r="G85" s="50"/>
      <c r="H85" s="51">
        <v>7.0000000000000007E-2</v>
      </c>
      <c r="I85" s="47">
        <f>H85*E71</f>
        <v>16560.810000000001</v>
      </c>
      <c r="J85" s="25"/>
      <c r="K85" s="25"/>
      <c r="L85" s="48"/>
      <c r="O85" t="s">
        <v>144</v>
      </c>
      <c r="Q85">
        <v>1000</v>
      </c>
    </row>
    <row r="86" spans="1:17" x14ac:dyDescent="0.25">
      <c r="A86" s="55" t="s">
        <v>136</v>
      </c>
      <c r="B86" s="53">
        <v>0.3</v>
      </c>
      <c r="C86" s="23">
        <f>B86*E19+(B86*E55)+(B86*E51)+(B86*E14)+(B86*E43)+(B86*E57)+(B86*E38)+(B86*E34)+(B86*E33)+(B86*C46)+(B86*C6)</f>
        <v>18075</v>
      </c>
      <c r="D86" s="47"/>
      <c r="E86" s="47"/>
      <c r="F86" s="55" t="s">
        <v>136</v>
      </c>
      <c r="G86" s="53">
        <v>0.3</v>
      </c>
      <c r="I86" s="23">
        <f>C86</f>
        <v>18075</v>
      </c>
      <c r="K86" s="47"/>
      <c r="L86" s="54"/>
      <c r="M86" s="43">
        <f>H76-B80-B78</f>
        <v>232683</v>
      </c>
      <c r="O86" t="s">
        <v>169</v>
      </c>
      <c r="Q86">
        <v>600</v>
      </c>
    </row>
    <row r="87" spans="1:17" x14ac:dyDescent="0.25">
      <c r="A87" s="55"/>
      <c r="B87" s="53"/>
      <c r="C87" s="23"/>
      <c r="D87" s="47"/>
      <c r="E87" s="47"/>
      <c r="F87" s="52" t="s">
        <v>8</v>
      </c>
      <c r="G87" s="51"/>
      <c r="H87" s="47"/>
      <c r="I87" s="47">
        <f>G71</f>
        <v>4350</v>
      </c>
      <c r="K87" s="47"/>
      <c r="L87" s="54"/>
      <c r="O87" t="s">
        <v>173</v>
      </c>
      <c r="Q87">
        <v>2000</v>
      </c>
    </row>
    <row r="88" spans="1:17" x14ac:dyDescent="0.25">
      <c r="A88" s="55" t="s">
        <v>134</v>
      </c>
      <c r="B88" s="51"/>
      <c r="C88" s="47">
        <v>4000</v>
      </c>
      <c r="D88" s="25"/>
      <c r="E88" s="25"/>
      <c r="F88" s="55" t="s">
        <v>134</v>
      </c>
      <c r="G88" s="51"/>
      <c r="H88" s="47"/>
      <c r="I88" s="47">
        <v>4000</v>
      </c>
      <c r="J88" s="25"/>
      <c r="K88" s="25"/>
      <c r="L88" s="48"/>
      <c r="O88" t="s">
        <v>174</v>
      </c>
      <c r="Q88">
        <v>1000</v>
      </c>
    </row>
    <row r="89" spans="1:17" x14ac:dyDescent="0.25">
      <c r="A89" s="55" t="s">
        <v>160</v>
      </c>
      <c r="B89" s="51"/>
      <c r="C89" s="76">
        <v>4000</v>
      </c>
      <c r="D89" s="25"/>
      <c r="E89" s="25"/>
      <c r="F89" s="55" t="s">
        <v>160</v>
      </c>
      <c r="G89" s="51"/>
      <c r="H89" s="76"/>
      <c r="I89" s="22">
        <v>4000</v>
      </c>
      <c r="J89" s="25"/>
      <c r="K89" s="25"/>
      <c r="L89" s="48"/>
      <c r="O89" t="s">
        <v>144</v>
      </c>
      <c r="Q89">
        <v>700</v>
      </c>
    </row>
    <row r="90" spans="1:17" x14ac:dyDescent="0.25">
      <c r="A90" s="55"/>
      <c r="B90" s="51"/>
      <c r="C90" s="47">
        <f>E15</f>
        <v>0</v>
      </c>
      <c r="D90" s="25"/>
      <c r="E90" s="25"/>
      <c r="F90" s="55"/>
      <c r="G90" s="51"/>
      <c r="H90" s="47"/>
      <c r="I90" s="22"/>
      <c r="J90" s="25"/>
      <c r="K90" s="25"/>
      <c r="L90" s="48"/>
      <c r="M90" s="43"/>
      <c r="O90" t="s">
        <v>144</v>
      </c>
      <c r="Q90">
        <v>1306</v>
      </c>
    </row>
    <row r="91" spans="1:17" x14ac:dyDescent="0.25">
      <c r="A91" s="55"/>
      <c r="B91" s="51"/>
      <c r="C91" s="76"/>
      <c r="D91" s="25"/>
      <c r="E91" s="25"/>
      <c r="F91" s="55"/>
      <c r="G91" s="51"/>
      <c r="H91" s="76"/>
      <c r="I91" s="76"/>
      <c r="J91" s="25"/>
      <c r="K91" s="25"/>
      <c r="L91" s="48"/>
      <c r="M91" s="23"/>
      <c r="O91" t="s">
        <v>144</v>
      </c>
      <c r="Q91">
        <v>530</v>
      </c>
    </row>
    <row r="92" spans="1:17" x14ac:dyDescent="0.25">
      <c r="A92" s="55" t="s">
        <v>120</v>
      </c>
      <c r="B92" s="51"/>
      <c r="C92" s="76">
        <f>1034</f>
        <v>1034</v>
      </c>
      <c r="D92" s="25"/>
      <c r="E92" s="25"/>
      <c r="F92" s="55" t="s">
        <v>120</v>
      </c>
      <c r="G92" s="51"/>
      <c r="H92" s="76"/>
      <c r="I92" s="76">
        <f>C92</f>
        <v>1034</v>
      </c>
      <c r="J92" s="25"/>
      <c r="K92" s="25"/>
      <c r="L92" s="48"/>
    </row>
    <row r="93" spans="1:17" x14ac:dyDescent="0.25">
      <c r="A93" s="55" t="s">
        <v>166</v>
      </c>
      <c r="B93" s="51"/>
      <c r="C93" s="76">
        <v>40105</v>
      </c>
      <c r="D93" s="25"/>
      <c r="E93" s="25"/>
      <c r="F93" s="55" t="s">
        <v>166</v>
      </c>
      <c r="G93" s="51"/>
      <c r="H93" s="76"/>
      <c r="I93" s="76">
        <v>40105</v>
      </c>
      <c r="J93" s="25"/>
      <c r="K93" s="25"/>
      <c r="L93" s="48"/>
      <c r="N93" s="43"/>
      <c r="Q93">
        <f>SUM(Q78:Q91)</f>
        <v>28971</v>
      </c>
    </row>
    <row r="94" spans="1:17" x14ac:dyDescent="0.25">
      <c r="A94" s="55" t="s">
        <v>170</v>
      </c>
      <c r="B94" s="51"/>
      <c r="C94" s="76">
        <v>100000</v>
      </c>
      <c r="D94" s="25"/>
      <c r="E94" s="25"/>
      <c r="F94" s="55" t="s">
        <v>170</v>
      </c>
      <c r="G94" s="51"/>
      <c r="H94" s="76"/>
      <c r="I94" s="76">
        <v>100000</v>
      </c>
      <c r="J94" s="25"/>
      <c r="K94" s="25"/>
      <c r="L94" s="48"/>
    </row>
    <row r="95" spans="1:17" x14ac:dyDescent="0.25">
      <c r="A95" s="55" t="s">
        <v>193</v>
      </c>
      <c r="B95" s="51"/>
      <c r="C95" s="76">
        <v>5434</v>
      </c>
      <c r="D95" s="25"/>
      <c r="E95" s="25"/>
      <c r="F95" s="55" t="s">
        <v>193</v>
      </c>
      <c r="G95" s="51"/>
      <c r="H95" s="76"/>
      <c r="I95" s="76">
        <v>5434</v>
      </c>
      <c r="J95" s="25"/>
      <c r="K95" s="25"/>
      <c r="L95" s="48"/>
    </row>
    <row r="96" spans="1:17" x14ac:dyDescent="0.25">
      <c r="A96" s="55" t="s">
        <v>194</v>
      </c>
      <c r="B96" s="51"/>
      <c r="C96" s="76">
        <v>1000</v>
      </c>
      <c r="D96" s="25"/>
      <c r="E96" s="25"/>
      <c r="F96" s="55" t="s">
        <v>194</v>
      </c>
      <c r="G96" s="51"/>
      <c r="I96" s="76">
        <v>1000</v>
      </c>
      <c r="J96" s="25"/>
      <c r="K96" s="25"/>
      <c r="L96" s="48"/>
    </row>
    <row r="97" spans="1:14" x14ac:dyDescent="0.25">
      <c r="A97" s="55" t="s">
        <v>195</v>
      </c>
      <c r="B97" s="51"/>
      <c r="C97" s="76">
        <v>1300</v>
      </c>
      <c r="D97" s="25"/>
      <c r="E97" s="25"/>
      <c r="F97" s="55" t="s">
        <v>195</v>
      </c>
      <c r="G97" s="51"/>
      <c r="I97" s="76">
        <v>1300</v>
      </c>
      <c r="J97" s="25"/>
      <c r="K97" s="25"/>
      <c r="L97" s="48"/>
    </row>
    <row r="98" spans="1:14" x14ac:dyDescent="0.25">
      <c r="A98" s="55" t="s">
        <v>196</v>
      </c>
      <c r="B98" s="51"/>
      <c r="C98" s="76">
        <f>1000+1056</f>
        <v>2056</v>
      </c>
      <c r="D98" s="25"/>
      <c r="E98" s="25"/>
      <c r="F98" s="55" t="s">
        <v>196</v>
      </c>
      <c r="G98" s="51"/>
      <c r="I98" s="76">
        <f>1000+1056</f>
        <v>2056</v>
      </c>
      <c r="J98" s="25"/>
      <c r="K98" s="25"/>
      <c r="L98" s="48"/>
    </row>
    <row r="99" spans="1:14" x14ac:dyDescent="0.25">
      <c r="A99" s="55" t="s">
        <v>197</v>
      </c>
      <c r="B99" s="51"/>
      <c r="C99" s="76">
        <f>7700+2041+500</f>
        <v>10241</v>
      </c>
      <c r="D99" s="25"/>
      <c r="E99" s="25"/>
      <c r="F99" s="55" t="s">
        <v>197</v>
      </c>
      <c r="G99" s="51"/>
      <c r="I99" s="76">
        <f>7700+2041+500</f>
        <v>10241</v>
      </c>
      <c r="J99" s="25"/>
      <c r="K99" s="25"/>
      <c r="L99" s="48"/>
    </row>
    <row r="100" spans="1:14" x14ac:dyDescent="0.25">
      <c r="A100" s="55" t="s">
        <v>198</v>
      </c>
      <c r="B100" s="51"/>
      <c r="C100" s="76">
        <f>2091+750</f>
        <v>2841</v>
      </c>
      <c r="D100" s="25"/>
      <c r="E100" s="25"/>
      <c r="F100" s="55" t="s">
        <v>198</v>
      </c>
      <c r="G100" s="51"/>
      <c r="I100" s="76">
        <f>2091+750</f>
        <v>2841</v>
      </c>
      <c r="J100" s="25"/>
      <c r="K100" s="25"/>
      <c r="L100" s="48"/>
    </row>
    <row r="101" spans="1:14" x14ac:dyDescent="0.25">
      <c r="A101" s="55" t="s">
        <v>199</v>
      </c>
      <c r="B101" s="25"/>
      <c r="C101" s="47">
        <v>450</v>
      </c>
      <c r="D101" s="25"/>
      <c r="E101" s="25"/>
      <c r="F101" s="55" t="s">
        <v>199</v>
      </c>
      <c r="G101" s="25"/>
      <c r="I101" s="47">
        <v>450</v>
      </c>
      <c r="J101" s="25"/>
      <c r="K101" s="25"/>
      <c r="L101" s="48"/>
    </row>
    <row r="102" spans="1:14" x14ac:dyDescent="0.25">
      <c r="A102" s="55" t="s">
        <v>200</v>
      </c>
      <c r="B102" s="51"/>
      <c r="C102" s="76">
        <v>530</v>
      </c>
      <c r="D102" s="25"/>
      <c r="E102" s="25"/>
      <c r="F102" s="55" t="s">
        <v>200</v>
      </c>
      <c r="G102" s="51"/>
      <c r="H102" s="76"/>
      <c r="I102" s="76">
        <v>530</v>
      </c>
      <c r="J102" s="25"/>
      <c r="K102" s="25"/>
      <c r="L102" s="48"/>
    </row>
    <row r="103" spans="1:14" x14ac:dyDescent="0.25">
      <c r="A103" s="55"/>
      <c r="B103" s="25"/>
      <c r="C103" s="47"/>
      <c r="D103" s="25"/>
      <c r="E103" s="25"/>
      <c r="F103" s="55"/>
      <c r="G103" s="25"/>
      <c r="I103" s="47"/>
      <c r="J103" s="47"/>
      <c r="K103" s="47"/>
      <c r="L103" s="54"/>
    </row>
    <row r="104" spans="1:14" x14ac:dyDescent="0.25">
      <c r="A104" s="44" t="s">
        <v>29</v>
      </c>
      <c r="B104" s="56">
        <f>B76+B77+B78+B79+B80+B81+B83+B82</f>
        <v>393514</v>
      </c>
      <c r="C104" s="56">
        <f>SUM(C85:C103)</f>
        <v>207626.81</v>
      </c>
      <c r="D104" s="56">
        <f>B104-C104</f>
        <v>185887.19</v>
      </c>
      <c r="E104" s="56"/>
      <c r="F104" s="44"/>
      <c r="G104" s="44"/>
      <c r="H104" s="56">
        <f>H76+H77+H79+H81+H82</f>
        <v>360114</v>
      </c>
      <c r="I104" s="56">
        <f>SUM(I85:I103)</f>
        <v>211976.81</v>
      </c>
      <c r="J104" s="56">
        <f>H104-I104</f>
        <v>148137.19</v>
      </c>
      <c r="K104" s="56"/>
      <c r="L104" s="57"/>
      <c r="N104" s="43"/>
    </row>
    <row r="105" spans="1:14" x14ac:dyDescent="0.25">
      <c r="A105" s="2"/>
      <c r="B105" s="2"/>
      <c r="C105" s="2"/>
      <c r="D105" s="2"/>
      <c r="E105" s="2"/>
      <c r="F105" s="2"/>
      <c r="G105" s="2"/>
      <c r="H105" s="2"/>
      <c r="I105" s="58">
        <f>I104-I85</f>
        <v>195416</v>
      </c>
      <c r="J105" s="2"/>
      <c r="K105" s="2"/>
      <c r="L105" s="1"/>
      <c r="M105" s="43"/>
    </row>
    <row r="106" spans="1:14" x14ac:dyDescent="0.25">
      <c r="A106" s="59" t="s">
        <v>44</v>
      </c>
      <c r="B106" s="60"/>
      <c r="C106" s="60" t="s">
        <v>45</v>
      </c>
      <c r="D106" s="61"/>
      <c r="E106" s="61"/>
      <c r="F106" s="59"/>
      <c r="G106" s="59"/>
      <c r="H106" s="59" t="s">
        <v>46</v>
      </c>
      <c r="I106" s="30"/>
      <c r="J106" s="2"/>
      <c r="K106" s="2"/>
      <c r="L106" s="1"/>
    </row>
    <row r="107" spans="1:14" x14ac:dyDescent="0.25">
      <c r="A107" s="2" t="s">
        <v>47</v>
      </c>
      <c r="B107" s="2"/>
      <c r="C107" s="2" t="s">
        <v>48</v>
      </c>
      <c r="D107" s="2"/>
      <c r="E107" s="2"/>
      <c r="F107" s="2"/>
      <c r="G107" s="2"/>
      <c r="H107" s="2" t="s">
        <v>118</v>
      </c>
      <c r="I107" s="2"/>
      <c r="J107" s="2"/>
      <c r="K107" s="58"/>
      <c r="L107" s="1"/>
    </row>
    <row r="108" spans="1:14" x14ac:dyDescent="0.25">
      <c r="D108" s="43"/>
      <c r="F108" s="43">
        <f>D104-J104</f>
        <v>37750</v>
      </c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opLeftCell="A74" workbookViewId="0">
      <selection activeCell="L116" sqref="L116"/>
    </sheetView>
  </sheetViews>
  <sheetFormatPr defaultRowHeight="15" x14ac:dyDescent="0.25"/>
  <cols>
    <col min="1" max="1" width="19.42578125" customWidth="1"/>
    <col min="2" max="2" width="7.28515625" customWidth="1"/>
    <col min="3" max="3" width="11.28515625" customWidth="1"/>
    <col min="5" max="5" width="9.42578125" customWidth="1"/>
    <col min="6" max="6" width="6.85546875" customWidth="1"/>
    <col min="7" max="7" width="7" customWidth="1"/>
    <col min="8" max="8" width="9.140625" customWidth="1"/>
    <col min="10" max="10" width="7.85546875" customWidth="1"/>
    <col min="11" max="11" width="17.42578125" customWidth="1"/>
    <col min="12" max="12" width="12.710937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x14ac:dyDescent="0.25">
      <c r="A2" s="2"/>
      <c r="B2" s="3"/>
      <c r="C2" s="3"/>
      <c r="D2" s="3"/>
      <c r="E2" s="3" t="s">
        <v>49</v>
      </c>
      <c r="F2" s="2"/>
      <c r="G2" s="3"/>
      <c r="H2" s="4"/>
      <c r="I2" s="2"/>
      <c r="J2" s="2"/>
      <c r="K2" s="2"/>
      <c r="L2" s="2"/>
      <c r="M2" s="2"/>
    </row>
    <row r="3" spans="1:13" ht="15.75" x14ac:dyDescent="0.25">
      <c r="A3" s="2"/>
      <c r="B3" s="3"/>
      <c r="C3" s="3"/>
      <c r="D3" s="3"/>
      <c r="E3" s="3" t="s">
        <v>0</v>
      </c>
      <c r="F3" s="3"/>
      <c r="G3" s="3"/>
      <c r="H3" s="5"/>
      <c r="I3" s="2"/>
      <c r="J3" s="2"/>
      <c r="K3" s="2"/>
      <c r="L3" s="2"/>
      <c r="M3" s="2"/>
    </row>
    <row r="4" spans="1:13" ht="18.75" x14ac:dyDescent="0.3">
      <c r="A4" s="6"/>
      <c r="D4" s="3" t="s">
        <v>179</v>
      </c>
      <c r="E4" s="3"/>
      <c r="G4" s="3"/>
      <c r="H4" s="7"/>
      <c r="I4" s="8"/>
      <c r="J4" s="8"/>
      <c r="K4" s="8"/>
      <c r="L4" s="8"/>
      <c r="M4" s="2"/>
    </row>
    <row r="5" spans="1:13" x14ac:dyDescent="0.25">
      <c r="A5" s="9" t="s">
        <v>2</v>
      </c>
      <c r="B5" s="9" t="s">
        <v>3</v>
      </c>
      <c r="C5" s="9" t="s">
        <v>38</v>
      </c>
      <c r="D5" s="10" t="s">
        <v>5</v>
      </c>
      <c r="E5" s="9" t="s">
        <v>6</v>
      </c>
      <c r="F5" s="11" t="s">
        <v>7</v>
      </c>
      <c r="G5" s="9" t="s">
        <v>8</v>
      </c>
      <c r="H5" s="12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2"/>
    </row>
    <row r="6" spans="1:13" x14ac:dyDescent="0.25">
      <c r="A6" s="71" t="s">
        <v>175</v>
      </c>
      <c r="B6" s="14" t="s">
        <v>14</v>
      </c>
      <c r="C6" s="63"/>
      <c r="D6" s="16">
        <f>'OCTOBER 20'!J6:J71</f>
        <v>0</v>
      </c>
      <c r="E6" s="17">
        <v>6500</v>
      </c>
      <c r="F6" s="85">
        <v>300</v>
      </c>
      <c r="G6" s="17">
        <v>150</v>
      </c>
      <c r="H6" s="17">
        <f>D6+E6+F6+G6+C6</f>
        <v>6950</v>
      </c>
      <c r="I6" s="17">
        <v>6800</v>
      </c>
      <c r="J6" s="17">
        <f t="shared" ref="J6:J67" si="0">H6-I6</f>
        <v>150</v>
      </c>
      <c r="K6" s="17"/>
      <c r="L6" s="17"/>
      <c r="M6" s="2" t="s">
        <v>121</v>
      </c>
    </row>
    <row r="7" spans="1:13" x14ac:dyDescent="0.25">
      <c r="A7" s="74" t="s">
        <v>184</v>
      </c>
      <c r="B7" s="14" t="s">
        <v>15</v>
      </c>
      <c r="C7" s="15">
        <v>6500</v>
      </c>
      <c r="D7" s="16">
        <f>'OCTOBER 20'!J7:J72</f>
        <v>0</v>
      </c>
      <c r="E7" s="18">
        <v>6500</v>
      </c>
      <c r="F7" s="19"/>
      <c r="G7" s="18"/>
      <c r="H7" s="17">
        <f t="shared" ref="H7:H70" si="1">D7+E7+F7+G7+C7</f>
        <v>13000</v>
      </c>
      <c r="I7" s="17">
        <v>13000</v>
      </c>
      <c r="J7" s="17">
        <f t="shared" si="0"/>
        <v>0</v>
      </c>
      <c r="K7" s="17"/>
      <c r="L7" s="17">
        <v>1000</v>
      </c>
      <c r="M7" s="2"/>
    </row>
    <row r="8" spans="1:13" x14ac:dyDescent="0.25">
      <c r="A8" s="74" t="s">
        <v>17</v>
      </c>
      <c r="B8" s="14" t="s">
        <v>16</v>
      </c>
      <c r="C8" s="15"/>
      <c r="D8" s="16">
        <f>'OCTOBER 20'!J8:J73</f>
        <v>0</v>
      </c>
      <c r="E8" s="18"/>
      <c r="F8" s="19"/>
      <c r="G8" s="18"/>
      <c r="H8" s="17">
        <f t="shared" si="1"/>
        <v>0</v>
      </c>
      <c r="I8" s="17"/>
      <c r="J8" s="17">
        <f t="shared" si="0"/>
        <v>0</v>
      </c>
      <c r="K8" s="17"/>
      <c r="L8" s="17"/>
      <c r="M8" s="2"/>
    </row>
    <row r="9" spans="1:13" x14ac:dyDescent="0.25">
      <c r="A9" s="74" t="s">
        <v>189</v>
      </c>
      <c r="B9" s="14" t="s">
        <v>18</v>
      </c>
      <c r="C9" s="15">
        <v>6500</v>
      </c>
      <c r="D9" s="16">
        <f>'OCTOBER 20'!J9:J74</f>
        <v>0</v>
      </c>
      <c r="E9" s="16">
        <v>6500</v>
      </c>
      <c r="F9" s="21">
        <v>150</v>
      </c>
      <c r="G9" s="18">
        <v>150</v>
      </c>
      <c r="H9" s="17">
        <f t="shared" si="1"/>
        <v>13300</v>
      </c>
      <c r="I9" s="17">
        <f>12000+1300</f>
        <v>13300</v>
      </c>
      <c r="J9" s="17">
        <f t="shared" si="0"/>
        <v>0</v>
      </c>
      <c r="K9" s="17"/>
      <c r="L9" s="17">
        <v>1000</v>
      </c>
      <c r="M9" s="2"/>
    </row>
    <row r="10" spans="1:13" x14ac:dyDescent="0.25">
      <c r="A10" s="74" t="s">
        <v>141</v>
      </c>
      <c r="B10" s="14" t="s">
        <v>19</v>
      </c>
      <c r="C10" s="15"/>
      <c r="D10" s="16">
        <f>'OCTOBER 20'!J10:J75</f>
        <v>0</v>
      </c>
      <c r="E10" s="18">
        <v>6500</v>
      </c>
      <c r="F10" s="19">
        <v>150</v>
      </c>
      <c r="G10" s="18">
        <v>150</v>
      </c>
      <c r="H10" s="17">
        <f t="shared" si="1"/>
        <v>6800</v>
      </c>
      <c r="I10" s="17">
        <v>6800</v>
      </c>
      <c r="J10" s="17">
        <f t="shared" si="0"/>
        <v>0</v>
      </c>
      <c r="K10" s="17"/>
      <c r="L10" s="17"/>
      <c r="M10" s="2"/>
    </row>
    <row r="11" spans="1:13" x14ac:dyDescent="0.25">
      <c r="A11" s="73" t="s">
        <v>134</v>
      </c>
      <c r="B11" s="14" t="s">
        <v>20</v>
      </c>
      <c r="C11" s="15"/>
      <c r="D11" s="16">
        <f>'OCTOBER 20'!J11:J76</f>
        <v>0</v>
      </c>
      <c r="E11" s="18"/>
      <c r="F11" s="19"/>
      <c r="G11" s="18"/>
      <c r="H11" s="17">
        <f t="shared" si="1"/>
        <v>0</v>
      </c>
      <c r="I11" s="17"/>
      <c r="J11" s="17">
        <f t="shared" si="0"/>
        <v>0</v>
      </c>
      <c r="K11" s="17"/>
      <c r="L11" s="17"/>
      <c r="M11" s="22"/>
    </row>
    <row r="12" spans="1:13" x14ac:dyDescent="0.25">
      <c r="A12" s="71" t="s">
        <v>139</v>
      </c>
      <c r="B12" s="14" t="s">
        <v>21</v>
      </c>
      <c r="C12" s="15"/>
      <c r="D12" s="16">
        <v>150</v>
      </c>
      <c r="E12" s="18">
        <v>5500</v>
      </c>
      <c r="F12">
        <v>300</v>
      </c>
      <c r="G12" s="18">
        <v>150</v>
      </c>
      <c r="H12" s="17">
        <f t="shared" si="1"/>
        <v>6100</v>
      </c>
      <c r="I12" s="17">
        <v>5800</v>
      </c>
      <c r="J12" s="17">
        <f t="shared" si="0"/>
        <v>300</v>
      </c>
      <c r="K12" s="17"/>
      <c r="L12" s="17"/>
      <c r="M12" s="23"/>
    </row>
    <row r="13" spans="1:13" x14ac:dyDescent="0.25">
      <c r="A13" s="24" t="s">
        <v>187</v>
      </c>
      <c r="B13" s="14" t="s">
        <v>22</v>
      </c>
      <c r="C13" s="15"/>
      <c r="D13" s="16"/>
      <c r="E13" s="18">
        <v>7000</v>
      </c>
      <c r="F13" s="82">
        <v>450</v>
      </c>
      <c r="G13" s="18">
        <v>150</v>
      </c>
      <c r="H13" s="17">
        <f t="shared" si="1"/>
        <v>7600</v>
      </c>
      <c r="I13" s="17"/>
      <c r="J13" s="17">
        <f t="shared" si="0"/>
        <v>7600</v>
      </c>
      <c r="K13" s="17"/>
      <c r="L13" s="17"/>
      <c r="M13" s="22"/>
    </row>
    <row r="14" spans="1:13" x14ac:dyDescent="0.25">
      <c r="A14" s="13" t="s">
        <v>108</v>
      </c>
      <c r="B14" s="14" t="s">
        <v>23</v>
      </c>
      <c r="C14" s="15"/>
      <c r="D14" s="16">
        <f>'OCTOBER 20'!J14:J79</f>
        <v>0</v>
      </c>
      <c r="E14" s="18"/>
      <c r="F14" s="19"/>
      <c r="G14" s="18"/>
      <c r="H14" s="17">
        <f t="shared" si="1"/>
        <v>0</v>
      </c>
      <c r="I14" s="17"/>
      <c r="J14" s="17">
        <f t="shared" si="0"/>
        <v>0</v>
      </c>
      <c r="K14" s="17"/>
      <c r="L14" s="17"/>
      <c r="M14" s="2"/>
    </row>
    <row r="15" spans="1:13" x14ac:dyDescent="0.25">
      <c r="A15" s="13" t="s">
        <v>102</v>
      </c>
      <c r="B15" s="14" t="s">
        <v>24</v>
      </c>
      <c r="C15" s="15"/>
      <c r="D15" s="16">
        <f>'OCTOBER 20'!J15:J80</f>
        <v>0</v>
      </c>
      <c r="E15" s="18"/>
      <c r="F15" s="19"/>
      <c r="G15" s="18"/>
      <c r="H15" s="17">
        <f t="shared" si="1"/>
        <v>0</v>
      </c>
      <c r="I15" s="17"/>
      <c r="J15" s="17">
        <f t="shared" si="0"/>
        <v>0</v>
      </c>
      <c r="K15" s="17"/>
      <c r="L15" s="17"/>
      <c r="M15" s="22" t="s">
        <v>215</v>
      </c>
    </row>
    <row r="16" spans="1:13" x14ac:dyDescent="0.25">
      <c r="A16" s="13" t="s">
        <v>188</v>
      </c>
      <c r="B16" s="14" t="s">
        <v>25</v>
      </c>
      <c r="C16" s="15"/>
      <c r="D16" s="16">
        <f>'OCTOBER 20'!J16:J81</f>
        <v>0</v>
      </c>
      <c r="E16" s="18">
        <v>6500</v>
      </c>
      <c r="F16" s="19"/>
      <c r="G16" s="18"/>
      <c r="H16" s="17">
        <f t="shared" si="1"/>
        <v>6500</v>
      </c>
      <c r="I16" s="17">
        <f>6500</f>
        <v>6500</v>
      </c>
      <c r="J16" s="17">
        <f t="shared" si="0"/>
        <v>0</v>
      </c>
      <c r="K16" s="17"/>
      <c r="L16" s="17"/>
      <c r="M16" s="2"/>
    </row>
    <row r="17" spans="1:14" x14ac:dyDescent="0.25">
      <c r="A17" s="71" t="s">
        <v>133</v>
      </c>
      <c r="B17" s="14" t="s">
        <v>26</v>
      </c>
      <c r="C17" s="15"/>
      <c r="D17" s="16">
        <f>'OCTOBER 20'!J17:J82</f>
        <v>0</v>
      </c>
      <c r="E17" s="18">
        <v>6500</v>
      </c>
      <c r="F17" s="19"/>
      <c r="G17" s="18">
        <v>150</v>
      </c>
      <c r="H17" s="17">
        <f t="shared" si="1"/>
        <v>6650</v>
      </c>
      <c r="I17" s="17">
        <v>6550</v>
      </c>
      <c r="J17" s="17">
        <f t="shared" si="0"/>
        <v>100</v>
      </c>
      <c r="K17" s="17"/>
      <c r="L17" s="17"/>
      <c r="M17" s="27"/>
    </row>
    <row r="18" spans="1:14" x14ac:dyDescent="0.25">
      <c r="A18" s="13" t="s">
        <v>104</v>
      </c>
      <c r="B18" s="14" t="s">
        <v>27</v>
      </c>
      <c r="C18" s="15"/>
      <c r="D18" s="16">
        <f>'OCTOBER 20'!J18:J83</f>
        <v>26750</v>
      </c>
      <c r="E18" s="18">
        <v>6500</v>
      </c>
      <c r="F18" s="19">
        <v>150</v>
      </c>
      <c r="G18" s="18">
        <v>150</v>
      </c>
      <c r="H18" s="17">
        <f t="shared" si="1"/>
        <v>33550</v>
      </c>
      <c r="I18" s="17">
        <f>19950+6800</f>
        <v>26750</v>
      </c>
      <c r="J18" s="17">
        <f t="shared" si="0"/>
        <v>6800</v>
      </c>
      <c r="K18" s="17">
        <v>13300</v>
      </c>
      <c r="L18" s="17"/>
      <c r="M18" s="22"/>
      <c r="N18">
        <v>1</v>
      </c>
    </row>
    <row r="19" spans="1:14" x14ac:dyDescent="0.25">
      <c r="A19" s="25" t="s">
        <v>131</v>
      </c>
      <c r="B19" s="14" t="s">
        <v>50</v>
      </c>
      <c r="C19" s="15"/>
      <c r="D19" s="16">
        <f>'OCTOBER 20'!J19:J84</f>
        <v>0</v>
      </c>
      <c r="E19" s="18">
        <v>6500</v>
      </c>
      <c r="F19" s="19">
        <v>900</v>
      </c>
      <c r="G19" s="18">
        <v>150</v>
      </c>
      <c r="H19" s="17">
        <f t="shared" si="1"/>
        <v>7550</v>
      </c>
      <c r="I19" s="17">
        <v>7400</v>
      </c>
      <c r="J19" s="17">
        <f t="shared" si="0"/>
        <v>150</v>
      </c>
      <c r="K19" s="17"/>
      <c r="L19" s="17">
        <v>1000</v>
      </c>
      <c r="M19" s="2"/>
    </row>
    <row r="20" spans="1:14" x14ac:dyDescent="0.25">
      <c r="A20" s="74" t="s">
        <v>17</v>
      </c>
      <c r="B20" s="14" t="s">
        <v>51</v>
      </c>
      <c r="C20" s="15"/>
      <c r="D20" s="16"/>
      <c r="E20" s="18"/>
      <c r="F20" s="19"/>
      <c r="G20" s="18"/>
      <c r="H20" s="17">
        <f t="shared" si="1"/>
        <v>0</v>
      </c>
      <c r="I20" s="17"/>
      <c r="J20" s="17">
        <f t="shared" si="0"/>
        <v>0</v>
      </c>
      <c r="K20" s="17"/>
      <c r="L20" s="17"/>
      <c r="M20" s="22"/>
    </row>
    <row r="21" spans="1:14" x14ac:dyDescent="0.25">
      <c r="A21" s="13" t="s">
        <v>17</v>
      </c>
      <c r="B21" s="14" t="s">
        <v>52</v>
      </c>
      <c r="C21" s="15"/>
      <c r="D21" s="16">
        <f>'OCTOBER 20'!J21:J86</f>
        <v>0</v>
      </c>
      <c r="E21" s="18"/>
      <c r="F21" s="19"/>
      <c r="G21" s="18"/>
      <c r="H21" s="17">
        <f t="shared" si="1"/>
        <v>0</v>
      </c>
      <c r="I21" s="17"/>
      <c r="J21" s="17">
        <f t="shared" si="0"/>
        <v>0</v>
      </c>
      <c r="K21" s="17"/>
      <c r="L21" s="17"/>
      <c r="M21" s="2"/>
    </row>
    <row r="22" spans="1:14" x14ac:dyDescent="0.25">
      <c r="A22" s="13" t="s">
        <v>213</v>
      </c>
      <c r="B22" s="14" t="s">
        <v>53</v>
      </c>
      <c r="C22" s="15"/>
      <c r="D22" s="16">
        <f>'OCTOBER 20'!J22:J87</f>
        <v>0</v>
      </c>
      <c r="E22" s="18"/>
      <c r="F22" s="19"/>
      <c r="G22" s="18"/>
      <c r="H22" s="17">
        <f t="shared" si="1"/>
        <v>0</v>
      </c>
      <c r="I22" s="17"/>
      <c r="J22" s="17">
        <f t="shared" si="0"/>
        <v>0</v>
      </c>
      <c r="K22" s="17"/>
      <c r="L22" s="17"/>
      <c r="M22" s="2" t="s">
        <v>214</v>
      </c>
    </row>
    <row r="23" spans="1:14" x14ac:dyDescent="0.25">
      <c r="A23" s="72" t="s">
        <v>17</v>
      </c>
      <c r="B23" s="14" t="s">
        <v>54</v>
      </c>
      <c r="C23" s="15"/>
      <c r="D23" s="16">
        <f>'OCTOBER 20'!J23:J88</f>
        <v>0</v>
      </c>
      <c r="E23" s="18"/>
      <c r="F23" s="19"/>
      <c r="G23" s="18"/>
      <c r="H23" s="17">
        <f t="shared" si="1"/>
        <v>0</v>
      </c>
      <c r="I23" s="17"/>
      <c r="J23" s="17">
        <f t="shared" si="0"/>
        <v>0</v>
      </c>
      <c r="K23" s="17"/>
      <c r="L23" s="17"/>
      <c r="M23" s="2"/>
    </row>
    <row r="24" spans="1:14" x14ac:dyDescent="0.25">
      <c r="A24" s="13" t="s">
        <v>190</v>
      </c>
      <c r="B24" s="14" t="s">
        <v>55</v>
      </c>
      <c r="C24" s="15"/>
      <c r="D24" s="16">
        <f>'OCTOBER 20'!J24:J89</f>
        <v>0</v>
      </c>
      <c r="E24" s="18">
        <v>7000</v>
      </c>
      <c r="F24" s="19">
        <v>300</v>
      </c>
      <c r="G24" s="18">
        <v>150</v>
      </c>
      <c r="H24" s="17">
        <f t="shared" si="1"/>
        <v>7450</v>
      </c>
      <c r="I24" s="17">
        <f>5500+1000</f>
        <v>6500</v>
      </c>
      <c r="J24" s="17">
        <f t="shared" si="0"/>
        <v>950</v>
      </c>
      <c r="K24" s="17"/>
      <c r="L24" s="17"/>
      <c r="M24" s="2"/>
    </row>
    <row r="25" spans="1:14" x14ac:dyDescent="0.25">
      <c r="A25" s="13" t="s">
        <v>155</v>
      </c>
      <c r="B25" s="14" t="s">
        <v>56</v>
      </c>
      <c r="C25" s="15"/>
      <c r="D25" s="16">
        <f>'OCTOBER 20'!J25:J90</f>
        <v>0</v>
      </c>
      <c r="E25" s="18">
        <v>5500</v>
      </c>
      <c r="F25" s="19">
        <v>150</v>
      </c>
      <c r="G25" s="18">
        <v>150</v>
      </c>
      <c r="H25" s="17">
        <f t="shared" si="1"/>
        <v>5800</v>
      </c>
      <c r="I25" s="17">
        <v>5650</v>
      </c>
      <c r="J25" s="17">
        <f t="shared" si="0"/>
        <v>150</v>
      </c>
      <c r="K25" s="17"/>
      <c r="L25" s="17"/>
      <c r="M25" s="2"/>
      <c r="N25" s="81"/>
    </row>
    <row r="26" spans="1:14" x14ac:dyDescent="0.25">
      <c r="A26" s="13" t="s">
        <v>130</v>
      </c>
      <c r="B26" s="14" t="s">
        <v>57</v>
      </c>
      <c r="C26" s="15"/>
      <c r="D26" s="16">
        <f>'OCTOBER 20'!J26:J91</f>
        <v>150</v>
      </c>
      <c r="E26" s="18">
        <v>7000</v>
      </c>
      <c r="F26" s="19">
        <v>300</v>
      </c>
      <c r="G26" s="18">
        <v>150</v>
      </c>
      <c r="H26" s="17">
        <f t="shared" si="1"/>
        <v>7600</v>
      </c>
      <c r="I26" s="17">
        <v>7450</v>
      </c>
      <c r="J26" s="17">
        <f t="shared" si="0"/>
        <v>150</v>
      </c>
      <c r="K26" s="17"/>
      <c r="L26" s="17"/>
      <c r="M26" s="28"/>
    </row>
    <row r="27" spans="1:14" x14ac:dyDescent="0.25">
      <c r="A27" s="13" t="s">
        <v>132</v>
      </c>
      <c r="B27" s="14" t="s">
        <v>58</v>
      </c>
      <c r="C27" s="15"/>
      <c r="D27" s="16">
        <f>'OCTOBER 20'!J27:J92</f>
        <v>200</v>
      </c>
      <c r="E27" s="18">
        <v>6500</v>
      </c>
      <c r="F27" s="19">
        <v>600</v>
      </c>
      <c r="G27" s="18">
        <v>150</v>
      </c>
      <c r="H27" s="17">
        <f t="shared" si="1"/>
        <v>7450</v>
      </c>
      <c r="I27" s="17">
        <v>7450</v>
      </c>
      <c r="J27" s="17">
        <f t="shared" si="0"/>
        <v>0</v>
      </c>
      <c r="K27" s="17"/>
      <c r="L27" s="17"/>
      <c r="M27" s="28"/>
    </row>
    <row r="28" spans="1:14" x14ac:dyDescent="0.25">
      <c r="A28" s="13" t="s">
        <v>17</v>
      </c>
      <c r="B28" s="14" t="s">
        <v>59</v>
      </c>
      <c r="C28" s="15"/>
      <c r="D28" s="16">
        <f>'OCTOBER 20'!J28:J93</f>
        <v>0</v>
      </c>
      <c r="E28" s="18"/>
      <c r="F28" s="19"/>
      <c r="G28" s="18"/>
      <c r="H28" s="17">
        <f t="shared" si="1"/>
        <v>0</v>
      </c>
      <c r="I28" s="17"/>
      <c r="J28" s="17">
        <f t="shared" si="0"/>
        <v>0</v>
      </c>
      <c r="K28" s="17"/>
      <c r="L28" s="17"/>
      <c r="M28" s="22"/>
    </row>
    <row r="29" spans="1:14" x14ac:dyDescent="0.25">
      <c r="A29" s="13" t="s">
        <v>177</v>
      </c>
      <c r="B29" s="14" t="s">
        <v>60</v>
      </c>
      <c r="C29" s="15"/>
      <c r="D29" s="16">
        <f>'OCTOBER 20'!J29:J94</f>
        <v>0</v>
      </c>
      <c r="E29" s="18">
        <v>6500</v>
      </c>
      <c r="F29" s="19"/>
      <c r="G29" s="18">
        <v>150</v>
      </c>
      <c r="H29" s="17">
        <f t="shared" si="1"/>
        <v>6650</v>
      </c>
      <c r="I29" s="17">
        <v>6650</v>
      </c>
      <c r="J29" s="17">
        <f t="shared" si="0"/>
        <v>0</v>
      </c>
      <c r="K29" s="17"/>
      <c r="L29" s="17"/>
      <c r="M29" s="22"/>
    </row>
    <row r="30" spans="1:14" x14ac:dyDescent="0.25">
      <c r="A30" s="13" t="s">
        <v>17</v>
      </c>
      <c r="B30" s="14" t="s">
        <v>61</v>
      </c>
      <c r="C30" s="15"/>
      <c r="D30" s="16">
        <f>'OCTOBER 20'!J30:J103</f>
        <v>0</v>
      </c>
      <c r="E30" s="18"/>
      <c r="F30" s="19"/>
      <c r="G30" s="18"/>
      <c r="H30" s="17">
        <f t="shared" si="1"/>
        <v>0</v>
      </c>
      <c r="I30" s="17"/>
      <c r="J30" s="17">
        <f t="shared" si="0"/>
        <v>0</v>
      </c>
      <c r="K30" s="17"/>
      <c r="L30" s="17"/>
      <c r="M30" s="2"/>
    </row>
    <row r="31" spans="1:14" x14ac:dyDescent="0.25">
      <c r="A31" s="13" t="s">
        <v>106</v>
      </c>
      <c r="B31" s="14" t="s">
        <v>62</v>
      </c>
      <c r="C31" s="63"/>
      <c r="D31" s="16">
        <f>'OCTOBER 20'!J31:J104</f>
        <v>0</v>
      </c>
      <c r="E31" s="18">
        <v>6500</v>
      </c>
      <c r="F31" s="19">
        <v>450</v>
      </c>
      <c r="G31" s="18">
        <v>150</v>
      </c>
      <c r="H31" s="17">
        <f t="shared" si="1"/>
        <v>7100</v>
      </c>
      <c r="I31" s="17">
        <f>6650+450</f>
        <v>7100</v>
      </c>
      <c r="J31" s="17">
        <f t="shared" si="0"/>
        <v>0</v>
      </c>
      <c r="K31" s="17"/>
      <c r="L31" s="17"/>
      <c r="M31" s="22" t="s">
        <v>121</v>
      </c>
    </row>
    <row r="32" spans="1:14" x14ac:dyDescent="0.25">
      <c r="A32" s="13" t="s">
        <v>181</v>
      </c>
      <c r="B32" s="14" t="s">
        <v>63</v>
      </c>
      <c r="C32" s="15">
        <v>6500</v>
      </c>
      <c r="D32" s="16">
        <f>'OCTOBER 20'!J32:J105</f>
        <v>0</v>
      </c>
      <c r="E32" s="18">
        <v>6500</v>
      </c>
      <c r="F32" s="19"/>
      <c r="G32" s="18">
        <v>150</v>
      </c>
      <c r="H32" s="17">
        <f t="shared" si="1"/>
        <v>13150</v>
      </c>
      <c r="I32" s="17">
        <v>11000</v>
      </c>
      <c r="J32" s="17">
        <f t="shared" si="0"/>
        <v>2150</v>
      </c>
      <c r="K32" s="17"/>
      <c r="L32" s="17">
        <v>1000</v>
      </c>
      <c r="M32" s="30"/>
    </row>
    <row r="33" spans="1:13" x14ac:dyDescent="0.25">
      <c r="A33" s="13" t="s">
        <v>171</v>
      </c>
      <c r="B33" s="14" t="s">
        <v>64</v>
      </c>
      <c r="C33" s="15"/>
      <c r="D33" s="16">
        <f>'OCTOBER 20'!J33:J106</f>
        <v>0</v>
      </c>
      <c r="E33" s="18">
        <v>6500</v>
      </c>
      <c r="F33" s="19"/>
      <c r="G33" s="18">
        <v>150</v>
      </c>
      <c r="H33" s="17">
        <f t="shared" si="1"/>
        <v>6650</v>
      </c>
      <c r="I33" s="17">
        <v>6650</v>
      </c>
      <c r="J33" s="17">
        <f t="shared" si="0"/>
        <v>0</v>
      </c>
      <c r="K33" s="17"/>
      <c r="L33" s="17"/>
      <c r="M33" s="22"/>
    </row>
    <row r="34" spans="1:13" x14ac:dyDescent="0.25">
      <c r="A34" s="13" t="s">
        <v>161</v>
      </c>
      <c r="B34" s="14" t="s">
        <v>65</v>
      </c>
      <c r="C34" s="15"/>
      <c r="D34" s="16">
        <f>'OCTOBER 20'!J34:J107</f>
        <v>0</v>
      </c>
      <c r="E34" s="19">
        <v>6500</v>
      </c>
      <c r="F34" s="19">
        <v>300</v>
      </c>
      <c r="G34" s="18">
        <v>150</v>
      </c>
      <c r="H34" s="17">
        <f t="shared" si="1"/>
        <v>6950</v>
      </c>
      <c r="I34" s="17">
        <v>6500</v>
      </c>
      <c r="J34" s="17">
        <f t="shared" si="0"/>
        <v>450</v>
      </c>
      <c r="K34" s="17"/>
      <c r="L34" s="17"/>
      <c r="M34" s="22"/>
    </row>
    <row r="35" spans="1:13" x14ac:dyDescent="0.25">
      <c r="A35" s="13" t="s">
        <v>17</v>
      </c>
      <c r="B35" s="14" t="s">
        <v>66</v>
      </c>
      <c r="C35" s="15"/>
      <c r="D35" s="16">
        <f>'OCTOBER 20'!J35:J108</f>
        <v>0</v>
      </c>
      <c r="E35" s="19"/>
      <c r="F35" s="19"/>
      <c r="G35" s="18"/>
      <c r="H35" s="17">
        <f t="shared" si="1"/>
        <v>0</v>
      </c>
      <c r="I35" s="17"/>
      <c r="J35" s="17">
        <f t="shared" si="0"/>
        <v>0</v>
      </c>
      <c r="K35" s="17"/>
      <c r="L35" s="17"/>
      <c r="M35" s="22"/>
    </row>
    <row r="36" spans="1:13" x14ac:dyDescent="0.25">
      <c r="A36" s="13" t="s">
        <v>162</v>
      </c>
      <c r="B36" s="14" t="s">
        <v>67</v>
      </c>
      <c r="C36" s="15"/>
      <c r="D36" s="16">
        <f>'OCTOBER 20'!J36:J109</f>
        <v>6500</v>
      </c>
      <c r="E36" s="19">
        <v>6500</v>
      </c>
      <c r="F36" s="19"/>
      <c r="G36" s="18">
        <v>150</v>
      </c>
      <c r="H36" s="17">
        <f t="shared" si="1"/>
        <v>13150</v>
      </c>
      <c r="I36" s="17">
        <f>10500</f>
        <v>10500</v>
      </c>
      <c r="J36" s="17">
        <f t="shared" si="0"/>
        <v>2650</v>
      </c>
      <c r="K36" s="17">
        <v>3850</v>
      </c>
      <c r="L36" s="17"/>
      <c r="M36" s="22"/>
    </row>
    <row r="37" spans="1:13" x14ac:dyDescent="0.25">
      <c r="A37" s="13" t="s">
        <v>126</v>
      </c>
      <c r="B37" s="14" t="s">
        <v>68</v>
      </c>
      <c r="C37" s="15"/>
      <c r="D37" s="16">
        <f>'OCTOBER 20'!J37:J110</f>
        <v>150</v>
      </c>
      <c r="E37" s="19">
        <v>7000</v>
      </c>
      <c r="F37" s="19"/>
      <c r="G37" s="18"/>
      <c r="H37" s="17">
        <f t="shared" si="1"/>
        <v>7150</v>
      </c>
      <c r="I37" s="17">
        <v>7000</v>
      </c>
      <c r="J37" s="17">
        <f t="shared" si="0"/>
        <v>150</v>
      </c>
      <c r="K37" s="17"/>
      <c r="L37" s="17"/>
      <c r="M37" s="22"/>
    </row>
    <row r="38" spans="1:13" x14ac:dyDescent="0.25">
      <c r="A38" s="13" t="s">
        <v>182</v>
      </c>
      <c r="B38" s="14" t="s">
        <v>69</v>
      </c>
      <c r="C38" s="15"/>
      <c r="D38" s="16">
        <f>'OCTOBER 20'!J38:J111</f>
        <v>0</v>
      </c>
      <c r="E38" s="19">
        <v>5500</v>
      </c>
      <c r="F38" s="19">
        <v>150</v>
      </c>
      <c r="G38" s="18"/>
      <c r="H38" s="17">
        <f t="shared" si="1"/>
        <v>5650</v>
      </c>
      <c r="I38" s="17"/>
      <c r="J38" s="17">
        <f t="shared" si="0"/>
        <v>5650</v>
      </c>
      <c r="K38" s="17"/>
      <c r="L38" s="17"/>
      <c r="M38" s="22"/>
    </row>
    <row r="39" spans="1:13" x14ac:dyDescent="0.25">
      <c r="A39" s="13" t="s">
        <v>125</v>
      </c>
      <c r="B39" s="14" t="s">
        <v>70</v>
      </c>
      <c r="C39" s="15"/>
      <c r="D39" s="16">
        <f>'OCTOBER 20'!J39:J112</f>
        <v>650</v>
      </c>
      <c r="E39" s="19">
        <v>7000</v>
      </c>
      <c r="F39" s="19">
        <v>300</v>
      </c>
      <c r="G39" s="18">
        <v>150</v>
      </c>
      <c r="H39" s="17">
        <f t="shared" si="1"/>
        <v>8100</v>
      </c>
      <c r="I39" s="17">
        <f>7300</f>
        <v>7300</v>
      </c>
      <c r="J39" s="17">
        <f t="shared" si="0"/>
        <v>800</v>
      </c>
      <c r="K39" s="17"/>
      <c r="L39" s="17"/>
      <c r="M39" s="22"/>
    </row>
    <row r="40" spans="1:13" x14ac:dyDescent="0.25">
      <c r="A40" s="13" t="s">
        <v>191</v>
      </c>
      <c r="B40" s="14" t="s">
        <v>71</v>
      </c>
      <c r="C40" s="15"/>
      <c r="D40" s="16">
        <f>'OCTOBER 20'!J40:J113</f>
        <v>0</v>
      </c>
      <c r="E40" s="19">
        <v>6500</v>
      </c>
      <c r="F40" s="19"/>
      <c r="G40" s="18"/>
      <c r="H40" s="17">
        <f t="shared" si="1"/>
        <v>6500</v>
      </c>
      <c r="I40" s="17">
        <f>6400</f>
        <v>6400</v>
      </c>
      <c r="J40" s="17">
        <f t="shared" si="0"/>
        <v>100</v>
      </c>
      <c r="K40" s="17"/>
      <c r="L40" s="17"/>
      <c r="M40" s="22"/>
    </row>
    <row r="41" spans="1:13" x14ac:dyDescent="0.25">
      <c r="A41" s="13" t="s">
        <v>127</v>
      </c>
      <c r="B41" s="14" t="s">
        <v>72</v>
      </c>
      <c r="C41" s="15"/>
      <c r="D41" s="16">
        <f>'OCTOBER 20'!J41:J114</f>
        <v>4450</v>
      </c>
      <c r="E41" s="19">
        <v>6500</v>
      </c>
      <c r="F41" s="19">
        <v>150</v>
      </c>
      <c r="G41" s="18">
        <v>150</v>
      </c>
      <c r="H41" s="17">
        <f t="shared" si="1"/>
        <v>11250</v>
      </c>
      <c r="I41" s="17">
        <f>9500</f>
        <v>9500</v>
      </c>
      <c r="J41" s="17">
        <f t="shared" si="0"/>
        <v>1750</v>
      </c>
      <c r="K41" s="17"/>
      <c r="L41" s="17"/>
      <c r="M41" s="22"/>
    </row>
    <row r="42" spans="1:13" x14ac:dyDescent="0.25">
      <c r="A42" s="13" t="s">
        <v>124</v>
      </c>
      <c r="B42" s="14" t="s">
        <v>73</v>
      </c>
      <c r="C42" s="15"/>
      <c r="D42" s="16">
        <f>'OCTOBER 20'!J42:J115</f>
        <v>350</v>
      </c>
      <c r="E42" s="19">
        <v>6500</v>
      </c>
      <c r="F42" s="19">
        <v>150</v>
      </c>
      <c r="G42" s="18">
        <v>150</v>
      </c>
      <c r="H42" s="17">
        <f t="shared" si="1"/>
        <v>7150</v>
      </c>
      <c r="I42" s="17">
        <f>6800</f>
        <v>6800</v>
      </c>
      <c r="J42" s="17">
        <f t="shared" si="0"/>
        <v>350</v>
      </c>
      <c r="K42" s="17"/>
      <c r="L42" s="17"/>
      <c r="M42" s="22"/>
    </row>
    <row r="43" spans="1:13" x14ac:dyDescent="0.25">
      <c r="A43" s="13"/>
      <c r="B43" s="14" t="s">
        <v>74</v>
      </c>
      <c r="C43" s="15"/>
      <c r="D43" s="16"/>
      <c r="E43" s="19"/>
      <c r="F43" s="19"/>
      <c r="G43" s="18"/>
      <c r="H43" s="17">
        <f>D43+E43+F43+G43+C43</f>
        <v>0</v>
      </c>
      <c r="I43" s="17"/>
      <c r="J43" s="17">
        <f t="shared" si="0"/>
        <v>0</v>
      </c>
      <c r="K43" s="17"/>
      <c r="L43" s="17"/>
      <c r="M43" s="22"/>
    </row>
    <row r="44" spans="1:13" x14ac:dyDescent="0.25">
      <c r="A44" s="13" t="s">
        <v>205</v>
      </c>
      <c r="B44" s="14" t="s">
        <v>75</v>
      </c>
      <c r="C44" s="15">
        <v>6500</v>
      </c>
      <c r="D44" s="16"/>
      <c r="E44" s="19">
        <v>6500</v>
      </c>
      <c r="F44" s="19"/>
      <c r="G44" s="18">
        <v>150</v>
      </c>
      <c r="H44" s="17">
        <f t="shared" si="1"/>
        <v>13150</v>
      </c>
      <c r="I44" s="17">
        <v>13000</v>
      </c>
      <c r="J44" s="17">
        <f t="shared" si="0"/>
        <v>150</v>
      </c>
      <c r="K44" s="17"/>
      <c r="L44" s="17">
        <v>1000</v>
      </c>
      <c r="M44" s="22"/>
    </row>
    <row r="45" spans="1:13" x14ac:dyDescent="0.25">
      <c r="A45" s="13" t="s">
        <v>107</v>
      </c>
      <c r="B45" s="14" t="s">
        <v>76</v>
      </c>
      <c r="C45" s="15"/>
      <c r="D45" s="16">
        <f>'OCTOBER 20'!J45:J118</f>
        <v>0</v>
      </c>
      <c r="E45" s="19">
        <v>6500</v>
      </c>
      <c r="F45" s="19">
        <v>150</v>
      </c>
      <c r="G45" s="18">
        <v>150</v>
      </c>
      <c r="H45" s="17">
        <f t="shared" si="1"/>
        <v>6800</v>
      </c>
      <c r="I45" s="17">
        <f>6650+150</f>
        <v>6800</v>
      </c>
      <c r="J45" s="17">
        <f t="shared" si="0"/>
        <v>0</v>
      </c>
      <c r="K45" s="17"/>
      <c r="L45" s="17"/>
      <c r="M45" s="22"/>
    </row>
    <row r="46" spans="1:13" x14ac:dyDescent="0.25">
      <c r="A46" s="13" t="s">
        <v>216</v>
      </c>
      <c r="B46" s="14" t="s">
        <v>77</v>
      </c>
      <c r="C46" s="15">
        <v>6500</v>
      </c>
      <c r="D46" s="16">
        <f>'OCTOBER 20'!J46:J119</f>
        <v>0</v>
      </c>
      <c r="E46" s="19">
        <v>6500</v>
      </c>
      <c r="F46" s="19"/>
      <c r="G46" s="18"/>
      <c r="H46" s="17">
        <f t="shared" si="1"/>
        <v>13000</v>
      </c>
      <c r="I46" s="17">
        <v>13000</v>
      </c>
      <c r="J46" s="17">
        <f t="shared" si="0"/>
        <v>0</v>
      </c>
      <c r="K46" s="17"/>
      <c r="L46" s="17"/>
      <c r="M46" s="22"/>
    </row>
    <row r="47" spans="1:13" x14ac:dyDescent="0.25">
      <c r="A47" s="13" t="s">
        <v>204</v>
      </c>
      <c r="B47" s="14" t="s">
        <v>78</v>
      </c>
      <c r="C47" s="15">
        <v>6500</v>
      </c>
      <c r="D47" s="16">
        <f>'OCTOBER 20'!J47:J120</f>
        <v>0</v>
      </c>
      <c r="E47" s="19">
        <v>6500</v>
      </c>
      <c r="F47" s="19"/>
      <c r="G47" s="18">
        <v>150</v>
      </c>
      <c r="H47" s="17">
        <f t="shared" si="1"/>
        <v>13150</v>
      </c>
      <c r="I47" s="17">
        <v>13150</v>
      </c>
      <c r="J47" s="17">
        <f t="shared" si="0"/>
        <v>0</v>
      </c>
      <c r="K47" s="17"/>
      <c r="L47" s="17">
        <v>1000</v>
      </c>
      <c r="M47" s="22"/>
    </row>
    <row r="48" spans="1:13" x14ac:dyDescent="0.25">
      <c r="A48" s="13" t="s">
        <v>153</v>
      </c>
      <c r="B48" s="14" t="s">
        <v>79</v>
      </c>
      <c r="C48" s="15"/>
      <c r="D48" s="16">
        <v>850</v>
      </c>
      <c r="E48" s="19">
        <v>6500</v>
      </c>
      <c r="F48" s="19">
        <v>150</v>
      </c>
      <c r="G48" s="18">
        <v>150</v>
      </c>
      <c r="H48" s="17">
        <f t="shared" si="1"/>
        <v>7650</v>
      </c>
      <c r="I48" s="17">
        <f>7100+550</f>
        <v>7650</v>
      </c>
      <c r="J48" s="17">
        <f t="shared" si="0"/>
        <v>0</v>
      </c>
      <c r="K48" s="17"/>
      <c r="L48" s="17"/>
      <c r="M48" s="22"/>
    </row>
    <row r="49" spans="1:13" x14ac:dyDescent="0.25">
      <c r="A49" s="13" t="s">
        <v>186</v>
      </c>
      <c r="B49" s="14" t="s">
        <v>80</v>
      </c>
      <c r="C49" s="15">
        <v>6500</v>
      </c>
      <c r="D49" s="16">
        <f>'OCTOBER 20'!J49:J122</f>
        <v>0</v>
      </c>
      <c r="E49" s="19">
        <v>6500</v>
      </c>
      <c r="F49" s="19"/>
      <c r="G49" s="18">
        <v>150</v>
      </c>
      <c r="H49" s="17">
        <f t="shared" si="1"/>
        <v>13150</v>
      </c>
      <c r="I49" s="17">
        <f>11000+2000</f>
        <v>13000</v>
      </c>
      <c r="J49" s="17">
        <f t="shared" si="0"/>
        <v>150</v>
      </c>
      <c r="K49" s="17"/>
      <c r="L49" s="17"/>
    </row>
    <row r="50" spans="1:13" x14ac:dyDescent="0.25">
      <c r="A50" s="13" t="s">
        <v>135</v>
      </c>
      <c r="B50" s="14" t="s">
        <v>81</v>
      </c>
      <c r="C50" s="15"/>
      <c r="D50" s="16">
        <f>'OCTOBER 20'!J50:J123</f>
        <v>450</v>
      </c>
      <c r="E50" s="19">
        <v>7000</v>
      </c>
      <c r="F50" s="19">
        <v>300</v>
      </c>
      <c r="G50" s="18">
        <v>150</v>
      </c>
      <c r="H50" s="17">
        <f t="shared" si="1"/>
        <v>7900</v>
      </c>
      <c r="I50" s="17">
        <f>7000</f>
        <v>7000</v>
      </c>
      <c r="J50" s="17">
        <f t="shared" si="0"/>
        <v>900</v>
      </c>
      <c r="K50" s="17"/>
      <c r="L50" s="17"/>
      <c r="M50" s="22"/>
    </row>
    <row r="51" spans="1:13" x14ac:dyDescent="0.25">
      <c r="A51" s="13" t="s">
        <v>138</v>
      </c>
      <c r="B51" s="14" t="s">
        <v>82</v>
      </c>
      <c r="C51" s="15"/>
      <c r="D51" s="16">
        <f>'OCTOBER 20'!J51:J124</f>
        <v>0</v>
      </c>
      <c r="E51" s="19">
        <v>5500</v>
      </c>
      <c r="F51" s="19">
        <v>150</v>
      </c>
      <c r="G51" s="18">
        <v>150</v>
      </c>
      <c r="H51" s="17">
        <f t="shared" si="1"/>
        <v>5800</v>
      </c>
      <c r="I51" s="17">
        <v>5650</v>
      </c>
      <c r="J51" s="17">
        <f t="shared" si="0"/>
        <v>150</v>
      </c>
      <c r="K51" s="17"/>
      <c r="L51" s="17"/>
      <c r="M51" s="22"/>
    </row>
    <row r="52" spans="1:13" x14ac:dyDescent="0.25">
      <c r="A52" s="13" t="s">
        <v>109</v>
      </c>
      <c r="B52" s="14" t="s">
        <v>83</v>
      </c>
      <c r="C52" s="15"/>
      <c r="D52" s="16">
        <f>'OCTOBER 20'!J52:J125</f>
        <v>4300</v>
      </c>
      <c r="E52" s="19">
        <v>7000</v>
      </c>
      <c r="F52" s="19">
        <v>150</v>
      </c>
      <c r="G52" s="18">
        <v>150</v>
      </c>
      <c r="H52" s="17">
        <f t="shared" si="1"/>
        <v>11600</v>
      </c>
      <c r="I52" s="17">
        <f>4000+7000</f>
        <v>11000</v>
      </c>
      <c r="J52" s="17">
        <f t="shared" si="0"/>
        <v>600</v>
      </c>
      <c r="K52" s="17"/>
      <c r="L52" s="17"/>
      <c r="M52" s="22"/>
    </row>
    <row r="53" spans="1:13" x14ac:dyDescent="0.25">
      <c r="A53" s="13" t="s">
        <v>217</v>
      </c>
      <c r="B53" s="14" t="s">
        <v>84</v>
      </c>
      <c r="C53" s="15">
        <v>6500</v>
      </c>
      <c r="D53" s="16">
        <f>'OCTOBER 20'!J53:J126</f>
        <v>0</v>
      </c>
      <c r="E53" s="19">
        <v>6500</v>
      </c>
      <c r="F53" s="19"/>
      <c r="G53" s="18"/>
      <c r="H53" s="17">
        <f t="shared" si="1"/>
        <v>13000</v>
      </c>
      <c r="I53" s="17">
        <v>13000</v>
      </c>
      <c r="J53" s="17">
        <f t="shared" si="0"/>
        <v>0</v>
      </c>
      <c r="K53" s="17"/>
      <c r="L53" s="17"/>
      <c r="M53" s="22"/>
    </row>
    <row r="54" spans="1:13" x14ac:dyDescent="0.25">
      <c r="A54" s="13" t="s">
        <v>212</v>
      </c>
      <c r="B54" s="14" t="s">
        <v>85</v>
      </c>
      <c r="C54" s="15"/>
      <c r="D54" s="16">
        <f>'OCTOBER 20'!J54:J127</f>
        <v>0</v>
      </c>
      <c r="E54" s="19">
        <v>6500</v>
      </c>
      <c r="F54" s="19"/>
      <c r="G54" s="18">
        <v>150</v>
      </c>
      <c r="H54" s="17">
        <f t="shared" si="1"/>
        <v>6650</v>
      </c>
      <c r="I54" s="17">
        <v>4000</v>
      </c>
      <c r="J54" s="17">
        <f t="shared" si="0"/>
        <v>2650</v>
      </c>
      <c r="K54" s="17"/>
      <c r="L54" s="17"/>
      <c r="M54" s="22"/>
    </row>
    <row r="55" spans="1:13" x14ac:dyDescent="0.25">
      <c r="A55" s="13" t="s">
        <v>137</v>
      </c>
      <c r="B55" s="14" t="s">
        <v>86</v>
      </c>
      <c r="C55" s="15"/>
      <c r="D55" s="16">
        <f>'OCTOBER 20'!J55:J128</f>
        <v>0</v>
      </c>
      <c r="E55" s="19">
        <v>6500</v>
      </c>
      <c r="F55" s="19">
        <v>300</v>
      </c>
      <c r="G55" s="18">
        <v>150</v>
      </c>
      <c r="H55" s="17">
        <f t="shared" si="1"/>
        <v>6950</v>
      </c>
      <c r="I55" s="17">
        <f>5000</f>
        <v>5000</v>
      </c>
      <c r="J55" s="17">
        <f>H55-I55</f>
        <v>1950</v>
      </c>
      <c r="K55" s="17"/>
      <c r="L55" s="17"/>
      <c r="M55" s="22"/>
    </row>
    <row r="56" spans="1:13" x14ac:dyDescent="0.25">
      <c r="A56" s="13" t="s">
        <v>185</v>
      </c>
      <c r="B56" s="14" t="s">
        <v>87</v>
      </c>
      <c r="C56" s="15">
        <v>6500</v>
      </c>
      <c r="D56" s="16">
        <f>'OCTOBER 20'!J56:J129</f>
        <v>0</v>
      </c>
      <c r="E56" s="19">
        <v>6500</v>
      </c>
      <c r="F56" s="19"/>
      <c r="G56" s="18">
        <v>150</v>
      </c>
      <c r="H56" s="17">
        <f t="shared" si="1"/>
        <v>13150</v>
      </c>
      <c r="I56" s="17">
        <f>8000+5150</f>
        <v>13150</v>
      </c>
      <c r="J56" s="17">
        <f t="shared" si="0"/>
        <v>0</v>
      </c>
      <c r="K56" s="17"/>
      <c r="L56" s="17">
        <v>1000</v>
      </c>
      <c r="M56" s="22"/>
    </row>
    <row r="57" spans="1:13" x14ac:dyDescent="0.25">
      <c r="A57" s="13" t="s">
        <v>151</v>
      </c>
      <c r="B57" s="14" t="s">
        <v>88</v>
      </c>
      <c r="C57" s="15"/>
      <c r="D57" s="16">
        <f>'OCTOBER 20'!J57:J130</f>
        <v>150</v>
      </c>
      <c r="E57" s="19">
        <v>6500</v>
      </c>
      <c r="F57" s="19">
        <v>150</v>
      </c>
      <c r="G57" s="18">
        <v>150</v>
      </c>
      <c r="H57" s="17">
        <f t="shared" si="1"/>
        <v>6950</v>
      </c>
      <c r="I57" s="17">
        <f>6800</f>
        <v>6800</v>
      </c>
      <c r="J57" s="17">
        <f t="shared" si="0"/>
        <v>150</v>
      </c>
      <c r="K57" s="17"/>
      <c r="L57" s="17"/>
      <c r="M57" s="22"/>
    </row>
    <row r="58" spans="1:13" x14ac:dyDescent="0.25">
      <c r="A58" s="13" t="s">
        <v>110</v>
      </c>
      <c r="B58" s="14" t="s">
        <v>89</v>
      </c>
      <c r="C58" s="15"/>
      <c r="D58" s="16">
        <f>'OCTOBER 20'!J58:J131</f>
        <v>3650</v>
      </c>
      <c r="E58" s="19">
        <v>7000</v>
      </c>
      <c r="F58" s="19">
        <v>300</v>
      </c>
      <c r="G58" s="18">
        <v>150</v>
      </c>
      <c r="H58" s="17">
        <f t="shared" si="1"/>
        <v>11100</v>
      </c>
      <c r="I58" s="17">
        <f>5450</f>
        <v>5450</v>
      </c>
      <c r="J58" s="17">
        <f t="shared" si="0"/>
        <v>5650</v>
      </c>
      <c r="K58" s="17"/>
      <c r="L58" s="17"/>
      <c r="M58" s="22"/>
    </row>
    <row r="59" spans="1:13" x14ac:dyDescent="0.25">
      <c r="A59" s="13" t="s">
        <v>17</v>
      </c>
      <c r="B59" s="14" t="s">
        <v>90</v>
      </c>
      <c r="C59" s="15"/>
      <c r="D59" s="16">
        <f>'OCTOBER 20'!J59:J132</f>
        <v>0</v>
      </c>
      <c r="E59" s="19"/>
      <c r="F59" s="19"/>
      <c r="G59" s="18"/>
      <c r="H59" s="17">
        <f t="shared" si="1"/>
        <v>0</v>
      </c>
      <c r="I59" s="17"/>
      <c r="J59" s="17">
        <f t="shared" si="0"/>
        <v>0</v>
      </c>
      <c r="K59" s="17"/>
      <c r="L59" s="17"/>
      <c r="M59" s="22"/>
    </row>
    <row r="60" spans="1:13" x14ac:dyDescent="0.25">
      <c r="A60" s="13" t="s">
        <v>192</v>
      </c>
      <c r="B60" s="14" t="s">
        <v>91</v>
      </c>
      <c r="C60" s="15"/>
      <c r="D60" s="16">
        <f>'OCTOBER 20'!J60:J133</f>
        <v>0</v>
      </c>
      <c r="E60" s="19">
        <v>6500</v>
      </c>
      <c r="F60" s="19">
        <v>450</v>
      </c>
      <c r="G60" s="18">
        <v>150</v>
      </c>
      <c r="H60" s="17">
        <f t="shared" si="1"/>
        <v>7100</v>
      </c>
      <c r="I60" s="17">
        <v>7100</v>
      </c>
      <c r="J60" s="17">
        <f>H60-I60</f>
        <v>0</v>
      </c>
      <c r="K60" s="17"/>
      <c r="L60" s="17"/>
      <c r="M60" s="2"/>
    </row>
    <row r="61" spans="1:13" x14ac:dyDescent="0.25">
      <c r="A61" s="25" t="s">
        <v>17</v>
      </c>
      <c r="B61" s="14" t="s">
        <v>92</v>
      </c>
      <c r="C61" s="15"/>
      <c r="D61" s="16">
        <f>'OCTOBER 20'!J61:J134</f>
        <v>0</v>
      </c>
      <c r="E61" s="19"/>
      <c r="F61" s="19"/>
      <c r="G61" s="18"/>
      <c r="H61" s="17">
        <f t="shared" si="1"/>
        <v>0</v>
      </c>
      <c r="I61" s="17"/>
      <c r="J61" s="17">
        <f t="shared" si="0"/>
        <v>0</v>
      </c>
      <c r="K61" s="17"/>
      <c r="L61" s="17"/>
      <c r="M61" s="2"/>
    </row>
    <row r="62" spans="1:13" x14ac:dyDescent="0.25">
      <c r="A62" s="25" t="s">
        <v>17</v>
      </c>
      <c r="B62" s="14" t="s">
        <v>93</v>
      </c>
      <c r="C62" s="15"/>
      <c r="D62" s="16">
        <f>'OCTOBER 20'!J62:J135</f>
        <v>0</v>
      </c>
      <c r="E62" s="19"/>
      <c r="F62" s="19"/>
      <c r="G62" s="18"/>
      <c r="H62" s="17">
        <f t="shared" si="1"/>
        <v>0</v>
      </c>
      <c r="I62" s="17"/>
      <c r="J62" s="17">
        <f t="shared" si="0"/>
        <v>0</v>
      </c>
      <c r="K62" s="17"/>
      <c r="L62" s="17"/>
      <c r="M62" s="2"/>
    </row>
    <row r="63" spans="1:13" x14ac:dyDescent="0.25">
      <c r="A63" s="25" t="s">
        <v>17</v>
      </c>
      <c r="B63" s="14" t="s">
        <v>94</v>
      </c>
      <c r="C63" s="15"/>
      <c r="D63" s="16"/>
      <c r="E63" s="19"/>
      <c r="F63" s="19"/>
      <c r="G63" s="18"/>
      <c r="H63" s="17">
        <f t="shared" si="1"/>
        <v>0</v>
      </c>
      <c r="I63" s="17"/>
      <c r="J63" s="17">
        <f t="shared" si="0"/>
        <v>0</v>
      </c>
      <c r="K63" s="17"/>
      <c r="L63" s="17"/>
      <c r="M63" s="2"/>
    </row>
    <row r="64" spans="1:13" x14ac:dyDescent="0.25">
      <c r="A64" s="25" t="s">
        <v>17</v>
      </c>
      <c r="B64" s="14" t="s">
        <v>95</v>
      </c>
      <c r="C64" s="15"/>
      <c r="D64" s="16">
        <f>'OCTOBER 20'!J64:J137</f>
        <v>0</v>
      </c>
      <c r="E64" s="19"/>
      <c r="F64" s="19"/>
      <c r="G64" s="18"/>
      <c r="H64" s="17">
        <f t="shared" si="1"/>
        <v>0</v>
      </c>
      <c r="I64" s="17"/>
      <c r="J64" s="17">
        <f t="shared" si="0"/>
        <v>0</v>
      </c>
      <c r="K64" s="17"/>
      <c r="L64" s="17"/>
      <c r="M64" s="2"/>
    </row>
    <row r="65" spans="1:13" x14ac:dyDescent="0.25">
      <c r="A65" s="25" t="s">
        <v>113</v>
      </c>
      <c r="B65" s="14" t="s">
        <v>96</v>
      </c>
      <c r="C65" s="15"/>
      <c r="D65" s="16">
        <f>'OCTOBER 20'!J65:J138</f>
        <v>0</v>
      </c>
      <c r="E65" s="19">
        <v>7000</v>
      </c>
      <c r="F65" s="19">
        <v>150</v>
      </c>
      <c r="G65" s="18">
        <v>150</v>
      </c>
      <c r="H65" s="17">
        <f t="shared" si="1"/>
        <v>7300</v>
      </c>
      <c r="I65" s="17">
        <v>7300</v>
      </c>
      <c r="J65" s="17">
        <f t="shared" si="0"/>
        <v>0</v>
      </c>
      <c r="K65" s="17"/>
      <c r="L65" s="17"/>
      <c r="M65" s="2"/>
    </row>
    <row r="66" spans="1:13" x14ac:dyDescent="0.25">
      <c r="A66" s="25" t="s">
        <v>17</v>
      </c>
      <c r="B66" s="14" t="s">
        <v>97</v>
      </c>
      <c r="C66" s="15"/>
      <c r="D66" s="16">
        <f>'OCTOBER 20'!J66:J139</f>
        <v>0</v>
      </c>
      <c r="E66" s="19"/>
      <c r="F66" s="19"/>
      <c r="G66" s="18"/>
      <c r="H66" s="17">
        <f t="shared" si="1"/>
        <v>0</v>
      </c>
      <c r="I66" s="17"/>
      <c r="J66" s="17">
        <f t="shared" si="0"/>
        <v>0</v>
      </c>
      <c r="K66" s="17"/>
      <c r="L66" s="17"/>
      <c r="M66" s="2"/>
    </row>
    <row r="67" spans="1:13" x14ac:dyDescent="0.25">
      <c r="A67" s="25" t="s">
        <v>17</v>
      </c>
      <c r="B67" s="14" t="s">
        <v>98</v>
      </c>
      <c r="C67" s="15"/>
      <c r="D67" s="16">
        <f>'OCTOBER 20'!J67:J140</f>
        <v>0</v>
      </c>
      <c r="E67" s="19"/>
      <c r="F67" s="19"/>
      <c r="G67" s="18"/>
      <c r="H67" s="17">
        <f t="shared" si="1"/>
        <v>0</v>
      </c>
      <c r="I67" s="17"/>
      <c r="J67" s="17">
        <f t="shared" si="0"/>
        <v>0</v>
      </c>
      <c r="K67" s="17"/>
      <c r="L67" s="17"/>
      <c r="M67" s="2"/>
    </row>
    <row r="68" spans="1:13" x14ac:dyDescent="0.25">
      <c r="A68" s="25" t="s">
        <v>115</v>
      </c>
      <c r="B68" s="14" t="s">
        <v>99</v>
      </c>
      <c r="C68" s="15"/>
      <c r="D68" s="16">
        <f>'OCTOBER 20'!J68:J141</f>
        <v>650</v>
      </c>
      <c r="E68" s="19">
        <v>6500</v>
      </c>
      <c r="F68" s="19">
        <v>150</v>
      </c>
      <c r="G68" s="18">
        <v>150</v>
      </c>
      <c r="H68" s="17">
        <f t="shared" si="1"/>
        <v>7450</v>
      </c>
      <c r="I68" s="17">
        <f>6800</f>
        <v>6800</v>
      </c>
      <c r="J68" s="17">
        <f>H68-I68</f>
        <v>650</v>
      </c>
      <c r="K68" s="17"/>
      <c r="L68" s="17"/>
      <c r="M68" s="2"/>
    </row>
    <row r="69" spans="1:13" ht="11.25" customHeight="1" x14ac:dyDescent="0.25">
      <c r="A69" s="25"/>
      <c r="B69" s="14" t="s">
        <v>100</v>
      </c>
      <c r="C69" s="15"/>
      <c r="D69" s="16">
        <f>'OCTOBER 20'!J69:J142</f>
        <v>0</v>
      </c>
      <c r="E69" s="19"/>
      <c r="F69" s="19"/>
      <c r="G69" s="18"/>
      <c r="H69" s="17">
        <f t="shared" si="1"/>
        <v>0</v>
      </c>
      <c r="I69" s="17"/>
      <c r="J69" s="17">
        <f>H69-I69</f>
        <v>0</v>
      </c>
      <c r="K69" s="17"/>
      <c r="L69" s="17"/>
      <c r="M69" s="2"/>
    </row>
    <row r="70" spans="1:13" x14ac:dyDescent="0.25">
      <c r="A70" s="13" t="s">
        <v>116</v>
      </c>
      <c r="B70" s="14" t="s">
        <v>101</v>
      </c>
      <c r="C70" s="15"/>
      <c r="D70" s="16">
        <f>'OCTOBER 20'!J70:J143</f>
        <v>7750</v>
      </c>
      <c r="E70" s="19">
        <v>7000</v>
      </c>
      <c r="F70" s="19">
        <v>600</v>
      </c>
      <c r="G70" s="18">
        <v>150</v>
      </c>
      <c r="H70" s="17">
        <f t="shared" si="1"/>
        <v>15500</v>
      </c>
      <c r="I70" s="17">
        <f>7000+7600</f>
        <v>14600</v>
      </c>
      <c r="J70" s="17">
        <f>H70-I70</f>
        <v>900</v>
      </c>
      <c r="K70" s="17"/>
      <c r="L70" s="17"/>
      <c r="M70" s="2"/>
    </row>
    <row r="71" spans="1:13" x14ac:dyDescent="0.25">
      <c r="A71" s="31" t="s">
        <v>28</v>
      </c>
      <c r="B71" s="25"/>
      <c r="C71" s="15">
        <f>SUM(C6:C70)</f>
        <v>58500</v>
      </c>
      <c r="D71" s="16">
        <f>'OCTOBER 20'!J71:J144</f>
        <v>64500</v>
      </c>
      <c r="E71" s="32">
        <f>SUM(E6:E70)</f>
        <v>293500</v>
      </c>
      <c r="F71" s="33">
        <f t="shared" ref="F71:L71" si="2">SUM(F6:F70)</f>
        <v>8250</v>
      </c>
      <c r="G71" s="34">
        <f>SUM(G6:G70)</f>
        <v>5700</v>
      </c>
      <c r="H71" s="35">
        <f>SUM(H6:H70)</f>
        <v>423100</v>
      </c>
      <c r="I71" s="35">
        <f t="shared" si="2"/>
        <v>378800</v>
      </c>
      <c r="J71" s="35">
        <f t="shared" si="2"/>
        <v>44300</v>
      </c>
      <c r="K71" s="35">
        <f t="shared" si="2"/>
        <v>17150</v>
      </c>
      <c r="L71" s="35">
        <f t="shared" si="2"/>
        <v>7000</v>
      </c>
      <c r="M71" s="2"/>
    </row>
    <row r="72" spans="1:13" x14ac:dyDescent="0.25">
      <c r="A72" s="40" t="s">
        <v>30</v>
      </c>
      <c r="B72" s="40"/>
      <c r="C72" s="40"/>
      <c r="D72" s="41"/>
      <c r="E72" s="42"/>
      <c r="F72" s="40" t="s">
        <v>10</v>
      </c>
      <c r="G72" s="40"/>
      <c r="H72" s="40"/>
      <c r="I72" s="2"/>
      <c r="J72" s="2"/>
      <c r="K72" s="2"/>
      <c r="L72" s="1"/>
      <c r="M72" s="36"/>
    </row>
    <row r="73" spans="1:13" x14ac:dyDescent="0.25">
      <c r="A73" s="44" t="s">
        <v>31</v>
      </c>
      <c r="B73" s="44" t="s">
        <v>32</v>
      </c>
      <c r="C73" s="44" t="s">
        <v>33</v>
      </c>
      <c r="D73" s="44" t="s">
        <v>34</v>
      </c>
      <c r="E73" s="44"/>
      <c r="F73" s="44" t="s">
        <v>31</v>
      </c>
      <c r="G73" s="44"/>
      <c r="H73" s="44" t="s">
        <v>35</v>
      </c>
      <c r="I73" s="44" t="s">
        <v>33</v>
      </c>
      <c r="J73" s="44" t="s">
        <v>34</v>
      </c>
      <c r="K73" s="44"/>
      <c r="L73" s="45"/>
    </row>
    <row r="74" spans="1:13" x14ac:dyDescent="0.25">
      <c r="A74" s="25" t="s">
        <v>180</v>
      </c>
      <c r="B74" s="46">
        <f>E71</f>
        <v>293500</v>
      </c>
      <c r="C74" s="25"/>
      <c r="D74" s="25"/>
      <c r="E74" s="25"/>
      <c r="F74" s="25" t="s">
        <v>180</v>
      </c>
      <c r="G74" s="25"/>
      <c r="H74" s="47">
        <f>I71</f>
        <v>378800</v>
      </c>
      <c r="I74" s="25"/>
      <c r="J74" s="25"/>
      <c r="K74" s="25"/>
      <c r="L74" s="48"/>
      <c r="M74" s="43"/>
    </row>
    <row r="75" spans="1:13" x14ac:dyDescent="0.25">
      <c r="A75" s="25" t="s">
        <v>37</v>
      </c>
      <c r="B75" s="46">
        <f>'OCTOBER 20'!D104</f>
        <v>185887.19</v>
      </c>
      <c r="C75" s="25"/>
      <c r="D75" s="25"/>
      <c r="E75" s="25"/>
      <c r="F75" s="25" t="s">
        <v>37</v>
      </c>
      <c r="G75" s="25"/>
      <c r="H75" s="46">
        <f>'OCTOBER 20'!J104</f>
        <v>148137.19</v>
      </c>
      <c r="I75" s="25"/>
      <c r="J75" s="25"/>
      <c r="K75" s="25"/>
      <c r="L75" s="48"/>
      <c r="M75" s="43"/>
    </row>
    <row r="76" spans="1:13" x14ac:dyDescent="0.25">
      <c r="A76" s="25" t="s">
        <v>227</v>
      </c>
      <c r="B76" s="46">
        <f>C71</f>
        <v>58500</v>
      </c>
      <c r="C76" s="25"/>
      <c r="D76" s="25"/>
      <c r="E76" s="25"/>
      <c r="F76" s="25"/>
      <c r="G76" s="25"/>
      <c r="H76" s="25"/>
      <c r="I76" s="25"/>
      <c r="J76" s="25"/>
      <c r="K76" s="25"/>
      <c r="L76" s="48"/>
      <c r="M76" s="77"/>
    </row>
    <row r="77" spans="1:13" x14ac:dyDescent="0.25">
      <c r="A77" s="25" t="s">
        <v>7</v>
      </c>
      <c r="B77" s="46">
        <f>F71</f>
        <v>8250</v>
      </c>
      <c r="C77" s="25"/>
      <c r="D77" s="25"/>
      <c r="E77" s="25"/>
      <c r="F77" s="25"/>
      <c r="G77" s="25"/>
      <c r="H77" s="25"/>
      <c r="I77" s="25"/>
      <c r="J77" s="25"/>
      <c r="K77" s="25"/>
      <c r="L77" s="48"/>
      <c r="M77" s="79"/>
    </row>
    <row r="78" spans="1:13" x14ac:dyDescent="0.25">
      <c r="A78" s="25" t="s">
        <v>39</v>
      </c>
      <c r="B78" s="46">
        <f>K71</f>
        <v>17150</v>
      </c>
      <c r="C78" s="25"/>
      <c r="D78" s="25"/>
      <c r="E78" s="25"/>
      <c r="F78" s="25"/>
      <c r="G78" s="25"/>
      <c r="H78" s="25"/>
      <c r="I78" s="25"/>
      <c r="J78" s="25"/>
      <c r="K78" s="25"/>
      <c r="L78" s="48"/>
      <c r="M78" s="79"/>
    </row>
    <row r="79" spans="1:13" x14ac:dyDescent="0.25">
      <c r="A79" s="25" t="s">
        <v>40</v>
      </c>
      <c r="B79" s="47">
        <f>L71</f>
        <v>7000</v>
      </c>
      <c r="C79" s="25"/>
      <c r="D79" s="25"/>
      <c r="E79" s="25"/>
      <c r="F79" s="25" t="s">
        <v>40</v>
      </c>
      <c r="G79" s="25"/>
      <c r="H79" s="47">
        <f>L71</f>
        <v>7000</v>
      </c>
      <c r="I79" s="25"/>
      <c r="J79" s="25"/>
      <c r="K79" s="25"/>
      <c r="L79" s="48"/>
    </row>
    <row r="80" spans="1:13" x14ac:dyDescent="0.25">
      <c r="A80" s="25"/>
      <c r="B80" s="46"/>
      <c r="C80" s="25"/>
      <c r="D80" s="25"/>
      <c r="E80" s="25"/>
      <c r="F80" s="25"/>
      <c r="G80" s="46"/>
      <c r="J80" s="25"/>
      <c r="K80" s="25"/>
      <c r="L80" s="48"/>
    </row>
    <row r="81" spans="1:13" x14ac:dyDescent="0.25">
      <c r="A81" s="25"/>
      <c r="B81" s="47"/>
      <c r="C81" s="46"/>
      <c r="D81" s="25"/>
      <c r="E81" s="25"/>
      <c r="F81" s="25"/>
      <c r="G81" s="25"/>
      <c r="H81" s="25"/>
      <c r="I81" s="46"/>
      <c r="J81" s="46"/>
      <c r="K81" s="46"/>
      <c r="L81" s="49"/>
      <c r="M81" s="43"/>
    </row>
    <row r="82" spans="1:13" ht="11.25" customHeight="1" x14ac:dyDescent="0.25">
      <c r="A82" s="44" t="s">
        <v>41</v>
      </c>
      <c r="B82" s="25" t="s">
        <v>42</v>
      </c>
      <c r="C82" s="25"/>
      <c r="D82" s="25"/>
      <c r="E82" s="25"/>
      <c r="F82" s="44" t="s">
        <v>41</v>
      </c>
      <c r="G82" s="44"/>
      <c r="H82" s="44"/>
      <c r="I82" s="25"/>
      <c r="J82" s="25"/>
      <c r="K82" s="25"/>
      <c r="L82" s="48"/>
      <c r="M82" s="43"/>
    </row>
    <row r="83" spans="1:13" ht="15.75" customHeight="1" x14ac:dyDescent="0.25">
      <c r="A83" s="50" t="s">
        <v>43</v>
      </c>
      <c r="B83" s="51">
        <v>7.0000000000000007E-2</v>
      </c>
      <c r="C83" s="80">
        <f>B83*E71</f>
        <v>20545.000000000004</v>
      </c>
      <c r="D83" s="25"/>
      <c r="E83" s="25"/>
      <c r="F83" s="50" t="s">
        <v>43</v>
      </c>
      <c r="G83" s="50"/>
      <c r="H83" s="51">
        <v>7.0000000000000007E-2</v>
      </c>
      <c r="I83" s="47">
        <f>H83*E71</f>
        <v>20545.000000000004</v>
      </c>
      <c r="J83" s="25"/>
      <c r="K83" s="25"/>
      <c r="L83" s="48"/>
    </row>
    <row r="84" spans="1:13" x14ac:dyDescent="0.25">
      <c r="A84" s="55" t="s">
        <v>136</v>
      </c>
      <c r="B84" s="53">
        <v>0.3</v>
      </c>
      <c r="C84" s="23">
        <f>B84*E56+(B84*E49)+(B84*E32)+(B84*E7)+(B84*E47)+(B84*E9)+(B84*E46)+(B84*E53)+(B84*E44)</f>
        <v>17550</v>
      </c>
      <c r="D84" s="47"/>
      <c r="E84" s="47"/>
      <c r="F84" s="55" t="s">
        <v>136</v>
      </c>
      <c r="G84" s="53">
        <v>0.3</v>
      </c>
      <c r="I84" s="23">
        <f>C84</f>
        <v>17550</v>
      </c>
      <c r="K84" s="47"/>
      <c r="L84" s="54"/>
    </row>
    <row r="85" spans="1:13" x14ac:dyDescent="0.25">
      <c r="A85" s="55"/>
      <c r="B85" s="53"/>
      <c r="C85" s="23"/>
      <c r="D85" s="47"/>
      <c r="E85" s="47"/>
      <c r="F85" s="52" t="s">
        <v>8</v>
      </c>
      <c r="G85" s="51"/>
      <c r="H85" s="47"/>
      <c r="I85" s="47">
        <f>G71</f>
        <v>5700</v>
      </c>
      <c r="K85" s="47"/>
      <c r="L85" s="54"/>
    </row>
    <row r="86" spans="1:13" x14ac:dyDescent="0.25">
      <c r="A86" s="55" t="s">
        <v>134</v>
      </c>
      <c r="B86" s="51"/>
      <c r="C86" s="47">
        <v>8000</v>
      </c>
      <c r="D86" s="25"/>
      <c r="E86" s="25"/>
      <c r="F86" s="55" t="s">
        <v>134</v>
      </c>
      <c r="G86" s="51"/>
      <c r="H86" s="47"/>
      <c r="I86" s="47">
        <v>8000</v>
      </c>
      <c r="J86" s="25"/>
      <c r="K86" s="25"/>
      <c r="L86" s="48"/>
    </row>
    <row r="87" spans="1:13" ht="11.25" customHeight="1" x14ac:dyDescent="0.25">
      <c r="A87" s="55" t="s">
        <v>160</v>
      </c>
      <c r="B87" s="51"/>
      <c r="C87" s="76">
        <v>8000</v>
      </c>
      <c r="D87" s="25"/>
      <c r="E87" s="25"/>
      <c r="F87" s="55" t="s">
        <v>160</v>
      </c>
      <c r="G87" s="51"/>
      <c r="H87" s="76"/>
      <c r="I87" s="22">
        <v>8000</v>
      </c>
      <c r="J87" s="25"/>
      <c r="K87" s="25"/>
      <c r="L87" s="48"/>
    </row>
    <row r="88" spans="1:13" x14ac:dyDescent="0.25">
      <c r="A88" s="55"/>
      <c r="B88" s="51"/>
      <c r="C88" s="47"/>
      <c r="D88" s="25"/>
      <c r="E88" s="25"/>
      <c r="F88" s="55"/>
      <c r="G88" s="51"/>
      <c r="H88" s="47"/>
      <c r="I88" s="22"/>
      <c r="J88" s="25"/>
      <c r="K88" s="25"/>
      <c r="L88" s="48"/>
    </row>
    <row r="89" spans="1:13" x14ac:dyDescent="0.25">
      <c r="A89" s="55" t="s">
        <v>239</v>
      </c>
      <c r="B89" s="51"/>
      <c r="C89" s="76">
        <v>5650</v>
      </c>
      <c r="D89" s="25"/>
      <c r="E89" s="25"/>
      <c r="F89" s="55"/>
      <c r="G89" s="51"/>
      <c r="H89" s="76"/>
      <c r="I89" s="22"/>
      <c r="J89" s="25"/>
      <c r="K89" s="25"/>
      <c r="L89" s="48"/>
    </row>
    <row r="90" spans="1:13" x14ac:dyDescent="0.25">
      <c r="A90" s="55" t="s">
        <v>201</v>
      </c>
      <c r="B90" s="51"/>
      <c r="C90" s="76">
        <f>1900</f>
        <v>1900</v>
      </c>
      <c r="D90" s="25"/>
      <c r="E90" s="25"/>
      <c r="F90" s="55" t="s">
        <v>201</v>
      </c>
      <c r="G90" s="51"/>
      <c r="H90" s="76"/>
      <c r="I90" s="76">
        <f>C90</f>
        <v>1900</v>
      </c>
      <c r="J90" s="25"/>
      <c r="K90" s="25"/>
      <c r="L90" s="48"/>
      <c r="M90" s="43"/>
    </row>
    <row r="91" spans="1:13" x14ac:dyDescent="0.25">
      <c r="A91" s="55" t="s">
        <v>202</v>
      </c>
      <c r="B91" s="51"/>
      <c r="C91" s="76">
        <v>5250</v>
      </c>
      <c r="D91" s="25"/>
      <c r="E91" s="25"/>
      <c r="F91" s="55" t="s">
        <v>202</v>
      </c>
      <c r="G91" s="51"/>
      <c r="H91" s="76"/>
      <c r="I91" s="76">
        <f>C91</f>
        <v>5250</v>
      </c>
      <c r="J91" s="25"/>
      <c r="K91" s="25"/>
      <c r="L91" s="48"/>
      <c r="M91" s="43"/>
    </row>
    <row r="92" spans="1:13" x14ac:dyDescent="0.25">
      <c r="A92" s="55" t="s">
        <v>222</v>
      </c>
      <c r="B92" s="51"/>
      <c r="C92" s="76">
        <v>3000</v>
      </c>
      <c r="D92" s="25"/>
      <c r="E92" s="25"/>
      <c r="F92" s="55" t="s">
        <v>222</v>
      </c>
      <c r="G92" s="51"/>
      <c r="H92" s="76"/>
      <c r="I92" s="76">
        <v>3000</v>
      </c>
      <c r="J92" s="25"/>
      <c r="K92" s="25"/>
      <c r="L92" s="48"/>
      <c r="M92" s="23"/>
    </row>
    <row r="93" spans="1:13" x14ac:dyDescent="0.25">
      <c r="A93" s="55" t="s">
        <v>203</v>
      </c>
      <c r="B93" s="51"/>
      <c r="C93" s="76">
        <v>2000</v>
      </c>
      <c r="D93" s="25"/>
      <c r="E93" s="25"/>
      <c r="F93" s="55" t="s">
        <v>203</v>
      </c>
      <c r="G93" s="51"/>
      <c r="H93" s="76"/>
      <c r="I93" s="76">
        <v>2000</v>
      </c>
      <c r="J93" s="25"/>
      <c r="K93" s="25"/>
      <c r="L93" s="48"/>
    </row>
    <row r="94" spans="1:13" x14ac:dyDescent="0.25">
      <c r="A94" s="55" t="s">
        <v>207</v>
      </c>
      <c r="B94" s="51"/>
      <c r="C94" s="76">
        <v>7577</v>
      </c>
      <c r="D94" s="25"/>
      <c r="E94" s="25"/>
      <c r="F94" s="55" t="s">
        <v>206</v>
      </c>
      <c r="G94" s="51"/>
      <c r="H94" s="76"/>
      <c r="I94" s="76">
        <v>7577</v>
      </c>
      <c r="J94" s="25"/>
      <c r="K94" s="25"/>
      <c r="L94" s="48"/>
    </row>
    <row r="95" spans="1:13" x14ac:dyDescent="0.25">
      <c r="A95" s="55" t="s">
        <v>208</v>
      </c>
      <c r="B95" s="51"/>
      <c r="C95" s="76">
        <v>2200</v>
      </c>
      <c r="D95" s="25"/>
      <c r="E95" s="25"/>
      <c r="F95" s="55" t="s">
        <v>208</v>
      </c>
      <c r="G95" s="51"/>
      <c r="H95" s="76"/>
      <c r="I95" s="76">
        <v>2200</v>
      </c>
      <c r="J95" s="25"/>
      <c r="K95" s="25"/>
      <c r="L95" s="48"/>
    </row>
    <row r="96" spans="1:13" x14ac:dyDescent="0.25">
      <c r="A96" s="55" t="s">
        <v>208</v>
      </c>
      <c r="B96" s="51"/>
      <c r="C96" s="76">
        <v>1800</v>
      </c>
      <c r="D96" s="25"/>
      <c r="E96" s="25"/>
      <c r="F96" s="55" t="s">
        <v>208</v>
      </c>
      <c r="G96" s="51"/>
      <c r="H96" s="76"/>
      <c r="I96" s="76">
        <v>1800</v>
      </c>
      <c r="J96" s="25"/>
      <c r="K96" s="25"/>
      <c r="L96" s="48"/>
    </row>
    <row r="97" spans="1:12" x14ac:dyDescent="0.25">
      <c r="A97" s="55" t="s">
        <v>209</v>
      </c>
      <c r="B97" s="51"/>
      <c r="C97" s="76">
        <v>4711</v>
      </c>
      <c r="D97" s="25"/>
      <c r="E97" s="25"/>
      <c r="F97" s="55" t="s">
        <v>228</v>
      </c>
      <c r="G97" s="51"/>
      <c r="H97" s="76"/>
      <c r="I97" s="76">
        <v>4711</v>
      </c>
      <c r="J97" s="25"/>
      <c r="K97" s="25"/>
      <c r="L97" s="48"/>
    </row>
    <row r="98" spans="1:12" x14ac:dyDescent="0.25">
      <c r="A98" s="55" t="s">
        <v>218</v>
      </c>
      <c r="B98" s="51"/>
      <c r="C98" s="76">
        <v>8087</v>
      </c>
      <c r="D98" s="25"/>
      <c r="E98" s="25"/>
      <c r="F98" s="55" t="s">
        <v>219</v>
      </c>
      <c r="G98" s="51"/>
      <c r="H98" s="76"/>
      <c r="I98" s="76">
        <v>8087</v>
      </c>
      <c r="J98" s="25"/>
      <c r="K98" s="25"/>
      <c r="L98" s="48"/>
    </row>
    <row r="99" spans="1:12" x14ac:dyDescent="0.25">
      <c r="A99" s="55" t="s">
        <v>210</v>
      </c>
      <c r="B99" s="51"/>
      <c r="C99" s="76">
        <v>3000</v>
      </c>
      <c r="D99" s="25"/>
      <c r="E99" s="25"/>
      <c r="F99" s="55" t="s">
        <v>210</v>
      </c>
      <c r="G99" s="51"/>
      <c r="H99" s="76"/>
      <c r="I99" s="76">
        <v>3000</v>
      </c>
      <c r="J99" s="25"/>
      <c r="K99" s="25"/>
      <c r="L99" s="48"/>
    </row>
    <row r="100" spans="1:12" x14ac:dyDescent="0.25">
      <c r="A100" s="55" t="s">
        <v>211</v>
      </c>
      <c r="B100" s="51"/>
      <c r="C100" s="76">
        <v>118000</v>
      </c>
      <c r="D100" s="25"/>
      <c r="E100" s="25"/>
      <c r="F100" s="55" t="s">
        <v>211</v>
      </c>
      <c r="G100" s="51"/>
      <c r="H100" s="76"/>
      <c r="I100" s="76">
        <f>C100</f>
        <v>118000</v>
      </c>
      <c r="J100" s="25"/>
      <c r="K100" s="25"/>
      <c r="L100" s="48"/>
    </row>
    <row r="101" spans="1:12" x14ac:dyDescent="0.25">
      <c r="A101" s="55" t="s">
        <v>220</v>
      </c>
      <c r="B101" s="51"/>
      <c r="C101" s="76">
        <v>5061</v>
      </c>
      <c r="D101" s="25"/>
      <c r="E101" s="25"/>
      <c r="F101" s="55" t="s">
        <v>220</v>
      </c>
      <c r="G101" s="51"/>
      <c r="H101" s="76"/>
      <c r="I101" s="76">
        <v>5061</v>
      </c>
      <c r="J101" s="25"/>
      <c r="K101" s="25"/>
      <c r="L101" s="48"/>
    </row>
    <row r="102" spans="1:12" x14ac:dyDescent="0.25">
      <c r="A102" s="55" t="s">
        <v>224</v>
      </c>
      <c r="B102" s="51"/>
      <c r="C102" s="76">
        <v>2500</v>
      </c>
      <c r="D102" s="25"/>
      <c r="E102" s="25"/>
      <c r="F102" s="55" t="s">
        <v>203</v>
      </c>
      <c r="G102" s="51"/>
      <c r="H102" s="76"/>
      <c r="I102" s="76">
        <v>2500</v>
      </c>
      <c r="J102" s="25"/>
      <c r="K102" s="25"/>
      <c r="L102" s="48"/>
    </row>
    <row r="103" spans="1:12" x14ac:dyDescent="0.25">
      <c r="A103" s="55" t="s">
        <v>225</v>
      </c>
      <c r="B103" s="51"/>
      <c r="C103" s="76">
        <v>800</v>
      </c>
      <c r="D103" s="25"/>
      <c r="E103" s="25"/>
      <c r="F103" s="55" t="s">
        <v>225</v>
      </c>
      <c r="G103" s="51"/>
      <c r="H103" s="76"/>
      <c r="I103" s="76">
        <v>800</v>
      </c>
      <c r="J103" s="25"/>
      <c r="K103" s="25"/>
      <c r="L103" s="48"/>
    </row>
    <row r="104" spans="1:12" x14ac:dyDescent="0.25">
      <c r="A104" s="55" t="s">
        <v>226</v>
      </c>
      <c r="B104" s="51"/>
      <c r="C104" s="76">
        <v>1000</v>
      </c>
      <c r="D104" s="25"/>
      <c r="E104" s="25"/>
      <c r="F104" s="55" t="s">
        <v>223</v>
      </c>
      <c r="G104" s="51"/>
      <c r="H104" s="76"/>
      <c r="I104" s="76">
        <v>1000</v>
      </c>
      <c r="J104" s="25"/>
      <c r="K104" s="25"/>
      <c r="L104" s="48"/>
    </row>
    <row r="105" spans="1:12" x14ac:dyDescent="0.25">
      <c r="A105" s="55" t="s">
        <v>230</v>
      </c>
      <c r="B105" s="51"/>
      <c r="C105" s="76">
        <f>4461+600</f>
        <v>5061</v>
      </c>
      <c r="D105" s="25"/>
      <c r="E105" s="25"/>
      <c r="F105" s="55" t="s">
        <v>230</v>
      </c>
      <c r="G105" s="51"/>
      <c r="H105" s="76"/>
      <c r="I105" s="76">
        <v>5061</v>
      </c>
      <c r="J105" s="25"/>
      <c r="K105" s="25"/>
      <c r="L105" s="48"/>
    </row>
    <row r="106" spans="1:12" x14ac:dyDescent="0.25">
      <c r="A106" s="55"/>
      <c r="B106" s="51"/>
      <c r="C106" s="76"/>
      <c r="D106" s="25"/>
      <c r="E106" s="25"/>
      <c r="F106" s="55"/>
      <c r="G106" s="51"/>
      <c r="H106" s="76"/>
      <c r="I106" s="76"/>
      <c r="J106" s="25"/>
      <c r="K106" s="25"/>
      <c r="L106" s="48"/>
    </row>
    <row r="107" spans="1:12" x14ac:dyDescent="0.25">
      <c r="A107" s="55"/>
      <c r="B107" s="51"/>
      <c r="C107" s="76"/>
      <c r="D107" s="25"/>
      <c r="E107" s="25"/>
      <c r="F107" s="55"/>
      <c r="G107" s="51"/>
      <c r="H107" s="76"/>
      <c r="I107" s="76"/>
      <c r="J107" s="25"/>
      <c r="K107" s="25"/>
      <c r="L107" s="48"/>
    </row>
    <row r="108" spans="1:12" x14ac:dyDescent="0.25">
      <c r="A108" s="44" t="s">
        <v>29</v>
      </c>
      <c r="B108" s="56">
        <f>B74+B75+B76+B77+B78+B79+B81+B80</f>
        <v>570287.18999999994</v>
      </c>
      <c r="C108" s="56">
        <f>SUM(C83:C107)</f>
        <v>231692</v>
      </c>
      <c r="D108" s="56">
        <f>B108-C108</f>
        <v>338595.18999999994</v>
      </c>
      <c r="E108" s="56"/>
      <c r="F108" s="44"/>
      <c r="G108" s="44"/>
      <c r="H108" s="56">
        <f>H74+H75+H77+H79+H80</f>
        <v>533937.18999999994</v>
      </c>
      <c r="I108" s="56">
        <f>SUM(I83:I107)</f>
        <v>231742</v>
      </c>
      <c r="J108" s="56">
        <f>H108-I108</f>
        <v>302195.18999999994</v>
      </c>
      <c r="K108" s="56"/>
      <c r="L108" s="57"/>
    </row>
    <row r="109" spans="1:12" x14ac:dyDescent="0.25">
      <c r="A109" s="59" t="s">
        <v>44</v>
      </c>
      <c r="B109" s="60"/>
      <c r="C109" s="60" t="s">
        <v>45</v>
      </c>
      <c r="D109" s="61"/>
      <c r="E109" s="61"/>
      <c r="F109" s="59"/>
      <c r="G109" s="59"/>
      <c r="H109" s="59" t="s">
        <v>46</v>
      </c>
      <c r="I109" s="58">
        <f>I108-I85</f>
        <v>226042</v>
      </c>
      <c r="J109" s="2"/>
      <c r="K109" s="2"/>
      <c r="L109" s="1"/>
    </row>
    <row r="110" spans="1:12" x14ac:dyDescent="0.25">
      <c r="A110" s="2" t="s">
        <v>47</v>
      </c>
      <c r="B110" s="2"/>
      <c r="C110" s="2" t="s">
        <v>48</v>
      </c>
      <c r="D110" s="2"/>
      <c r="E110" s="2"/>
      <c r="F110" s="2"/>
      <c r="G110" s="2"/>
      <c r="H110" s="2" t="s">
        <v>118</v>
      </c>
      <c r="I110" s="30"/>
      <c r="J110" s="2"/>
      <c r="K110" s="2"/>
      <c r="L110" s="1"/>
    </row>
    <row r="111" spans="1:12" x14ac:dyDescent="0.25">
      <c r="I111" s="58">
        <f>D108-J108</f>
        <v>36400</v>
      </c>
      <c r="J111" s="2"/>
      <c r="K111" s="58"/>
      <c r="L111" s="1"/>
    </row>
    <row r="113" spans="1:13" x14ac:dyDescent="0.25">
      <c r="E113" s="78" t="s">
        <v>221</v>
      </c>
      <c r="F113" s="78"/>
      <c r="G113" s="78"/>
      <c r="K113" s="43"/>
    </row>
    <row r="114" spans="1:13" x14ac:dyDescent="0.25">
      <c r="D114" s="43"/>
      <c r="E114" t="s">
        <v>144</v>
      </c>
      <c r="F114">
        <v>530</v>
      </c>
      <c r="K114" s="181"/>
      <c r="L114" s="181">
        <f>K115-C89</f>
        <v>340845.18999999994</v>
      </c>
    </row>
    <row r="115" spans="1:13" x14ac:dyDescent="0.25">
      <c r="A115" s="1"/>
      <c r="B115" s="1"/>
      <c r="C115" s="1"/>
      <c r="D115" s="1"/>
      <c r="E115" t="s">
        <v>144</v>
      </c>
      <c r="F115">
        <v>1000</v>
      </c>
      <c r="H115" s="1"/>
      <c r="I115" s="1"/>
      <c r="J115" s="1"/>
      <c r="K115" s="182">
        <f>J71+J108</f>
        <v>346495.18999999994</v>
      </c>
      <c r="L115" s="1"/>
      <c r="M115" s="1"/>
    </row>
    <row r="116" spans="1:13" x14ac:dyDescent="0.25">
      <c r="E116" t="s">
        <v>144</v>
      </c>
      <c r="F116">
        <v>1526</v>
      </c>
      <c r="L116" s="181"/>
    </row>
    <row r="117" spans="1:13" x14ac:dyDescent="0.25">
      <c r="E117" t="s">
        <v>144</v>
      </c>
      <c r="F117">
        <v>1000</v>
      </c>
    </row>
    <row r="118" spans="1:13" x14ac:dyDescent="0.25">
      <c r="E118" t="s">
        <v>144</v>
      </c>
      <c r="F118">
        <v>4111</v>
      </c>
    </row>
    <row r="119" spans="1:13" x14ac:dyDescent="0.25">
      <c r="E119" t="s">
        <v>144</v>
      </c>
      <c r="F119">
        <v>530</v>
      </c>
      <c r="M119" s="43"/>
    </row>
    <row r="120" spans="1:13" x14ac:dyDescent="0.25">
      <c r="E120" t="s">
        <v>144</v>
      </c>
      <c r="F120">
        <v>1326</v>
      </c>
    </row>
    <row r="121" spans="1:13" x14ac:dyDescent="0.25">
      <c r="E121" t="s">
        <v>144</v>
      </c>
      <c r="F121">
        <v>2541</v>
      </c>
    </row>
    <row r="122" spans="1:13" x14ac:dyDescent="0.25">
      <c r="F122">
        <v>1891</v>
      </c>
    </row>
    <row r="123" spans="1:13" x14ac:dyDescent="0.25">
      <c r="F123">
        <v>1881</v>
      </c>
    </row>
    <row r="124" spans="1:13" x14ac:dyDescent="0.25">
      <c r="E124" s="83" t="s">
        <v>29</v>
      </c>
      <c r="F124">
        <f>SUM(F114:F123)</f>
        <v>16336</v>
      </c>
    </row>
  </sheetData>
  <pageMargins left="0" right="0" top="0" bottom="0" header="0.3" footer="0.3"/>
  <pageSetup paperSize="28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79" zoomScaleNormal="100" workbookViewId="0">
      <selection activeCell="K105" sqref="K105"/>
    </sheetView>
  </sheetViews>
  <sheetFormatPr defaultRowHeight="15" x14ac:dyDescent="0.25"/>
  <cols>
    <col min="1" max="1" width="21.7109375" customWidth="1"/>
    <col min="2" max="2" width="8.5703125" customWidth="1"/>
    <col min="3" max="3" width="12.42578125" customWidth="1"/>
    <col min="4" max="4" width="10.85546875" customWidth="1"/>
    <col min="5" max="5" width="11.140625" customWidth="1"/>
    <col min="6" max="6" width="10" customWidth="1"/>
    <col min="7" max="7" width="11" customWidth="1"/>
    <col min="8" max="8" width="10" customWidth="1"/>
    <col min="9" max="9" width="13.42578125" customWidth="1"/>
    <col min="10" max="10" width="11" customWidth="1"/>
    <col min="11" max="11" width="16.42578125" customWidth="1"/>
    <col min="12" max="12" width="18.42578125" customWidth="1"/>
    <col min="13" max="13" width="14.85546875" customWidth="1"/>
    <col min="15" max="15" width="17.285156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20.25" customHeight="1" x14ac:dyDescent="0.25">
      <c r="A4" s="3"/>
      <c r="B4" s="88"/>
      <c r="C4" s="88"/>
      <c r="D4" s="3" t="s">
        <v>236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NOVEMBER20!J6:J71</f>
        <v>150</v>
      </c>
      <c r="E6" s="97">
        <v>6500</v>
      </c>
      <c r="F6" s="98">
        <v>300</v>
      </c>
      <c r="G6" s="97">
        <v>150</v>
      </c>
      <c r="H6" s="97">
        <f>D6+E6+F6+G6+C6</f>
        <v>7100</v>
      </c>
      <c r="I6" s="97">
        <f>6800</f>
        <v>6800</v>
      </c>
      <c r="J6" s="97">
        <f t="shared" ref="J6:J67" si="0">H6-I6</f>
        <v>300</v>
      </c>
      <c r="K6" s="97"/>
      <c r="L6" s="97"/>
      <c r="M6" s="87"/>
    </row>
    <row r="7" spans="1:13" ht="15.75" x14ac:dyDescent="0.25">
      <c r="A7" s="99" t="s">
        <v>184</v>
      </c>
      <c r="B7" s="94" t="s">
        <v>15</v>
      </c>
      <c r="C7" s="100"/>
      <c r="D7" s="96">
        <f>NOVEMBER20!J7:J72</f>
        <v>0</v>
      </c>
      <c r="E7" s="101">
        <v>6500</v>
      </c>
      <c r="F7" s="102"/>
      <c r="G7" s="101">
        <v>150</v>
      </c>
      <c r="H7" s="97">
        <f t="shared" ref="H7:H70" si="1">D7+E7+F7+G7+C7</f>
        <v>6650</v>
      </c>
      <c r="I7" s="97">
        <f>4000</f>
        <v>4000</v>
      </c>
      <c r="J7" s="97">
        <f t="shared" si="0"/>
        <v>2650</v>
      </c>
      <c r="K7" s="97"/>
      <c r="L7" s="97"/>
      <c r="M7" s="87"/>
    </row>
    <row r="8" spans="1:13" ht="15.75" x14ac:dyDescent="0.25">
      <c r="A8" s="99" t="s">
        <v>17</v>
      </c>
      <c r="B8" s="94" t="s">
        <v>16</v>
      </c>
      <c r="C8" s="100"/>
      <c r="D8" s="96">
        <f>NOVEMBER20!J8:J73</f>
        <v>0</v>
      </c>
      <c r="E8" s="101"/>
      <c r="F8" s="102"/>
      <c r="G8" s="101"/>
      <c r="H8" s="97">
        <f t="shared" si="1"/>
        <v>0</v>
      </c>
      <c r="I8" s="97"/>
      <c r="J8" s="97">
        <f t="shared" si="0"/>
        <v>0</v>
      </c>
      <c r="K8" s="97"/>
      <c r="L8" s="97"/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NOVEMBER20!J9:J74</f>
        <v>0</v>
      </c>
      <c r="E9" s="96">
        <v>6500</v>
      </c>
      <c r="F9" s="103">
        <v>300</v>
      </c>
      <c r="G9" s="101">
        <v>150</v>
      </c>
      <c r="H9" s="97">
        <f t="shared" si="1"/>
        <v>6950</v>
      </c>
      <c r="I9" s="97">
        <f>4050+2430</f>
        <v>6480</v>
      </c>
      <c r="J9" s="97">
        <f t="shared" si="0"/>
        <v>470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NOVEMBER20!J10:J75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6650+150</f>
        <v>6800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NOVEMBER20!J11:J76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93" t="s">
        <v>139</v>
      </c>
      <c r="B12" s="94" t="s">
        <v>21</v>
      </c>
      <c r="C12" s="100"/>
      <c r="D12" s="96">
        <f>NOVEMBER20!J12:J77</f>
        <v>300</v>
      </c>
      <c r="E12" s="101">
        <v>5500</v>
      </c>
      <c r="F12" s="88">
        <v>150</v>
      </c>
      <c r="G12" s="101">
        <v>150</v>
      </c>
      <c r="H12" s="97">
        <f t="shared" si="1"/>
        <v>6100</v>
      </c>
      <c r="I12" s="97">
        <f>5500+300</f>
        <v>5800</v>
      </c>
      <c r="J12" s="97">
        <f t="shared" si="0"/>
        <v>300</v>
      </c>
      <c r="K12" s="97"/>
      <c r="L12" s="97"/>
      <c r="M12" s="106"/>
    </row>
    <row r="13" spans="1:13" ht="15.75" x14ac:dyDescent="0.25">
      <c r="A13" s="107" t="s">
        <v>187</v>
      </c>
      <c r="B13" s="94" t="s">
        <v>22</v>
      </c>
      <c r="C13" s="100"/>
      <c r="D13" s="96">
        <f>NOVEMBER20!J13:J78</f>
        <v>7600</v>
      </c>
      <c r="E13" s="101">
        <v>7000</v>
      </c>
      <c r="F13" s="108"/>
      <c r="G13" s="101">
        <v>150</v>
      </c>
      <c r="H13" s="97">
        <f t="shared" si="1"/>
        <v>14750</v>
      </c>
      <c r="I13" s="97"/>
      <c r="J13" s="97">
        <f t="shared" si="0"/>
        <v>14750</v>
      </c>
      <c r="K13" s="97"/>
      <c r="L13" s="97"/>
      <c r="M13" s="105"/>
    </row>
    <row r="14" spans="1:13" ht="15.75" x14ac:dyDescent="0.25">
      <c r="A14" s="109" t="s">
        <v>108</v>
      </c>
      <c r="B14" s="94" t="s">
        <v>23</v>
      </c>
      <c r="C14" s="100"/>
      <c r="D14" s="96">
        <f>NOVEMBER20!J14:J79</f>
        <v>0</v>
      </c>
      <c r="E14" s="101"/>
      <c r="F14" s="102"/>
      <c r="G14" s="101"/>
      <c r="H14" s="97">
        <f t="shared" si="1"/>
        <v>0</v>
      </c>
      <c r="I14" s="97"/>
      <c r="J14" s="97">
        <f t="shared" si="0"/>
        <v>0</v>
      </c>
      <c r="K14" s="97"/>
      <c r="L14" s="97"/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NOVEMBER20!J15:J80</f>
        <v>0</v>
      </c>
      <c r="E15" s="101"/>
      <c r="F15" s="102"/>
      <c r="G15" s="101"/>
      <c r="H15" s="97">
        <f t="shared" si="1"/>
        <v>0</v>
      </c>
      <c r="I15" s="97"/>
      <c r="J15" s="97">
        <f t="shared" si="0"/>
        <v>0</v>
      </c>
      <c r="K15" s="97"/>
      <c r="L15" s="97"/>
      <c r="M15" s="105" t="s">
        <v>215</v>
      </c>
    </row>
    <row r="16" spans="1:13" ht="15.75" x14ac:dyDescent="0.25">
      <c r="A16" s="109" t="s">
        <v>188</v>
      </c>
      <c r="B16" s="94" t="s">
        <v>25</v>
      </c>
      <c r="C16" s="100"/>
      <c r="D16" s="96">
        <f>NOVEMBER20!J16:J81</f>
        <v>0</v>
      </c>
      <c r="E16" s="101">
        <v>6500</v>
      </c>
      <c r="F16" s="102"/>
      <c r="G16" s="101"/>
      <c r="H16" s="97">
        <f t="shared" si="1"/>
        <v>6500</v>
      </c>
      <c r="I16" s="97"/>
      <c r="J16" s="97">
        <f t="shared" si="0"/>
        <v>6500</v>
      </c>
      <c r="K16" s="97"/>
      <c r="L16" s="97"/>
      <c r="M16" s="87"/>
    </row>
    <row r="17" spans="1:14" ht="15.75" x14ac:dyDescent="0.25">
      <c r="A17" s="93" t="s">
        <v>133</v>
      </c>
      <c r="B17" s="94" t="s">
        <v>26</v>
      </c>
      <c r="C17" s="100"/>
      <c r="D17" s="96">
        <f>NOVEMBER20!J17:J82</f>
        <v>100</v>
      </c>
      <c r="E17" s="101">
        <v>6500</v>
      </c>
      <c r="F17" s="102">
        <v>450</v>
      </c>
      <c r="G17" s="101">
        <v>150</v>
      </c>
      <c r="H17" s="97">
        <f t="shared" si="1"/>
        <v>7200</v>
      </c>
      <c r="I17" s="97">
        <f>6500</f>
        <v>6500</v>
      </c>
      <c r="J17" s="97">
        <f t="shared" si="0"/>
        <v>700</v>
      </c>
      <c r="K17" s="97"/>
      <c r="L17" s="97"/>
      <c r="M17" s="110"/>
    </row>
    <row r="18" spans="1:14" ht="15.75" x14ac:dyDescent="0.25">
      <c r="A18" s="109" t="s">
        <v>104</v>
      </c>
      <c r="B18" s="94" t="s">
        <v>27</v>
      </c>
      <c r="C18" s="100"/>
      <c r="D18" s="96">
        <f>NOVEMBER20!J18:J83</f>
        <v>6800</v>
      </c>
      <c r="E18" s="101">
        <v>6500</v>
      </c>
      <c r="F18" s="102">
        <v>300</v>
      </c>
      <c r="G18" s="101"/>
      <c r="H18" s="97">
        <f t="shared" si="1"/>
        <v>13600</v>
      </c>
      <c r="I18" s="97">
        <f>8300</f>
        <v>8300</v>
      </c>
      <c r="J18" s="97">
        <f t="shared" si="0"/>
        <v>5300</v>
      </c>
      <c r="K18" s="97"/>
      <c r="L18" s="97"/>
      <c r="M18" s="105"/>
    </row>
    <row r="19" spans="1:14" ht="15.75" x14ac:dyDescent="0.25">
      <c r="A19" s="109" t="s">
        <v>131</v>
      </c>
      <c r="B19" s="94" t="s">
        <v>50</v>
      </c>
      <c r="C19" s="100"/>
      <c r="D19" s="96">
        <f>NOVEMBER20!J19:J84</f>
        <v>150</v>
      </c>
      <c r="E19" s="101">
        <v>6500</v>
      </c>
      <c r="F19" s="102">
        <v>150</v>
      </c>
      <c r="G19" s="101">
        <v>150</v>
      </c>
      <c r="H19" s="97">
        <f t="shared" si="1"/>
        <v>6950</v>
      </c>
      <c r="I19" s="97">
        <v>6650</v>
      </c>
      <c r="J19" s="97">
        <f t="shared" si="0"/>
        <v>300</v>
      </c>
      <c r="K19" s="97"/>
      <c r="L19" s="97"/>
      <c r="M19" s="87"/>
    </row>
    <row r="20" spans="1:14" ht="15.75" x14ac:dyDescent="0.25">
      <c r="A20" s="99" t="s">
        <v>17</v>
      </c>
      <c r="B20" s="94" t="s">
        <v>51</v>
      </c>
      <c r="C20" s="100"/>
      <c r="D20" s="96">
        <f>NOVEMBER20!J20:J85</f>
        <v>0</v>
      </c>
      <c r="E20" s="101"/>
      <c r="F20" s="102"/>
      <c r="G20" s="101"/>
      <c r="H20" s="97">
        <f t="shared" si="1"/>
        <v>0</v>
      </c>
      <c r="I20" s="97"/>
      <c r="J20" s="97">
        <f t="shared" si="0"/>
        <v>0</v>
      </c>
      <c r="K20" s="97"/>
      <c r="L20" s="97"/>
      <c r="M20" s="105"/>
    </row>
    <row r="21" spans="1:14" ht="15.75" x14ac:dyDescent="0.25">
      <c r="A21" s="109" t="s">
        <v>17</v>
      </c>
      <c r="B21" s="94" t="s">
        <v>52</v>
      </c>
      <c r="C21" s="100"/>
      <c r="D21" s="96">
        <f>NOVEMBER20!J21:J86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/>
    </row>
    <row r="22" spans="1:14" ht="15.75" x14ac:dyDescent="0.25">
      <c r="A22" s="109" t="s">
        <v>213</v>
      </c>
      <c r="B22" s="94" t="s">
        <v>53</v>
      </c>
      <c r="C22" s="100"/>
      <c r="D22" s="96">
        <f>NOVEMBER20!J22:J87</f>
        <v>0</v>
      </c>
      <c r="E22" s="101"/>
      <c r="F22" s="102"/>
      <c r="G22" s="101"/>
      <c r="H22" s="97">
        <f t="shared" si="1"/>
        <v>0</v>
      </c>
      <c r="I22" s="97"/>
      <c r="J22" s="97">
        <f t="shared" si="0"/>
        <v>0</v>
      </c>
      <c r="K22" s="97"/>
      <c r="L22" s="97"/>
      <c r="M22" s="87" t="s">
        <v>214</v>
      </c>
    </row>
    <row r="23" spans="1:14" ht="15.75" x14ac:dyDescent="0.25">
      <c r="A23" s="111" t="s">
        <v>241</v>
      </c>
      <c r="B23" s="94" t="s">
        <v>54</v>
      </c>
      <c r="C23" s="100">
        <v>6500</v>
      </c>
      <c r="D23" s="96">
        <f>NOVEMBER20!J23:J88</f>
        <v>0</v>
      </c>
      <c r="E23" s="101">
        <v>6500</v>
      </c>
      <c r="F23" s="102"/>
      <c r="G23" s="101">
        <v>150</v>
      </c>
      <c r="H23" s="97">
        <f t="shared" si="1"/>
        <v>13150</v>
      </c>
      <c r="I23" s="97">
        <v>13000</v>
      </c>
      <c r="J23" s="97">
        <f t="shared" si="0"/>
        <v>150</v>
      </c>
      <c r="K23" s="97"/>
      <c r="L23" s="97">
        <v>1000</v>
      </c>
      <c r="M23" s="87"/>
    </row>
    <row r="24" spans="1:14" ht="15.75" x14ac:dyDescent="0.25">
      <c r="A24" s="109" t="s">
        <v>190</v>
      </c>
      <c r="B24" s="94" t="s">
        <v>55</v>
      </c>
      <c r="C24" s="100"/>
      <c r="D24" s="96">
        <f>NOVEMBER20!J24:J89</f>
        <v>950</v>
      </c>
      <c r="E24" s="101">
        <v>7000</v>
      </c>
      <c r="F24" s="102">
        <v>300</v>
      </c>
      <c r="G24" s="101">
        <v>150</v>
      </c>
      <c r="H24" s="97">
        <f t="shared" si="1"/>
        <v>8400</v>
      </c>
      <c r="I24" s="97">
        <v>8400</v>
      </c>
      <c r="J24" s="97">
        <f t="shared" si="0"/>
        <v>0</v>
      </c>
      <c r="K24" s="97"/>
      <c r="L24" s="97"/>
      <c r="M24" s="87"/>
    </row>
    <row r="25" spans="1:14" ht="15.75" x14ac:dyDescent="0.25">
      <c r="A25" s="109" t="s">
        <v>155</v>
      </c>
      <c r="B25" s="94" t="s">
        <v>56</v>
      </c>
      <c r="C25" s="100"/>
      <c r="D25" s="96">
        <f>NOVEMBER20!J25:J90</f>
        <v>150</v>
      </c>
      <c r="E25" s="101">
        <v>5500</v>
      </c>
      <c r="F25" s="102"/>
      <c r="G25" s="101">
        <v>150</v>
      </c>
      <c r="H25" s="97">
        <f t="shared" si="1"/>
        <v>5800</v>
      </c>
      <c r="I25" s="97">
        <v>5650</v>
      </c>
      <c r="J25" s="97">
        <f t="shared" si="0"/>
        <v>150</v>
      </c>
      <c r="K25" s="97"/>
      <c r="L25" s="97"/>
      <c r="M25" s="87"/>
      <c r="N25" s="81"/>
    </row>
    <row r="26" spans="1:14" ht="15.75" x14ac:dyDescent="0.25">
      <c r="A26" s="109" t="s">
        <v>130</v>
      </c>
      <c r="B26" s="94" t="s">
        <v>57</v>
      </c>
      <c r="C26" s="100"/>
      <c r="D26" s="96">
        <f>NOVEMBER20!J26:J91</f>
        <v>150</v>
      </c>
      <c r="E26" s="101">
        <v>7000</v>
      </c>
      <c r="F26" s="102">
        <v>150</v>
      </c>
      <c r="G26" s="101">
        <v>150</v>
      </c>
      <c r="H26" s="97">
        <f t="shared" si="1"/>
        <v>7450</v>
      </c>
      <c r="I26" s="97">
        <v>7450</v>
      </c>
      <c r="J26" s="97">
        <f t="shared" si="0"/>
        <v>0</v>
      </c>
      <c r="K26" s="97"/>
      <c r="L26" s="97"/>
      <c r="M26" s="112"/>
    </row>
    <row r="27" spans="1:14" ht="15.75" x14ac:dyDescent="0.25">
      <c r="A27" s="109" t="s">
        <v>132</v>
      </c>
      <c r="B27" s="94" t="s">
        <v>58</v>
      </c>
      <c r="C27" s="100"/>
      <c r="D27" s="96">
        <f>NOVEMBER20!J27:J92</f>
        <v>0</v>
      </c>
      <c r="E27" s="101">
        <v>6500</v>
      </c>
      <c r="F27" s="102">
        <v>450</v>
      </c>
      <c r="G27" s="101">
        <v>150</v>
      </c>
      <c r="H27" s="97">
        <f t="shared" si="1"/>
        <v>7100</v>
      </c>
      <c r="I27" s="97">
        <f>7100</f>
        <v>7100</v>
      </c>
      <c r="J27" s="97">
        <f t="shared" si="0"/>
        <v>0</v>
      </c>
      <c r="K27" s="97"/>
      <c r="L27" s="97"/>
      <c r="M27" s="112"/>
    </row>
    <row r="28" spans="1:14" ht="15.75" x14ac:dyDescent="0.25">
      <c r="A28" s="109" t="s">
        <v>235</v>
      </c>
      <c r="B28" s="94" t="s">
        <v>59</v>
      </c>
      <c r="C28" s="100">
        <v>6500</v>
      </c>
      <c r="D28" s="96">
        <f>NOVEMBER20!J28:J93</f>
        <v>0</v>
      </c>
      <c r="E28" s="101">
        <v>6500</v>
      </c>
      <c r="F28" s="102"/>
      <c r="G28" s="101">
        <v>150</v>
      </c>
      <c r="H28" s="97">
        <f>D28+E28+F28+G28+C28</f>
        <v>13150</v>
      </c>
      <c r="I28" s="97">
        <v>13150</v>
      </c>
      <c r="J28" s="97">
        <f t="shared" si="0"/>
        <v>0</v>
      </c>
      <c r="K28" s="97"/>
      <c r="L28" s="97">
        <v>1000</v>
      </c>
      <c r="M28" s="105"/>
    </row>
    <row r="29" spans="1:14" ht="15.75" x14ac:dyDescent="0.25">
      <c r="A29" s="109" t="s">
        <v>177</v>
      </c>
      <c r="B29" s="94" t="s">
        <v>60</v>
      </c>
      <c r="C29" s="100"/>
      <c r="D29" s="96">
        <f>NOVEMBER20!J29:J94</f>
        <v>0</v>
      </c>
      <c r="E29" s="101">
        <v>6500</v>
      </c>
      <c r="F29" s="102">
        <v>150</v>
      </c>
      <c r="G29" s="101">
        <v>150</v>
      </c>
      <c r="H29" s="97">
        <f t="shared" si="1"/>
        <v>6800</v>
      </c>
      <c r="I29" s="97">
        <v>6650</v>
      </c>
      <c r="J29" s="97">
        <f t="shared" si="0"/>
        <v>150</v>
      </c>
      <c r="K29" s="97"/>
      <c r="L29" s="97"/>
      <c r="M29" s="105"/>
    </row>
    <row r="30" spans="1:14" ht="15.75" x14ac:dyDescent="0.25">
      <c r="A30" s="109" t="s">
        <v>17</v>
      </c>
      <c r="B30" s="94" t="s">
        <v>61</v>
      </c>
      <c r="C30" s="100"/>
      <c r="D30" s="96">
        <f>NOVEMBER20!J30:J95</f>
        <v>0</v>
      </c>
      <c r="E30" s="101"/>
      <c r="F30" s="102"/>
      <c r="G30" s="101"/>
      <c r="H30" s="97">
        <f t="shared" si="1"/>
        <v>0</v>
      </c>
      <c r="I30" s="97"/>
      <c r="J30" s="97">
        <f t="shared" si="0"/>
        <v>0</v>
      </c>
      <c r="K30" s="97"/>
      <c r="L30" s="97"/>
      <c r="M30" s="87"/>
    </row>
    <row r="31" spans="1:14" ht="15.75" x14ac:dyDescent="0.25">
      <c r="A31" s="109" t="s">
        <v>106</v>
      </c>
      <c r="B31" s="94" t="s">
        <v>62</v>
      </c>
      <c r="C31" s="95"/>
      <c r="D31" s="96">
        <f>NOVEMBER20!J31:J96</f>
        <v>0</v>
      </c>
      <c r="E31" s="101">
        <v>6500</v>
      </c>
      <c r="F31" s="102">
        <v>300</v>
      </c>
      <c r="G31" s="101">
        <v>150</v>
      </c>
      <c r="H31" s="97">
        <f t="shared" si="1"/>
        <v>6950</v>
      </c>
      <c r="I31" s="97">
        <v>6950</v>
      </c>
      <c r="J31" s="97">
        <f t="shared" si="0"/>
        <v>0</v>
      </c>
      <c r="K31" s="97"/>
      <c r="L31" s="97"/>
      <c r="M31" s="105"/>
    </row>
    <row r="32" spans="1:14" ht="15.75" x14ac:dyDescent="0.25">
      <c r="A32" s="109" t="s">
        <v>181</v>
      </c>
      <c r="B32" s="94" t="s">
        <v>63</v>
      </c>
      <c r="C32" s="100"/>
      <c r="D32" s="96">
        <f>NOVEMBER20!J32:J97</f>
        <v>2150</v>
      </c>
      <c r="E32" s="101">
        <v>6500</v>
      </c>
      <c r="F32" s="102"/>
      <c r="G32" s="101">
        <v>150</v>
      </c>
      <c r="H32" s="97">
        <f t="shared" si="1"/>
        <v>8800</v>
      </c>
      <c r="I32" s="97"/>
      <c r="J32" s="97">
        <f t="shared" si="0"/>
        <v>8800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NOVEMBER20!J33:J98</f>
        <v>0</v>
      </c>
      <c r="E33" s="101">
        <v>6500</v>
      </c>
      <c r="F33" s="102">
        <v>300</v>
      </c>
      <c r="G33" s="101">
        <v>150</v>
      </c>
      <c r="H33" s="97">
        <f t="shared" si="1"/>
        <v>6950</v>
      </c>
      <c r="I33" s="97">
        <v>6950</v>
      </c>
      <c r="J33" s="97">
        <f t="shared" si="0"/>
        <v>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NOVEMBER20!J34:J99</f>
        <v>450</v>
      </c>
      <c r="E34" s="102">
        <v>6500</v>
      </c>
      <c r="F34" s="102"/>
      <c r="G34" s="101">
        <v>150</v>
      </c>
      <c r="H34" s="97">
        <f t="shared" si="1"/>
        <v>7100</v>
      </c>
      <c r="I34" s="97"/>
      <c r="J34" s="97">
        <f t="shared" si="0"/>
        <v>7100</v>
      </c>
      <c r="K34" s="97"/>
      <c r="L34" s="97"/>
      <c r="M34" s="105"/>
    </row>
    <row r="35" spans="1:13" ht="15.75" x14ac:dyDescent="0.25">
      <c r="A35" s="109" t="s">
        <v>153</v>
      </c>
      <c r="B35" s="94" t="s">
        <v>66</v>
      </c>
      <c r="C35" s="100"/>
      <c r="D35" s="96">
        <f>NOVEMBER20!J35:J100</f>
        <v>0</v>
      </c>
      <c r="E35" s="102">
        <v>6500</v>
      </c>
      <c r="F35" s="102">
        <v>300</v>
      </c>
      <c r="G35" s="101"/>
      <c r="H35" s="97">
        <f t="shared" si="1"/>
        <v>6800</v>
      </c>
      <c r="I35" s="97"/>
      <c r="J35" s="97">
        <f t="shared" si="0"/>
        <v>6800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NOVEMBER20!J36:J101</f>
        <v>2650</v>
      </c>
      <c r="E36" s="102">
        <v>6500</v>
      </c>
      <c r="F36" s="102">
        <v>300</v>
      </c>
      <c r="G36" s="101">
        <v>150</v>
      </c>
      <c r="H36" s="97">
        <f t="shared" si="1"/>
        <v>9600</v>
      </c>
      <c r="I36" s="97"/>
      <c r="J36" s="97">
        <f t="shared" si="0"/>
        <v>9600</v>
      </c>
      <c r="K36" s="97"/>
      <c r="L36" s="97"/>
      <c r="M36" s="105"/>
    </row>
    <row r="37" spans="1:13" ht="15.75" x14ac:dyDescent="0.25">
      <c r="A37" s="109" t="s">
        <v>126</v>
      </c>
      <c r="B37" s="94" t="s">
        <v>68</v>
      </c>
      <c r="C37" s="100"/>
      <c r="D37" s="96">
        <f>NOVEMBER20!J37:J102</f>
        <v>150</v>
      </c>
      <c r="E37" s="102">
        <v>7000</v>
      </c>
      <c r="F37" s="102">
        <v>150</v>
      </c>
      <c r="G37" s="101"/>
      <c r="H37" s="97">
        <f t="shared" si="1"/>
        <v>7300</v>
      </c>
      <c r="I37" s="97">
        <v>7000</v>
      </c>
      <c r="J37" s="97">
        <f t="shared" si="0"/>
        <v>300</v>
      </c>
      <c r="K37" s="97"/>
      <c r="L37" s="97"/>
      <c r="M37" s="105"/>
    </row>
    <row r="38" spans="1:13" ht="15.75" x14ac:dyDescent="0.25">
      <c r="A38" s="114" t="s">
        <v>17</v>
      </c>
      <c r="B38" s="94" t="s">
        <v>69</v>
      </c>
      <c r="C38" s="100"/>
      <c r="D38" s="96"/>
      <c r="E38" s="102"/>
      <c r="F38" s="102"/>
      <c r="G38" s="101"/>
      <c r="H38" s="97">
        <f t="shared" si="1"/>
        <v>0</v>
      </c>
      <c r="I38" s="97"/>
      <c r="J38" s="97">
        <f t="shared" si="0"/>
        <v>0</v>
      </c>
      <c r="K38" s="97"/>
      <c r="L38" s="97"/>
      <c r="M38" s="105"/>
    </row>
    <row r="39" spans="1:13" ht="15.75" x14ac:dyDescent="0.25">
      <c r="A39" s="109" t="s">
        <v>125</v>
      </c>
      <c r="B39" s="94" t="s">
        <v>70</v>
      </c>
      <c r="C39" s="100"/>
      <c r="D39" s="96">
        <f>NOVEMBER20!J39:J104</f>
        <v>800</v>
      </c>
      <c r="E39" s="102">
        <v>7000</v>
      </c>
      <c r="F39" s="102">
        <v>300</v>
      </c>
      <c r="G39" s="101">
        <v>150</v>
      </c>
      <c r="H39" s="97">
        <f t="shared" si="1"/>
        <v>8250</v>
      </c>
      <c r="I39" s="97">
        <f>5000+3250</f>
        <v>8250</v>
      </c>
      <c r="J39" s="97">
        <f t="shared" si="0"/>
        <v>0</v>
      </c>
      <c r="K39" s="97"/>
      <c r="L39" s="97"/>
      <c r="M39" s="105"/>
    </row>
    <row r="40" spans="1:13" ht="15.75" x14ac:dyDescent="0.25">
      <c r="A40" s="109" t="s">
        <v>191</v>
      </c>
      <c r="B40" s="94" t="s">
        <v>71</v>
      </c>
      <c r="C40" s="100"/>
      <c r="D40" s="96">
        <f>NOVEMBER20!J40:J107</f>
        <v>100</v>
      </c>
      <c r="E40" s="102">
        <v>6500</v>
      </c>
      <c r="F40" s="102">
        <v>600</v>
      </c>
      <c r="G40" s="101"/>
      <c r="H40" s="97">
        <f t="shared" si="1"/>
        <v>7200</v>
      </c>
      <c r="I40" s="97"/>
      <c r="J40" s="97">
        <f t="shared" si="0"/>
        <v>7200</v>
      </c>
      <c r="K40" s="97"/>
      <c r="L40" s="97"/>
      <c r="M40" s="105"/>
    </row>
    <row r="41" spans="1:13" ht="15.75" x14ac:dyDescent="0.25">
      <c r="A41" s="109" t="s">
        <v>127</v>
      </c>
      <c r="B41" s="94" t="s">
        <v>72</v>
      </c>
      <c r="C41" s="100"/>
      <c r="D41" s="96">
        <f>NOVEMBER20!J41:J108</f>
        <v>1750</v>
      </c>
      <c r="E41" s="102">
        <v>6500</v>
      </c>
      <c r="F41" s="102">
        <v>300</v>
      </c>
      <c r="G41" s="101">
        <v>150</v>
      </c>
      <c r="H41" s="97">
        <f t="shared" si="1"/>
        <v>8700</v>
      </c>
      <c r="I41" s="97">
        <f>7000</f>
        <v>7000</v>
      </c>
      <c r="J41" s="97">
        <f t="shared" si="0"/>
        <v>1700</v>
      </c>
      <c r="K41" s="97"/>
      <c r="L41" s="97"/>
      <c r="M41" s="105"/>
    </row>
    <row r="42" spans="1:13" ht="15.75" x14ac:dyDescent="0.25">
      <c r="A42" s="109" t="s">
        <v>124</v>
      </c>
      <c r="B42" s="94" t="s">
        <v>73</v>
      </c>
      <c r="C42" s="100"/>
      <c r="D42" s="96">
        <f>NOVEMBER20!J42:J109</f>
        <v>350</v>
      </c>
      <c r="E42" s="102">
        <v>6500</v>
      </c>
      <c r="F42" s="102"/>
      <c r="G42" s="101">
        <v>150</v>
      </c>
      <c r="H42" s="97">
        <f t="shared" si="1"/>
        <v>7000</v>
      </c>
      <c r="I42" s="97">
        <f>6500</f>
        <v>6500</v>
      </c>
      <c r="J42" s="97">
        <f t="shared" si="0"/>
        <v>500</v>
      </c>
      <c r="K42" s="97"/>
      <c r="L42" s="97"/>
      <c r="M42" s="105"/>
    </row>
    <row r="43" spans="1:13" ht="15.75" x14ac:dyDescent="0.25">
      <c r="A43" s="109" t="s">
        <v>17</v>
      </c>
      <c r="B43" s="94" t="s">
        <v>74</v>
      </c>
      <c r="C43" s="100"/>
      <c r="D43" s="96">
        <f>NOVEMBER20!J43:J110</f>
        <v>0</v>
      </c>
      <c r="E43" s="102"/>
      <c r="F43" s="102"/>
      <c r="G43" s="101"/>
      <c r="H43" s="97">
        <f>D43+E43+F43+G43+C43</f>
        <v>0</v>
      </c>
      <c r="I43" s="97"/>
      <c r="J43" s="97">
        <f t="shared" si="0"/>
        <v>0</v>
      </c>
      <c r="K43" s="97"/>
      <c r="L43" s="97"/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NOVEMBER20!J44:J111</f>
        <v>150</v>
      </c>
      <c r="E44" s="102">
        <v>6500</v>
      </c>
      <c r="F44" s="102"/>
      <c r="G44" s="101"/>
      <c r="H44" s="97">
        <f t="shared" si="1"/>
        <v>6650</v>
      </c>
      <c r="I44" s="97">
        <v>6650</v>
      </c>
      <c r="J44" s="97">
        <f t="shared" si="0"/>
        <v>0</v>
      </c>
      <c r="K44" s="97"/>
      <c r="L44" s="97"/>
      <c r="M44" s="105"/>
    </row>
    <row r="45" spans="1:13" ht="15.75" x14ac:dyDescent="0.25">
      <c r="A45" s="114" t="s">
        <v>17</v>
      </c>
      <c r="B45" s="94" t="s">
        <v>76</v>
      </c>
      <c r="C45" s="100"/>
      <c r="D45" s="96">
        <f>NOVEMBER20!J45:J112</f>
        <v>0</v>
      </c>
      <c r="E45" s="102">
        <v>0</v>
      </c>
      <c r="F45" s="102"/>
      <c r="G45" s="101">
        <v>0</v>
      </c>
      <c r="H45" s="97">
        <f t="shared" si="1"/>
        <v>0</v>
      </c>
      <c r="I45" s="97"/>
      <c r="J45" s="97">
        <f t="shared" si="0"/>
        <v>0</v>
      </c>
      <c r="K45" s="97"/>
      <c r="L45" s="97"/>
      <c r="M45" s="105"/>
    </row>
    <row r="46" spans="1:13" ht="15.75" x14ac:dyDescent="0.25">
      <c r="A46" s="109" t="s">
        <v>216</v>
      </c>
      <c r="B46" s="94" t="s">
        <v>77</v>
      </c>
      <c r="C46" s="100"/>
      <c r="D46" s="96">
        <f>NOVEMBER20!J46:J113</f>
        <v>0</v>
      </c>
      <c r="E46" s="102">
        <v>6500</v>
      </c>
      <c r="F46" s="102">
        <v>300</v>
      </c>
      <c r="G46" s="101">
        <v>150</v>
      </c>
      <c r="H46" s="97">
        <f t="shared" si="1"/>
        <v>6950</v>
      </c>
      <c r="I46" s="97">
        <f>6500</f>
        <v>6500</v>
      </c>
      <c r="J46" s="97">
        <f t="shared" si="0"/>
        <v>450</v>
      </c>
      <c r="K46" s="97"/>
      <c r="L46" s="97"/>
      <c r="M46" s="105"/>
    </row>
    <row r="47" spans="1:13" ht="15.75" x14ac:dyDescent="0.25">
      <c r="A47" s="109" t="s">
        <v>204</v>
      </c>
      <c r="B47" s="94" t="s">
        <v>78</v>
      </c>
      <c r="C47" s="100"/>
      <c r="D47" s="96">
        <f>NOVEMBER20!J47:J114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>
        <f>6800</f>
        <v>6800</v>
      </c>
      <c r="J47" s="97">
        <f t="shared" si="0"/>
        <v>0</v>
      </c>
      <c r="K47" s="97"/>
      <c r="L47" s="97"/>
      <c r="M47" s="105"/>
    </row>
    <row r="48" spans="1:13" ht="15.75" x14ac:dyDescent="0.25">
      <c r="A48" s="109" t="s">
        <v>17</v>
      </c>
      <c r="B48" s="94" t="s">
        <v>79</v>
      </c>
      <c r="C48" s="100"/>
      <c r="D48" s="96">
        <f>NOVEMBER20!J48:J115</f>
        <v>0</v>
      </c>
      <c r="E48" s="102"/>
      <c r="F48" s="102"/>
      <c r="G48" s="101"/>
      <c r="H48" s="97">
        <f t="shared" si="1"/>
        <v>0</v>
      </c>
      <c r="I48" s="97"/>
      <c r="J48" s="97">
        <f t="shared" si="0"/>
        <v>0</v>
      </c>
      <c r="K48" s="97"/>
      <c r="L48" s="97"/>
      <c r="M48" s="105"/>
    </row>
    <row r="49" spans="1:13" ht="15.75" x14ac:dyDescent="0.25">
      <c r="A49" s="109" t="s">
        <v>186</v>
      </c>
      <c r="B49" s="94" t="s">
        <v>80</v>
      </c>
      <c r="C49" s="100"/>
      <c r="D49" s="96">
        <f>NOVEMBER20!J49:J116</f>
        <v>150</v>
      </c>
      <c r="E49" s="102">
        <v>6500</v>
      </c>
      <c r="F49" s="102">
        <v>450</v>
      </c>
      <c r="G49" s="101">
        <v>150</v>
      </c>
      <c r="H49" s="97">
        <f t="shared" si="1"/>
        <v>7250</v>
      </c>
      <c r="I49" s="97">
        <f>4000</f>
        <v>4000</v>
      </c>
      <c r="J49" s="97">
        <f t="shared" si="0"/>
        <v>3250</v>
      </c>
      <c r="K49" s="97"/>
      <c r="L49" s="97"/>
      <c r="M49" s="88"/>
    </row>
    <row r="50" spans="1:13" ht="15.75" x14ac:dyDescent="0.25">
      <c r="A50" s="109" t="s">
        <v>135</v>
      </c>
      <c r="B50" s="94" t="s">
        <v>81</v>
      </c>
      <c r="C50" s="100"/>
      <c r="D50" s="96">
        <f>NOVEMBER20!J50:J117</f>
        <v>900</v>
      </c>
      <c r="E50" s="102">
        <v>7000</v>
      </c>
      <c r="F50" s="102">
        <v>450</v>
      </c>
      <c r="G50" s="101">
        <v>150</v>
      </c>
      <c r="H50" s="97">
        <f t="shared" si="1"/>
        <v>8500</v>
      </c>
      <c r="I50" s="97">
        <v>8200</v>
      </c>
      <c r="J50" s="97">
        <f t="shared" si="0"/>
        <v>300</v>
      </c>
      <c r="K50" s="97"/>
      <c r="L50" s="97"/>
      <c r="M50" s="105"/>
    </row>
    <row r="51" spans="1:13" ht="15.75" x14ac:dyDescent="0.25">
      <c r="A51" s="109" t="s">
        <v>138</v>
      </c>
      <c r="B51" s="94" t="s">
        <v>82</v>
      </c>
      <c r="C51" s="100"/>
      <c r="D51" s="96">
        <f>NOVEMBER20!J51:J118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5650</f>
        <v>5650</v>
      </c>
      <c r="J51" s="97">
        <f t="shared" si="0"/>
        <v>150</v>
      </c>
      <c r="K51" s="97"/>
      <c r="L51" s="97"/>
      <c r="M51" s="105"/>
    </row>
    <row r="52" spans="1:13" ht="15.75" x14ac:dyDescent="0.25">
      <c r="A52" s="109" t="s">
        <v>109</v>
      </c>
      <c r="B52" s="94" t="s">
        <v>83</v>
      </c>
      <c r="C52" s="100"/>
      <c r="D52" s="96">
        <f>NOVEMBER20!J52:J119</f>
        <v>600</v>
      </c>
      <c r="E52" s="102">
        <v>7000</v>
      </c>
      <c r="F52" s="102">
        <v>150</v>
      </c>
      <c r="G52" s="101">
        <v>150</v>
      </c>
      <c r="H52" s="97">
        <f t="shared" si="1"/>
        <v>7900</v>
      </c>
      <c r="I52" s="97">
        <v>3000</v>
      </c>
      <c r="J52" s="97">
        <f t="shared" si="0"/>
        <v>4900</v>
      </c>
      <c r="K52" s="97"/>
      <c r="L52" s="97"/>
      <c r="M52" s="105"/>
    </row>
    <row r="53" spans="1:13" ht="15.75" x14ac:dyDescent="0.25">
      <c r="A53" s="109" t="s">
        <v>217</v>
      </c>
      <c r="B53" s="94" t="s">
        <v>84</v>
      </c>
      <c r="C53" s="100"/>
      <c r="D53" s="96">
        <f>NOVEMBER20!J53:J120</f>
        <v>0</v>
      </c>
      <c r="E53" s="102">
        <v>6500</v>
      </c>
      <c r="F53" s="102"/>
      <c r="G53" s="101"/>
      <c r="H53" s="97">
        <f t="shared" si="1"/>
        <v>6500</v>
      </c>
      <c r="I53" s="97">
        <f>6500</f>
        <v>6500</v>
      </c>
      <c r="J53" s="97">
        <f t="shared" si="0"/>
        <v>0</v>
      </c>
      <c r="K53" s="97"/>
      <c r="L53" s="97"/>
      <c r="M53" s="105"/>
    </row>
    <row r="54" spans="1:13" ht="15.75" x14ac:dyDescent="0.25">
      <c r="A54" s="109" t="s">
        <v>212</v>
      </c>
      <c r="B54" s="94" t="s">
        <v>85</v>
      </c>
      <c r="C54" s="100"/>
      <c r="D54" s="96">
        <f>NOVEMBER20!J54:J121</f>
        <v>2650</v>
      </c>
      <c r="E54" s="102">
        <v>6500</v>
      </c>
      <c r="F54" s="102"/>
      <c r="G54" s="101">
        <v>150</v>
      </c>
      <c r="H54" s="97">
        <f t="shared" si="1"/>
        <v>9300</v>
      </c>
      <c r="I54" s="97">
        <f>3000</f>
        <v>3000</v>
      </c>
      <c r="J54" s="97">
        <f t="shared" si="0"/>
        <v>6300</v>
      </c>
      <c r="K54" s="97"/>
      <c r="L54" s="97"/>
      <c r="M54" s="105"/>
    </row>
    <row r="55" spans="1:13" ht="15.75" x14ac:dyDescent="0.25">
      <c r="A55" s="109" t="s">
        <v>137</v>
      </c>
      <c r="B55" s="94" t="s">
        <v>86</v>
      </c>
      <c r="C55" s="100"/>
      <c r="D55" s="96">
        <f>NOVEMBER20!J55:J122</f>
        <v>1950</v>
      </c>
      <c r="E55" s="102">
        <v>6500</v>
      </c>
      <c r="F55" s="102">
        <v>300</v>
      </c>
      <c r="G55" s="101">
        <v>150</v>
      </c>
      <c r="H55" s="97">
        <f>D55+E55+F55+G55+C55</f>
        <v>8900</v>
      </c>
      <c r="I55" s="97">
        <f>4000</f>
        <v>4000</v>
      </c>
      <c r="J55" s="97">
        <f>H55-I55</f>
        <v>4900</v>
      </c>
      <c r="K55" s="97"/>
      <c r="L55" s="97"/>
      <c r="M55" s="105"/>
    </row>
    <row r="56" spans="1:13" ht="15.75" x14ac:dyDescent="0.25">
      <c r="A56" s="114" t="s">
        <v>17</v>
      </c>
      <c r="B56" s="94" t="s">
        <v>87</v>
      </c>
      <c r="C56" s="100"/>
      <c r="D56" s="96">
        <f>NOVEMBER20!J56:J123</f>
        <v>0</v>
      </c>
      <c r="E56" s="102"/>
      <c r="F56" s="102"/>
      <c r="G56" s="101"/>
      <c r="H56" s="97">
        <f t="shared" si="1"/>
        <v>0</v>
      </c>
      <c r="I56" s="97"/>
      <c r="J56" s="97">
        <f t="shared" si="0"/>
        <v>0</v>
      </c>
      <c r="K56" s="97"/>
      <c r="L56" s="97"/>
      <c r="M56" s="105"/>
    </row>
    <row r="57" spans="1:13" ht="15.75" x14ac:dyDescent="0.25">
      <c r="A57" s="109" t="s">
        <v>151</v>
      </c>
      <c r="B57" s="94" t="s">
        <v>88</v>
      </c>
      <c r="C57" s="100"/>
      <c r="D57" s="96">
        <f>NOVEMBER20!J57:J124</f>
        <v>150</v>
      </c>
      <c r="E57" s="102">
        <v>6500</v>
      </c>
      <c r="F57" s="102">
        <v>300</v>
      </c>
      <c r="G57" s="101">
        <v>150</v>
      </c>
      <c r="H57" s="97">
        <f t="shared" si="1"/>
        <v>7100</v>
      </c>
      <c r="I57" s="97">
        <f>2000+5100</f>
        <v>7100</v>
      </c>
      <c r="J57" s="97">
        <f t="shared" si="0"/>
        <v>0</v>
      </c>
      <c r="K57" s="97"/>
      <c r="L57" s="97"/>
      <c r="M57" s="105"/>
    </row>
    <row r="58" spans="1:13" ht="15.75" x14ac:dyDescent="0.25">
      <c r="A58" s="109" t="s">
        <v>110</v>
      </c>
      <c r="B58" s="94" t="s">
        <v>89</v>
      </c>
      <c r="C58" s="100"/>
      <c r="D58" s="96">
        <f>NOVEMBER20!J58:J125</f>
        <v>5650</v>
      </c>
      <c r="E58" s="102">
        <v>7000</v>
      </c>
      <c r="F58" s="102">
        <v>450</v>
      </c>
      <c r="G58" s="101">
        <v>150</v>
      </c>
      <c r="H58" s="97">
        <f t="shared" si="1"/>
        <v>13250</v>
      </c>
      <c r="I58" s="97">
        <f>13100</f>
        <v>13100</v>
      </c>
      <c r="J58" s="97">
        <f t="shared" si="0"/>
        <v>150</v>
      </c>
      <c r="K58" s="97"/>
      <c r="L58" s="97"/>
      <c r="M58" s="105"/>
    </row>
    <row r="59" spans="1:13" ht="15.75" x14ac:dyDescent="0.25">
      <c r="A59" s="109" t="s">
        <v>17</v>
      </c>
      <c r="B59" s="94" t="s">
        <v>90</v>
      </c>
      <c r="C59" s="100"/>
      <c r="D59" s="96">
        <f>NOVEMBER20!J59:J126</f>
        <v>0</v>
      </c>
      <c r="E59" s="102"/>
      <c r="F59" s="102"/>
      <c r="G59" s="101"/>
      <c r="H59" s="97">
        <f t="shared" si="1"/>
        <v>0</v>
      </c>
      <c r="I59" s="97"/>
      <c r="J59" s="97">
        <f t="shared" si="0"/>
        <v>0</v>
      </c>
      <c r="K59" s="97"/>
      <c r="L59" s="97"/>
      <c r="M59" s="105"/>
    </row>
    <row r="60" spans="1:13" ht="15.75" x14ac:dyDescent="0.25">
      <c r="A60" s="109" t="s">
        <v>192</v>
      </c>
      <c r="B60" s="94" t="s">
        <v>91</v>
      </c>
      <c r="C60" s="100"/>
      <c r="D60" s="96">
        <f>NOVEMBER20!J60:J127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>
        <v>6950</v>
      </c>
      <c r="J60" s="97">
        <f>H60-I60</f>
        <v>0</v>
      </c>
      <c r="K60" s="97"/>
      <c r="L60" s="97"/>
      <c r="M60" s="87"/>
    </row>
    <row r="61" spans="1:13" ht="15.75" x14ac:dyDescent="0.25">
      <c r="A61" s="109" t="s">
        <v>17</v>
      </c>
      <c r="B61" s="94" t="s">
        <v>92</v>
      </c>
      <c r="C61" s="100"/>
      <c r="D61" s="96">
        <f>NOVEMBER20!J61:J128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3" ht="15.75" x14ac:dyDescent="0.25">
      <c r="A62" s="109" t="s">
        <v>17</v>
      </c>
      <c r="B62" s="94" t="s">
        <v>93</v>
      </c>
      <c r="C62" s="100"/>
      <c r="D62" s="96">
        <f>NOVEMBER20!J62:J129</f>
        <v>0</v>
      </c>
      <c r="E62" s="102"/>
      <c r="F62" s="102"/>
      <c r="G62" s="101"/>
      <c r="H62" s="97">
        <f t="shared" si="1"/>
        <v>0</v>
      </c>
      <c r="I62" s="97"/>
      <c r="J62" s="97">
        <f t="shared" si="0"/>
        <v>0</v>
      </c>
      <c r="K62" s="97"/>
      <c r="L62" s="97"/>
      <c r="M62" s="87"/>
    </row>
    <row r="63" spans="1:13" ht="15.75" x14ac:dyDescent="0.25">
      <c r="A63" s="109" t="s">
        <v>17</v>
      </c>
      <c r="B63" s="94" t="s">
        <v>94</v>
      </c>
      <c r="C63" s="100"/>
      <c r="D63" s="96">
        <f>NOVEMBER20!J63:J130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/>
    </row>
    <row r="64" spans="1:13" ht="10.5" customHeight="1" x14ac:dyDescent="0.25">
      <c r="A64" s="109" t="s">
        <v>17</v>
      </c>
      <c r="B64" s="94" t="s">
        <v>95</v>
      </c>
      <c r="C64" s="100"/>
      <c r="D64" s="96">
        <f>NOVEMBER20!J64:J131</f>
        <v>0</v>
      </c>
      <c r="E64" s="102"/>
      <c r="F64" s="102"/>
      <c r="G64" s="101"/>
      <c r="H64" s="97">
        <f t="shared" si="1"/>
        <v>0</v>
      </c>
      <c r="I64" s="97"/>
      <c r="J64" s="97">
        <f t="shared" si="0"/>
        <v>0</v>
      </c>
      <c r="K64" s="97"/>
      <c r="L64" s="97"/>
      <c r="M64" s="87"/>
    </row>
    <row r="65" spans="1:16" ht="15.75" x14ac:dyDescent="0.25">
      <c r="A65" s="109" t="s">
        <v>113</v>
      </c>
      <c r="B65" s="94" t="s">
        <v>96</v>
      </c>
      <c r="C65" s="100"/>
      <c r="D65" s="96">
        <f>NOVEMBER20!J65:J132</f>
        <v>0</v>
      </c>
      <c r="E65" s="102">
        <v>7000</v>
      </c>
      <c r="F65" s="102">
        <v>300</v>
      </c>
      <c r="G65" s="101">
        <v>150</v>
      </c>
      <c r="H65" s="97">
        <f t="shared" si="1"/>
        <v>7450</v>
      </c>
      <c r="I65" s="97">
        <v>7450</v>
      </c>
      <c r="J65" s="97">
        <f>H65-I65</f>
        <v>0</v>
      </c>
      <c r="K65" s="97"/>
      <c r="L65" s="97"/>
      <c r="M65" s="87"/>
    </row>
    <row r="66" spans="1:16" ht="15.75" x14ac:dyDescent="0.25">
      <c r="A66" s="109" t="s">
        <v>17</v>
      </c>
      <c r="B66" s="94" t="s">
        <v>97</v>
      </c>
      <c r="C66" s="100"/>
      <c r="D66" s="96">
        <f>NOVEMBER20!J66:J133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  <c r="M66" s="87"/>
    </row>
    <row r="67" spans="1:16" ht="15.75" x14ac:dyDescent="0.25">
      <c r="A67" s="109" t="s">
        <v>234</v>
      </c>
      <c r="B67" s="94" t="s">
        <v>98</v>
      </c>
      <c r="C67" s="100">
        <v>6500</v>
      </c>
      <c r="D67" s="96">
        <f>NOVEMBER20!J67:J134</f>
        <v>0</v>
      </c>
      <c r="E67" s="102">
        <v>6500</v>
      </c>
      <c r="F67" s="102"/>
      <c r="G67" s="101">
        <v>150</v>
      </c>
      <c r="H67" s="97">
        <f t="shared" si="1"/>
        <v>13150</v>
      </c>
      <c r="I67" s="97">
        <f>6500+6650</f>
        <v>13150</v>
      </c>
      <c r="J67" s="97">
        <f t="shared" si="0"/>
        <v>0</v>
      </c>
      <c r="K67" s="97"/>
      <c r="L67" s="97">
        <v>1000</v>
      </c>
      <c r="M67" s="87"/>
    </row>
    <row r="68" spans="1:16" ht="15.75" x14ac:dyDescent="0.25">
      <c r="A68" s="109" t="s">
        <v>115</v>
      </c>
      <c r="B68" s="94" t="s">
        <v>99</v>
      </c>
      <c r="C68" s="100"/>
      <c r="D68" s="96">
        <f>NOVEMBER20!J68:J135</f>
        <v>650</v>
      </c>
      <c r="E68" s="102">
        <v>6500</v>
      </c>
      <c r="F68" s="102">
        <v>150</v>
      </c>
      <c r="G68" s="101">
        <v>150</v>
      </c>
      <c r="H68" s="97">
        <f t="shared" si="1"/>
        <v>7450</v>
      </c>
      <c r="I68" s="97">
        <f>6800</f>
        <v>6800</v>
      </c>
      <c r="J68" s="97">
        <f>H68-I68</f>
        <v>650</v>
      </c>
      <c r="K68" s="97"/>
      <c r="L68" s="97"/>
      <c r="M68" s="87"/>
    </row>
    <row r="69" spans="1:16" ht="15.75" x14ac:dyDescent="0.25">
      <c r="A69" s="109" t="s">
        <v>238</v>
      </c>
      <c r="B69" s="94" t="s">
        <v>100</v>
      </c>
      <c r="C69" s="100"/>
      <c r="D69" s="96">
        <f>NOVEMBER20!J69:J136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  <c r="M69" s="87"/>
    </row>
    <row r="70" spans="1:16" ht="15.75" x14ac:dyDescent="0.25">
      <c r="A70" s="109" t="s">
        <v>116</v>
      </c>
      <c r="B70" s="94" t="s">
        <v>101</v>
      </c>
      <c r="C70" s="100"/>
      <c r="D70" s="96">
        <f>NOVEMBER20!J70:J137</f>
        <v>900</v>
      </c>
      <c r="E70" s="102">
        <v>7000</v>
      </c>
      <c r="F70" s="102">
        <v>900</v>
      </c>
      <c r="G70" s="101">
        <v>150</v>
      </c>
      <c r="H70" s="97">
        <f t="shared" si="1"/>
        <v>8950</v>
      </c>
      <c r="I70" s="97">
        <f>7000</f>
        <v>7000</v>
      </c>
      <c r="J70" s="97">
        <f>H70-I70</f>
        <v>1950</v>
      </c>
      <c r="K70" s="97"/>
      <c r="L70" s="97"/>
      <c r="M70" s="87"/>
    </row>
    <row r="71" spans="1:16" ht="15.75" x14ac:dyDescent="0.25">
      <c r="A71" s="115" t="s">
        <v>28</v>
      </c>
      <c r="B71" s="109"/>
      <c r="C71" s="100">
        <f>SUM(C6:C70)</f>
        <v>19500</v>
      </c>
      <c r="D71" s="96">
        <f>SUM(D6:D70)</f>
        <v>38650</v>
      </c>
      <c r="E71" s="116">
        <f>SUM(E6:E70)</f>
        <v>294500</v>
      </c>
      <c r="F71" s="117">
        <f t="shared" ref="F71:L71" si="2">SUM(F6:F70)</f>
        <v>9600</v>
      </c>
      <c r="G71" s="118">
        <f>SUM(G6:G70)</f>
        <v>5700</v>
      </c>
      <c r="H71" s="119">
        <f>SUM(H6:H70)</f>
        <v>367950</v>
      </c>
      <c r="I71" s="119">
        <f t="shared" si="2"/>
        <v>271230</v>
      </c>
      <c r="J71" s="119">
        <f t="shared" si="2"/>
        <v>96720</v>
      </c>
      <c r="K71" s="119">
        <f t="shared" si="2"/>
        <v>0</v>
      </c>
      <c r="L71" s="119">
        <f t="shared" si="2"/>
        <v>3000</v>
      </c>
      <c r="M71" s="87"/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88"/>
    </row>
    <row r="74" spans="1:16" ht="15.75" x14ac:dyDescent="0.25">
      <c r="A74" s="109" t="s">
        <v>237</v>
      </c>
      <c r="B74" s="124">
        <f>E71</f>
        <v>294500</v>
      </c>
      <c r="C74" s="109"/>
      <c r="D74" s="109"/>
      <c r="E74" s="109"/>
      <c r="F74" s="109" t="s">
        <v>237</v>
      </c>
      <c r="G74" s="109"/>
      <c r="H74" s="125">
        <f>I71</f>
        <v>271230</v>
      </c>
      <c r="I74" s="109"/>
      <c r="J74" s="109"/>
      <c r="K74" s="109"/>
      <c r="L74" s="126"/>
      <c r="O74" s="127" t="s">
        <v>250</v>
      </c>
    </row>
    <row r="75" spans="1:16" ht="15.75" x14ac:dyDescent="0.25">
      <c r="A75" s="109" t="s">
        <v>37</v>
      </c>
      <c r="B75" s="124">
        <f>NOVEMBER20!D108</f>
        <v>338595.18999999994</v>
      </c>
      <c r="C75" s="109"/>
      <c r="D75" s="109"/>
      <c r="E75" s="109"/>
      <c r="F75" s="109" t="s">
        <v>37</v>
      </c>
      <c r="G75" s="109"/>
      <c r="H75" s="124">
        <f>NOVEMBER20!J108</f>
        <v>302195.18999999994</v>
      </c>
      <c r="I75" s="109"/>
      <c r="J75" s="109"/>
      <c r="K75" s="109"/>
      <c r="L75" s="126"/>
      <c r="O75" s="127" t="s">
        <v>251</v>
      </c>
      <c r="P75">
        <v>2500</v>
      </c>
    </row>
    <row r="76" spans="1:16" ht="15.75" x14ac:dyDescent="0.25">
      <c r="A76" s="109" t="s">
        <v>227</v>
      </c>
      <c r="B76" s="124">
        <f>C71</f>
        <v>19500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s="128" t="s">
        <v>252</v>
      </c>
      <c r="P76">
        <v>200</v>
      </c>
    </row>
    <row r="77" spans="1:16" ht="15.75" x14ac:dyDescent="0.25">
      <c r="A77" s="109" t="s">
        <v>7</v>
      </c>
      <c r="B77" s="124">
        <f>F71</f>
        <v>9600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O77" s="129" t="s">
        <v>144</v>
      </c>
      <c r="P77">
        <f>1841+1000</f>
        <v>2841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s="129" t="s">
        <v>253</v>
      </c>
      <c r="P78">
        <v>2041</v>
      </c>
    </row>
    <row r="79" spans="1:16" ht="15.75" x14ac:dyDescent="0.25">
      <c r="A79" s="109" t="s">
        <v>40</v>
      </c>
      <c r="B79" s="125">
        <f>L71</f>
        <v>3000</v>
      </c>
      <c r="C79" s="109"/>
      <c r="D79" s="109"/>
      <c r="E79" s="109"/>
      <c r="F79" s="109" t="s">
        <v>40</v>
      </c>
      <c r="G79" s="109"/>
      <c r="H79" s="125">
        <f>L71</f>
        <v>3000</v>
      </c>
      <c r="I79" s="109"/>
      <c r="J79" s="109"/>
      <c r="K79" s="109"/>
      <c r="L79" s="126"/>
      <c r="O79" s="88" t="s">
        <v>254</v>
      </c>
      <c r="P79">
        <v>2520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s="88" t="s">
        <v>255</v>
      </c>
      <c r="P80">
        <v>1034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s="127" t="s">
        <v>256</v>
      </c>
      <c r="P81">
        <v>530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s="127" t="s">
        <v>144</v>
      </c>
      <c r="P82">
        <v>3056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20615.000000000004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20615.000000000004</v>
      </c>
      <c r="J83" s="109"/>
      <c r="K83" s="109"/>
      <c r="L83" s="126"/>
      <c r="O83" s="88" t="s">
        <v>257</v>
      </c>
      <c r="P83">
        <v>500</v>
      </c>
    </row>
    <row r="84" spans="1:16" ht="15.75" x14ac:dyDescent="0.25">
      <c r="A84" s="134" t="s">
        <v>136</v>
      </c>
      <c r="B84" s="135">
        <v>0.3</v>
      </c>
      <c r="C84" s="106">
        <f>B84*B76+(B84*C23)</f>
        <v>7800</v>
      </c>
      <c r="D84" s="125"/>
      <c r="E84" s="125"/>
      <c r="F84" s="134" t="s">
        <v>136</v>
      </c>
      <c r="G84" s="135">
        <v>0.3</v>
      </c>
      <c r="H84" s="88"/>
      <c r="I84" s="106">
        <f>C84</f>
        <v>7800</v>
      </c>
      <c r="J84" s="88"/>
      <c r="K84" s="125"/>
      <c r="L84" s="136"/>
      <c r="O84" s="88" t="s">
        <v>266</v>
      </c>
      <c r="P84">
        <f>2500+1000</f>
        <v>3500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5700</v>
      </c>
      <c r="J85" s="88"/>
      <c r="K85" s="125"/>
      <c r="L85" s="136"/>
      <c r="O85" s="88" t="s">
        <v>144</v>
      </c>
      <c r="P85">
        <v>700</v>
      </c>
    </row>
    <row r="86" spans="1:16" ht="15.75" x14ac:dyDescent="0.25">
      <c r="A86" s="134" t="s">
        <v>364</v>
      </c>
      <c r="B86" s="132"/>
      <c r="C86" s="125">
        <v>215000</v>
      </c>
      <c r="D86" s="109"/>
      <c r="E86" s="109"/>
      <c r="F86" s="134" t="s">
        <v>364</v>
      </c>
      <c r="G86" s="132"/>
      <c r="H86" s="125"/>
      <c r="I86" s="125">
        <v>215000</v>
      </c>
      <c r="J86" s="109"/>
      <c r="K86" s="109"/>
      <c r="L86" s="126"/>
      <c r="O86" s="88" t="s">
        <v>199</v>
      </c>
      <c r="P86">
        <v>450</v>
      </c>
    </row>
    <row r="87" spans="1:16" ht="15.75" x14ac:dyDescent="0.25">
      <c r="A87" s="134" t="s">
        <v>134</v>
      </c>
      <c r="B87" s="132"/>
      <c r="C87" s="125">
        <v>8000</v>
      </c>
      <c r="D87" s="109"/>
      <c r="E87" s="109"/>
      <c r="F87" s="134" t="s">
        <v>134</v>
      </c>
      <c r="G87" s="132"/>
      <c r="H87" s="125"/>
      <c r="I87" s="125">
        <v>8000</v>
      </c>
      <c r="J87" s="109"/>
      <c r="K87" s="109"/>
      <c r="L87" s="126"/>
      <c r="O87" s="88" t="s">
        <v>210</v>
      </c>
      <c r="P87">
        <v>1000</v>
      </c>
    </row>
    <row r="88" spans="1:16" ht="15.75" x14ac:dyDescent="0.25">
      <c r="A88" s="134" t="s">
        <v>160</v>
      </c>
      <c r="B88" s="132"/>
      <c r="C88" s="138">
        <v>8000</v>
      </c>
      <c r="D88" s="109"/>
      <c r="E88" s="109"/>
      <c r="F88" s="134" t="s">
        <v>160</v>
      </c>
      <c r="G88" s="132"/>
      <c r="H88" s="138"/>
      <c r="I88" s="105">
        <v>8000</v>
      </c>
      <c r="J88" s="109"/>
      <c r="K88" s="109"/>
      <c r="L88" s="126"/>
      <c r="O88" s="88" t="s">
        <v>296</v>
      </c>
      <c r="P88">
        <v>300</v>
      </c>
    </row>
    <row r="89" spans="1:16" ht="15.75" x14ac:dyDescent="0.25">
      <c r="A89" s="134" t="s">
        <v>240</v>
      </c>
      <c r="B89" s="132"/>
      <c r="C89" s="93">
        <v>10087</v>
      </c>
      <c r="D89" s="109"/>
      <c r="E89" s="109"/>
      <c r="F89" s="134" t="s">
        <v>240</v>
      </c>
      <c r="G89" s="132"/>
      <c r="H89" s="93"/>
      <c r="I89" s="125">
        <v>10087</v>
      </c>
      <c r="J89" s="109"/>
      <c r="K89" s="109"/>
      <c r="L89" s="126"/>
      <c r="N89" s="88"/>
      <c r="O89" s="88" t="s">
        <v>297</v>
      </c>
      <c r="P89">
        <v>450</v>
      </c>
    </row>
    <row r="90" spans="1:16" ht="15.75" x14ac:dyDescent="0.25">
      <c r="A90" s="134" t="s">
        <v>242</v>
      </c>
      <c r="B90" s="132"/>
      <c r="C90" s="93">
        <v>269000</v>
      </c>
      <c r="D90" s="109"/>
      <c r="E90" s="109"/>
      <c r="F90" s="134" t="s">
        <v>242</v>
      </c>
      <c r="G90" s="132"/>
      <c r="H90" s="93"/>
      <c r="I90" s="125">
        <v>269000</v>
      </c>
      <c r="J90" s="109"/>
      <c r="K90" s="109"/>
      <c r="L90" s="126"/>
      <c r="M90" s="127"/>
    </row>
    <row r="91" spans="1:16" ht="15.75" x14ac:dyDescent="0.25">
      <c r="A91" s="134" t="s">
        <v>391</v>
      </c>
      <c r="B91" s="132"/>
      <c r="C91" s="93">
        <v>4900</v>
      </c>
      <c r="D91" s="109"/>
      <c r="E91" s="109"/>
      <c r="F91" s="134"/>
      <c r="G91" s="132"/>
      <c r="H91" s="125"/>
      <c r="I91" s="125"/>
      <c r="J91" s="109"/>
      <c r="K91" s="109"/>
      <c r="L91" s="126"/>
      <c r="M91" s="106"/>
      <c r="P91">
        <f>SUM(P75:P90)</f>
        <v>21622</v>
      </c>
    </row>
    <row r="92" spans="1:16" ht="15.75" x14ac:dyDescent="0.25">
      <c r="A92" s="134" t="s">
        <v>392</v>
      </c>
      <c r="B92" s="132"/>
      <c r="C92" s="93">
        <v>5300</v>
      </c>
      <c r="D92" s="109"/>
      <c r="E92" s="109"/>
      <c r="F92" s="134"/>
      <c r="G92" s="180"/>
      <c r="H92" s="125"/>
      <c r="I92" s="125"/>
      <c r="J92" s="109"/>
      <c r="K92" s="109"/>
      <c r="L92" s="126"/>
      <c r="M92" s="106"/>
    </row>
    <row r="93" spans="1:16" ht="15.75" x14ac:dyDescent="0.25">
      <c r="A93" s="134" t="s">
        <v>394</v>
      </c>
      <c r="B93" s="132"/>
      <c r="C93" s="93">
        <v>450</v>
      </c>
      <c r="D93" s="109"/>
      <c r="E93" s="109"/>
      <c r="F93" s="134"/>
      <c r="G93" s="180"/>
      <c r="H93" s="125"/>
      <c r="I93" s="125"/>
      <c r="J93" s="109"/>
      <c r="K93" s="109"/>
      <c r="L93" s="126"/>
      <c r="M93" s="106"/>
    </row>
    <row r="94" spans="1:16" ht="15.75" x14ac:dyDescent="0.25">
      <c r="A94" s="134" t="s">
        <v>393</v>
      </c>
      <c r="B94" s="132"/>
      <c r="C94" s="93">
        <v>300</v>
      </c>
      <c r="D94" s="109"/>
      <c r="E94" s="109"/>
      <c r="F94" s="134"/>
      <c r="G94" s="180"/>
      <c r="H94" s="125"/>
      <c r="I94" s="125"/>
      <c r="J94" s="109"/>
      <c r="K94" s="109"/>
      <c r="L94" s="126"/>
      <c r="M94" s="106"/>
    </row>
    <row r="95" spans="1:16" ht="15.75" x14ac:dyDescent="0.25">
      <c r="A95" s="134"/>
      <c r="B95" s="132"/>
      <c r="C95" s="125"/>
      <c r="D95" s="109"/>
      <c r="E95" s="109"/>
      <c r="F95" s="134"/>
      <c r="H95" s="125"/>
      <c r="I95" s="125"/>
      <c r="J95" s="109"/>
      <c r="K95" s="109"/>
      <c r="L95" s="126"/>
      <c r="M95" s="88"/>
    </row>
    <row r="96" spans="1:16" ht="15.75" x14ac:dyDescent="0.25">
      <c r="A96" s="115" t="s">
        <v>29</v>
      </c>
      <c r="B96" s="139">
        <f>B74+B75+B76+B77+B78+B79+B81+B80</f>
        <v>665195.18999999994</v>
      </c>
      <c r="C96" s="139">
        <f>SUM(C83:C95)</f>
        <v>549452</v>
      </c>
      <c r="D96" s="139">
        <f>B96-C96</f>
        <v>115743.18999999994</v>
      </c>
      <c r="E96" s="139"/>
      <c r="F96" s="115"/>
      <c r="G96" s="115"/>
      <c r="H96" s="139">
        <f>H74+H75+H77+H79+H80</f>
        <v>576425.18999999994</v>
      </c>
      <c r="I96" s="139">
        <f>SUM(I83:I95)</f>
        <v>544202</v>
      </c>
      <c r="J96" s="139">
        <f>H96-I96</f>
        <v>32223.189999999944</v>
      </c>
      <c r="K96" s="139"/>
      <c r="L96" s="140"/>
      <c r="M96" s="88"/>
    </row>
    <row r="97" spans="1:13" ht="15.75" x14ac:dyDescent="0.25">
      <c r="A97" s="141" t="s">
        <v>44</v>
      </c>
      <c r="B97" s="142"/>
      <c r="C97" s="142" t="s">
        <v>45</v>
      </c>
      <c r="D97" s="138"/>
      <c r="E97" s="138"/>
      <c r="F97" s="141"/>
      <c r="G97" s="141"/>
      <c r="H97" s="141" t="s">
        <v>46</v>
      </c>
      <c r="I97" s="143">
        <f>I96-I85</f>
        <v>538502</v>
      </c>
      <c r="J97" s="87"/>
      <c r="K97" s="87"/>
      <c r="L97" s="86"/>
      <c r="M97" s="88"/>
    </row>
    <row r="98" spans="1:13" ht="15.75" x14ac:dyDescent="0.25">
      <c r="A98" s="87" t="s">
        <v>47</v>
      </c>
      <c r="B98" s="87"/>
      <c r="C98" s="87" t="s">
        <v>48</v>
      </c>
      <c r="D98" s="87"/>
      <c r="E98" s="87"/>
      <c r="F98" s="87"/>
      <c r="G98" s="87"/>
      <c r="H98" s="87" t="s">
        <v>118</v>
      </c>
      <c r="I98" s="113">
        <f>I96-I83</f>
        <v>523587</v>
      </c>
      <c r="J98" s="87"/>
      <c r="K98" s="87"/>
      <c r="L98" s="86"/>
      <c r="M98" s="88"/>
    </row>
    <row r="99" spans="1:13" ht="15.75" x14ac:dyDescent="0.25">
      <c r="A99" s="88"/>
      <c r="B99" s="88"/>
      <c r="C99" s="88"/>
      <c r="D99" s="88"/>
      <c r="E99" s="88"/>
      <c r="F99" s="88"/>
      <c r="G99" s="88"/>
      <c r="H99" s="88"/>
      <c r="I99" s="143"/>
      <c r="J99" s="169"/>
      <c r="K99" s="143"/>
      <c r="L99" s="86"/>
      <c r="M99" s="88"/>
    </row>
    <row r="100" spans="1:13" ht="15.75" x14ac:dyDescent="0.25">
      <c r="A100" s="88"/>
      <c r="B100" s="88"/>
      <c r="C100" s="88"/>
      <c r="D100" s="88"/>
      <c r="E100" s="88"/>
      <c r="F100" s="88"/>
      <c r="G100" s="88"/>
      <c r="H100" s="88"/>
      <c r="I100" s="88"/>
      <c r="J100" s="170"/>
      <c r="K100" s="88"/>
      <c r="L100" s="88"/>
      <c r="M100" s="88"/>
    </row>
    <row r="101" spans="1:13" x14ac:dyDescent="0.25">
      <c r="K101" s="43"/>
    </row>
    <row r="102" spans="1:13" x14ac:dyDescent="0.25">
      <c r="J102" s="184">
        <f>J71+J96-4900-5300-750</f>
        <v>117993.18999999994</v>
      </c>
      <c r="K102" s="43"/>
    </row>
    <row r="103" spans="1:13" x14ac:dyDescent="0.25">
      <c r="J103" s="184">
        <f>D96-J102</f>
        <v>-2250</v>
      </c>
    </row>
  </sheetData>
  <pageMargins left="0" right="0" top="0" bottom="0" header="0" footer="0"/>
  <pageSetup paperSize="286" orientation="landscape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opLeftCell="A19" workbookViewId="0">
      <selection activeCell="C63" sqref="C63"/>
    </sheetView>
  </sheetViews>
  <sheetFormatPr defaultRowHeight="15" x14ac:dyDescent="0.25"/>
  <cols>
    <col min="1" max="1" width="26" customWidth="1"/>
    <col min="2" max="2" width="8.42578125" customWidth="1"/>
    <col min="3" max="3" width="14.42578125" bestFit="1" customWidth="1"/>
    <col min="4" max="4" width="10.5703125" customWidth="1"/>
    <col min="5" max="5" width="10.7109375" customWidth="1"/>
    <col min="6" max="6" width="9.7109375" customWidth="1"/>
    <col min="7" max="7" width="11.42578125" customWidth="1"/>
    <col min="8" max="8" width="11.28515625" customWidth="1"/>
    <col min="9" max="9" width="19.85546875" customWidth="1"/>
    <col min="10" max="10" width="19.28515625" customWidth="1"/>
    <col min="11" max="11" width="17.5703125" customWidth="1"/>
    <col min="12" max="12" width="19.85546875" customWidth="1"/>
    <col min="13" max="13" width="10.42578125" bestFit="1" customWidth="1"/>
    <col min="14" max="14" width="8.28515625" customWidth="1"/>
    <col min="15" max="15" width="7.7109375" customWidth="1"/>
    <col min="16" max="16" width="1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6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15.75" x14ac:dyDescent="0.25">
      <c r="A4" s="3"/>
      <c r="B4" s="88"/>
      <c r="C4" s="88"/>
      <c r="D4" s="3" t="s">
        <v>244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DECEMBER20!J6:J70</f>
        <v>300</v>
      </c>
      <c r="E6" s="97">
        <v>6500</v>
      </c>
      <c r="F6" s="98">
        <v>150</v>
      </c>
      <c r="G6" s="97">
        <v>150</v>
      </c>
      <c r="H6" s="97">
        <f>D6+E6+F6+G6+C6</f>
        <v>7100</v>
      </c>
      <c r="I6" s="97">
        <f>6900</f>
        <v>6900</v>
      </c>
      <c r="J6" s="97">
        <f t="shared" ref="J6:J67" si="0">H6-I6</f>
        <v>200</v>
      </c>
      <c r="K6" s="97"/>
      <c r="L6" s="97"/>
      <c r="M6" s="87"/>
    </row>
    <row r="7" spans="1:13" ht="15.75" x14ac:dyDescent="0.25">
      <c r="A7" s="99" t="s">
        <v>265</v>
      </c>
      <c r="B7" s="94" t="s">
        <v>15</v>
      </c>
      <c r="C7" s="100"/>
      <c r="D7" s="96">
        <f>DECEMBER20!J7:J71</f>
        <v>2650</v>
      </c>
      <c r="E7" s="101">
        <v>6500</v>
      </c>
      <c r="F7" s="102">
        <v>150</v>
      </c>
      <c r="G7" s="101">
        <v>150</v>
      </c>
      <c r="H7" s="97">
        <f t="shared" ref="H7:H70" si="1">D7+E7+F7+G7+C7</f>
        <v>9450</v>
      </c>
      <c r="I7" s="97">
        <f>6300+600</f>
        <v>6900</v>
      </c>
      <c r="J7" s="97">
        <f t="shared" si="0"/>
        <v>2550</v>
      </c>
      <c r="K7" s="97"/>
      <c r="L7" s="97"/>
      <c r="M7" s="87"/>
    </row>
    <row r="8" spans="1:13" ht="15.75" x14ac:dyDescent="0.25">
      <c r="A8" s="99" t="s">
        <v>258</v>
      </c>
      <c r="B8" s="94" t="s">
        <v>16</v>
      </c>
      <c r="C8" s="100">
        <v>6500</v>
      </c>
      <c r="D8" s="96">
        <f>DECEMBER20!J8:J72</f>
        <v>0</v>
      </c>
      <c r="E8" s="101">
        <v>6500</v>
      </c>
      <c r="F8" s="102"/>
      <c r="G8" s="101">
        <v>150</v>
      </c>
      <c r="H8" s="97">
        <f t="shared" si="1"/>
        <v>13150</v>
      </c>
      <c r="I8" s="97">
        <v>13150</v>
      </c>
      <c r="J8" s="97">
        <f t="shared" si="0"/>
        <v>0</v>
      </c>
      <c r="K8" s="97"/>
      <c r="L8" s="97">
        <v>1000</v>
      </c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DECEMBER20!J9:J73</f>
        <v>470</v>
      </c>
      <c r="E9" s="96">
        <v>6500</v>
      </c>
      <c r="F9" s="103"/>
      <c r="G9" s="101">
        <v>150</v>
      </c>
      <c r="H9" s="97">
        <f t="shared" si="1"/>
        <v>7120</v>
      </c>
      <c r="I9" s="97">
        <v>7120</v>
      </c>
      <c r="J9" s="97">
        <f t="shared" si="0"/>
        <v>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DECEMBER20!J10:J74</f>
        <v>0</v>
      </c>
      <c r="E10" s="101">
        <v>6500</v>
      </c>
      <c r="F10" s="102"/>
      <c r="G10" s="101">
        <v>150</v>
      </c>
      <c r="H10" s="97">
        <f t="shared" si="1"/>
        <v>6650</v>
      </c>
      <c r="I10" s="97">
        <f>6500+150</f>
        <v>6650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DECEMBER20!J11:J75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93" t="s">
        <v>139</v>
      </c>
      <c r="B12" s="94" t="s">
        <v>21</v>
      </c>
      <c r="C12" s="100"/>
      <c r="D12" s="96">
        <f>DECEMBER20!J12:J76</f>
        <v>300</v>
      </c>
      <c r="E12" s="101">
        <v>5500</v>
      </c>
      <c r="F12" s="88"/>
      <c r="G12" s="101">
        <v>150</v>
      </c>
      <c r="H12" s="97">
        <f t="shared" si="1"/>
        <v>5950</v>
      </c>
      <c r="I12" s="97">
        <f>5800+150</f>
        <v>5950</v>
      </c>
      <c r="J12" s="97">
        <f t="shared" si="0"/>
        <v>0</v>
      </c>
      <c r="K12" s="97"/>
      <c r="L12" s="97"/>
      <c r="M12" s="106"/>
    </row>
    <row r="13" spans="1:13" ht="15.75" x14ac:dyDescent="0.25">
      <c r="A13" s="107" t="s">
        <v>187</v>
      </c>
      <c r="B13" s="94" t="s">
        <v>22</v>
      </c>
      <c r="C13" s="100"/>
      <c r="D13" s="96">
        <f>DECEMBER20!J13:J77</f>
        <v>14750</v>
      </c>
      <c r="E13" s="101">
        <v>7000</v>
      </c>
      <c r="F13" s="108"/>
      <c r="G13" s="101">
        <v>150</v>
      </c>
      <c r="H13" s="97">
        <f t="shared" si="1"/>
        <v>21900</v>
      </c>
      <c r="I13" s="97">
        <f>14000+7000</f>
        <v>21000</v>
      </c>
      <c r="J13" s="97">
        <f t="shared" si="0"/>
        <v>900</v>
      </c>
      <c r="K13" s="97"/>
      <c r="L13" s="97"/>
      <c r="M13" s="105"/>
    </row>
    <row r="14" spans="1:13" ht="15.75" x14ac:dyDescent="0.25">
      <c r="A14" s="109" t="s">
        <v>259</v>
      </c>
      <c r="B14" s="94" t="s">
        <v>23</v>
      </c>
      <c r="C14" s="100">
        <v>6500</v>
      </c>
      <c r="D14" s="96">
        <f>DECEMBER20!J14:J78</f>
        <v>0</v>
      </c>
      <c r="E14" s="101">
        <v>6500</v>
      </c>
      <c r="F14" s="102"/>
      <c r="G14" s="101">
        <v>150</v>
      </c>
      <c r="H14" s="97">
        <f t="shared" si="1"/>
        <v>13150</v>
      </c>
      <c r="I14" s="97">
        <v>13000</v>
      </c>
      <c r="J14" s="97">
        <f t="shared" si="0"/>
        <v>150</v>
      </c>
      <c r="K14" s="97"/>
      <c r="L14" s="97">
        <v>1000</v>
      </c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DECEMBER20!J15:J79</f>
        <v>0</v>
      </c>
      <c r="E15" s="101">
        <v>6500</v>
      </c>
      <c r="F15" s="102">
        <v>150</v>
      </c>
      <c r="G15" s="101">
        <v>150</v>
      </c>
      <c r="H15" s="97">
        <f t="shared" si="1"/>
        <v>6800</v>
      </c>
      <c r="I15" s="97">
        <f>6500</f>
        <v>6500</v>
      </c>
      <c r="J15" s="97">
        <f t="shared" si="0"/>
        <v>300</v>
      </c>
      <c r="K15" s="97"/>
      <c r="L15" s="97"/>
      <c r="M15" s="105"/>
    </row>
    <row r="16" spans="1:13" ht="15.75" x14ac:dyDescent="0.25">
      <c r="A16" s="114" t="s">
        <v>17</v>
      </c>
      <c r="B16" s="94" t="s">
        <v>25</v>
      </c>
      <c r="C16" s="100"/>
      <c r="D16" s="96"/>
      <c r="E16" s="101"/>
      <c r="F16" s="102"/>
      <c r="G16" s="101"/>
      <c r="H16" s="97">
        <f t="shared" si="1"/>
        <v>0</v>
      </c>
      <c r="I16" s="97"/>
      <c r="J16" s="97">
        <f t="shared" si="0"/>
        <v>0</v>
      </c>
      <c r="K16" s="97"/>
      <c r="L16" s="97"/>
      <c r="M16" s="87"/>
    </row>
    <row r="17" spans="1:13" ht="15.75" x14ac:dyDescent="0.25">
      <c r="A17" s="93" t="s">
        <v>133</v>
      </c>
      <c r="B17" s="94" t="s">
        <v>26</v>
      </c>
      <c r="C17" s="100"/>
      <c r="D17" s="96">
        <f>DECEMBER20!J17:J81</f>
        <v>700</v>
      </c>
      <c r="E17" s="101">
        <v>6500</v>
      </c>
      <c r="F17" s="102">
        <v>150</v>
      </c>
      <c r="G17" s="101">
        <v>150</v>
      </c>
      <c r="H17" s="97">
        <f t="shared" si="1"/>
        <v>7500</v>
      </c>
      <c r="I17" s="97">
        <f>6650</f>
        <v>6650</v>
      </c>
      <c r="J17" s="97">
        <f t="shared" si="0"/>
        <v>850</v>
      </c>
      <c r="K17" s="97"/>
      <c r="L17" s="97"/>
      <c r="M17" s="110"/>
    </row>
    <row r="18" spans="1:13" ht="15.75" x14ac:dyDescent="0.25">
      <c r="A18" s="109" t="s">
        <v>249</v>
      </c>
      <c r="B18" s="94" t="s">
        <v>27</v>
      </c>
      <c r="C18" s="100">
        <v>6500</v>
      </c>
      <c r="D18" s="96"/>
      <c r="E18" s="101">
        <v>6500</v>
      </c>
      <c r="F18" s="102"/>
      <c r="G18" s="101">
        <v>150</v>
      </c>
      <c r="H18" s="97">
        <f t="shared" si="1"/>
        <v>13150</v>
      </c>
      <c r="I18" s="97">
        <v>13150</v>
      </c>
      <c r="J18" s="97">
        <f t="shared" si="0"/>
        <v>0</v>
      </c>
      <c r="K18" s="97"/>
      <c r="L18" s="97">
        <v>1000</v>
      </c>
      <c r="M18" s="105"/>
    </row>
    <row r="19" spans="1:13" ht="15.75" x14ac:dyDescent="0.25">
      <c r="A19" s="109" t="s">
        <v>247</v>
      </c>
      <c r="B19" s="94" t="s">
        <v>50</v>
      </c>
      <c r="C19" s="100">
        <v>6500</v>
      </c>
      <c r="D19" s="96"/>
      <c r="E19" s="101">
        <v>6500</v>
      </c>
      <c r="F19" s="102"/>
      <c r="G19" s="101">
        <v>150</v>
      </c>
      <c r="H19" s="97">
        <f t="shared" si="1"/>
        <v>13150</v>
      </c>
      <c r="I19" s="97">
        <f>11000</f>
        <v>11000</v>
      </c>
      <c r="J19" s="97">
        <f t="shared" si="0"/>
        <v>2150</v>
      </c>
      <c r="K19" s="97"/>
      <c r="L19" s="97"/>
      <c r="M19" s="87"/>
    </row>
    <row r="20" spans="1:13" ht="15.75" x14ac:dyDescent="0.25">
      <c r="A20" s="99" t="s">
        <v>260</v>
      </c>
      <c r="B20" s="94" t="s">
        <v>51</v>
      </c>
      <c r="C20" s="100">
        <v>6500</v>
      </c>
      <c r="D20" s="96">
        <f>DECEMBER20!J20:J84</f>
        <v>0</v>
      </c>
      <c r="E20" s="101">
        <v>6500</v>
      </c>
      <c r="F20" s="102"/>
      <c r="G20" s="101">
        <v>150</v>
      </c>
      <c r="H20" s="97">
        <f t="shared" si="1"/>
        <v>13150</v>
      </c>
      <c r="I20" s="97">
        <v>13000</v>
      </c>
      <c r="J20" s="97">
        <f t="shared" si="0"/>
        <v>150</v>
      </c>
      <c r="K20" s="97"/>
      <c r="L20" s="97"/>
      <c r="M20" s="105"/>
    </row>
    <row r="21" spans="1:13" ht="15.75" x14ac:dyDescent="0.25">
      <c r="A21" s="109" t="s">
        <v>261</v>
      </c>
      <c r="B21" s="94" t="s">
        <v>52</v>
      </c>
      <c r="C21" s="100">
        <v>6500</v>
      </c>
      <c r="D21" s="96">
        <f>DECEMBER20!J21:J85</f>
        <v>0</v>
      </c>
      <c r="E21" s="101">
        <v>6500</v>
      </c>
      <c r="F21" s="102"/>
      <c r="G21" s="101">
        <v>150</v>
      </c>
      <c r="H21" s="97">
        <f t="shared" si="1"/>
        <v>13150</v>
      </c>
      <c r="I21" s="97">
        <v>13150</v>
      </c>
      <c r="J21" s="97">
        <f t="shared" si="0"/>
        <v>0</v>
      </c>
      <c r="K21" s="97"/>
      <c r="L21" s="97">
        <v>1000</v>
      </c>
      <c r="M21" s="87"/>
    </row>
    <row r="22" spans="1:13" ht="15.75" x14ac:dyDescent="0.25">
      <c r="A22" s="109" t="s">
        <v>270</v>
      </c>
      <c r="B22" s="94" t="s">
        <v>53</v>
      </c>
      <c r="C22" s="100">
        <v>6500</v>
      </c>
      <c r="D22" s="96">
        <f>DECEMBER20!J22:J86</f>
        <v>0</v>
      </c>
      <c r="E22" s="101">
        <v>6500</v>
      </c>
      <c r="F22" s="102"/>
      <c r="G22" s="101">
        <v>150</v>
      </c>
      <c r="H22" s="97">
        <f t="shared" si="1"/>
        <v>13150</v>
      </c>
      <c r="I22" s="97">
        <f>13150</f>
        <v>13150</v>
      </c>
      <c r="J22" s="97">
        <f t="shared" si="0"/>
        <v>0</v>
      </c>
      <c r="K22" s="97"/>
      <c r="L22" s="97">
        <v>1000</v>
      </c>
      <c r="M22" s="87"/>
    </row>
    <row r="23" spans="1:13" ht="15.75" x14ac:dyDescent="0.25">
      <c r="A23" s="99" t="s">
        <v>269</v>
      </c>
      <c r="B23" s="94" t="s">
        <v>54</v>
      </c>
      <c r="C23" s="100">
        <v>6500</v>
      </c>
      <c r="D23" s="96"/>
      <c r="E23" s="101">
        <v>6500</v>
      </c>
      <c r="F23" s="102"/>
      <c r="G23" s="101">
        <v>150</v>
      </c>
      <c r="H23" s="97">
        <f t="shared" si="1"/>
        <v>13150</v>
      </c>
      <c r="I23" s="97">
        <v>13150</v>
      </c>
      <c r="J23" s="97">
        <f t="shared" si="0"/>
        <v>0</v>
      </c>
      <c r="K23" s="97"/>
      <c r="L23" s="97">
        <v>1000</v>
      </c>
      <c r="M23" s="87"/>
    </row>
    <row r="24" spans="1:13" ht="15.75" x14ac:dyDescent="0.25">
      <c r="A24" s="109" t="s">
        <v>190</v>
      </c>
      <c r="B24" s="94" t="s">
        <v>55</v>
      </c>
      <c r="C24" s="100"/>
      <c r="D24" s="96">
        <f>DECEMBER20!J24:J88</f>
        <v>0</v>
      </c>
      <c r="E24" s="101">
        <v>7000</v>
      </c>
      <c r="F24" s="102">
        <v>150</v>
      </c>
      <c r="G24" s="101">
        <v>150</v>
      </c>
      <c r="H24" s="97">
        <f t="shared" si="1"/>
        <v>7300</v>
      </c>
      <c r="I24" s="97">
        <f>2500+2000</f>
        <v>4500</v>
      </c>
      <c r="J24" s="97">
        <f t="shared" si="0"/>
        <v>2800</v>
      </c>
      <c r="K24" s="97"/>
      <c r="L24" s="97"/>
      <c r="M24" s="87"/>
    </row>
    <row r="25" spans="1:13" ht="15.75" x14ac:dyDescent="0.25">
      <c r="A25" s="109" t="s">
        <v>155</v>
      </c>
      <c r="B25" s="94" t="s">
        <v>56</v>
      </c>
      <c r="C25" s="100"/>
      <c r="D25" s="96">
        <f>DECEMBER20!J25:J89</f>
        <v>150</v>
      </c>
      <c r="E25" s="101">
        <v>5500</v>
      </c>
      <c r="F25" s="102"/>
      <c r="G25" s="101">
        <v>150</v>
      </c>
      <c r="H25" s="97">
        <f t="shared" si="1"/>
        <v>5800</v>
      </c>
      <c r="I25" s="97">
        <f>5800</f>
        <v>5800</v>
      </c>
      <c r="J25" s="97">
        <f t="shared" si="0"/>
        <v>0</v>
      </c>
      <c r="K25" s="97"/>
      <c r="L25" s="97"/>
      <c r="M25" s="87"/>
    </row>
    <row r="26" spans="1:13" ht="15.75" x14ac:dyDescent="0.25">
      <c r="A26" s="109" t="s">
        <v>130</v>
      </c>
      <c r="B26" s="94" t="s">
        <v>57</v>
      </c>
      <c r="C26" s="100"/>
      <c r="D26" s="96">
        <f>DECEMBER20!J26:J90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  <c r="M26" s="112"/>
    </row>
    <row r="27" spans="1:13" ht="15.75" x14ac:dyDescent="0.25">
      <c r="A27" s="109" t="s">
        <v>132</v>
      </c>
      <c r="B27" s="94" t="s">
        <v>58</v>
      </c>
      <c r="C27" s="100"/>
      <c r="D27" s="96">
        <f>DECEMBER20!J27:J90</f>
        <v>0</v>
      </c>
      <c r="E27" s="101">
        <v>6500</v>
      </c>
      <c r="F27" s="102">
        <v>450</v>
      </c>
      <c r="G27" s="101">
        <v>150</v>
      </c>
      <c r="H27" s="97">
        <f t="shared" si="1"/>
        <v>7100</v>
      </c>
      <c r="I27" s="97">
        <f>7100</f>
        <v>7100</v>
      </c>
      <c r="J27" s="97">
        <f t="shared" si="0"/>
        <v>0</v>
      </c>
      <c r="K27" s="97"/>
      <c r="L27" s="97"/>
      <c r="M27" s="112"/>
    </row>
    <row r="28" spans="1:13" ht="15.75" x14ac:dyDescent="0.25">
      <c r="A28" s="109" t="s">
        <v>235</v>
      </c>
      <c r="B28" s="94" t="s">
        <v>59</v>
      </c>
      <c r="C28" s="100"/>
      <c r="D28" s="96">
        <f>DECEMBER20!J28:J91</f>
        <v>0</v>
      </c>
      <c r="E28" s="101">
        <v>6500</v>
      </c>
      <c r="F28" s="102">
        <v>150</v>
      </c>
      <c r="G28" s="101">
        <v>150</v>
      </c>
      <c r="H28" s="97">
        <f t="shared" si="1"/>
        <v>6800</v>
      </c>
      <c r="I28" s="97">
        <f>5800</f>
        <v>5800</v>
      </c>
      <c r="J28" s="97">
        <f t="shared" si="0"/>
        <v>1000</v>
      </c>
      <c r="K28" s="97"/>
      <c r="L28" s="97"/>
      <c r="M28" s="105"/>
    </row>
    <row r="29" spans="1:13" ht="15.75" x14ac:dyDescent="0.25">
      <c r="A29" s="109" t="s">
        <v>177</v>
      </c>
      <c r="B29" s="94" t="s">
        <v>60</v>
      </c>
      <c r="C29" s="100"/>
      <c r="D29" s="96">
        <f>DECEMBER20!J29:J95</f>
        <v>150</v>
      </c>
      <c r="E29" s="101">
        <v>6500</v>
      </c>
      <c r="F29" s="102">
        <v>150</v>
      </c>
      <c r="G29" s="101">
        <v>150</v>
      </c>
      <c r="H29" s="97">
        <f t="shared" si="1"/>
        <v>6950</v>
      </c>
      <c r="I29" s="97">
        <f>6650</f>
        <v>6650</v>
      </c>
      <c r="J29" s="97">
        <f t="shared" si="0"/>
        <v>300</v>
      </c>
      <c r="K29" s="97"/>
      <c r="L29" s="97"/>
      <c r="M29" s="105"/>
    </row>
    <row r="30" spans="1:13" ht="15.75" x14ac:dyDescent="0.25">
      <c r="A30" s="109" t="s">
        <v>241</v>
      </c>
      <c r="B30" s="94" t="s">
        <v>61</v>
      </c>
      <c r="C30" s="100"/>
      <c r="D30" s="96">
        <f>DECEMBER20!J23</f>
        <v>150</v>
      </c>
      <c r="E30" s="101">
        <v>6500</v>
      </c>
      <c r="F30" s="102">
        <v>450</v>
      </c>
      <c r="G30" s="101">
        <v>150</v>
      </c>
      <c r="H30" s="97">
        <f t="shared" si="1"/>
        <v>7250</v>
      </c>
      <c r="I30" s="97">
        <f>6650</f>
        <v>6650</v>
      </c>
      <c r="J30" s="97">
        <f t="shared" si="0"/>
        <v>600</v>
      </c>
      <c r="K30" s="97"/>
      <c r="L30" s="97"/>
      <c r="M30" s="87"/>
    </row>
    <row r="31" spans="1:13" ht="15.75" x14ac:dyDescent="0.25">
      <c r="A31" s="109" t="s">
        <v>106</v>
      </c>
      <c r="B31" s="94" t="s">
        <v>62</v>
      </c>
      <c r="C31" s="95"/>
      <c r="D31" s="96">
        <f>DECEMBER20!J31:J97</f>
        <v>0</v>
      </c>
      <c r="E31" s="101">
        <v>6500</v>
      </c>
      <c r="F31" s="102">
        <v>150</v>
      </c>
      <c r="G31" s="101">
        <v>150</v>
      </c>
      <c r="H31" s="97">
        <f t="shared" si="1"/>
        <v>6800</v>
      </c>
      <c r="I31" s="97">
        <v>6650</v>
      </c>
      <c r="J31" s="97">
        <f t="shared" si="0"/>
        <v>150</v>
      </c>
      <c r="K31" s="97"/>
      <c r="L31" s="97"/>
      <c r="M31" s="105"/>
    </row>
    <row r="32" spans="1:13" ht="15.75" x14ac:dyDescent="0.25">
      <c r="A32" s="109" t="s">
        <v>181</v>
      </c>
      <c r="B32" s="94" t="s">
        <v>63</v>
      </c>
      <c r="C32" s="100"/>
      <c r="D32" s="96">
        <f>DECEMBER20!J32:J98</f>
        <v>8800</v>
      </c>
      <c r="E32" s="101">
        <v>6500</v>
      </c>
      <c r="F32" s="102"/>
      <c r="G32" s="101">
        <v>150</v>
      </c>
      <c r="H32" s="97">
        <f t="shared" si="1"/>
        <v>15450</v>
      </c>
      <c r="I32" s="97">
        <f>6500</f>
        <v>6500</v>
      </c>
      <c r="J32" s="97">
        <f t="shared" si="0"/>
        <v>8950</v>
      </c>
      <c r="K32" s="97"/>
      <c r="L32" s="97"/>
      <c r="M32" s="113"/>
    </row>
    <row r="33" spans="1:13" ht="15.75" x14ac:dyDescent="0.25">
      <c r="A33" s="109" t="s">
        <v>171</v>
      </c>
      <c r="B33" s="94" t="s">
        <v>64</v>
      </c>
      <c r="C33" s="100"/>
      <c r="D33" s="96">
        <f>DECEMBER20!J33:J99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6650</f>
        <v>6650</v>
      </c>
      <c r="J33" s="97">
        <f t="shared" si="0"/>
        <v>0</v>
      </c>
      <c r="K33" s="97"/>
      <c r="L33" s="97"/>
      <c r="M33" s="105"/>
    </row>
    <row r="34" spans="1:13" ht="15.75" x14ac:dyDescent="0.25">
      <c r="A34" s="109" t="s">
        <v>161</v>
      </c>
      <c r="B34" s="94" t="s">
        <v>65</v>
      </c>
      <c r="C34" s="100"/>
      <c r="D34" s="96">
        <f>DECEMBER20!J34:J100</f>
        <v>7100</v>
      </c>
      <c r="E34" s="102">
        <v>6500</v>
      </c>
      <c r="F34" s="102">
        <v>150</v>
      </c>
      <c r="G34" s="101">
        <v>150</v>
      </c>
      <c r="H34" s="97">
        <f t="shared" si="1"/>
        <v>13900</v>
      </c>
      <c r="I34" s="97">
        <f>10000</f>
        <v>10000</v>
      </c>
      <c r="J34" s="97">
        <f t="shared" si="0"/>
        <v>3900</v>
      </c>
      <c r="K34" s="97"/>
      <c r="L34" s="97"/>
      <c r="M34" s="105"/>
    </row>
    <row r="35" spans="1:13" ht="15.75" x14ac:dyDescent="0.25">
      <c r="A35" s="93" t="s">
        <v>153</v>
      </c>
      <c r="B35" s="94" t="s">
        <v>66</v>
      </c>
      <c r="C35" s="100"/>
      <c r="D35" s="96">
        <f>DECEMBER20!J35</f>
        <v>6800</v>
      </c>
      <c r="E35" s="102">
        <v>6500</v>
      </c>
      <c r="F35" s="102"/>
      <c r="G35" s="101">
        <v>150</v>
      </c>
      <c r="H35" s="97">
        <f t="shared" si="1"/>
        <v>13450</v>
      </c>
      <c r="I35" s="97">
        <f>11000</f>
        <v>11000</v>
      </c>
      <c r="J35" s="97">
        <f t="shared" si="0"/>
        <v>2450</v>
      </c>
      <c r="K35" s="97"/>
      <c r="L35" s="97"/>
      <c r="M35" s="105"/>
    </row>
    <row r="36" spans="1:13" ht="15.75" x14ac:dyDescent="0.25">
      <c r="A36" s="109" t="s">
        <v>162</v>
      </c>
      <c r="B36" s="94" t="s">
        <v>67</v>
      </c>
      <c r="C36" s="100"/>
      <c r="D36" s="96">
        <f>DECEMBER20!J36:J102</f>
        <v>9600</v>
      </c>
      <c r="E36" s="102">
        <v>6500</v>
      </c>
      <c r="F36" s="102"/>
      <c r="G36" s="101">
        <v>150</v>
      </c>
      <c r="H36" s="97">
        <f t="shared" si="1"/>
        <v>16250</v>
      </c>
      <c r="I36" s="97">
        <f>7500</f>
        <v>7500</v>
      </c>
      <c r="J36" s="97">
        <f t="shared" si="0"/>
        <v>8750</v>
      </c>
      <c r="K36" s="97"/>
      <c r="L36" s="97"/>
      <c r="M36" s="105">
        <f>M38*6</f>
        <v>1300</v>
      </c>
    </row>
    <row r="37" spans="1:13" ht="15.75" x14ac:dyDescent="0.25">
      <c r="A37" s="109" t="s">
        <v>126</v>
      </c>
      <c r="B37" s="94" t="s">
        <v>68</v>
      </c>
      <c r="C37" s="100"/>
      <c r="D37" s="96">
        <f>DECEMBER20!J37:J103</f>
        <v>300</v>
      </c>
      <c r="E37" s="102">
        <v>7000</v>
      </c>
      <c r="F37" s="102">
        <v>150</v>
      </c>
      <c r="G37" s="101"/>
      <c r="H37" s="97">
        <f t="shared" si="1"/>
        <v>7450</v>
      </c>
      <c r="I37" s="97">
        <f>7300</f>
        <v>7300</v>
      </c>
      <c r="J37" s="97">
        <f t="shared" si="0"/>
        <v>150</v>
      </c>
      <c r="K37" s="97"/>
      <c r="L37" s="97"/>
      <c r="M37" s="105">
        <f>31-24</f>
        <v>7</v>
      </c>
    </row>
    <row r="38" spans="1:13" ht="15.75" x14ac:dyDescent="0.25">
      <c r="A38" s="109" t="s">
        <v>280</v>
      </c>
      <c r="B38" s="94" t="s">
        <v>69</v>
      </c>
      <c r="C38" s="100">
        <v>5500</v>
      </c>
      <c r="D38" s="96">
        <f>DECEMBER20!J38:J104</f>
        <v>0</v>
      </c>
      <c r="E38" s="102">
        <v>5500</v>
      </c>
      <c r="F38" s="102"/>
      <c r="G38" s="101">
        <v>150</v>
      </c>
      <c r="H38" s="97">
        <f t="shared" si="1"/>
        <v>11150</v>
      </c>
      <c r="I38" s="97">
        <v>11150</v>
      </c>
      <c r="J38" s="97">
        <f t="shared" si="0"/>
        <v>0</v>
      </c>
      <c r="K38" s="97"/>
      <c r="L38" s="97"/>
      <c r="M38" s="105">
        <f>6500/30</f>
        <v>216.66666666666666</v>
      </c>
    </row>
    <row r="39" spans="1:13" ht="15.75" x14ac:dyDescent="0.25">
      <c r="A39" s="109" t="s">
        <v>125</v>
      </c>
      <c r="B39" s="94" t="s">
        <v>70</v>
      </c>
      <c r="C39" s="100"/>
      <c r="D39" s="96">
        <f>DECEMBER20!J39:J105</f>
        <v>0</v>
      </c>
      <c r="E39" s="102">
        <v>7000</v>
      </c>
      <c r="F39" s="102">
        <v>300</v>
      </c>
      <c r="G39" s="101">
        <v>150</v>
      </c>
      <c r="H39" s="97">
        <f t="shared" si="1"/>
        <v>7450</v>
      </c>
      <c r="I39" s="97">
        <f>7000+450</f>
        <v>7450</v>
      </c>
      <c r="J39" s="97">
        <f t="shared" si="0"/>
        <v>0</v>
      </c>
      <c r="K39" s="97"/>
      <c r="L39" s="97"/>
      <c r="M39" s="113">
        <f>M38*8</f>
        <v>1733.3333333333333</v>
      </c>
    </row>
    <row r="40" spans="1:13" ht="15.75" x14ac:dyDescent="0.25">
      <c r="A40" s="109" t="s">
        <v>191</v>
      </c>
      <c r="B40" s="94" t="s">
        <v>71</v>
      </c>
      <c r="C40" s="100"/>
      <c r="D40" s="96">
        <f>DECEMBER20!J40:J106</f>
        <v>7200</v>
      </c>
      <c r="E40" s="102">
        <v>6500</v>
      </c>
      <c r="F40" s="102">
        <v>300</v>
      </c>
      <c r="G40" s="101">
        <v>150</v>
      </c>
      <c r="H40" s="97">
        <f t="shared" si="1"/>
        <v>14150</v>
      </c>
      <c r="I40" s="97">
        <f>6400+2300</f>
        <v>8700</v>
      </c>
      <c r="J40" s="97">
        <f t="shared" si="0"/>
        <v>5450</v>
      </c>
      <c r="K40" s="97"/>
      <c r="L40" s="97"/>
      <c r="M40" s="105">
        <f>6500+6500+1000+1680</f>
        <v>15680</v>
      </c>
    </row>
    <row r="41" spans="1:13" ht="15.75" x14ac:dyDescent="0.25">
      <c r="A41" s="109" t="s">
        <v>127</v>
      </c>
      <c r="B41" s="94" t="s">
        <v>72</v>
      </c>
      <c r="C41" s="100"/>
      <c r="D41" s="96">
        <f>DECEMBER20!J41:J107</f>
        <v>1700</v>
      </c>
      <c r="E41" s="102">
        <v>6500</v>
      </c>
      <c r="F41" s="102">
        <v>300</v>
      </c>
      <c r="G41" s="101">
        <v>150</v>
      </c>
      <c r="H41" s="97">
        <f t="shared" si="1"/>
        <v>8650</v>
      </c>
      <c r="I41" s="97">
        <f>7000</f>
        <v>7000</v>
      </c>
      <c r="J41" s="97">
        <f t="shared" si="0"/>
        <v>1650</v>
      </c>
      <c r="K41" s="97"/>
      <c r="L41" s="97"/>
      <c r="M41" s="105">
        <v>11080</v>
      </c>
    </row>
    <row r="42" spans="1:13" ht="15.75" x14ac:dyDescent="0.25">
      <c r="A42" s="109" t="s">
        <v>124</v>
      </c>
      <c r="B42" s="94" t="s">
        <v>73</v>
      </c>
      <c r="C42" s="100"/>
      <c r="D42" s="96">
        <f>DECEMBER20!J42:J108</f>
        <v>500</v>
      </c>
      <c r="E42" s="102">
        <v>6500</v>
      </c>
      <c r="F42" s="102"/>
      <c r="G42" s="101">
        <v>150</v>
      </c>
      <c r="H42" s="97">
        <f t="shared" si="1"/>
        <v>7150</v>
      </c>
      <c r="I42" s="97">
        <f>6500</f>
        <v>6500</v>
      </c>
      <c r="J42" s="97">
        <f t="shared" si="0"/>
        <v>650</v>
      </c>
      <c r="K42" s="97"/>
      <c r="L42" s="97"/>
      <c r="M42" s="113">
        <f>M40-M41</f>
        <v>4600</v>
      </c>
    </row>
    <row r="43" spans="1:13" ht="15.75" x14ac:dyDescent="0.25">
      <c r="A43" s="109" t="s">
        <v>246</v>
      </c>
      <c r="B43" s="94" t="s">
        <v>74</v>
      </c>
      <c r="C43" s="100">
        <v>6500</v>
      </c>
      <c r="D43" s="96">
        <f>DECEMBER20!J43:J109</f>
        <v>0</v>
      </c>
      <c r="E43" s="102">
        <v>6500</v>
      </c>
      <c r="F43" s="102"/>
      <c r="G43" s="101">
        <v>150</v>
      </c>
      <c r="H43" s="97">
        <f>D43+E43+F43+G43+C43</f>
        <v>13150</v>
      </c>
      <c r="I43" s="97">
        <f>6500+6650</f>
        <v>13150</v>
      </c>
      <c r="J43" s="97">
        <f t="shared" si="0"/>
        <v>0</v>
      </c>
      <c r="K43" s="97"/>
      <c r="L43" s="97">
        <v>1000</v>
      </c>
      <c r="M43" s="105"/>
    </row>
    <row r="44" spans="1:13" ht="15.75" x14ac:dyDescent="0.25">
      <c r="A44" s="109" t="s">
        <v>205</v>
      </c>
      <c r="B44" s="94" t="s">
        <v>75</v>
      </c>
      <c r="C44" s="100"/>
      <c r="D44" s="96">
        <f>DECEMBER20!J44:J110</f>
        <v>0</v>
      </c>
      <c r="E44" s="102">
        <v>6500</v>
      </c>
      <c r="F44" s="102"/>
      <c r="G44" s="101">
        <v>150</v>
      </c>
      <c r="H44" s="97">
        <f t="shared" si="1"/>
        <v>6650</v>
      </c>
      <c r="I44" s="97">
        <f>6500</f>
        <v>6500</v>
      </c>
      <c r="J44" s="97">
        <f t="shared" si="0"/>
        <v>150</v>
      </c>
      <c r="K44" s="97"/>
      <c r="L44" s="97"/>
      <c r="M44" s="105"/>
    </row>
    <row r="45" spans="1:13" ht="15.75" x14ac:dyDescent="0.25">
      <c r="A45" s="109" t="s">
        <v>243</v>
      </c>
      <c r="B45" s="94" t="s">
        <v>76</v>
      </c>
      <c r="C45" s="100">
        <v>6500</v>
      </c>
      <c r="D45" s="96">
        <f>DECEMBER20!J45:J111</f>
        <v>0</v>
      </c>
      <c r="E45" s="102">
        <v>6500</v>
      </c>
      <c r="F45" s="102"/>
      <c r="G45" s="101">
        <v>150</v>
      </c>
      <c r="H45" s="97">
        <f t="shared" si="1"/>
        <v>13150</v>
      </c>
      <c r="I45" s="97">
        <v>13150</v>
      </c>
      <c r="J45" s="97">
        <f t="shared" si="0"/>
        <v>0</v>
      </c>
      <c r="K45" s="97"/>
      <c r="L45" s="97">
        <v>1000</v>
      </c>
      <c r="M45" s="113"/>
    </row>
    <row r="46" spans="1:13" ht="15.75" x14ac:dyDescent="0.25">
      <c r="A46" s="109" t="s">
        <v>268</v>
      </c>
      <c r="B46" s="94" t="s">
        <v>77</v>
      </c>
      <c r="C46" s="100">
        <v>6500</v>
      </c>
      <c r="D46" s="96"/>
      <c r="E46" s="102">
        <v>6500</v>
      </c>
      <c r="F46" s="102"/>
      <c r="G46" s="101">
        <v>150</v>
      </c>
      <c r="H46" s="97">
        <f t="shared" si="1"/>
        <v>13150</v>
      </c>
      <c r="I46" s="97">
        <v>13150</v>
      </c>
      <c r="J46" s="97">
        <f t="shared" si="0"/>
        <v>0</v>
      </c>
      <c r="K46" s="97"/>
      <c r="L46" s="97">
        <v>1000</v>
      </c>
      <c r="M46" s="113"/>
    </row>
    <row r="47" spans="1:13" ht="15.75" x14ac:dyDescent="0.25">
      <c r="A47" s="109" t="s">
        <v>204</v>
      </c>
      <c r="B47" s="94" t="s">
        <v>78</v>
      </c>
      <c r="C47" s="100"/>
      <c r="D47" s="96">
        <f>DECEMBER20!J47:J113</f>
        <v>0</v>
      </c>
      <c r="E47" s="102">
        <v>6500</v>
      </c>
      <c r="F47" s="102">
        <v>150</v>
      </c>
      <c r="G47" s="101">
        <v>150</v>
      </c>
      <c r="H47" s="97">
        <f t="shared" si="1"/>
        <v>6800</v>
      </c>
      <c r="I47" s="97">
        <v>6800</v>
      </c>
      <c r="J47" s="97">
        <f t="shared" si="0"/>
        <v>0</v>
      </c>
      <c r="K47" s="97"/>
      <c r="L47" s="97"/>
      <c r="M47" s="105"/>
    </row>
    <row r="48" spans="1:13" ht="15.75" x14ac:dyDescent="0.25">
      <c r="A48" s="93" t="s">
        <v>262</v>
      </c>
      <c r="B48" s="94" t="s">
        <v>79</v>
      </c>
      <c r="C48" s="100">
        <v>6500</v>
      </c>
      <c r="D48" s="96">
        <f>DECEMBER20!J48:J114</f>
        <v>0</v>
      </c>
      <c r="E48" s="102">
        <v>6500</v>
      </c>
      <c r="F48" s="102"/>
      <c r="G48" s="101">
        <v>150</v>
      </c>
      <c r="H48" s="97">
        <f t="shared" si="1"/>
        <v>13150</v>
      </c>
      <c r="I48" s="97">
        <f>10000</f>
        <v>10000</v>
      </c>
      <c r="J48" s="97">
        <f t="shared" si="0"/>
        <v>3150</v>
      </c>
      <c r="K48" s="97"/>
      <c r="L48" s="97"/>
      <c r="M48" s="113"/>
    </row>
    <row r="49" spans="1:15" ht="15.75" x14ac:dyDescent="0.25">
      <c r="A49" s="109" t="s">
        <v>186</v>
      </c>
      <c r="B49" s="94" t="s">
        <v>80</v>
      </c>
      <c r="C49" s="100"/>
      <c r="D49" s="96">
        <f>DECEMBER20!J49:J115</f>
        <v>3250</v>
      </c>
      <c r="E49" s="102">
        <v>6500</v>
      </c>
      <c r="F49" s="102">
        <v>150</v>
      </c>
      <c r="G49" s="101">
        <v>150</v>
      </c>
      <c r="H49" s="97">
        <f t="shared" si="1"/>
        <v>10050</v>
      </c>
      <c r="I49" s="97">
        <v>10050</v>
      </c>
      <c r="J49" s="97">
        <f t="shared" si="0"/>
        <v>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DECEMBER20!J50:J116</f>
        <v>300</v>
      </c>
      <c r="E50" s="102">
        <v>7000</v>
      </c>
      <c r="F50" s="102">
        <v>600</v>
      </c>
      <c r="G50" s="101">
        <v>150</v>
      </c>
      <c r="H50" s="97">
        <f t="shared" si="1"/>
        <v>8050</v>
      </c>
      <c r="I50" s="97">
        <f>7000</f>
        <v>7000</v>
      </c>
      <c r="J50" s="97">
        <f t="shared" si="0"/>
        <v>1050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DECEMBER20!J51:J117</f>
        <v>150</v>
      </c>
      <c r="E51" s="102">
        <v>5500</v>
      </c>
      <c r="F51" s="102"/>
      <c r="G51" s="101">
        <v>150</v>
      </c>
      <c r="H51" s="97">
        <f t="shared" si="1"/>
        <v>5800</v>
      </c>
      <c r="I51" s="97">
        <f>5650</f>
        <v>5650</v>
      </c>
      <c r="J51" s="97">
        <f t="shared" si="0"/>
        <v>150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DECEMBER20!J52:J118</f>
        <v>4900</v>
      </c>
      <c r="E52" s="102">
        <v>7000</v>
      </c>
      <c r="F52" s="102">
        <v>150</v>
      </c>
      <c r="G52" s="101">
        <v>150</v>
      </c>
      <c r="H52" s="97">
        <f t="shared" si="1"/>
        <v>12200</v>
      </c>
      <c r="I52" s="97">
        <f>2500+2000+2300+4900</f>
        <v>11700</v>
      </c>
      <c r="J52" s="97">
        <f t="shared" si="0"/>
        <v>500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DECEMBER20!J53:J119</f>
        <v>0</v>
      </c>
      <c r="E53" s="102">
        <v>6500</v>
      </c>
      <c r="F53" s="102"/>
      <c r="G53" s="101">
        <v>150</v>
      </c>
      <c r="H53" s="97">
        <f t="shared" si="1"/>
        <v>6650</v>
      </c>
      <c r="I53" s="97">
        <f>6500</f>
        <v>6500</v>
      </c>
      <c r="J53" s="97">
        <f t="shared" si="0"/>
        <v>150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DECEMBER20!J54:J120</f>
        <v>6300</v>
      </c>
      <c r="E54" s="102">
        <v>6500</v>
      </c>
      <c r="F54" s="102"/>
      <c r="G54" s="101">
        <v>150</v>
      </c>
      <c r="H54" s="97">
        <f t="shared" si="1"/>
        <v>12950</v>
      </c>
      <c r="I54" s="97">
        <f>12950</f>
        <v>12950</v>
      </c>
      <c r="J54" s="97">
        <f t="shared" si="0"/>
        <v>0</v>
      </c>
      <c r="K54" s="97"/>
      <c r="L54" s="97"/>
      <c r="M54" s="105"/>
    </row>
    <row r="55" spans="1:15" ht="15.75" x14ac:dyDescent="0.25">
      <c r="A55" s="109" t="s">
        <v>282</v>
      </c>
      <c r="B55" s="94" t="s">
        <v>86</v>
      </c>
      <c r="C55" s="100">
        <v>6500</v>
      </c>
      <c r="D55" s="96"/>
      <c r="E55" s="102">
        <v>6500</v>
      </c>
      <c r="F55" s="102"/>
      <c r="G55" s="101"/>
      <c r="H55" s="97">
        <f>D55+E55+F55+G55+C55</f>
        <v>13000</v>
      </c>
      <c r="I55" s="97">
        <v>13000</v>
      </c>
      <c r="J55" s="97">
        <f>H55-I55</f>
        <v>0</v>
      </c>
      <c r="K55" s="97"/>
      <c r="L55" s="97"/>
      <c r="M55" s="105"/>
    </row>
    <row r="56" spans="1:15" ht="15.75" x14ac:dyDescent="0.25">
      <c r="A56" s="109" t="s">
        <v>248</v>
      </c>
      <c r="B56" s="94" t="s">
        <v>87</v>
      </c>
      <c r="C56" s="100">
        <v>6500</v>
      </c>
      <c r="D56" s="96">
        <f>DECEMBER20!J56:J122</f>
        <v>0</v>
      </c>
      <c r="E56" s="102">
        <v>6500</v>
      </c>
      <c r="F56" s="102">
        <v>150</v>
      </c>
      <c r="G56" s="101">
        <v>150</v>
      </c>
      <c r="H56" s="97">
        <f t="shared" si="1"/>
        <v>13300</v>
      </c>
      <c r="I56" s="97">
        <f>8000+5300</f>
        <v>13300</v>
      </c>
      <c r="J56" s="97">
        <f t="shared" si="0"/>
        <v>0</v>
      </c>
      <c r="K56" s="97"/>
      <c r="L56" s="97">
        <v>1000</v>
      </c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DECEMBER20!J57:J123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f>5000+1000+650</f>
        <v>6650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DECEMBER20!J58:J124</f>
        <v>150</v>
      </c>
      <c r="E58" s="102">
        <v>7000</v>
      </c>
      <c r="F58" s="102"/>
      <c r="G58" s="101">
        <v>150</v>
      </c>
      <c r="H58" s="97">
        <f t="shared" si="1"/>
        <v>7300</v>
      </c>
      <c r="I58" s="97">
        <f>7300</f>
        <v>7300</v>
      </c>
      <c r="J58" s="97">
        <f t="shared" si="0"/>
        <v>0</v>
      </c>
      <c r="K58" s="97"/>
      <c r="L58" s="97"/>
      <c r="M58" s="105"/>
    </row>
    <row r="59" spans="1:15" ht="15.75" x14ac:dyDescent="0.25">
      <c r="A59" s="93" t="s">
        <v>264</v>
      </c>
      <c r="B59" s="94" t="s">
        <v>90</v>
      </c>
      <c r="C59" s="100">
        <v>6500</v>
      </c>
      <c r="D59" s="96">
        <f>DECEMBER20!J59:J125</f>
        <v>0</v>
      </c>
      <c r="E59" s="102">
        <v>6500</v>
      </c>
      <c r="F59" s="102"/>
      <c r="G59" s="101">
        <v>150</v>
      </c>
      <c r="H59" s="97">
        <f t="shared" si="1"/>
        <v>13150</v>
      </c>
      <c r="I59" s="97">
        <v>13150</v>
      </c>
      <c r="J59" s="97">
        <f t="shared" si="0"/>
        <v>0</v>
      </c>
      <c r="K59" s="97"/>
      <c r="L59" s="97">
        <v>1000</v>
      </c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DECEMBER20!J60:J126</f>
        <v>0</v>
      </c>
      <c r="E60" s="102">
        <v>6500</v>
      </c>
      <c r="F60" s="102"/>
      <c r="G60" s="101">
        <v>150</v>
      </c>
      <c r="H60" s="97">
        <f t="shared" si="1"/>
        <v>6650</v>
      </c>
      <c r="I60" s="97">
        <v>6650</v>
      </c>
      <c r="J60" s="97">
        <f>H60-I60</f>
        <v>0</v>
      </c>
      <c r="K60" s="97"/>
      <c r="L60" s="97"/>
      <c r="M60" s="87"/>
    </row>
    <row r="61" spans="1:15" ht="15.75" x14ac:dyDescent="0.25">
      <c r="A61" s="114" t="s">
        <v>17</v>
      </c>
      <c r="B61" s="94" t="s">
        <v>92</v>
      </c>
      <c r="C61" s="100"/>
      <c r="D61" s="96">
        <f>DECEMBER20!J61:J127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5" ht="15.75" x14ac:dyDescent="0.25">
      <c r="A62" s="114" t="s">
        <v>17</v>
      </c>
      <c r="B62" s="94" t="s">
        <v>93</v>
      </c>
      <c r="C62" s="100"/>
      <c r="D62" s="96">
        <f>DECEMBER20!J62:J128</f>
        <v>0</v>
      </c>
      <c r="E62" s="102"/>
      <c r="F62" s="102"/>
      <c r="G62" s="101"/>
      <c r="H62" s="97">
        <f t="shared" si="1"/>
        <v>0</v>
      </c>
      <c r="I62" s="97"/>
      <c r="J62" s="97">
        <f t="shared" si="0"/>
        <v>0</v>
      </c>
      <c r="K62" s="97"/>
      <c r="L62" s="97"/>
      <c r="M62" s="87"/>
      <c r="O62" s="23"/>
    </row>
    <row r="63" spans="1:15" ht="15.75" x14ac:dyDescent="0.25">
      <c r="A63" s="93" t="s">
        <v>267</v>
      </c>
      <c r="B63" s="94" t="s">
        <v>94</v>
      </c>
      <c r="C63" s="100">
        <v>7000</v>
      </c>
      <c r="D63" s="96">
        <f>DECEMBER20!J63:J129</f>
        <v>0</v>
      </c>
      <c r="E63" s="102">
        <v>7000</v>
      </c>
      <c r="F63" s="102"/>
      <c r="G63" s="101">
        <v>150</v>
      </c>
      <c r="H63" s="97">
        <f t="shared" si="1"/>
        <v>14150</v>
      </c>
      <c r="I63" s="97">
        <v>14150</v>
      </c>
      <c r="J63" s="97">
        <f t="shared" si="0"/>
        <v>0</v>
      </c>
      <c r="K63" s="97"/>
      <c r="L63" s="97">
        <v>1000</v>
      </c>
      <c r="M63" s="87"/>
    </row>
    <row r="64" spans="1:15" ht="15.75" x14ac:dyDescent="0.25">
      <c r="A64" s="109" t="s">
        <v>188</v>
      </c>
      <c r="B64" s="94" t="s">
        <v>95</v>
      </c>
      <c r="C64" s="100"/>
      <c r="D64" s="96">
        <v>6500</v>
      </c>
      <c r="E64" s="102">
        <v>5500</v>
      </c>
      <c r="F64" s="102">
        <v>150</v>
      </c>
      <c r="G64" s="101">
        <v>150</v>
      </c>
      <c r="H64" s="97">
        <f t="shared" si="1"/>
        <v>12300</v>
      </c>
      <c r="I64" s="97">
        <v>12300</v>
      </c>
      <c r="J64" s="97">
        <f t="shared" si="0"/>
        <v>0</v>
      </c>
      <c r="K64" s="97"/>
      <c r="L64" s="97"/>
      <c r="M64" s="87"/>
    </row>
    <row r="65" spans="1:17" ht="15.75" x14ac:dyDescent="0.25">
      <c r="A65" s="109" t="s">
        <v>113</v>
      </c>
      <c r="B65" s="94" t="s">
        <v>96</v>
      </c>
      <c r="C65" s="100"/>
      <c r="D65" s="96">
        <f>DECEMBER20!J65:J131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v>7300</v>
      </c>
      <c r="J65" s="97">
        <f>H65-I65</f>
        <v>0</v>
      </c>
      <c r="K65" s="97"/>
      <c r="L65" s="97"/>
      <c r="M65" s="87"/>
    </row>
    <row r="66" spans="1:17" ht="15.75" x14ac:dyDescent="0.25">
      <c r="A66" s="93" t="s">
        <v>263</v>
      </c>
      <c r="B66" s="94" t="s">
        <v>97</v>
      </c>
      <c r="C66" s="100">
        <v>6500</v>
      </c>
      <c r="D66" s="96">
        <f>DECEMBER20!J66:J132</f>
        <v>0</v>
      </c>
      <c r="E66" s="102">
        <v>6500</v>
      </c>
      <c r="F66" s="102"/>
      <c r="G66" s="101">
        <v>150</v>
      </c>
      <c r="H66" s="97">
        <f t="shared" si="1"/>
        <v>13150</v>
      </c>
      <c r="I66" s="97">
        <v>13150</v>
      </c>
      <c r="J66" s="97">
        <f t="shared" si="0"/>
        <v>0</v>
      </c>
      <c r="K66" s="97"/>
      <c r="L66" s="97">
        <v>1000</v>
      </c>
      <c r="M66" s="87"/>
    </row>
    <row r="67" spans="1:17" ht="15.75" x14ac:dyDescent="0.25">
      <c r="A67" s="109" t="s">
        <v>234</v>
      </c>
      <c r="B67" s="94" t="s">
        <v>98</v>
      </c>
      <c r="C67" s="100"/>
      <c r="D67" s="96">
        <f>DECEMBER20!J67:J133</f>
        <v>0</v>
      </c>
      <c r="E67" s="102">
        <v>6500</v>
      </c>
      <c r="F67" s="102"/>
      <c r="G67" s="101">
        <v>150</v>
      </c>
      <c r="H67" s="97">
        <f t="shared" si="1"/>
        <v>6650</v>
      </c>
      <c r="I67" s="97">
        <v>6650</v>
      </c>
      <c r="J67" s="97">
        <f t="shared" si="0"/>
        <v>0</v>
      </c>
      <c r="K67" s="97"/>
      <c r="L67" s="97"/>
      <c r="M67" s="87"/>
    </row>
    <row r="68" spans="1:17" ht="15.75" x14ac:dyDescent="0.25">
      <c r="A68" s="109" t="s">
        <v>115</v>
      </c>
      <c r="B68" s="94" t="s">
        <v>99</v>
      </c>
      <c r="C68" s="100"/>
      <c r="D68" s="96">
        <f>DECEMBER20!J68:J134</f>
        <v>650</v>
      </c>
      <c r="E68" s="102">
        <v>6500</v>
      </c>
      <c r="F68" s="102"/>
      <c r="G68" s="101">
        <v>150</v>
      </c>
      <c r="H68" s="97">
        <f t="shared" si="1"/>
        <v>7300</v>
      </c>
      <c r="I68" s="97">
        <v>6800</v>
      </c>
      <c r="J68" s="97">
        <f>H68-I68</f>
        <v>500</v>
      </c>
      <c r="K68" s="97"/>
      <c r="L68" s="97"/>
      <c r="M68" s="87"/>
    </row>
    <row r="69" spans="1:17" ht="15.75" x14ac:dyDescent="0.25">
      <c r="A69" s="114" t="s">
        <v>17</v>
      </c>
      <c r="B69" s="94" t="s">
        <v>100</v>
      </c>
      <c r="C69" s="100"/>
      <c r="D69" s="96">
        <f>DECEMBER20!J69:J135</f>
        <v>0</v>
      </c>
      <c r="E69" s="102"/>
      <c r="F69" s="102"/>
      <c r="G69" s="101"/>
      <c r="H69" s="97">
        <f t="shared" si="1"/>
        <v>0</v>
      </c>
      <c r="I69" s="97"/>
      <c r="J69" s="97">
        <f>H69-I69</f>
        <v>0</v>
      </c>
      <c r="K69" s="97"/>
      <c r="L69" s="97"/>
      <c r="M69" s="87"/>
    </row>
    <row r="70" spans="1:17" ht="15.75" x14ac:dyDescent="0.25">
      <c r="A70" s="109" t="s">
        <v>116</v>
      </c>
      <c r="B70" s="94" t="s">
        <v>101</v>
      </c>
      <c r="C70" s="100"/>
      <c r="D70" s="96">
        <f>DECEMBER20!J70:J136</f>
        <v>1950</v>
      </c>
      <c r="E70" s="102">
        <v>7000</v>
      </c>
      <c r="F70" s="102"/>
      <c r="G70" s="101">
        <v>150</v>
      </c>
      <c r="H70" s="97">
        <f t="shared" si="1"/>
        <v>9100</v>
      </c>
      <c r="I70" s="97">
        <f>8000</f>
        <v>8000</v>
      </c>
      <c r="J70" s="97">
        <f>H70-I70</f>
        <v>1100</v>
      </c>
      <c r="K70" s="97"/>
      <c r="L70" s="97"/>
      <c r="M70" s="87"/>
    </row>
    <row r="71" spans="1:17" ht="15.75" x14ac:dyDescent="0.25">
      <c r="A71" s="115" t="s">
        <v>28</v>
      </c>
      <c r="B71" s="109"/>
      <c r="C71" s="100">
        <f>SUM(C6:C70)</f>
        <v>116500</v>
      </c>
      <c r="D71" s="96">
        <f>SUM(D6:D70)</f>
        <v>85770</v>
      </c>
      <c r="E71" s="116">
        <f>SUM(E6:E70)</f>
        <v>390500</v>
      </c>
      <c r="F71" s="117">
        <f t="shared" ref="F71:L71" si="2">SUM(F6:F70)</f>
        <v>4950</v>
      </c>
      <c r="G71" s="118">
        <f>SUM(G6:G70)</f>
        <v>8700</v>
      </c>
      <c r="H71" s="119">
        <f>SUM(H6:H70)</f>
        <v>606420</v>
      </c>
      <c r="I71" s="119">
        <f t="shared" si="2"/>
        <v>555620</v>
      </c>
      <c r="J71" s="119">
        <f>SUM(J6:J70)</f>
        <v>50800</v>
      </c>
      <c r="K71" s="119">
        <f t="shared" si="2"/>
        <v>0</v>
      </c>
      <c r="L71" s="119">
        <f t="shared" si="2"/>
        <v>13000</v>
      </c>
      <c r="M71" s="87"/>
    </row>
    <row r="72" spans="1:17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7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O73" s="144" t="s">
        <v>250</v>
      </c>
      <c r="P73" s="145"/>
      <c r="Q73" s="83"/>
    </row>
    <row r="74" spans="1:17" ht="15.75" x14ac:dyDescent="0.25">
      <c r="A74" s="109" t="s">
        <v>245</v>
      </c>
      <c r="B74" s="124">
        <f>E71</f>
        <v>390500</v>
      </c>
      <c r="C74" s="109"/>
      <c r="D74" s="109"/>
      <c r="E74" s="109"/>
      <c r="F74" s="109" t="s">
        <v>245</v>
      </c>
      <c r="G74" s="109"/>
      <c r="H74" s="125">
        <f>I71</f>
        <v>555620</v>
      </c>
      <c r="I74" s="109"/>
      <c r="J74" s="109"/>
      <c r="K74" s="109"/>
      <c r="L74" s="126"/>
      <c r="O74" s="127" t="s">
        <v>272</v>
      </c>
      <c r="Q74">
        <f>4000</f>
        <v>4000</v>
      </c>
    </row>
    <row r="75" spans="1:17" ht="15.75" x14ac:dyDescent="0.25">
      <c r="A75" s="109" t="s">
        <v>37</v>
      </c>
      <c r="B75" s="124">
        <f>DECEMBER20!D96</f>
        <v>115743.18999999994</v>
      </c>
      <c r="C75" s="109"/>
      <c r="D75" s="109"/>
      <c r="E75" s="109"/>
      <c r="F75" s="109" t="s">
        <v>37</v>
      </c>
      <c r="G75" s="109"/>
      <c r="H75" s="124">
        <f>DECEMBER20!J96</f>
        <v>32223.189999999944</v>
      </c>
      <c r="I75" s="109"/>
      <c r="J75" s="109"/>
      <c r="K75" s="109"/>
      <c r="L75" s="126"/>
      <c r="O75" s="127" t="s">
        <v>279</v>
      </c>
      <c r="Q75">
        <v>675</v>
      </c>
    </row>
    <row r="76" spans="1:17" ht="15.75" x14ac:dyDescent="0.25">
      <c r="A76" s="109" t="s">
        <v>38</v>
      </c>
      <c r="B76" s="124">
        <f>C71</f>
        <v>116500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s="143" t="s">
        <v>273</v>
      </c>
      <c r="P76" s="2"/>
      <c r="Q76">
        <f>6575</f>
        <v>6575</v>
      </c>
    </row>
    <row r="77" spans="1:17" ht="15.75" x14ac:dyDescent="0.25">
      <c r="A77" s="109" t="s">
        <v>7</v>
      </c>
      <c r="B77" s="124">
        <f>F71</f>
        <v>4950</v>
      </c>
      <c r="C77" s="109"/>
      <c r="D77" s="109"/>
      <c r="E77" s="109"/>
      <c r="F77" s="109"/>
      <c r="G77" s="124"/>
      <c r="H77" s="109"/>
      <c r="I77" s="109"/>
      <c r="J77" s="109"/>
      <c r="K77" s="109"/>
      <c r="L77" s="126"/>
      <c r="O77" s="105" t="s">
        <v>274</v>
      </c>
      <c r="P77" s="2"/>
      <c r="Q77">
        <v>1350</v>
      </c>
    </row>
    <row r="78" spans="1:17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s="105" t="s">
        <v>222</v>
      </c>
      <c r="P78" s="2"/>
      <c r="Q78">
        <v>1000</v>
      </c>
    </row>
    <row r="79" spans="1:17" ht="15.75" x14ac:dyDescent="0.25">
      <c r="A79" s="109" t="s">
        <v>40</v>
      </c>
      <c r="B79" s="125">
        <f>L71</f>
        <v>13000</v>
      </c>
      <c r="C79" s="109"/>
      <c r="D79" s="109"/>
      <c r="E79" s="109"/>
      <c r="F79" s="109" t="s">
        <v>40</v>
      </c>
      <c r="G79" s="109"/>
      <c r="H79" s="125">
        <f>L71</f>
        <v>13000</v>
      </c>
      <c r="I79" s="109"/>
      <c r="J79" s="109"/>
      <c r="K79" s="109"/>
      <c r="L79" s="126"/>
      <c r="O79" s="88" t="s">
        <v>144</v>
      </c>
      <c r="Q79">
        <v>2951</v>
      </c>
    </row>
    <row r="80" spans="1:17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s="88" t="s">
        <v>144</v>
      </c>
      <c r="Q80">
        <v>3605</v>
      </c>
    </row>
    <row r="81" spans="1:17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s="127" t="s">
        <v>144</v>
      </c>
      <c r="Q81">
        <v>1522</v>
      </c>
    </row>
    <row r="82" spans="1:17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s="127" t="s">
        <v>276</v>
      </c>
      <c r="Q82">
        <v>4755</v>
      </c>
    </row>
    <row r="83" spans="1:17" ht="15.75" x14ac:dyDescent="0.25">
      <c r="A83" s="131" t="s">
        <v>43</v>
      </c>
      <c r="B83" s="132">
        <v>7.0000000000000007E-2</v>
      </c>
      <c r="C83" s="133">
        <f>B83*E71</f>
        <v>27335.000000000004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27335.000000000004</v>
      </c>
      <c r="J83" s="109"/>
      <c r="K83" s="109"/>
      <c r="L83" s="126"/>
      <c r="O83" s="88" t="s">
        <v>275</v>
      </c>
      <c r="Q83">
        <v>4755</v>
      </c>
    </row>
    <row r="84" spans="1:17" ht="15.75" x14ac:dyDescent="0.25">
      <c r="A84" s="134" t="s">
        <v>136</v>
      </c>
      <c r="B84" s="135">
        <v>0.3</v>
      </c>
      <c r="C84" s="106">
        <f>B84*B76+(B84*C23)</f>
        <v>36900</v>
      </c>
      <c r="D84" s="125"/>
      <c r="E84" s="125"/>
      <c r="F84" s="134" t="s">
        <v>136</v>
      </c>
      <c r="G84" s="135">
        <v>0.3</v>
      </c>
      <c r="H84" s="88"/>
      <c r="I84" s="106">
        <f>C84</f>
        <v>36900</v>
      </c>
      <c r="J84" s="88"/>
      <c r="K84" s="125"/>
      <c r="L84" s="136"/>
      <c r="O84" s="88" t="s">
        <v>277</v>
      </c>
      <c r="Q84">
        <v>4900</v>
      </c>
    </row>
    <row r="85" spans="1:17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8700</v>
      </c>
      <c r="J85" s="88"/>
      <c r="K85" s="125"/>
      <c r="L85" s="136"/>
      <c r="O85" s="88" t="s">
        <v>281</v>
      </c>
      <c r="Q85">
        <v>1034</v>
      </c>
    </row>
    <row r="86" spans="1:17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O86" s="88" t="s">
        <v>240</v>
      </c>
      <c r="Q86">
        <v>4555</v>
      </c>
    </row>
    <row r="87" spans="1:17" ht="12.75" customHeight="1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O87" s="88" t="s">
        <v>144</v>
      </c>
      <c r="Q87">
        <v>1522</v>
      </c>
    </row>
    <row r="88" spans="1:17" ht="15.75" x14ac:dyDescent="0.25">
      <c r="A88" s="134"/>
      <c r="B88" s="132"/>
      <c r="C88" s="93"/>
      <c r="D88" s="109"/>
      <c r="E88" s="109"/>
      <c r="F88" s="134"/>
      <c r="G88" s="132"/>
      <c r="H88" s="93"/>
      <c r="I88" s="125"/>
      <c r="J88" s="109"/>
      <c r="K88" s="109"/>
      <c r="L88" s="126"/>
      <c r="O88" s="88" t="s">
        <v>144</v>
      </c>
      <c r="Q88">
        <v>1012</v>
      </c>
    </row>
    <row r="89" spans="1:17" ht="15.75" x14ac:dyDescent="0.25">
      <c r="A89" s="134" t="s">
        <v>271</v>
      </c>
      <c r="B89" s="132"/>
      <c r="C89" s="93">
        <v>116500</v>
      </c>
      <c r="D89" s="109"/>
      <c r="E89" s="109"/>
      <c r="F89" s="134" t="s">
        <v>271</v>
      </c>
      <c r="G89" s="132"/>
      <c r="H89" s="93"/>
      <c r="I89" s="125">
        <v>116500</v>
      </c>
      <c r="J89" s="109"/>
      <c r="K89" s="109"/>
      <c r="L89" s="126"/>
      <c r="M89">
        <f>6500*0.3</f>
        <v>1950</v>
      </c>
      <c r="O89" s="88" t="s">
        <v>144</v>
      </c>
      <c r="Q89">
        <v>1152</v>
      </c>
    </row>
    <row r="90" spans="1:17" ht="15.75" x14ac:dyDescent="0.25">
      <c r="A90" s="134" t="s">
        <v>278</v>
      </c>
      <c r="B90" s="132"/>
      <c r="C90" s="93">
        <v>331000</v>
      </c>
      <c r="D90" s="109"/>
      <c r="E90" s="109"/>
      <c r="F90" s="134" t="s">
        <v>278</v>
      </c>
      <c r="G90" s="132"/>
      <c r="H90" s="93"/>
      <c r="I90" s="125">
        <v>331000</v>
      </c>
      <c r="J90" s="109"/>
      <c r="K90" s="109"/>
      <c r="L90" s="126"/>
      <c r="M90">
        <f>6500-M89</f>
        <v>4550</v>
      </c>
      <c r="O90" s="127" t="s">
        <v>274</v>
      </c>
      <c r="Q90">
        <v>2050</v>
      </c>
    </row>
    <row r="91" spans="1:17" ht="15.75" x14ac:dyDescent="0.25">
      <c r="A91" s="88" t="s">
        <v>240</v>
      </c>
      <c r="C91">
        <v>4555</v>
      </c>
      <c r="D91" s="109"/>
      <c r="E91" s="109"/>
      <c r="F91" s="88" t="s">
        <v>240</v>
      </c>
      <c r="I91">
        <v>4555</v>
      </c>
      <c r="J91" s="109"/>
      <c r="K91" s="109"/>
      <c r="L91" s="126"/>
      <c r="O91" s="127" t="s">
        <v>240</v>
      </c>
      <c r="Q91">
        <v>8087</v>
      </c>
    </row>
    <row r="92" spans="1:17" ht="15.75" x14ac:dyDescent="0.25">
      <c r="A92" s="88" t="s">
        <v>144</v>
      </c>
      <c r="C92">
        <v>1522</v>
      </c>
      <c r="D92" s="109"/>
      <c r="E92" s="109"/>
      <c r="F92" s="88" t="s">
        <v>144</v>
      </c>
      <c r="I92">
        <v>1522</v>
      </c>
      <c r="J92" s="109"/>
      <c r="K92" s="109"/>
      <c r="L92" s="126"/>
      <c r="O92" s="127"/>
    </row>
    <row r="93" spans="1:17" ht="15.75" x14ac:dyDescent="0.25">
      <c r="A93" s="88" t="s">
        <v>144</v>
      </c>
      <c r="C93">
        <v>1012</v>
      </c>
      <c r="D93" s="109"/>
      <c r="E93" s="109"/>
      <c r="F93" s="88" t="s">
        <v>144</v>
      </c>
      <c r="I93">
        <v>1012</v>
      </c>
      <c r="J93" s="109"/>
      <c r="K93" s="109"/>
      <c r="L93" s="126"/>
      <c r="O93" s="127"/>
    </row>
    <row r="94" spans="1:17" ht="15.75" x14ac:dyDescent="0.25">
      <c r="A94" s="88" t="s">
        <v>144</v>
      </c>
      <c r="C94">
        <v>1152</v>
      </c>
      <c r="D94" s="109"/>
      <c r="E94" s="109"/>
      <c r="F94" s="88" t="s">
        <v>144</v>
      </c>
      <c r="I94">
        <v>1152</v>
      </c>
      <c r="J94" s="109"/>
      <c r="K94" s="109"/>
      <c r="L94" s="126"/>
      <c r="O94" s="127"/>
    </row>
    <row r="95" spans="1:17" ht="15.75" x14ac:dyDescent="0.25">
      <c r="A95" s="127" t="s">
        <v>274</v>
      </c>
      <c r="C95">
        <v>2050</v>
      </c>
      <c r="D95" s="109"/>
      <c r="E95" s="109"/>
      <c r="F95" s="127" t="s">
        <v>274</v>
      </c>
      <c r="I95">
        <v>2050</v>
      </c>
      <c r="J95" s="109"/>
      <c r="K95" s="109"/>
      <c r="L95" s="126"/>
      <c r="O95" s="127"/>
    </row>
    <row r="96" spans="1:17" ht="15.75" x14ac:dyDescent="0.25">
      <c r="A96" s="127" t="s">
        <v>240</v>
      </c>
      <c r="C96">
        <v>8087</v>
      </c>
      <c r="D96" s="109"/>
      <c r="E96" s="109"/>
      <c r="F96" s="127" t="s">
        <v>240</v>
      </c>
      <c r="I96">
        <v>8087</v>
      </c>
      <c r="J96" s="109"/>
      <c r="K96" s="109"/>
      <c r="L96" s="126"/>
      <c r="O96" s="127"/>
    </row>
    <row r="97" spans="1:15" ht="15.75" x14ac:dyDescent="0.25">
      <c r="A97" s="134" t="s">
        <v>395</v>
      </c>
      <c r="B97" s="132"/>
      <c r="C97" s="125">
        <v>900</v>
      </c>
      <c r="D97" s="109"/>
      <c r="E97" s="109"/>
      <c r="F97" s="134"/>
      <c r="G97" s="132"/>
      <c r="H97" s="125"/>
      <c r="I97" s="125"/>
      <c r="J97" s="109"/>
      <c r="K97" s="109"/>
      <c r="L97" s="126"/>
      <c r="O97" s="88"/>
    </row>
    <row r="98" spans="1:15" ht="15.75" x14ac:dyDescent="0.25">
      <c r="A98" s="115" t="s">
        <v>29</v>
      </c>
      <c r="B98" s="139">
        <f>B74+B75+B76+B77+B78+B79+B81+B80</f>
        <v>640693.18999999994</v>
      </c>
      <c r="C98" s="139">
        <f>SUM(C83:C97)</f>
        <v>547013</v>
      </c>
      <c r="D98" s="139">
        <f>B98-C98</f>
        <v>93680.189999999944</v>
      </c>
      <c r="E98" s="109"/>
      <c r="F98" s="115"/>
      <c r="G98" s="115"/>
      <c r="H98" s="139">
        <f>H74+H75+H77+H79+H80</f>
        <v>600843.18999999994</v>
      </c>
      <c r="I98" s="139">
        <f>SUM(I83:I97)</f>
        <v>554813</v>
      </c>
      <c r="J98" s="139">
        <f>H98-I98</f>
        <v>46030.189999999944</v>
      </c>
      <c r="K98" s="139"/>
      <c r="L98" s="140"/>
      <c r="N98" s="88"/>
    </row>
    <row r="99" spans="1:15" ht="15.75" x14ac:dyDescent="0.25">
      <c r="A99" s="141" t="s">
        <v>44</v>
      </c>
      <c r="B99" s="142"/>
      <c r="C99" s="142" t="s">
        <v>45</v>
      </c>
      <c r="D99" s="138"/>
      <c r="E99" s="138"/>
      <c r="F99" s="141"/>
      <c r="G99" s="141"/>
      <c r="H99" s="141" t="s">
        <v>46</v>
      </c>
      <c r="I99" s="143">
        <f>I98-I85</f>
        <v>546113</v>
      </c>
      <c r="J99" s="87"/>
      <c r="K99" s="87"/>
      <c r="L99" s="86"/>
      <c r="M99" s="127"/>
    </row>
    <row r="100" spans="1:15" ht="15.75" x14ac:dyDescent="0.25">
      <c r="A100" s="87" t="s">
        <v>47</v>
      </c>
      <c r="B100" s="87"/>
      <c r="C100" s="87" t="s">
        <v>48</v>
      </c>
      <c r="D100" s="105"/>
      <c r="G100" s="87"/>
      <c r="H100" s="87" t="s">
        <v>118</v>
      </c>
      <c r="I100" s="113">
        <f>I98-I83</f>
        <v>527478</v>
      </c>
      <c r="J100" s="169"/>
      <c r="K100" s="105"/>
      <c r="L100" s="86"/>
      <c r="M100" s="88"/>
    </row>
    <row r="102" spans="1:15" x14ac:dyDescent="0.25">
      <c r="J102" s="183"/>
    </row>
    <row r="103" spans="1:15" x14ac:dyDescent="0.25">
      <c r="I103" s="183"/>
    </row>
    <row r="104" spans="1:15" x14ac:dyDescent="0.25">
      <c r="I104" s="43"/>
    </row>
    <row r="106" spans="1:15" x14ac:dyDescent="0.25">
      <c r="J106" s="183"/>
    </row>
    <row r="107" spans="1:15" x14ac:dyDescent="0.25">
      <c r="J107" s="183"/>
    </row>
    <row r="108" spans="1:15" x14ac:dyDescent="0.25">
      <c r="J108" s="43"/>
    </row>
  </sheetData>
  <pageMargins left="0" right="0" top="0" bottom="0" header="0" footer="0"/>
  <pageSetup paperSize="286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opLeftCell="A28" workbookViewId="0">
      <selection activeCell="J15" sqref="J15"/>
    </sheetView>
  </sheetViews>
  <sheetFormatPr defaultRowHeight="15" x14ac:dyDescent="0.25"/>
  <cols>
    <col min="1" max="1" width="23.7109375" customWidth="1"/>
    <col min="3" max="3" width="12.28515625" customWidth="1"/>
    <col min="4" max="5" width="11.28515625" customWidth="1"/>
    <col min="8" max="8" width="16" bestFit="1" customWidth="1"/>
    <col min="9" max="9" width="13.28515625" customWidth="1"/>
    <col min="10" max="10" width="9.85546875" bestFit="1" customWidth="1"/>
  </cols>
  <sheetData>
    <row r="1" spans="1:14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4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4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4" ht="15.75" x14ac:dyDescent="0.25">
      <c r="A4" s="3"/>
      <c r="B4" s="88"/>
      <c r="C4" s="88"/>
      <c r="D4" s="3" t="s">
        <v>283</v>
      </c>
      <c r="E4" s="3"/>
      <c r="F4" s="88"/>
      <c r="G4" s="3"/>
      <c r="H4" s="7"/>
      <c r="I4" s="7"/>
      <c r="J4" s="7"/>
      <c r="K4" s="7"/>
      <c r="L4" s="7"/>
      <c r="M4" s="87"/>
    </row>
    <row r="5" spans="1:14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4" ht="15.75" x14ac:dyDescent="0.25">
      <c r="A6" s="93" t="s">
        <v>175</v>
      </c>
      <c r="B6" s="94" t="s">
        <v>14</v>
      </c>
      <c r="C6" s="95"/>
      <c r="D6" s="96">
        <f>'JANUARY 21'!J6:J70</f>
        <v>200</v>
      </c>
      <c r="E6" s="97">
        <v>6500</v>
      </c>
      <c r="F6" s="98">
        <v>150</v>
      </c>
      <c r="G6" s="97"/>
      <c r="H6" s="97">
        <f>D6+E6+F6+G6+C6</f>
        <v>6850</v>
      </c>
      <c r="I6" s="97">
        <f>6800</f>
        <v>6800</v>
      </c>
      <c r="J6" s="97">
        <f t="shared" ref="J6:J67" si="0">H6-I6</f>
        <v>50</v>
      </c>
      <c r="K6" s="97"/>
      <c r="L6" s="97"/>
      <c r="M6" s="87"/>
    </row>
    <row r="7" spans="1:14" ht="15.75" x14ac:dyDescent="0.25">
      <c r="A7" s="99" t="s">
        <v>265</v>
      </c>
      <c r="B7" s="94" t="s">
        <v>15</v>
      </c>
      <c r="C7" s="100"/>
      <c r="D7" s="96">
        <f>'JANUARY 21'!J7:J71</f>
        <v>2550</v>
      </c>
      <c r="E7" s="101">
        <v>6500</v>
      </c>
      <c r="F7" s="102"/>
      <c r="G7" s="101">
        <v>150</v>
      </c>
      <c r="H7" s="97">
        <f t="shared" ref="H7:H70" si="1">D7+E7+F7+G7+C7</f>
        <v>9200</v>
      </c>
      <c r="I7" s="97"/>
      <c r="J7" s="97">
        <f t="shared" si="0"/>
        <v>9200</v>
      </c>
      <c r="K7" s="97"/>
      <c r="L7" s="97"/>
      <c r="M7" s="87"/>
    </row>
    <row r="8" spans="1:14" ht="15.75" x14ac:dyDescent="0.25">
      <c r="A8" s="99" t="s">
        <v>258</v>
      </c>
      <c r="B8" s="94" t="s">
        <v>16</v>
      </c>
      <c r="C8" s="100"/>
      <c r="D8" s="96">
        <f>'JANUARY 21'!J8:J72</f>
        <v>0</v>
      </c>
      <c r="E8" s="101">
        <v>6500</v>
      </c>
      <c r="F8" s="102">
        <v>150</v>
      </c>
      <c r="G8" s="101">
        <v>150</v>
      </c>
      <c r="H8" s="97">
        <f t="shared" si="1"/>
        <v>6800</v>
      </c>
      <c r="I8" s="97">
        <f>6650</f>
        <v>6650</v>
      </c>
      <c r="J8" s="97">
        <f t="shared" si="0"/>
        <v>150</v>
      </c>
      <c r="K8" s="97"/>
      <c r="L8" s="97"/>
      <c r="M8" s="87"/>
    </row>
    <row r="9" spans="1:14" ht="15.75" x14ac:dyDescent="0.25">
      <c r="A9" s="99" t="s">
        <v>189</v>
      </c>
      <c r="B9" s="94" t="s">
        <v>18</v>
      </c>
      <c r="C9" s="100"/>
      <c r="D9" s="96">
        <f>'JANUARY 21'!J9:J73</f>
        <v>0</v>
      </c>
      <c r="E9" s="96">
        <v>6500</v>
      </c>
      <c r="F9" s="103"/>
      <c r="G9" s="101">
        <v>150</v>
      </c>
      <c r="H9" s="97">
        <f t="shared" si="1"/>
        <v>6650</v>
      </c>
      <c r="I9" s="97">
        <f>6000</f>
        <v>6000</v>
      </c>
      <c r="J9" s="97">
        <f t="shared" si="0"/>
        <v>650</v>
      </c>
      <c r="K9" s="97"/>
      <c r="L9" s="97"/>
      <c r="M9" s="87"/>
    </row>
    <row r="10" spans="1:14" ht="15.75" x14ac:dyDescent="0.25">
      <c r="A10" s="99" t="s">
        <v>141</v>
      </c>
      <c r="B10" s="94" t="s">
        <v>19</v>
      </c>
      <c r="C10" s="100"/>
      <c r="D10" s="96">
        <f>'JANUARY 21'!J10:J74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6800</f>
        <v>6800</v>
      </c>
      <c r="J10" s="97">
        <f t="shared" si="0"/>
        <v>0</v>
      </c>
      <c r="K10" s="97"/>
      <c r="L10" s="97"/>
      <c r="M10" s="87"/>
    </row>
    <row r="11" spans="1:14" ht="15.75" x14ac:dyDescent="0.25">
      <c r="A11" s="104" t="s">
        <v>134</v>
      </c>
      <c r="B11" s="94" t="s">
        <v>20</v>
      </c>
      <c r="C11" s="100"/>
      <c r="D11" s="96">
        <f>'JANUARY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4" ht="15.75" x14ac:dyDescent="0.25">
      <c r="A12" s="109" t="s">
        <v>293</v>
      </c>
      <c r="B12" s="94" t="s">
        <v>21</v>
      </c>
      <c r="C12" s="100">
        <v>5500</v>
      </c>
      <c r="D12" s="96">
        <f>'JANUARY 21'!J12:J76</f>
        <v>0</v>
      </c>
      <c r="E12" s="101">
        <v>5500</v>
      </c>
      <c r="F12" s="88"/>
      <c r="G12" s="101">
        <v>150</v>
      </c>
      <c r="H12" s="97">
        <f t="shared" si="1"/>
        <v>11150</v>
      </c>
      <c r="I12" s="97">
        <f>5500+3000</f>
        <v>8500</v>
      </c>
      <c r="J12" s="97">
        <f t="shared" si="0"/>
        <v>2650</v>
      </c>
      <c r="K12" s="97"/>
      <c r="L12" s="97"/>
      <c r="M12" s="106"/>
    </row>
    <row r="13" spans="1:14" ht="15.75" x14ac:dyDescent="0.25">
      <c r="A13" s="149" t="s">
        <v>17</v>
      </c>
      <c r="B13" s="94" t="s">
        <v>22</v>
      </c>
      <c r="C13" s="100"/>
      <c r="D13" s="96"/>
      <c r="E13" s="101"/>
      <c r="F13" s="108"/>
      <c r="G13" s="101"/>
      <c r="H13" s="97">
        <f t="shared" si="1"/>
        <v>0</v>
      </c>
      <c r="I13" s="97"/>
      <c r="J13" s="97">
        <f t="shared" si="0"/>
        <v>0</v>
      </c>
      <c r="K13" s="97"/>
      <c r="L13" s="97"/>
      <c r="M13" s="105"/>
    </row>
    <row r="14" spans="1:14" ht="15.75" x14ac:dyDescent="0.25">
      <c r="A14" s="109" t="s">
        <v>259</v>
      </c>
      <c r="B14" s="94" t="s">
        <v>23</v>
      </c>
      <c r="C14" s="100"/>
      <c r="D14" s="96">
        <f>'JANUARY 21'!J14:J78</f>
        <v>150</v>
      </c>
      <c r="E14" s="101">
        <v>6500</v>
      </c>
      <c r="F14" s="102">
        <v>150</v>
      </c>
      <c r="G14" s="101"/>
      <c r="H14" s="97">
        <f t="shared" si="1"/>
        <v>6800</v>
      </c>
      <c r="I14" s="97">
        <v>6650</v>
      </c>
      <c r="J14" s="97">
        <f t="shared" si="0"/>
        <v>150</v>
      </c>
      <c r="K14" s="97"/>
      <c r="L14" s="97"/>
      <c r="M14" s="87"/>
    </row>
    <row r="15" spans="1:14" ht="15.75" x14ac:dyDescent="0.25">
      <c r="A15" s="109" t="s">
        <v>102</v>
      </c>
      <c r="B15" s="94" t="s">
        <v>24</v>
      </c>
      <c r="C15" s="100"/>
      <c r="D15" s="96">
        <f>'JANUARY 21'!J15:J79</f>
        <v>300</v>
      </c>
      <c r="E15" s="101">
        <v>6500</v>
      </c>
      <c r="F15" s="102"/>
      <c r="G15" s="101">
        <v>150</v>
      </c>
      <c r="H15" s="97">
        <f t="shared" si="1"/>
        <v>6950</v>
      </c>
      <c r="I15" s="97">
        <f>6500</f>
        <v>6500</v>
      </c>
      <c r="J15" s="97">
        <f t="shared" si="0"/>
        <v>450</v>
      </c>
      <c r="K15" s="97"/>
      <c r="L15" s="97"/>
      <c r="M15" s="105"/>
    </row>
    <row r="16" spans="1:14" ht="15.75" x14ac:dyDescent="0.25">
      <c r="A16" s="109" t="s">
        <v>285</v>
      </c>
      <c r="B16" s="94" t="s">
        <v>25</v>
      </c>
      <c r="C16" s="100">
        <v>6500</v>
      </c>
      <c r="D16" s="96">
        <f>'JANUARY 21'!J16:J80</f>
        <v>0</v>
      </c>
      <c r="E16" s="101">
        <v>6500</v>
      </c>
      <c r="F16" s="102"/>
      <c r="G16" s="101"/>
      <c r="H16" s="97">
        <f t="shared" si="1"/>
        <v>13000</v>
      </c>
      <c r="I16" s="97">
        <v>13000</v>
      </c>
      <c r="J16" s="97">
        <f t="shared" si="0"/>
        <v>0</v>
      </c>
      <c r="K16" s="97"/>
      <c r="L16" s="97">
        <v>1000</v>
      </c>
      <c r="M16" s="87"/>
      <c r="N16">
        <f>4150+6500+150</f>
        <v>10800</v>
      </c>
    </row>
    <row r="17" spans="1:15" ht="15.75" x14ac:dyDescent="0.25">
      <c r="A17" s="93" t="s">
        <v>133</v>
      </c>
      <c r="B17" s="94" t="s">
        <v>26</v>
      </c>
      <c r="C17" s="100"/>
      <c r="D17" s="96">
        <f>'JANUARY 21'!J17:J82</f>
        <v>850</v>
      </c>
      <c r="E17" s="101">
        <v>6500</v>
      </c>
      <c r="F17" s="102"/>
      <c r="G17" s="101">
        <v>150</v>
      </c>
      <c r="H17" s="97">
        <f t="shared" si="1"/>
        <v>7500</v>
      </c>
      <c r="I17" s="97">
        <v>7000</v>
      </c>
      <c r="J17" s="97">
        <f t="shared" si="0"/>
        <v>500</v>
      </c>
      <c r="K17" s="97"/>
      <c r="L17" s="97"/>
      <c r="M17" s="110"/>
    </row>
    <row r="18" spans="1:15" ht="15.75" x14ac:dyDescent="0.25">
      <c r="A18" s="109" t="s">
        <v>249</v>
      </c>
      <c r="B18" s="94" t="s">
        <v>27</v>
      </c>
      <c r="C18" s="100"/>
      <c r="D18" s="96"/>
      <c r="E18" s="101">
        <v>6500</v>
      </c>
      <c r="F18" s="102">
        <v>750</v>
      </c>
      <c r="G18" s="101">
        <v>150</v>
      </c>
      <c r="H18" s="97">
        <f t="shared" si="1"/>
        <v>7400</v>
      </c>
      <c r="I18" s="97">
        <f>7250</f>
        <v>7250</v>
      </c>
      <c r="J18" s="97">
        <f t="shared" si="0"/>
        <v>150</v>
      </c>
      <c r="K18" s="97"/>
      <c r="L18" s="97"/>
      <c r="M18" s="105"/>
    </row>
    <row r="19" spans="1:15" ht="15.75" x14ac:dyDescent="0.25">
      <c r="A19" s="109" t="s">
        <v>247</v>
      </c>
      <c r="B19" s="94" t="s">
        <v>50</v>
      </c>
      <c r="C19" s="100"/>
      <c r="D19" s="96">
        <f>'JANUARY 21'!J19:J84</f>
        <v>2150</v>
      </c>
      <c r="E19" s="101">
        <v>6500</v>
      </c>
      <c r="F19" s="102"/>
      <c r="G19" s="101">
        <v>150</v>
      </c>
      <c r="H19" s="97">
        <f t="shared" si="1"/>
        <v>8800</v>
      </c>
      <c r="I19" s="97">
        <v>8800</v>
      </c>
      <c r="J19" s="97">
        <f t="shared" si="0"/>
        <v>0</v>
      </c>
      <c r="K19" s="97"/>
      <c r="L19" s="97">
        <v>1000</v>
      </c>
      <c r="M19" s="87"/>
    </row>
    <row r="20" spans="1:15" ht="15.75" x14ac:dyDescent="0.25">
      <c r="A20" s="99" t="s">
        <v>260</v>
      </c>
      <c r="B20" s="94" t="s">
        <v>51</v>
      </c>
      <c r="C20" s="100"/>
      <c r="D20" s="96">
        <f>'JANUARY 21'!J20:J85</f>
        <v>150</v>
      </c>
      <c r="E20" s="101">
        <v>6500</v>
      </c>
      <c r="F20" s="102">
        <v>450</v>
      </c>
      <c r="G20" s="101"/>
      <c r="H20" s="97">
        <f t="shared" si="1"/>
        <v>7100</v>
      </c>
      <c r="I20" s="97">
        <f>6500</f>
        <v>6500</v>
      </c>
      <c r="J20" s="97">
        <f t="shared" si="0"/>
        <v>600</v>
      </c>
      <c r="K20" s="97"/>
      <c r="L20" s="97">
        <v>1000</v>
      </c>
      <c r="M20" s="105"/>
    </row>
    <row r="21" spans="1:15" ht="15.75" x14ac:dyDescent="0.25">
      <c r="A21" s="114" t="s">
        <v>17</v>
      </c>
      <c r="B21" s="94" t="s">
        <v>52</v>
      </c>
      <c r="C21" s="100"/>
      <c r="D21" s="96">
        <f>'JANUARY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/>
    </row>
    <row r="22" spans="1:15" ht="15.75" x14ac:dyDescent="0.25">
      <c r="A22" s="109" t="s">
        <v>270</v>
      </c>
      <c r="B22" s="94" t="s">
        <v>53</v>
      </c>
      <c r="C22" s="100"/>
      <c r="D22" s="96">
        <f>'JANUARY 21'!J22:J87</f>
        <v>0</v>
      </c>
      <c r="E22" s="101">
        <v>6500</v>
      </c>
      <c r="F22" s="102">
        <v>150</v>
      </c>
      <c r="G22" s="101">
        <v>150</v>
      </c>
      <c r="H22" s="97">
        <f t="shared" si="1"/>
        <v>6800</v>
      </c>
      <c r="I22" s="97">
        <v>6800</v>
      </c>
      <c r="J22" s="97">
        <f t="shared" si="0"/>
        <v>0</v>
      </c>
      <c r="K22" s="97"/>
      <c r="L22" s="97"/>
      <c r="M22" s="87"/>
    </row>
    <row r="23" spans="1:15" ht="15.75" x14ac:dyDescent="0.25">
      <c r="A23" s="99" t="s">
        <v>269</v>
      </c>
      <c r="B23" s="94" t="s">
        <v>54</v>
      </c>
      <c r="C23" s="100"/>
      <c r="D23" s="96">
        <f>'JANUARY 21'!J23:J88</f>
        <v>0</v>
      </c>
      <c r="E23" s="101">
        <v>6500</v>
      </c>
      <c r="F23" s="102">
        <v>150</v>
      </c>
      <c r="G23" s="101">
        <v>150</v>
      </c>
      <c r="H23" s="97">
        <f t="shared" si="1"/>
        <v>6800</v>
      </c>
      <c r="I23" s="97">
        <f>6500</f>
        <v>6500</v>
      </c>
      <c r="J23" s="97">
        <f t="shared" si="0"/>
        <v>300</v>
      </c>
      <c r="K23" s="97"/>
      <c r="L23" s="97"/>
      <c r="M23" s="87"/>
    </row>
    <row r="24" spans="1:15" ht="15.75" x14ac:dyDescent="0.25">
      <c r="A24" s="109" t="s">
        <v>190</v>
      </c>
      <c r="B24" s="94" t="s">
        <v>55</v>
      </c>
      <c r="C24" s="100"/>
      <c r="D24" s="96">
        <f>'JANUARY 21'!J24:J89</f>
        <v>2800</v>
      </c>
      <c r="E24" s="101">
        <v>7000</v>
      </c>
      <c r="F24" s="102">
        <v>300</v>
      </c>
      <c r="G24" s="101">
        <v>150</v>
      </c>
      <c r="H24" s="97">
        <f t="shared" si="1"/>
        <v>10250</v>
      </c>
      <c r="I24" s="97">
        <f>1500+2500</f>
        <v>4000</v>
      </c>
      <c r="J24" s="97">
        <f t="shared" si="0"/>
        <v>6250</v>
      </c>
      <c r="K24" s="97"/>
      <c r="L24" s="97"/>
      <c r="M24" s="87"/>
    </row>
    <row r="25" spans="1:15" ht="15.75" x14ac:dyDescent="0.25">
      <c r="A25" s="109" t="s">
        <v>155</v>
      </c>
      <c r="B25" s="94" t="s">
        <v>56</v>
      </c>
      <c r="C25" s="100"/>
      <c r="D25" s="96">
        <f>'JANUARY 21'!J25:J90</f>
        <v>0</v>
      </c>
      <c r="E25" s="101">
        <v>5500</v>
      </c>
      <c r="F25" s="102">
        <v>150</v>
      </c>
      <c r="G25" s="101">
        <v>150</v>
      </c>
      <c r="H25" s="97">
        <f t="shared" si="1"/>
        <v>5800</v>
      </c>
      <c r="I25" s="97">
        <f>5650</f>
        <v>5650</v>
      </c>
      <c r="J25" s="97">
        <f t="shared" si="0"/>
        <v>150</v>
      </c>
      <c r="K25" s="97"/>
      <c r="L25" s="97"/>
      <c r="M25" s="87"/>
    </row>
    <row r="26" spans="1:15" ht="15.75" x14ac:dyDescent="0.25">
      <c r="A26" s="109" t="s">
        <v>130</v>
      </c>
      <c r="B26" s="94" t="s">
        <v>57</v>
      </c>
      <c r="C26" s="100"/>
      <c r="D26" s="96">
        <f>'JANUARY 21'!J26:J96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  <c r="M26" s="112"/>
      <c r="N26">
        <f>4600+6500+150</f>
        <v>11250</v>
      </c>
    </row>
    <row r="27" spans="1:15" ht="15.75" x14ac:dyDescent="0.25">
      <c r="A27" s="109" t="s">
        <v>132</v>
      </c>
      <c r="B27" s="94" t="s">
        <v>58</v>
      </c>
      <c r="C27" s="100"/>
      <c r="D27" s="96">
        <f>'JANUARY 21'!J27:J96</f>
        <v>0</v>
      </c>
      <c r="E27" s="101">
        <v>6500</v>
      </c>
      <c r="F27" s="102">
        <v>150</v>
      </c>
      <c r="G27" s="101">
        <v>150</v>
      </c>
      <c r="H27" s="97">
        <f t="shared" si="1"/>
        <v>6800</v>
      </c>
      <c r="I27" s="97">
        <f>6650</f>
        <v>6650</v>
      </c>
      <c r="J27" s="97">
        <f t="shared" si="0"/>
        <v>150</v>
      </c>
      <c r="K27" s="97"/>
      <c r="L27" s="97"/>
      <c r="M27" s="112"/>
      <c r="N27">
        <f>6500+6500+1000+1080</f>
        <v>15080</v>
      </c>
    </row>
    <row r="28" spans="1:15" ht="15.75" x14ac:dyDescent="0.25">
      <c r="A28" s="109" t="s">
        <v>235</v>
      </c>
      <c r="B28" s="94" t="s">
        <v>59</v>
      </c>
      <c r="C28" s="100"/>
      <c r="D28" s="96">
        <f>'JANUARY 21'!J28:J97</f>
        <v>1000</v>
      </c>
      <c r="E28" s="101">
        <v>6500</v>
      </c>
      <c r="F28" s="102">
        <v>300</v>
      </c>
      <c r="G28" s="101">
        <v>150</v>
      </c>
      <c r="H28" s="97">
        <f t="shared" si="1"/>
        <v>7950</v>
      </c>
      <c r="I28" s="97">
        <f>6500+1450</f>
        <v>7950</v>
      </c>
      <c r="J28" s="97">
        <f t="shared" si="0"/>
        <v>0</v>
      </c>
      <c r="K28" s="97"/>
      <c r="L28" s="97"/>
      <c r="M28" s="105"/>
      <c r="N28">
        <f>N27-11080</f>
        <v>4000</v>
      </c>
    </row>
    <row r="29" spans="1:15" ht="15.75" x14ac:dyDescent="0.25">
      <c r="A29" s="109" t="s">
        <v>177</v>
      </c>
      <c r="B29" s="94" t="s">
        <v>60</v>
      </c>
      <c r="C29" s="100"/>
      <c r="D29" s="96">
        <f>'JANUARY 21'!J29:J98</f>
        <v>300</v>
      </c>
      <c r="E29" s="101">
        <v>6500</v>
      </c>
      <c r="F29" s="102"/>
      <c r="G29" s="101">
        <v>150</v>
      </c>
      <c r="H29" s="97">
        <f t="shared" si="1"/>
        <v>6950</v>
      </c>
      <c r="I29" s="97">
        <f>6650</f>
        <v>6650</v>
      </c>
      <c r="J29" s="97">
        <f t="shared" si="0"/>
        <v>300</v>
      </c>
      <c r="K29" s="97"/>
      <c r="L29" s="97"/>
      <c r="M29" s="105"/>
      <c r="N29">
        <f>65</f>
        <v>65</v>
      </c>
    </row>
    <row r="30" spans="1:15" ht="15.75" x14ac:dyDescent="0.25">
      <c r="A30" s="109" t="s">
        <v>241</v>
      </c>
      <c r="B30" s="94" t="s">
        <v>61</v>
      </c>
      <c r="C30" s="100"/>
      <c r="D30" s="96">
        <f>'JANUARY 21'!J30:J99</f>
        <v>600</v>
      </c>
      <c r="E30" s="101">
        <v>6500</v>
      </c>
      <c r="F30" s="102">
        <v>300</v>
      </c>
      <c r="G30" s="101">
        <v>150</v>
      </c>
      <c r="H30" s="97">
        <f t="shared" si="1"/>
        <v>7550</v>
      </c>
      <c r="I30" s="97">
        <f>6000</f>
        <v>6000</v>
      </c>
      <c r="J30" s="97">
        <f t="shared" si="0"/>
        <v>1550</v>
      </c>
      <c r="K30" s="97"/>
      <c r="L30" s="97"/>
      <c r="M30" s="87"/>
      <c r="O30">
        <f>6800-650</f>
        <v>6150</v>
      </c>
    </row>
    <row r="31" spans="1:15" ht="15.75" x14ac:dyDescent="0.25">
      <c r="A31" s="109" t="s">
        <v>106</v>
      </c>
      <c r="B31" s="94" t="s">
        <v>62</v>
      </c>
      <c r="C31" s="95"/>
      <c r="D31" s="96">
        <f>'JANUARY 21'!J31:J100</f>
        <v>150</v>
      </c>
      <c r="E31" s="101">
        <v>6500</v>
      </c>
      <c r="F31" s="102">
        <v>150</v>
      </c>
      <c r="G31" s="101">
        <v>150</v>
      </c>
      <c r="H31" s="97">
        <f t="shared" si="1"/>
        <v>6950</v>
      </c>
      <c r="I31" s="97">
        <f>6800</f>
        <v>6800</v>
      </c>
      <c r="J31" s="97">
        <f t="shared" si="0"/>
        <v>150</v>
      </c>
      <c r="K31" s="97"/>
      <c r="L31" s="97"/>
      <c r="M31" s="105"/>
    </row>
    <row r="32" spans="1:15" ht="15.75" x14ac:dyDescent="0.25">
      <c r="A32" s="109" t="s">
        <v>181</v>
      </c>
      <c r="B32" s="94" t="s">
        <v>63</v>
      </c>
      <c r="C32" s="100"/>
      <c r="D32" s="96">
        <f>'JANUARY 21'!J32:J101</f>
        <v>8950</v>
      </c>
      <c r="E32" s="101">
        <v>6500</v>
      </c>
      <c r="F32" s="102"/>
      <c r="G32" s="101"/>
      <c r="H32" s="97">
        <f t="shared" si="1"/>
        <v>15450</v>
      </c>
      <c r="I32" s="97">
        <f>6500+2000</f>
        <v>8500</v>
      </c>
      <c r="J32" s="97">
        <f t="shared" si="0"/>
        <v>6950</v>
      </c>
      <c r="K32" s="97"/>
      <c r="L32" s="97"/>
      <c r="M32" s="113"/>
    </row>
    <row r="33" spans="1:14" ht="15.75" x14ac:dyDescent="0.25">
      <c r="A33" s="109" t="s">
        <v>171</v>
      </c>
      <c r="B33" s="94" t="s">
        <v>64</v>
      </c>
      <c r="C33" s="100"/>
      <c r="D33" s="96">
        <f>'JANUARY 21'!J33:J102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>
        <v>6650</v>
      </c>
      <c r="J33" s="97">
        <f t="shared" si="0"/>
        <v>150</v>
      </c>
      <c r="K33" s="97"/>
      <c r="L33" s="97"/>
      <c r="M33" s="105"/>
    </row>
    <row r="34" spans="1:14" ht="15.75" x14ac:dyDescent="0.25">
      <c r="A34" s="109" t="s">
        <v>161</v>
      </c>
      <c r="B34" s="94" t="s">
        <v>65</v>
      </c>
      <c r="C34" s="100"/>
      <c r="D34" s="96">
        <f>'JANUARY 21'!J34:J103</f>
        <v>3900</v>
      </c>
      <c r="E34" s="102">
        <v>6500</v>
      </c>
      <c r="F34" s="102"/>
      <c r="G34" s="101">
        <v>150</v>
      </c>
      <c r="H34" s="97">
        <f t="shared" si="1"/>
        <v>10550</v>
      </c>
      <c r="I34" s="97"/>
      <c r="J34" s="97">
        <f t="shared" si="0"/>
        <v>10550</v>
      </c>
      <c r="K34" s="97"/>
      <c r="L34" s="97"/>
      <c r="M34" s="105"/>
    </row>
    <row r="35" spans="1:14" ht="15.75" x14ac:dyDescent="0.25">
      <c r="A35" s="93" t="s">
        <v>153</v>
      </c>
      <c r="B35" s="94" t="s">
        <v>66</v>
      </c>
      <c r="C35" s="100"/>
      <c r="D35" s="96">
        <f>'JANUARY 21'!J35:J104</f>
        <v>2450</v>
      </c>
      <c r="E35" s="102">
        <v>6500</v>
      </c>
      <c r="F35" s="102">
        <v>150</v>
      </c>
      <c r="G35" s="101">
        <v>150</v>
      </c>
      <c r="H35" s="97">
        <f t="shared" si="1"/>
        <v>9250</v>
      </c>
      <c r="I35" s="97">
        <f>6500+1000</f>
        <v>7500</v>
      </c>
      <c r="J35" s="97">
        <f t="shared" si="0"/>
        <v>1750</v>
      </c>
      <c r="K35" s="97"/>
      <c r="L35" s="97"/>
      <c r="M35" s="105"/>
    </row>
    <row r="36" spans="1:14" ht="15.75" x14ac:dyDescent="0.25">
      <c r="A36" s="109" t="s">
        <v>162</v>
      </c>
      <c r="B36" s="94" t="s">
        <v>67</v>
      </c>
      <c r="C36" s="100"/>
      <c r="D36" s="96">
        <f>'JANUARY 21'!J36:J104</f>
        <v>8750</v>
      </c>
      <c r="E36" s="102">
        <v>6500</v>
      </c>
      <c r="F36" s="102"/>
      <c r="G36" s="101">
        <v>150</v>
      </c>
      <c r="H36" s="97">
        <f t="shared" si="1"/>
        <v>15400</v>
      </c>
      <c r="I36" s="97">
        <v>15400</v>
      </c>
      <c r="J36" s="97">
        <f t="shared" si="0"/>
        <v>0</v>
      </c>
      <c r="K36" s="97"/>
      <c r="L36" s="97"/>
      <c r="M36" s="105"/>
    </row>
    <row r="37" spans="1:14" ht="15.75" x14ac:dyDescent="0.25">
      <c r="A37" s="109" t="s">
        <v>126</v>
      </c>
      <c r="B37" s="94" t="s">
        <v>68</v>
      </c>
      <c r="C37" s="100"/>
      <c r="D37" s="96">
        <f>'JANUARY 21'!J37:J104</f>
        <v>150</v>
      </c>
      <c r="E37" s="102">
        <v>7000</v>
      </c>
      <c r="F37" s="102">
        <v>300</v>
      </c>
      <c r="G37" s="101"/>
      <c r="H37" s="97">
        <f t="shared" si="1"/>
        <v>7450</v>
      </c>
      <c r="I37" s="97">
        <f>5000</f>
        <v>5000</v>
      </c>
      <c r="J37" s="97">
        <f t="shared" si="0"/>
        <v>2450</v>
      </c>
      <c r="L37" s="97"/>
      <c r="M37" s="105"/>
    </row>
    <row r="38" spans="1:14" ht="15.75" x14ac:dyDescent="0.25">
      <c r="A38" s="109" t="s">
        <v>280</v>
      </c>
      <c r="B38" s="94" t="s">
        <v>69</v>
      </c>
      <c r="C38" s="100"/>
      <c r="D38" s="96">
        <f>'JANUARY 21'!J38:J107</f>
        <v>0</v>
      </c>
      <c r="E38" s="102">
        <v>5500</v>
      </c>
      <c r="F38" s="102">
        <v>150</v>
      </c>
      <c r="G38" s="101">
        <v>150</v>
      </c>
      <c r="H38" s="97">
        <f t="shared" si="1"/>
        <v>5800</v>
      </c>
      <c r="I38" s="97">
        <f>5500+150</f>
        <v>5650</v>
      </c>
      <c r="J38" s="97">
        <f t="shared" si="0"/>
        <v>150</v>
      </c>
      <c r="K38" s="97"/>
      <c r="L38" s="97"/>
      <c r="M38" s="105"/>
    </row>
    <row r="39" spans="1:14" ht="15.75" x14ac:dyDescent="0.25">
      <c r="A39" s="109" t="s">
        <v>125</v>
      </c>
      <c r="B39" s="94" t="s">
        <v>70</v>
      </c>
      <c r="C39" s="100"/>
      <c r="D39" s="96">
        <f>'JANUARY 21'!J39:J108</f>
        <v>0</v>
      </c>
      <c r="E39" s="102">
        <v>7000</v>
      </c>
      <c r="F39" s="102">
        <v>300</v>
      </c>
      <c r="G39" s="101">
        <v>150</v>
      </c>
      <c r="H39" s="97">
        <f t="shared" si="1"/>
        <v>7450</v>
      </c>
      <c r="I39" s="97">
        <f>7000</f>
        <v>7000</v>
      </c>
      <c r="J39" s="97">
        <f t="shared" si="0"/>
        <v>450</v>
      </c>
      <c r="K39" s="97"/>
      <c r="L39" s="97"/>
      <c r="M39" s="105"/>
    </row>
    <row r="40" spans="1:14" ht="15.75" x14ac:dyDescent="0.25">
      <c r="A40" s="109" t="s">
        <v>191</v>
      </c>
      <c r="B40" s="94" t="s">
        <v>71</v>
      </c>
      <c r="C40" s="100"/>
      <c r="D40" s="96">
        <f>'JANUARY 21'!J40:J109</f>
        <v>5450</v>
      </c>
      <c r="E40" s="102">
        <v>6500</v>
      </c>
      <c r="F40" s="102">
        <v>150</v>
      </c>
      <c r="G40" s="101">
        <v>150</v>
      </c>
      <c r="H40" s="97">
        <f t="shared" si="1"/>
        <v>12250</v>
      </c>
      <c r="I40" s="97">
        <f>6400</f>
        <v>6400</v>
      </c>
      <c r="J40" s="97">
        <f t="shared" si="0"/>
        <v>5850</v>
      </c>
      <c r="K40" s="97"/>
      <c r="L40" s="97"/>
      <c r="M40" s="105"/>
      <c r="N40" s="23">
        <f>J36+1950</f>
        <v>1950</v>
      </c>
    </row>
    <row r="41" spans="1:14" ht="15.75" x14ac:dyDescent="0.25">
      <c r="A41" s="109" t="s">
        <v>127</v>
      </c>
      <c r="B41" s="94" t="s">
        <v>72</v>
      </c>
      <c r="C41" s="100"/>
      <c r="D41" s="96">
        <f>'JANUARY 21'!J41:J110</f>
        <v>1650</v>
      </c>
      <c r="E41" s="102">
        <v>6500</v>
      </c>
      <c r="F41" s="102">
        <v>150</v>
      </c>
      <c r="G41" s="101">
        <v>150</v>
      </c>
      <c r="H41" s="97">
        <f t="shared" si="1"/>
        <v>8450</v>
      </c>
      <c r="I41" s="97">
        <f>8150</f>
        <v>8150</v>
      </c>
      <c r="J41" s="97">
        <f>H41-I41</f>
        <v>300</v>
      </c>
      <c r="K41" s="97"/>
      <c r="L41" s="97"/>
      <c r="M41" s="105">
        <f>16250+6650</f>
        <v>22900</v>
      </c>
    </row>
    <row r="42" spans="1:14" ht="15.75" x14ac:dyDescent="0.25">
      <c r="A42" s="109" t="s">
        <v>124</v>
      </c>
      <c r="B42" s="94" t="s">
        <v>73</v>
      </c>
      <c r="C42" s="100"/>
      <c r="D42" s="96">
        <f>'JANUARY 21'!J42:J111</f>
        <v>650</v>
      </c>
      <c r="E42" s="102">
        <v>6500</v>
      </c>
      <c r="F42" s="102"/>
      <c r="G42" s="101">
        <v>150</v>
      </c>
      <c r="H42" s="97">
        <f t="shared" si="1"/>
        <v>7300</v>
      </c>
      <c r="I42" s="97">
        <f>6800</f>
        <v>6800</v>
      </c>
      <c r="J42" s="97">
        <f t="shared" si="0"/>
        <v>500</v>
      </c>
      <c r="K42" s="97"/>
      <c r="L42" s="97"/>
      <c r="M42" s="105"/>
    </row>
    <row r="43" spans="1:14" ht="15.75" x14ac:dyDescent="0.25">
      <c r="A43" s="109" t="s">
        <v>246</v>
      </c>
      <c r="B43" s="94" t="s">
        <v>74</v>
      </c>
      <c r="C43" s="100"/>
      <c r="D43" s="96">
        <f>'JANUARY 21'!J43:J112</f>
        <v>0</v>
      </c>
      <c r="E43" s="102">
        <v>6500</v>
      </c>
      <c r="F43" s="102">
        <v>600</v>
      </c>
      <c r="G43" s="101">
        <v>150</v>
      </c>
      <c r="H43" s="97">
        <f>D43+E43+F43+G43+C43</f>
        <v>7250</v>
      </c>
      <c r="I43" s="97">
        <f>7100</f>
        <v>7100</v>
      </c>
      <c r="J43" s="97">
        <f t="shared" si="0"/>
        <v>150</v>
      </c>
      <c r="K43" s="97"/>
      <c r="L43" s="97"/>
      <c r="M43" s="105"/>
    </row>
    <row r="44" spans="1:14" ht="15.75" x14ac:dyDescent="0.25">
      <c r="A44" s="109" t="s">
        <v>205</v>
      </c>
      <c r="B44" s="94" t="s">
        <v>75</v>
      </c>
      <c r="C44" s="100"/>
      <c r="D44" s="96">
        <f>'JANUARY 21'!J44:J113</f>
        <v>150</v>
      </c>
      <c r="E44" s="102">
        <v>6500</v>
      </c>
      <c r="F44" s="102"/>
      <c r="G44" s="101">
        <v>150</v>
      </c>
      <c r="H44" s="97">
        <f t="shared" si="1"/>
        <v>6800</v>
      </c>
      <c r="I44" s="97">
        <f>6800</f>
        <v>6800</v>
      </c>
      <c r="J44" s="97">
        <f t="shared" si="0"/>
        <v>0</v>
      </c>
      <c r="K44" s="97"/>
      <c r="L44" s="97"/>
      <c r="M44" s="105"/>
    </row>
    <row r="45" spans="1:14" ht="15.75" x14ac:dyDescent="0.25">
      <c r="A45" s="114"/>
      <c r="B45" s="94" t="s">
        <v>76</v>
      </c>
      <c r="C45" s="100"/>
      <c r="D45" s="96">
        <f>'JANUARY 21'!J45:J114</f>
        <v>0</v>
      </c>
      <c r="E45" s="102"/>
      <c r="F45" s="108"/>
      <c r="G45" s="101"/>
      <c r="H45" s="97">
        <f>D45+E45+F45+G45+C45</f>
        <v>0</v>
      </c>
      <c r="I45" s="97"/>
      <c r="J45" s="97">
        <f t="shared" si="0"/>
        <v>0</v>
      </c>
      <c r="K45" s="97"/>
      <c r="L45" s="97"/>
      <c r="M45" s="105"/>
    </row>
    <row r="46" spans="1:14" ht="15.75" x14ac:dyDescent="0.25">
      <c r="A46" s="109" t="s">
        <v>295</v>
      </c>
      <c r="B46" s="94" t="s">
        <v>77</v>
      </c>
      <c r="C46" s="100"/>
      <c r="D46" s="96">
        <f>'JANUARY 21'!J46:J115</f>
        <v>0</v>
      </c>
      <c r="E46" s="102">
        <v>6500</v>
      </c>
      <c r="F46" s="102"/>
      <c r="G46" s="101">
        <v>150</v>
      </c>
      <c r="H46" s="97">
        <f>D46+E46+G46+C46</f>
        <v>6650</v>
      </c>
      <c r="I46" s="97">
        <v>6500</v>
      </c>
      <c r="J46" s="97">
        <f t="shared" si="0"/>
        <v>150</v>
      </c>
      <c r="K46" s="97"/>
      <c r="L46" s="97"/>
      <c r="M46" s="105"/>
    </row>
    <row r="47" spans="1:14" ht="15.75" x14ac:dyDescent="0.25">
      <c r="A47" s="109" t="s">
        <v>204</v>
      </c>
      <c r="B47" s="94" t="s">
        <v>78</v>
      </c>
      <c r="C47" s="100"/>
      <c r="D47" s="96">
        <f>'JANUARY 21'!J47:J116</f>
        <v>0</v>
      </c>
      <c r="E47" s="102">
        <v>6500</v>
      </c>
      <c r="F47" s="102">
        <v>300</v>
      </c>
      <c r="G47" s="101">
        <v>150</v>
      </c>
      <c r="H47" s="97">
        <f t="shared" si="1"/>
        <v>6950</v>
      </c>
      <c r="I47" s="97">
        <f>6500</f>
        <v>6500</v>
      </c>
      <c r="J47" s="97">
        <f t="shared" si="0"/>
        <v>450</v>
      </c>
      <c r="K47" s="97"/>
      <c r="L47" s="97"/>
      <c r="M47" s="105"/>
    </row>
    <row r="48" spans="1:14" ht="15.75" x14ac:dyDescent="0.25">
      <c r="A48" s="93" t="s">
        <v>262</v>
      </c>
      <c r="B48" s="94" t="s">
        <v>79</v>
      </c>
      <c r="C48" s="100"/>
      <c r="D48" s="96">
        <f>'JANUARY 21'!J48:J117</f>
        <v>3150</v>
      </c>
      <c r="E48" s="102">
        <v>6500</v>
      </c>
      <c r="F48" s="102">
        <v>150</v>
      </c>
      <c r="G48" s="101">
        <v>150</v>
      </c>
      <c r="H48" s="97">
        <f t="shared" si="1"/>
        <v>9950</v>
      </c>
      <c r="I48" s="97">
        <v>9950</v>
      </c>
      <c r="J48" s="97">
        <f t="shared" si="0"/>
        <v>0</v>
      </c>
      <c r="K48" s="97"/>
      <c r="L48" s="97">
        <v>550</v>
      </c>
      <c r="M48" s="105"/>
    </row>
    <row r="49" spans="1:15" ht="15.75" x14ac:dyDescent="0.25">
      <c r="A49" s="109" t="s">
        <v>186</v>
      </c>
      <c r="B49" s="94" t="s">
        <v>80</v>
      </c>
      <c r="C49" s="100"/>
      <c r="D49" s="96">
        <f>'JANUARY 21'!J49:J118</f>
        <v>0</v>
      </c>
      <c r="E49" s="102">
        <v>6500</v>
      </c>
      <c r="F49" s="102"/>
      <c r="G49" s="101">
        <v>150</v>
      </c>
      <c r="H49" s="97">
        <f t="shared" si="1"/>
        <v>6650</v>
      </c>
      <c r="I49" s="97">
        <f>3400</f>
        <v>3400</v>
      </c>
      <c r="J49" s="97">
        <f t="shared" si="0"/>
        <v>3250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'JANUARY 21'!J50:J119</f>
        <v>1050</v>
      </c>
      <c r="E50" s="102">
        <v>7000</v>
      </c>
      <c r="F50" s="102">
        <v>150</v>
      </c>
      <c r="G50" s="101">
        <v>150</v>
      </c>
      <c r="H50" s="97">
        <f t="shared" si="1"/>
        <v>8350</v>
      </c>
      <c r="I50" s="97">
        <f>7000</f>
        <v>7000</v>
      </c>
      <c r="J50" s="97">
        <f t="shared" si="0"/>
        <v>1350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'JANUARY 21'!J51:J120</f>
        <v>150</v>
      </c>
      <c r="E51" s="102">
        <v>5500</v>
      </c>
      <c r="F51" s="102">
        <v>150</v>
      </c>
      <c r="G51" s="101">
        <v>150</v>
      </c>
      <c r="H51" s="97">
        <f t="shared" si="1"/>
        <v>5950</v>
      </c>
      <c r="I51" s="97">
        <f>5800</f>
        <v>5800</v>
      </c>
      <c r="J51" s="97">
        <f t="shared" si="0"/>
        <v>150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'JANUARY 21'!J52:J121</f>
        <v>500</v>
      </c>
      <c r="E52" s="102">
        <v>7000</v>
      </c>
      <c r="F52" s="102"/>
      <c r="G52" s="101">
        <v>150</v>
      </c>
      <c r="H52" s="97">
        <f t="shared" si="1"/>
        <v>7650</v>
      </c>
      <c r="I52" s="97">
        <v>7000</v>
      </c>
      <c r="J52" s="97">
        <f>H52-I52</f>
        <v>650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'JANUARY 21'!J53:J122</f>
        <v>150</v>
      </c>
      <c r="E53" s="102">
        <v>6500</v>
      </c>
      <c r="F53" s="102"/>
      <c r="G53" s="101">
        <v>150</v>
      </c>
      <c r="H53" s="97">
        <f t="shared" si="1"/>
        <v>6800</v>
      </c>
      <c r="I53" s="97">
        <v>6500</v>
      </c>
      <c r="J53" s="97">
        <f t="shared" si="0"/>
        <v>300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'JANUARY 21'!J54:J123</f>
        <v>0</v>
      </c>
      <c r="E54" s="102">
        <v>6500</v>
      </c>
      <c r="F54" s="102">
        <v>150</v>
      </c>
      <c r="G54" s="101">
        <v>150</v>
      </c>
      <c r="H54" s="97">
        <f t="shared" si="1"/>
        <v>6800</v>
      </c>
      <c r="I54" s="97"/>
      <c r="J54" s="97">
        <f t="shared" si="0"/>
        <v>6800</v>
      </c>
      <c r="K54" s="97"/>
      <c r="L54" s="97"/>
      <c r="M54" s="105"/>
    </row>
    <row r="55" spans="1:15" ht="15.75" x14ac:dyDescent="0.25">
      <c r="A55" s="93" t="s">
        <v>289</v>
      </c>
      <c r="B55" s="94" t="s">
        <v>86</v>
      </c>
      <c r="C55" s="100">
        <v>6500</v>
      </c>
      <c r="D55" s="96">
        <f>'JANUARY 21'!J55:J124</f>
        <v>0</v>
      </c>
      <c r="E55" s="102">
        <v>6500</v>
      </c>
      <c r="F55" s="102"/>
      <c r="G55" s="101">
        <v>150</v>
      </c>
      <c r="H55" s="97">
        <f>D55+E55+F55+G55+C55</f>
        <v>13150</v>
      </c>
      <c r="I55" s="97">
        <v>13150</v>
      </c>
      <c r="J55" s="97">
        <f>H55-I55</f>
        <v>0</v>
      </c>
      <c r="K55" s="97"/>
      <c r="L55" s="97">
        <v>1000</v>
      </c>
      <c r="M55" s="105"/>
    </row>
    <row r="56" spans="1:15" ht="15.75" x14ac:dyDescent="0.25">
      <c r="A56" s="109" t="s">
        <v>243</v>
      </c>
      <c r="B56" s="94" t="s">
        <v>87</v>
      </c>
      <c r="C56" s="100"/>
      <c r="D56" s="96">
        <f>'JANUARY 21'!J56:J125</f>
        <v>0</v>
      </c>
      <c r="E56" s="102">
        <v>6500</v>
      </c>
      <c r="F56" s="102">
        <v>300</v>
      </c>
      <c r="G56" s="101">
        <v>150</v>
      </c>
      <c r="H56" s="97">
        <f>D56+E56+F56+G56+C56</f>
        <v>6950</v>
      </c>
      <c r="I56" s="97">
        <f>6500</f>
        <v>6500</v>
      </c>
      <c r="J56" s="97">
        <f t="shared" si="0"/>
        <v>450</v>
      </c>
      <c r="K56" s="97"/>
      <c r="L56" s="97"/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'JANUARY 21'!J57:J126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>
        <f>6000+800</f>
        <v>6800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'JANUARY 21'!J58:J127</f>
        <v>0</v>
      </c>
      <c r="E58" s="102">
        <v>7000</v>
      </c>
      <c r="F58" s="102">
        <v>300</v>
      </c>
      <c r="G58" s="101">
        <v>150</v>
      </c>
      <c r="H58" s="97">
        <f t="shared" si="1"/>
        <v>7450</v>
      </c>
      <c r="I58" s="97">
        <f>7150</f>
        <v>7150</v>
      </c>
      <c r="J58" s="97">
        <f t="shared" si="0"/>
        <v>300</v>
      </c>
      <c r="K58" s="97"/>
      <c r="L58" s="97"/>
      <c r="M58" s="105"/>
    </row>
    <row r="59" spans="1:15" ht="15.75" x14ac:dyDescent="0.25">
      <c r="A59" s="114" t="s">
        <v>17</v>
      </c>
      <c r="B59" s="94" t="s">
        <v>90</v>
      </c>
      <c r="C59" s="100"/>
      <c r="D59" s="96">
        <f>'JANUARY 21'!J59:J128</f>
        <v>0</v>
      </c>
      <c r="E59" s="102"/>
      <c r="F59" s="102"/>
      <c r="G59" s="101"/>
      <c r="H59" s="97">
        <f t="shared" si="1"/>
        <v>0</v>
      </c>
      <c r="I59" s="97"/>
      <c r="J59" s="97">
        <f t="shared" si="0"/>
        <v>0</v>
      </c>
      <c r="K59" s="97"/>
      <c r="L59" s="97"/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'JANUARY 21'!J60:J129</f>
        <v>0</v>
      </c>
      <c r="E60" s="102">
        <v>6500</v>
      </c>
      <c r="F60" s="102">
        <v>150</v>
      </c>
      <c r="G60" s="101">
        <v>150</v>
      </c>
      <c r="H60" s="97">
        <f t="shared" si="1"/>
        <v>6800</v>
      </c>
      <c r="I60" s="97">
        <v>6800</v>
      </c>
      <c r="J60" s="97">
        <f>H60-I60</f>
        <v>0</v>
      </c>
      <c r="K60" s="97"/>
      <c r="L60" s="97"/>
      <c r="M60" s="87"/>
    </row>
    <row r="61" spans="1:15" ht="15.75" x14ac:dyDescent="0.25">
      <c r="A61" s="93" t="s">
        <v>288</v>
      </c>
      <c r="B61" s="94" t="s">
        <v>92</v>
      </c>
      <c r="C61" s="100">
        <v>6500</v>
      </c>
      <c r="D61" s="96">
        <f>'JANUARY 21'!J61:J130</f>
        <v>0</v>
      </c>
      <c r="E61" s="102">
        <v>6500</v>
      </c>
      <c r="F61" s="102">
        <v>150</v>
      </c>
      <c r="G61" s="101"/>
      <c r="H61" s="97">
        <f t="shared" si="1"/>
        <v>13150</v>
      </c>
      <c r="I61" s="97">
        <v>13000</v>
      </c>
      <c r="J61" s="97">
        <f t="shared" si="0"/>
        <v>150</v>
      </c>
      <c r="K61" s="97"/>
      <c r="L61" s="97"/>
      <c r="M61" s="87"/>
    </row>
    <row r="62" spans="1:15" ht="15.75" x14ac:dyDescent="0.25">
      <c r="A62" s="93" t="s">
        <v>286</v>
      </c>
      <c r="B62" s="94" t="s">
        <v>93</v>
      </c>
      <c r="C62" s="100">
        <v>6500</v>
      </c>
      <c r="D62" s="96">
        <f>'JANUARY 21'!J62:J131</f>
        <v>0</v>
      </c>
      <c r="E62" s="102">
        <v>6500</v>
      </c>
      <c r="F62" s="102">
        <v>150</v>
      </c>
      <c r="G62" s="101"/>
      <c r="H62" s="97">
        <f t="shared" si="1"/>
        <v>13150</v>
      </c>
      <c r="I62" s="97">
        <v>13000</v>
      </c>
      <c r="J62" s="97">
        <f t="shared" si="0"/>
        <v>150</v>
      </c>
      <c r="K62" s="97"/>
      <c r="L62" s="97">
        <v>1000</v>
      </c>
      <c r="M62" s="87"/>
      <c r="O62" s="23"/>
    </row>
    <row r="63" spans="1:15" ht="15.75" x14ac:dyDescent="0.25">
      <c r="A63" s="114" t="s">
        <v>17</v>
      </c>
      <c r="B63" s="94" t="s">
        <v>94</v>
      </c>
      <c r="C63" s="100"/>
      <c r="D63" s="96">
        <f>'JANUARY 21'!J63:J132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/>
    </row>
    <row r="64" spans="1:15" ht="15.75" x14ac:dyDescent="0.25">
      <c r="A64" s="109" t="s">
        <v>188</v>
      </c>
      <c r="B64" s="94" t="s">
        <v>95</v>
      </c>
      <c r="C64" s="100"/>
      <c r="D64" s="96">
        <f>'JANUARY 21'!J64:J133</f>
        <v>0</v>
      </c>
      <c r="E64" s="102">
        <v>5500</v>
      </c>
      <c r="F64" s="102">
        <v>150</v>
      </c>
      <c r="G64" s="101">
        <v>150</v>
      </c>
      <c r="H64" s="97">
        <f t="shared" si="1"/>
        <v>5800</v>
      </c>
      <c r="I64" s="97">
        <v>5500</v>
      </c>
      <c r="J64" s="97">
        <f t="shared" si="0"/>
        <v>300</v>
      </c>
      <c r="K64" s="97"/>
      <c r="L64" s="97"/>
      <c r="M64" s="87"/>
    </row>
    <row r="65" spans="1:15" ht="15.75" x14ac:dyDescent="0.25">
      <c r="A65" s="109" t="s">
        <v>113</v>
      </c>
      <c r="B65" s="94" t="s">
        <v>96</v>
      </c>
      <c r="C65" s="100"/>
      <c r="D65" s="96">
        <f>'JANUARY 21'!J65:J134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7300</f>
        <v>7300</v>
      </c>
      <c r="J65" s="97">
        <f>H65-I65</f>
        <v>0</v>
      </c>
      <c r="K65" s="97"/>
      <c r="L65" s="97"/>
      <c r="M65" s="87"/>
    </row>
    <row r="66" spans="1:15" ht="15.75" x14ac:dyDescent="0.25">
      <c r="A66" s="93" t="s">
        <v>263</v>
      </c>
      <c r="B66" s="94" t="s">
        <v>97</v>
      </c>
      <c r="C66" s="100"/>
      <c r="D66" s="96">
        <f>'JANUARY 21'!J66:J135</f>
        <v>0</v>
      </c>
      <c r="E66" s="102">
        <v>6500</v>
      </c>
      <c r="F66" s="102">
        <v>150</v>
      </c>
      <c r="G66" s="101">
        <v>150</v>
      </c>
      <c r="H66" s="97">
        <f t="shared" si="1"/>
        <v>6800</v>
      </c>
      <c r="I66" s="97">
        <f>6650</f>
        <v>6650</v>
      </c>
      <c r="J66" s="97">
        <f t="shared" si="0"/>
        <v>150</v>
      </c>
      <c r="K66" s="97"/>
      <c r="L66" s="97"/>
      <c r="M66" s="87"/>
    </row>
    <row r="67" spans="1:15" ht="15.75" x14ac:dyDescent="0.25">
      <c r="A67" s="109" t="s">
        <v>234</v>
      </c>
      <c r="B67" s="94" t="s">
        <v>98</v>
      </c>
      <c r="C67" s="100"/>
      <c r="D67" s="96">
        <f>'JANUARY 21'!J67:J136</f>
        <v>0</v>
      </c>
      <c r="E67" s="102">
        <v>6500</v>
      </c>
      <c r="F67" s="102">
        <v>150</v>
      </c>
      <c r="G67" s="101">
        <v>150</v>
      </c>
      <c r="H67" s="97">
        <f t="shared" si="1"/>
        <v>6800</v>
      </c>
      <c r="I67" s="97">
        <v>6800</v>
      </c>
      <c r="J67" s="97">
        <f t="shared" si="0"/>
        <v>0</v>
      </c>
      <c r="K67" s="97"/>
      <c r="L67" s="97"/>
      <c r="M67" s="87"/>
    </row>
    <row r="68" spans="1:15" ht="15.75" x14ac:dyDescent="0.25">
      <c r="A68" s="109" t="s">
        <v>115</v>
      </c>
      <c r="B68" s="94" t="s">
        <v>99</v>
      </c>
      <c r="C68" s="100"/>
      <c r="D68" s="96">
        <f>'JANUARY 21'!J68:J137</f>
        <v>500</v>
      </c>
      <c r="E68" s="102">
        <v>6500</v>
      </c>
      <c r="F68" s="102">
        <v>150</v>
      </c>
      <c r="G68" s="101">
        <v>150</v>
      </c>
      <c r="H68" s="97">
        <f t="shared" si="1"/>
        <v>7300</v>
      </c>
      <c r="I68" s="97">
        <f>2500+4300+500</f>
        <v>7300</v>
      </c>
      <c r="J68" s="97">
        <f>H68-I68</f>
        <v>0</v>
      </c>
      <c r="K68" s="97"/>
      <c r="L68" s="97"/>
      <c r="M68" s="87"/>
    </row>
    <row r="69" spans="1:15" ht="15.75" x14ac:dyDescent="0.25">
      <c r="A69" s="93" t="s">
        <v>287</v>
      </c>
      <c r="B69" s="94" t="s">
        <v>100</v>
      </c>
      <c r="C69" s="100">
        <v>6500</v>
      </c>
      <c r="D69" s="96">
        <f>'JANUARY 21'!J69:J138</f>
        <v>0</v>
      </c>
      <c r="E69" s="102">
        <v>6500</v>
      </c>
      <c r="F69" s="102">
        <v>300</v>
      </c>
      <c r="G69" s="101"/>
      <c r="H69" s="97">
        <f t="shared" si="1"/>
        <v>13300</v>
      </c>
      <c r="I69" s="97">
        <v>13000</v>
      </c>
      <c r="J69" s="97">
        <f>H69-I69</f>
        <v>300</v>
      </c>
      <c r="K69" s="97"/>
      <c r="L69" s="97">
        <v>1000</v>
      </c>
      <c r="M69" s="87"/>
    </row>
    <row r="70" spans="1:15" ht="15.75" x14ac:dyDescent="0.25">
      <c r="A70" s="109" t="s">
        <v>116</v>
      </c>
      <c r="B70" s="94" t="s">
        <v>101</v>
      </c>
      <c r="C70" s="100"/>
      <c r="D70" s="96">
        <f>'JANUARY 21'!J70:J139</f>
        <v>1100</v>
      </c>
      <c r="E70" s="102">
        <v>7000</v>
      </c>
      <c r="F70" s="102">
        <v>300</v>
      </c>
      <c r="G70" s="101"/>
      <c r="H70" s="97">
        <f t="shared" si="1"/>
        <v>8400</v>
      </c>
      <c r="I70" s="97">
        <f>7500</f>
        <v>7500</v>
      </c>
      <c r="J70" s="97">
        <f>H70-I70</f>
        <v>900</v>
      </c>
      <c r="K70" s="97"/>
      <c r="L70" s="97"/>
      <c r="M70" s="87"/>
    </row>
    <row r="71" spans="1:15" ht="15.75" x14ac:dyDescent="0.25">
      <c r="A71" s="115" t="s">
        <v>28</v>
      </c>
      <c r="B71" s="109"/>
      <c r="C71" s="100">
        <f>SUM(C6:C70)</f>
        <v>38000</v>
      </c>
      <c r="D71" s="96">
        <f>SUM(D6:D70)</f>
        <v>49900</v>
      </c>
      <c r="E71" s="116">
        <f>SUM(E6:E70)</f>
        <v>383000</v>
      </c>
      <c r="F71" s="147">
        <f t="shared" ref="F71:L71" si="2">SUM(F6:F70)</f>
        <v>9000</v>
      </c>
      <c r="G71" s="148">
        <f>SUM(G6:G70)</f>
        <v>7350</v>
      </c>
      <c r="H71" s="97">
        <f>SUM(H6:H70)</f>
        <v>487250</v>
      </c>
      <c r="I71" s="97">
        <f t="shared" si="2"/>
        <v>418800</v>
      </c>
      <c r="J71" s="97">
        <f>SUM(J6:J70)</f>
        <v>68450</v>
      </c>
      <c r="K71" s="97">
        <f t="shared" si="2"/>
        <v>0</v>
      </c>
      <c r="L71" s="97">
        <f t="shared" si="2"/>
        <v>6550</v>
      </c>
      <c r="M71" s="87"/>
    </row>
    <row r="72" spans="1:15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5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144" t="s">
        <v>250</v>
      </c>
      <c r="N73" s="145"/>
      <c r="O73" s="83"/>
    </row>
    <row r="74" spans="1:15" ht="15.75" x14ac:dyDescent="0.25">
      <c r="A74" s="109" t="s">
        <v>284</v>
      </c>
      <c r="B74" s="124">
        <f>E71</f>
        <v>383000</v>
      </c>
      <c r="C74" s="109"/>
      <c r="D74" s="109"/>
      <c r="E74" s="109"/>
      <c r="F74" s="109" t="s">
        <v>284</v>
      </c>
      <c r="G74" s="109"/>
      <c r="H74" s="125">
        <f>I71</f>
        <v>418800</v>
      </c>
      <c r="I74" s="109"/>
      <c r="J74" s="109"/>
      <c r="K74" s="109"/>
      <c r="L74" s="126"/>
      <c r="M74" s="127" t="s">
        <v>290</v>
      </c>
      <c r="O74">
        <v>1012</v>
      </c>
    </row>
    <row r="75" spans="1:15" ht="15.75" x14ac:dyDescent="0.25">
      <c r="A75" s="109" t="s">
        <v>37</v>
      </c>
      <c r="B75" s="124">
        <f>'JANUARY 21'!D98</f>
        <v>93680.189999999944</v>
      </c>
      <c r="C75" s="109"/>
      <c r="D75" s="109"/>
      <c r="E75" s="109"/>
      <c r="F75" s="109" t="s">
        <v>37</v>
      </c>
      <c r="G75" s="109"/>
      <c r="H75" s="124">
        <f>'JANUARY 21'!J98</f>
        <v>46030.189999999944</v>
      </c>
      <c r="I75" s="109"/>
      <c r="J75" s="109"/>
      <c r="K75" s="109"/>
      <c r="L75" s="126"/>
      <c r="M75" s="127" t="s">
        <v>291</v>
      </c>
      <c r="O75">
        <v>2000</v>
      </c>
    </row>
    <row r="76" spans="1:15" ht="15.75" x14ac:dyDescent="0.25">
      <c r="A76" s="109" t="s">
        <v>38</v>
      </c>
      <c r="B76" s="124">
        <f>C71</f>
        <v>38000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s="143" t="s">
        <v>292</v>
      </c>
      <c r="N76" s="2"/>
      <c r="O76">
        <v>812</v>
      </c>
    </row>
    <row r="77" spans="1:15" ht="15.75" x14ac:dyDescent="0.25">
      <c r="A77" s="109" t="s">
        <v>7</v>
      </c>
      <c r="B77" s="124">
        <f>F71</f>
        <v>9000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s="105" t="s">
        <v>199</v>
      </c>
      <c r="N77" s="2"/>
      <c r="O77">
        <v>900</v>
      </c>
    </row>
    <row r="78" spans="1:15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s="105" t="s">
        <v>144</v>
      </c>
      <c r="N78" s="2"/>
      <c r="O78">
        <v>1222</v>
      </c>
    </row>
    <row r="79" spans="1:15" ht="15.75" x14ac:dyDescent="0.25">
      <c r="A79" s="109" t="s">
        <v>40</v>
      </c>
      <c r="B79" s="125">
        <f>L71</f>
        <v>6550</v>
      </c>
      <c r="C79" s="109"/>
      <c r="D79" s="109"/>
      <c r="E79" s="109"/>
      <c r="F79" s="109" t="s">
        <v>40</v>
      </c>
      <c r="G79" s="109"/>
      <c r="H79" s="125">
        <f>L71</f>
        <v>6550</v>
      </c>
      <c r="I79" s="109"/>
      <c r="J79" s="109"/>
      <c r="K79" s="109"/>
      <c r="L79" s="126"/>
      <c r="M79" s="88" t="s">
        <v>120</v>
      </c>
      <c r="O79">
        <v>1000</v>
      </c>
    </row>
    <row r="80" spans="1:15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s="88" t="s">
        <v>240</v>
      </c>
      <c r="O80">
        <v>12097</v>
      </c>
    </row>
    <row r="81" spans="1:15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s="127" t="s">
        <v>302</v>
      </c>
      <c r="O81">
        <v>2250</v>
      </c>
    </row>
    <row r="82" spans="1:15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s="127" t="s">
        <v>303</v>
      </c>
      <c r="O82">
        <v>500</v>
      </c>
    </row>
    <row r="83" spans="1:15" ht="15.75" x14ac:dyDescent="0.25">
      <c r="A83" s="131" t="s">
        <v>43</v>
      </c>
      <c r="B83" s="132">
        <v>7.0000000000000007E-2</v>
      </c>
      <c r="C83" s="133">
        <f>B83*E71</f>
        <v>26810.000000000004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26810.000000000004</v>
      </c>
      <c r="J83" s="109"/>
      <c r="K83" s="109"/>
      <c r="L83" s="126"/>
      <c r="M83" s="88" t="s">
        <v>144</v>
      </c>
      <c r="O83">
        <v>1012</v>
      </c>
    </row>
    <row r="84" spans="1:15" ht="15.75" x14ac:dyDescent="0.25">
      <c r="A84" s="134" t="s">
        <v>136</v>
      </c>
      <c r="B84" s="135">
        <v>0.3</v>
      </c>
      <c r="C84" s="106">
        <f>B84*B76+(B84*C23)</f>
        <v>11400</v>
      </c>
      <c r="D84" s="125"/>
      <c r="E84" s="125"/>
      <c r="F84" s="134" t="s">
        <v>136</v>
      </c>
      <c r="G84" s="135">
        <v>0.3</v>
      </c>
      <c r="H84" s="88"/>
      <c r="I84" s="106">
        <f>C84</f>
        <v>11400</v>
      </c>
      <c r="J84" s="88"/>
      <c r="K84" s="125"/>
      <c r="L84" s="136"/>
      <c r="M84" s="88" t="s">
        <v>304</v>
      </c>
      <c r="O84">
        <v>1252</v>
      </c>
    </row>
    <row r="85" spans="1:15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7350</v>
      </c>
      <c r="J85" s="88"/>
      <c r="K85" s="125"/>
      <c r="L85" s="136"/>
      <c r="M85" s="88" t="s">
        <v>144</v>
      </c>
      <c r="O85">
        <v>712</v>
      </c>
    </row>
    <row r="86" spans="1:15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88" t="s">
        <v>144</v>
      </c>
      <c r="O86">
        <f>1012</f>
        <v>1012</v>
      </c>
    </row>
    <row r="87" spans="1:15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M87" s="88" t="s">
        <v>144</v>
      </c>
      <c r="O87">
        <v>2701</v>
      </c>
    </row>
    <row r="88" spans="1:15" ht="15.75" x14ac:dyDescent="0.25">
      <c r="A88" s="134" t="s">
        <v>294</v>
      </c>
      <c r="B88" s="132"/>
      <c r="C88" s="93">
        <v>200000</v>
      </c>
      <c r="D88" s="109"/>
      <c r="E88" s="109"/>
      <c r="F88" s="134" t="s">
        <v>294</v>
      </c>
      <c r="G88" s="132"/>
      <c r="H88" s="93"/>
      <c r="I88" s="125">
        <v>200000</v>
      </c>
      <c r="J88" s="109"/>
      <c r="K88" s="109"/>
      <c r="L88" s="126"/>
      <c r="M88" s="88"/>
    </row>
    <row r="89" spans="1:15" ht="15.75" x14ac:dyDescent="0.25">
      <c r="A89" s="134" t="s">
        <v>300</v>
      </c>
      <c r="B89" s="132"/>
      <c r="C89" s="93">
        <v>50000</v>
      </c>
      <c r="D89" s="109"/>
      <c r="E89" s="109"/>
      <c r="F89" s="134" t="s">
        <v>300</v>
      </c>
      <c r="G89" s="132"/>
      <c r="H89" s="93"/>
      <c r="I89" s="125">
        <v>50000</v>
      </c>
      <c r="J89" s="109"/>
      <c r="K89" s="109"/>
      <c r="L89" s="126"/>
      <c r="M89" s="88"/>
    </row>
    <row r="90" spans="1:15" ht="15.75" x14ac:dyDescent="0.25">
      <c r="A90" s="134" t="s">
        <v>301</v>
      </c>
      <c r="B90" s="132"/>
      <c r="C90" s="125">
        <v>4000</v>
      </c>
      <c r="D90" s="109"/>
      <c r="E90" s="109"/>
      <c r="F90" s="134" t="s">
        <v>301</v>
      </c>
      <c r="G90" s="132"/>
      <c r="H90" s="125"/>
      <c r="I90" s="125">
        <v>4000</v>
      </c>
      <c r="J90" s="109"/>
      <c r="K90" s="109"/>
      <c r="L90" s="126"/>
      <c r="M90" s="146" t="s">
        <v>29</v>
      </c>
      <c r="N90" s="83"/>
      <c r="O90" s="83">
        <f>SUM(O74:O89)</f>
        <v>28482</v>
      </c>
    </row>
    <row r="91" spans="1:15" ht="15.75" x14ac:dyDescent="0.25">
      <c r="A91" s="134" t="s">
        <v>120</v>
      </c>
      <c r="B91" s="132"/>
      <c r="C91" s="93">
        <v>1000</v>
      </c>
      <c r="D91" s="109"/>
      <c r="E91" s="109"/>
      <c r="F91" s="134" t="s">
        <v>120</v>
      </c>
      <c r="G91" s="132"/>
      <c r="H91" s="93"/>
      <c r="I91" s="125">
        <v>1000</v>
      </c>
      <c r="J91" s="109"/>
      <c r="K91" s="109"/>
      <c r="L91" s="126"/>
      <c r="M91" s="88"/>
    </row>
    <row r="92" spans="1:15" ht="15.75" x14ac:dyDescent="0.25">
      <c r="A92" s="134" t="s">
        <v>199</v>
      </c>
      <c r="B92" s="132"/>
      <c r="C92" s="125">
        <v>900</v>
      </c>
      <c r="D92" s="109"/>
      <c r="E92" s="109"/>
      <c r="F92" s="134" t="s">
        <v>199</v>
      </c>
      <c r="G92" s="132"/>
      <c r="H92" s="125"/>
      <c r="I92" s="125">
        <v>900</v>
      </c>
      <c r="J92" s="109"/>
      <c r="K92" s="109"/>
      <c r="L92" s="126"/>
      <c r="M92" s="127"/>
    </row>
    <row r="93" spans="1:15" ht="15.75" x14ac:dyDescent="0.25">
      <c r="A93" s="178" t="s">
        <v>290</v>
      </c>
      <c r="B93" s="151"/>
      <c r="C93" s="151">
        <v>1012</v>
      </c>
      <c r="D93" s="109"/>
      <c r="E93" s="109"/>
      <c r="F93" s="127" t="s">
        <v>290</v>
      </c>
      <c r="G93" s="151"/>
      <c r="H93" s="151"/>
      <c r="I93" s="151">
        <v>1012</v>
      </c>
      <c r="J93" s="109"/>
      <c r="K93" s="109"/>
      <c r="L93" s="126"/>
      <c r="M93" s="127"/>
    </row>
    <row r="94" spans="1:15" ht="15.75" x14ac:dyDescent="0.25">
      <c r="A94" s="178" t="s">
        <v>291</v>
      </c>
      <c r="B94" s="151"/>
      <c r="C94" s="151">
        <v>2000</v>
      </c>
      <c r="D94" s="109"/>
      <c r="E94" s="109"/>
      <c r="F94" s="127" t="s">
        <v>291</v>
      </c>
      <c r="G94" s="151"/>
      <c r="H94" s="151"/>
      <c r="I94" s="151">
        <v>2000</v>
      </c>
      <c r="J94" s="109"/>
      <c r="K94" s="109"/>
      <c r="L94" s="126"/>
      <c r="M94" s="127"/>
    </row>
    <row r="95" spans="1:15" ht="15.75" x14ac:dyDescent="0.25">
      <c r="A95" s="124" t="s">
        <v>292</v>
      </c>
      <c r="B95" s="25"/>
      <c r="C95" s="151">
        <v>812</v>
      </c>
      <c r="D95" s="109"/>
      <c r="E95" s="109"/>
      <c r="F95" s="143" t="s">
        <v>292</v>
      </c>
      <c r="G95" s="25"/>
      <c r="H95" s="151"/>
      <c r="I95" s="151">
        <v>812</v>
      </c>
      <c r="J95" s="109"/>
      <c r="K95" s="109"/>
      <c r="L95" s="126"/>
      <c r="M95" s="127"/>
    </row>
    <row r="96" spans="1:15" ht="15.75" x14ac:dyDescent="0.25">
      <c r="A96" s="125" t="s">
        <v>199</v>
      </c>
      <c r="B96" s="25"/>
      <c r="C96" s="151">
        <v>900</v>
      </c>
      <c r="D96" s="109"/>
      <c r="E96" s="109"/>
      <c r="F96" s="105" t="s">
        <v>199</v>
      </c>
      <c r="G96" s="25"/>
      <c r="H96" s="151"/>
      <c r="I96" s="151">
        <v>900</v>
      </c>
      <c r="J96" s="109"/>
      <c r="K96" s="109"/>
      <c r="L96" s="126"/>
      <c r="M96" s="127"/>
    </row>
    <row r="97" spans="1:13" ht="15.75" x14ac:dyDescent="0.25">
      <c r="A97" s="125" t="s">
        <v>144</v>
      </c>
      <c r="B97" s="25"/>
      <c r="C97" s="151">
        <v>1222</v>
      </c>
      <c r="D97" s="109"/>
      <c r="E97" s="109"/>
      <c r="F97" s="105" t="s">
        <v>144</v>
      </c>
      <c r="G97" s="25"/>
      <c r="H97" s="151"/>
      <c r="I97" s="151">
        <v>1222</v>
      </c>
      <c r="J97" s="109"/>
      <c r="K97" s="109"/>
      <c r="L97" s="126"/>
      <c r="M97" s="127"/>
    </row>
    <row r="98" spans="1:13" ht="15.75" x14ac:dyDescent="0.25">
      <c r="A98" s="93" t="s">
        <v>120</v>
      </c>
      <c r="B98" s="151"/>
      <c r="C98" s="151">
        <v>1000</v>
      </c>
      <c r="D98" s="109"/>
      <c r="E98" s="109"/>
      <c r="F98" s="88" t="s">
        <v>120</v>
      </c>
      <c r="G98" s="151"/>
      <c r="H98" s="151"/>
      <c r="I98" s="151">
        <v>1000</v>
      </c>
      <c r="J98" s="109"/>
      <c r="K98" s="109"/>
      <c r="L98" s="126"/>
      <c r="M98" s="127"/>
    </row>
    <row r="99" spans="1:13" ht="15.75" x14ac:dyDescent="0.25">
      <c r="A99" s="93" t="s">
        <v>240</v>
      </c>
      <c r="B99" s="151"/>
      <c r="C99" s="151">
        <v>12097</v>
      </c>
      <c r="D99" s="109"/>
      <c r="E99" s="109"/>
      <c r="F99" s="88" t="s">
        <v>240</v>
      </c>
      <c r="G99" s="151"/>
      <c r="H99" s="151"/>
      <c r="I99" s="151">
        <v>12097</v>
      </c>
      <c r="J99" s="109"/>
      <c r="K99" s="109"/>
      <c r="L99" s="126"/>
      <c r="M99" s="127"/>
    </row>
    <row r="100" spans="1:13" ht="15.75" x14ac:dyDescent="0.25">
      <c r="A100" s="178" t="s">
        <v>302</v>
      </c>
      <c r="B100" s="151"/>
      <c r="C100" s="151">
        <v>2250</v>
      </c>
      <c r="D100" s="109"/>
      <c r="E100" s="109"/>
      <c r="F100" s="127" t="s">
        <v>302</v>
      </c>
      <c r="G100" s="151"/>
      <c r="H100" s="151"/>
      <c r="I100" s="151">
        <v>2250</v>
      </c>
      <c r="J100" s="109"/>
      <c r="K100" s="109"/>
      <c r="L100" s="126"/>
      <c r="M100" s="127"/>
    </row>
    <row r="101" spans="1:13" ht="15.75" x14ac:dyDescent="0.25">
      <c r="A101" s="178" t="s">
        <v>303</v>
      </c>
      <c r="B101" s="151"/>
      <c r="C101" s="151">
        <v>500</v>
      </c>
      <c r="D101" s="109"/>
      <c r="E101" s="109"/>
      <c r="F101" s="127" t="s">
        <v>303</v>
      </c>
      <c r="G101" s="151"/>
      <c r="H101" s="151"/>
      <c r="I101" s="151">
        <v>500</v>
      </c>
      <c r="J101" s="109"/>
      <c r="K101" s="109"/>
      <c r="L101" s="126"/>
      <c r="M101" s="127"/>
    </row>
    <row r="102" spans="1:13" ht="15.75" x14ac:dyDescent="0.25">
      <c r="A102" s="93" t="s">
        <v>144</v>
      </c>
      <c r="B102" s="151"/>
      <c r="C102" s="151">
        <v>1012</v>
      </c>
      <c r="D102" s="109"/>
      <c r="E102" s="109"/>
      <c r="F102" s="88" t="s">
        <v>144</v>
      </c>
      <c r="G102" s="151"/>
      <c r="H102" s="151"/>
      <c r="I102" s="151">
        <v>1012</v>
      </c>
      <c r="J102" s="109"/>
      <c r="K102" s="109"/>
      <c r="L102" s="126"/>
      <c r="M102" s="127"/>
    </row>
    <row r="103" spans="1:13" ht="15.75" x14ac:dyDescent="0.25">
      <c r="A103" s="93" t="s">
        <v>304</v>
      </c>
      <c r="B103" s="151"/>
      <c r="C103" s="151">
        <v>1252</v>
      </c>
      <c r="D103" s="109"/>
      <c r="E103" s="109"/>
      <c r="F103" s="88" t="s">
        <v>304</v>
      </c>
      <c r="G103" s="151"/>
      <c r="H103" s="151"/>
      <c r="I103" s="151">
        <v>1252</v>
      </c>
      <c r="J103" s="109"/>
      <c r="K103" s="109"/>
      <c r="L103" s="126"/>
      <c r="M103" s="127"/>
    </row>
    <row r="104" spans="1:13" ht="15.75" x14ac:dyDescent="0.25">
      <c r="A104" s="93" t="s">
        <v>144</v>
      </c>
      <c r="B104" s="151"/>
      <c r="C104" s="151">
        <v>712</v>
      </c>
      <c r="D104" s="109"/>
      <c r="E104" s="109"/>
      <c r="F104" s="88" t="s">
        <v>144</v>
      </c>
      <c r="G104" s="151"/>
      <c r="H104" s="151"/>
      <c r="I104" s="151">
        <v>712</v>
      </c>
      <c r="J104" s="109"/>
      <c r="K104" s="109"/>
      <c r="L104" s="126"/>
      <c r="M104" s="127"/>
    </row>
    <row r="105" spans="1:13" ht="15.75" x14ac:dyDescent="0.25">
      <c r="A105" s="93" t="s">
        <v>144</v>
      </c>
      <c r="B105" s="151"/>
      <c r="C105" s="151">
        <f>1012</f>
        <v>1012</v>
      </c>
      <c r="D105" s="109"/>
      <c r="E105" s="109"/>
      <c r="F105" s="88" t="s">
        <v>144</v>
      </c>
      <c r="G105" s="151"/>
      <c r="H105" s="151"/>
      <c r="I105" s="151">
        <f>1012</f>
        <v>1012</v>
      </c>
      <c r="J105" s="109"/>
      <c r="K105" s="109"/>
      <c r="L105" s="126"/>
      <c r="M105" s="127"/>
    </row>
    <row r="106" spans="1:13" ht="15.75" x14ac:dyDescent="0.25">
      <c r="A106" s="93" t="s">
        <v>144</v>
      </c>
      <c r="B106" s="151"/>
      <c r="C106" s="151">
        <v>2701</v>
      </c>
      <c r="D106" s="109"/>
      <c r="E106" s="109"/>
      <c r="F106" s="88" t="s">
        <v>144</v>
      </c>
      <c r="G106" s="151"/>
      <c r="H106" s="151"/>
      <c r="I106" s="151">
        <v>2701</v>
      </c>
      <c r="J106" s="109"/>
      <c r="K106" s="109"/>
      <c r="L106" s="126"/>
      <c r="M106" s="127"/>
    </row>
    <row r="107" spans="1:13" ht="15.75" x14ac:dyDescent="0.25">
      <c r="A107" s="134"/>
      <c r="B107" s="132"/>
      <c r="C107" s="125"/>
      <c r="D107" s="109"/>
      <c r="E107" s="109"/>
      <c r="F107" s="134"/>
      <c r="G107" s="132"/>
      <c r="H107" s="125"/>
      <c r="I107" s="125"/>
      <c r="J107" s="109"/>
      <c r="K107" s="109"/>
      <c r="L107" s="126"/>
      <c r="M107" s="106"/>
    </row>
    <row r="108" spans="1:13" ht="15.75" x14ac:dyDescent="0.25">
      <c r="A108" s="134"/>
      <c r="B108" s="132"/>
      <c r="C108" s="125"/>
      <c r="D108" s="109"/>
      <c r="E108" s="109"/>
      <c r="F108" s="134"/>
      <c r="G108" s="132"/>
      <c r="H108" s="125"/>
      <c r="I108" s="125"/>
      <c r="J108" s="109"/>
      <c r="K108" s="109"/>
      <c r="L108" s="126"/>
      <c r="M108" s="88"/>
    </row>
    <row r="109" spans="1:13" ht="15.75" x14ac:dyDescent="0.25">
      <c r="A109" s="115" t="s">
        <v>29</v>
      </c>
      <c r="B109" s="139">
        <f>B74+B75+B76+B77+B78+B79+B81+B80</f>
        <v>530230.18999999994</v>
      </c>
      <c r="C109" s="139">
        <f>SUM(C83:C108)</f>
        <v>338592</v>
      </c>
      <c r="D109" s="139">
        <f>B109-C109</f>
        <v>191638.18999999994</v>
      </c>
      <c r="E109" s="139"/>
      <c r="F109" s="115"/>
      <c r="G109" s="115"/>
      <c r="H109" s="139">
        <f>H74+H75+H77+H79+H80</f>
        <v>471380.18999999994</v>
      </c>
      <c r="I109" s="139">
        <f>SUM(I83:I108)</f>
        <v>345942</v>
      </c>
      <c r="J109" s="139">
        <f>H109-I109</f>
        <v>125438.18999999994</v>
      </c>
      <c r="K109" s="139"/>
      <c r="L109" s="140"/>
      <c r="M109" s="88"/>
    </row>
    <row r="110" spans="1:13" ht="15.75" x14ac:dyDescent="0.25">
      <c r="A110" s="141" t="s">
        <v>44</v>
      </c>
      <c r="B110" s="142"/>
      <c r="C110" s="142" t="s">
        <v>45</v>
      </c>
      <c r="D110" s="138"/>
      <c r="E110" s="138"/>
      <c r="F110" s="141"/>
      <c r="G110" s="141"/>
      <c r="H110" s="141" t="s">
        <v>46</v>
      </c>
      <c r="I110" s="143">
        <f>I109-I85</f>
        <v>338592</v>
      </c>
      <c r="J110" s="87"/>
      <c r="K110" s="87"/>
      <c r="L110" s="86"/>
      <c r="M110" s="127"/>
    </row>
    <row r="111" spans="1:13" ht="15.75" x14ac:dyDescent="0.25">
      <c r="A111" s="87" t="s">
        <v>47</v>
      </c>
      <c r="B111" s="87"/>
      <c r="C111" s="87" t="s">
        <v>48</v>
      </c>
      <c r="D111" s="105"/>
      <c r="E111" s="87"/>
      <c r="F111" s="87"/>
      <c r="G111" s="87"/>
      <c r="H111" s="87" t="s">
        <v>118</v>
      </c>
      <c r="I111" s="113">
        <f>I109-I83</f>
        <v>319132</v>
      </c>
      <c r="J111" s="87"/>
      <c r="K111" s="105"/>
      <c r="L111" s="86"/>
      <c r="M111" s="88"/>
    </row>
    <row r="112" spans="1:13" x14ac:dyDescent="0.25">
      <c r="J112" s="43">
        <f>J109+J71</f>
        <v>193888.18999999994</v>
      </c>
    </row>
    <row r="113" spans="9:12" x14ac:dyDescent="0.25">
      <c r="L113" s="43"/>
    </row>
    <row r="114" spans="9:12" x14ac:dyDescent="0.25">
      <c r="I114" s="43"/>
    </row>
    <row r="115" spans="9:12" x14ac:dyDescent="0.25">
      <c r="I115" s="43">
        <f>D109-J112</f>
        <v>-2250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opLeftCell="A46" workbookViewId="0">
      <selection activeCell="A7" sqref="A7"/>
    </sheetView>
  </sheetViews>
  <sheetFormatPr defaultRowHeight="15" x14ac:dyDescent="0.25"/>
  <cols>
    <col min="1" max="1" width="21.85546875" customWidth="1"/>
    <col min="2" max="2" width="23.7109375" customWidth="1"/>
    <col min="3" max="3" width="13.140625" customWidth="1"/>
    <col min="4" max="4" width="10.5703125" customWidth="1"/>
    <col min="5" max="5" width="11.42578125" customWidth="1"/>
    <col min="6" max="6" width="14.5703125" customWidth="1"/>
    <col min="8" max="8" width="10.5703125" customWidth="1"/>
    <col min="9" max="9" width="14.5703125" customWidth="1"/>
    <col min="10" max="10" width="12.42578125" customWidth="1"/>
    <col min="15" max="15" width="27.1406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  <c r="M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  <c r="M3" s="87"/>
    </row>
    <row r="4" spans="1:13" ht="15.75" x14ac:dyDescent="0.25">
      <c r="A4" s="3"/>
      <c r="B4" s="88"/>
      <c r="C4" s="88"/>
      <c r="D4" s="3" t="s">
        <v>319</v>
      </c>
      <c r="E4" s="3"/>
      <c r="F4" s="88"/>
      <c r="G4" s="3"/>
      <c r="H4" s="7"/>
      <c r="I4" s="7"/>
      <c r="J4" s="7"/>
      <c r="K4" s="7"/>
      <c r="L4" s="7"/>
      <c r="M4" s="8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  <c r="M5" s="87"/>
    </row>
    <row r="6" spans="1:13" ht="15.75" x14ac:dyDescent="0.25">
      <c r="A6" s="93" t="s">
        <v>175</v>
      </c>
      <c r="B6" s="94" t="s">
        <v>14</v>
      </c>
      <c r="C6" s="95"/>
      <c r="D6" s="96">
        <f>'FEBRUARY 21'!J6:J70</f>
        <v>50</v>
      </c>
      <c r="E6" s="97">
        <v>6500</v>
      </c>
      <c r="F6" s="98">
        <v>300</v>
      </c>
      <c r="G6" s="97">
        <v>150</v>
      </c>
      <c r="H6" s="97">
        <f>D6+E6+F6+G6+C6</f>
        <v>7000</v>
      </c>
      <c r="I6" s="97">
        <f>7000</f>
        <v>7000</v>
      </c>
      <c r="J6" s="97">
        <f t="shared" ref="J6:J67" si="0">H6-I6</f>
        <v>0</v>
      </c>
      <c r="K6" s="97"/>
      <c r="L6" s="97"/>
      <c r="M6" s="87"/>
    </row>
    <row r="7" spans="1:13" ht="15.75" x14ac:dyDescent="0.25">
      <c r="A7" s="150" t="s">
        <v>265</v>
      </c>
      <c r="B7" s="94" t="s">
        <v>15</v>
      </c>
      <c r="C7" s="100"/>
      <c r="D7" s="96">
        <f>'FEBRUARY 21'!J7:J71</f>
        <v>9200</v>
      </c>
      <c r="E7" s="101"/>
      <c r="F7" s="102"/>
      <c r="G7" s="101"/>
      <c r="H7" s="97">
        <f>D7+E7+F7+G7+C7</f>
        <v>9200</v>
      </c>
      <c r="I7" s="97"/>
      <c r="J7" s="97"/>
      <c r="K7" s="97"/>
      <c r="L7" s="97"/>
      <c r="M7" s="87" t="s">
        <v>318</v>
      </c>
    </row>
    <row r="8" spans="1:13" ht="15.75" x14ac:dyDescent="0.25">
      <c r="A8" s="99" t="s">
        <v>258</v>
      </c>
      <c r="B8" s="94" t="s">
        <v>16</v>
      </c>
      <c r="C8" s="100"/>
      <c r="D8" s="96">
        <f>'FEBRUARY 21'!J8:J72</f>
        <v>150</v>
      </c>
      <c r="E8" s="101">
        <v>6500</v>
      </c>
      <c r="F8" s="102">
        <v>300</v>
      </c>
      <c r="G8" s="101">
        <v>150</v>
      </c>
      <c r="H8" s="97">
        <f t="shared" ref="H8:H70" si="1">D8+E8+F8+G8+C8</f>
        <v>7100</v>
      </c>
      <c r="I8" s="97"/>
      <c r="J8" s="97">
        <f t="shared" si="0"/>
        <v>7100</v>
      </c>
      <c r="K8" s="97"/>
      <c r="L8" s="97"/>
      <c r="M8" s="87"/>
    </row>
    <row r="9" spans="1:13" ht="15.75" x14ac:dyDescent="0.25">
      <c r="A9" s="99" t="s">
        <v>189</v>
      </c>
      <c r="B9" s="94" t="s">
        <v>18</v>
      </c>
      <c r="C9" s="100"/>
      <c r="D9" s="96">
        <f>'FEBRUARY 21'!J9:J73</f>
        <v>650</v>
      </c>
      <c r="E9" s="96">
        <v>6500</v>
      </c>
      <c r="F9" s="103">
        <v>300</v>
      </c>
      <c r="G9" s="101">
        <v>150</v>
      </c>
      <c r="H9" s="97">
        <f t="shared" si="1"/>
        <v>7600</v>
      </c>
      <c r="I9" s="97">
        <f>4000+3400</f>
        <v>7400</v>
      </c>
      <c r="J9" s="97">
        <f t="shared" si="0"/>
        <v>200</v>
      </c>
      <c r="K9" s="97"/>
      <c r="L9" s="97"/>
      <c r="M9" s="87"/>
    </row>
    <row r="10" spans="1:13" ht="15.75" x14ac:dyDescent="0.25">
      <c r="A10" s="99" t="s">
        <v>141</v>
      </c>
      <c r="B10" s="94" t="s">
        <v>19</v>
      </c>
      <c r="C10" s="100"/>
      <c r="D10" s="96">
        <f>'FEBRUARY 21'!J10:J74</f>
        <v>0</v>
      </c>
      <c r="E10" s="101">
        <v>6500</v>
      </c>
      <c r="F10" s="102">
        <v>150</v>
      </c>
      <c r="G10" s="101">
        <v>150</v>
      </c>
      <c r="H10" s="97">
        <f t="shared" si="1"/>
        <v>6800</v>
      </c>
      <c r="I10" s="97">
        <f>6800</f>
        <v>6800</v>
      </c>
      <c r="J10" s="97">
        <f t="shared" si="0"/>
        <v>0</v>
      </c>
      <c r="K10" s="97"/>
      <c r="L10" s="97"/>
      <c r="M10" s="87"/>
    </row>
    <row r="11" spans="1:13" ht="15.75" x14ac:dyDescent="0.25">
      <c r="A11" s="104" t="s">
        <v>134</v>
      </c>
      <c r="B11" s="94" t="s">
        <v>20</v>
      </c>
      <c r="C11" s="100"/>
      <c r="D11" s="96">
        <f>'FEBRUARY 21'!J11:J75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  <c r="M11" s="105"/>
    </row>
    <row r="12" spans="1:13" ht="15.75" x14ac:dyDescent="0.25">
      <c r="A12" s="109" t="s">
        <v>293</v>
      </c>
      <c r="B12" s="94" t="s">
        <v>21</v>
      </c>
      <c r="C12" s="100"/>
      <c r="D12" s="96">
        <f>'FEBRUARY 21'!J12:J76</f>
        <v>2650</v>
      </c>
      <c r="E12" s="101">
        <v>5500</v>
      </c>
      <c r="F12" s="88">
        <v>300</v>
      </c>
      <c r="G12" s="101">
        <v>150</v>
      </c>
      <c r="H12" s="97">
        <f t="shared" si="1"/>
        <v>8600</v>
      </c>
      <c r="I12" s="97">
        <v>8600</v>
      </c>
      <c r="J12" s="97">
        <f t="shared" si="0"/>
        <v>0</v>
      </c>
      <c r="K12" s="97"/>
      <c r="L12" s="97"/>
      <c r="M12" s="106"/>
    </row>
    <row r="13" spans="1:13" ht="15.75" x14ac:dyDescent="0.25">
      <c r="A13" s="107" t="s">
        <v>298</v>
      </c>
      <c r="B13" s="94" t="s">
        <v>22</v>
      </c>
      <c r="C13" s="100">
        <v>7000</v>
      </c>
      <c r="D13" s="96">
        <f>'FEBRUARY 21'!J13:J77</f>
        <v>0</v>
      </c>
      <c r="E13" s="101">
        <v>7000</v>
      </c>
      <c r="F13" s="108"/>
      <c r="G13" s="101"/>
      <c r="H13" s="97">
        <f t="shared" si="1"/>
        <v>14000</v>
      </c>
      <c r="I13" s="97">
        <v>9000</v>
      </c>
      <c r="J13" s="97">
        <f t="shared" si="0"/>
        <v>5000</v>
      </c>
      <c r="K13" s="97"/>
      <c r="L13" s="97"/>
      <c r="M13" s="105"/>
    </row>
    <row r="14" spans="1:13" ht="15.75" x14ac:dyDescent="0.25">
      <c r="A14" s="109" t="s">
        <v>259</v>
      </c>
      <c r="B14" s="94" t="s">
        <v>23</v>
      </c>
      <c r="C14" s="100"/>
      <c r="D14" s="96">
        <f>'FEBRUARY 21'!J14:J78</f>
        <v>150</v>
      </c>
      <c r="E14" s="101">
        <v>6500</v>
      </c>
      <c r="F14" s="102">
        <v>300</v>
      </c>
      <c r="G14" s="101"/>
      <c r="H14" s="97">
        <f t="shared" si="1"/>
        <v>6950</v>
      </c>
      <c r="I14" s="97">
        <f>6500</f>
        <v>6500</v>
      </c>
      <c r="J14" s="97">
        <f t="shared" si="0"/>
        <v>450</v>
      </c>
      <c r="K14" s="97"/>
      <c r="L14" s="97"/>
      <c r="M14" s="87"/>
    </row>
    <row r="15" spans="1:13" ht="15.75" x14ac:dyDescent="0.25">
      <c r="A15" s="109" t="s">
        <v>102</v>
      </c>
      <c r="B15" s="94" t="s">
        <v>24</v>
      </c>
      <c r="C15" s="100"/>
      <c r="D15" s="96">
        <f>'FEBRUARY 21'!J15:J79</f>
        <v>450</v>
      </c>
      <c r="E15" s="101">
        <v>6500</v>
      </c>
      <c r="F15" s="102">
        <v>300</v>
      </c>
      <c r="G15" s="101">
        <v>150</v>
      </c>
      <c r="H15" s="97">
        <f t="shared" si="1"/>
        <v>7400</v>
      </c>
      <c r="I15" s="97">
        <f>6800</f>
        <v>6800</v>
      </c>
      <c r="J15" s="97">
        <f t="shared" si="0"/>
        <v>600</v>
      </c>
      <c r="K15" s="97"/>
      <c r="L15" s="97"/>
      <c r="M15" s="105"/>
    </row>
    <row r="16" spans="1:13" ht="15.75" x14ac:dyDescent="0.25">
      <c r="A16" s="109" t="s">
        <v>285</v>
      </c>
      <c r="B16" s="94" t="s">
        <v>25</v>
      </c>
      <c r="C16" s="100"/>
      <c r="D16" s="96">
        <f>'FEBRUARY 21'!J16:J80</f>
        <v>0</v>
      </c>
      <c r="E16" s="101">
        <v>6500</v>
      </c>
      <c r="F16" s="102">
        <v>450</v>
      </c>
      <c r="G16" s="101">
        <v>150</v>
      </c>
      <c r="H16" s="97">
        <f t="shared" si="1"/>
        <v>7100</v>
      </c>
      <c r="I16" s="97">
        <f>6950+150</f>
        <v>7100</v>
      </c>
      <c r="J16" s="97">
        <f t="shared" si="0"/>
        <v>0</v>
      </c>
      <c r="K16" s="97"/>
      <c r="L16" s="97"/>
      <c r="M16" s="87"/>
    </row>
    <row r="17" spans="1:15" ht="15.75" x14ac:dyDescent="0.25">
      <c r="A17" s="93" t="s">
        <v>133</v>
      </c>
      <c r="B17" s="94" t="s">
        <v>26</v>
      </c>
      <c r="C17" s="100"/>
      <c r="D17" s="96">
        <f>'FEBRUARY 21'!J17:J81</f>
        <v>500</v>
      </c>
      <c r="E17" s="101">
        <v>6500</v>
      </c>
      <c r="F17" s="102">
        <v>300</v>
      </c>
      <c r="G17" s="101">
        <v>150</v>
      </c>
      <c r="H17" s="97">
        <f t="shared" si="1"/>
        <v>7450</v>
      </c>
      <c r="I17" s="97">
        <f>7000+450</f>
        <v>7450</v>
      </c>
      <c r="J17" s="97">
        <f t="shared" si="0"/>
        <v>0</v>
      </c>
      <c r="K17" s="97"/>
      <c r="L17" s="97"/>
      <c r="M17" s="110"/>
    </row>
    <row r="18" spans="1:15" ht="15.75" x14ac:dyDescent="0.25">
      <c r="A18" s="109" t="s">
        <v>249</v>
      </c>
      <c r="B18" s="94" t="s">
        <v>27</v>
      </c>
      <c r="C18" s="100"/>
      <c r="D18" s="96">
        <f>'FEBRUARY 21'!J18:J82</f>
        <v>150</v>
      </c>
      <c r="E18" s="101">
        <v>6500</v>
      </c>
      <c r="F18" s="102">
        <v>300</v>
      </c>
      <c r="G18" s="101">
        <v>150</v>
      </c>
      <c r="H18" s="97">
        <f t="shared" si="1"/>
        <v>7100</v>
      </c>
      <c r="I18" s="97">
        <f>6500</f>
        <v>6500</v>
      </c>
      <c r="J18" s="97">
        <f t="shared" si="0"/>
        <v>600</v>
      </c>
      <c r="K18" s="97"/>
      <c r="L18" s="97"/>
      <c r="M18" s="105"/>
    </row>
    <row r="19" spans="1:15" ht="15.75" x14ac:dyDescent="0.25">
      <c r="A19" s="109" t="s">
        <v>247</v>
      </c>
      <c r="B19" s="94" t="s">
        <v>50</v>
      </c>
      <c r="C19" s="100"/>
      <c r="D19" s="96">
        <f>'FEBRUARY 21'!J19:J83</f>
        <v>0</v>
      </c>
      <c r="E19" s="101">
        <v>6500</v>
      </c>
      <c r="F19" s="102">
        <v>300</v>
      </c>
      <c r="G19" s="101">
        <v>150</v>
      </c>
      <c r="H19" s="97">
        <f t="shared" si="1"/>
        <v>6950</v>
      </c>
      <c r="I19" s="97">
        <v>6700</v>
      </c>
      <c r="J19" s="97">
        <f t="shared" si="0"/>
        <v>250</v>
      </c>
      <c r="K19" s="97"/>
      <c r="L19" s="97"/>
      <c r="M19" s="87"/>
    </row>
    <row r="20" spans="1:15" ht="15.75" x14ac:dyDescent="0.25">
      <c r="A20" s="99" t="s">
        <v>260</v>
      </c>
      <c r="B20" s="94" t="s">
        <v>51</v>
      </c>
      <c r="C20" s="100"/>
      <c r="D20" s="96">
        <f>'FEBRUARY 21'!J20:J84</f>
        <v>600</v>
      </c>
      <c r="E20" s="101">
        <v>6500</v>
      </c>
      <c r="F20" s="102">
        <v>300</v>
      </c>
      <c r="G20" s="101"/>
      <c r="H20" s="97">
        <f t="shared" si="1"/>
        <v>7400</v>
      </c>
      <c r="I20" s="97">
        <f>6500+650</f>
        <v>7150</v>
      </c>
      <c r="J20" s="97">
        <f t="shared" si="0"/>
        <v>250</v>
      </c>
      <c r="K20" s="97"/>
      <c r="L20" s="97"/>
      <c r="M20" s="105"/>
    </row>
    <row r="21" spans="1:15" ht="15.75" x14ac:dyDescent="0.25">
      <c r="A21" s="114" t="s">
        <v>17</v>
      </c>
      <c r="B21" s="94" t="s">
        <v>52</v>
      </c>
      <c r="C21" s="100"/>
      <c r="D21" s="96">
        <f>'FEBRUARY 21'!J21:J85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  <c r="M21" s="87" t="s">
        <v>318</v>
      </c>
    </row>
    <row r="22" spans="1:15" ht="15.75" x14ac:dyDescent="0.25">
      <c r="A22" s="109" t="s">
        <v>270</v>
      </c>
      <c r="B22" s="94" t="s">
        <v>53</v>
      </c>
      <c r="C22" s="100"/>
      <c r="D22" s="96">
        <f>'FEBRUARY 21'!J22:J86</f>
        <v>0</v>
      </c>
      <c r="E22" s="101">
        <v>6500</v>
      </c>
      <c r="F22" s="102">
        <v>300</v>
      </c>
      <c r="G22" s="101">
        <v>150</v>
      </c>
      <c r="H22" s="97">
        <f t="shared" si="1"/>
        <v>6950</v>
      </c>
      <c r="I22" s="97">
        <f>6500+300</f>
        <v>6800</v>
      </c>
      <c r="J22" s="97">
        <f t="shared" si="0"/>
        <v>150</v>
      </c>
      <c r="K22" s="97"/>
      <c r="L22" s="97"/>
      <c r="M22" s="87"/>
    </row>
    <row r="23" spans="1:15" ht="15.75" x14ac:dyDescent="0.25">
      <c r="A23" s="99" t="s">
        <v>269</v>
      </c>
      <c r="B23" s="94" t="s">
        <v>54</v>
      </c>
      <c r="C23" s="100"/>
      <c r="D23" s="96">
        <f>'FEBRUARY 21'!J23:J89</f>
        <v>300</v>
      </c>
      <c r="E23" s="101">
        <v>6500</v>
      </c>
      <c r="F23" s="102">
        <v>300</v>
      </c>
      <c r="G23" s="101">
        <v>150</v>
      </c>
      <c r="H23" s="97">
        <f t="shared" si="1"/>
        <v>7250</v>
      </c>
      <c r="I23" s="97">
        <f>6500</f>
        <v>6500</v>
      </c>
      <c r="J23" s="97">
        <f t="shared" si="0"/>
        <v>750</v>
      </c>
      <c r="K23" s="97"/>
      <c r="L23" s="97"/>
      <c r="M23" s="87"/>
    </row>
    <row r="24" spans="1:15" ht="15.75" x14ac:dyDescent="0.25">
      <c r="A24" s="109" t="s">
        <v>190</v>
      </c>
      <c r="B24" s="94" t="s">
        <v>55</v>
      </c>
      <c r="C24" s="100"/>
      <c r="D24" s="96">
        <f>'FEBRUARY 21'!J24:J90</f>
        <v>6250</v>
      </c>
      <c r="E24" s="101">
        <v>7000</v>
      </c>
      <c r="F24" s="102">
        <v>300</v>
      </c>
      <c r="G24" s="101">
        <v>150</v>
      </c>
      <c r="H24" s="97">
        <f t="shared" si="1"/>
        <v>13700</v>
      </c>
      <c r="I24" s="97">
        <v>3750</v>
      </c>
      <c r="J24" s="97">
        <f t="shared" si="0"/>
        <v>9950</v>
      </c>
      <c r="K24" s="97"/>
      <c r="L24" s="97"/>
      <c r="M24" s="87"/>
      <c r="O24">
        <f>15080-11080</f>
        <v>4000</v>
      </c>
    </row>
    <row r="25" spans="1:15" ht="15.75" x14ac:dyDescent="0.25">
      <c r="A25" s="109" t="s">
        <v>155</v>
      </c>
      <c r="B25" s="94" t="s">
        <v>56</v>
      </c>
      <c r="C25" s="100"/>
      <c r="D25" s="96">
        <f>'FEBRUARY 21'!J25:J91</f>
        <v>150</v>
      </c>
      <c r="E25" s="101">
        <v>5500</v>
      </c>
      <c r="F25" s="102">
        <v>300</v>
      </c>
      <c r="G25" s="101">
        <v>150</v>
      </c>
      <c r="H25" s="97">
        <f t="shared" si="1"/>
        <v>6100</v>
      </c>
      <c r="I25" s="97">
        <f>5800+300</f>
        <v>6100</v>
      </c>
      <c r="J25" s="97">
        <f t="shared" si="0"/>
        <v>0</v>
      </c>
      <c r="K25" s="97"/>
      <c r="L25" s="97"/>
      <c r="M25" s="87"/>
      <c r="O25">
        <f>6650+O24</f>
        <v>10650</v>
      </c>
    </row>
    <row r="26" spans="1:15" ht="15.75" x14ac:dyDescent="0.25">
      <c r="A26" s="109" t="s">
        <v>130</v>
      </c>
      <c r="B26" s="94" t="s">
        <v>57</v>
      </c>
      <c r="C26" s="100"/>
      <c r="D26" s="96">
        <f>'FEBRUARY 21'!J26:J92</f>
        <v>0</v>
      </c>
      <c r="E26" s="101">
        <v>7000</v>
      </c>
      <c r="F26" s="102">
        <v>300</v>
      </c>
      <c r="G26" s="101">
        <v>150</v>
      </c>
      <c r="H26" s="97">
        <f t="shared" si="1"/>
        <v>7450</v>
      </c>
      <c r="I26" s="97">
        <f>7450</f>
        <v>7450</v>
      </c>
      <c r="J26" s="97">
        <f t="shared" si="0"/>
        <v>0</v>
      </c>
      <c r="K26" s="97"/>
      <c r="L26" s="97"/>
      <c r="M26" s="112"/>
      <c r="O26">
        <f>O25+150</f>
        <v>10800</v>
      </c>
    </row>
    <row r="27" spans="1:15" ht="15.75" x14ac:dyDescent="0.25">
      <c r="A27" s="109" t="s">
        <v>132</v>
      </c>
      <c r="B27" s="94" t="s">
        <v>58</v>
      </c>
      <c r="C27" s="100"/>
      <c r="D27" s="96">
        <f>'FEBRUARY 21'!J27:J106</f>
        <v>150</v>
      </c>
      <c r="E27" s="101">
        <v>6500</v>
      </c>
      <c r="F27" s="102">
        <v>300</v>
      </c>
      <c r="G27" s="101">
        <v>150</v>
      </c>
      <c r="H27" s="97">
        <f t="shared" si="1"/>
        <v>7100</v>
      </c>
      <c r="I27" s="97">
        <v>7100</v>
      </c>
      <c r="J27" s="97">
        <f t="shared" si="0"/>
        <v>0</v>
      </c>
      <c r="K27" s="97"/>
      <c r="L27" s="97"/>
      <c r="M27" s="112"/>
      <c r="O27">
        <f>O26-11000</f>
        <v>-200</v>
      </c>
    </row>
    <row r="28" spans="1:15" ht="15.75" x14ac:dyDescent="0.25">
      <c r="A28" s="109" t="s">
        <v>235</v>
      </c>
      <c r="B28" s="94" t="s">
        <v>59</v>
      </c>
      <c r="C28" s="100"/>
      <c r="D28" s="96">
        <f>'FEBRUARY 21'!J28:J107</f>
        <v>0</v>
      </c>
      <c r="E28" s="101">
        <v>6500</v>
      </c>
      <c r="F28" s="102">
        <v>300</v>
      </c>
      <c r="G28" s="101">
        <v>150</v>
      </c>
      <c r="H28" s="97">
        <f t="shared" si="1"/>
        <v>6950</v>
      </c>
      <c r="I28" s="97">
        <f>4400+2550</f>
        <v>6950</v>
      </c>
      <c r="J28" s="97">
        <f t="shared" si="0"/>
        <v>0</v>
      </c>
      <c r="K28" s="97"/>
      <c r="L28" s="97"/>
      <c r="M28" s="105"/>
      <c r="O28">
        <f>6500+150+600</f>
        <v>7250</v>
      </c>
    </row>
    <row r="29" spans="1:15" ht="15.75" x14ac:dyDescent="0.25">
      <c r="A29" s="109" t="s">
        <v>309</v>
      </c>
      <c r="B29" s="94" t="s">
        <v>60</v>
      </c>
      <c r="C29" s="100">
        <v>6500</v>
      </c>
      <c r="D29" s="96"/>
      <c r="E29" s="101">
        <v>6500</v>
      </c>
      <c r="F29" s="102"/>
      <c r="G29" s="101"/>
      <c r="H29" s="97">
        <f t="shared" si="1"/>
        <v>13000</v>
      </c>
      <c r="I29" s="97">
        <v>13000</v>
      </c>
      <c r="J29" s="97">
        <f t="shared" si="0"/>
        <v>0</v>
      </c>
      <c r="K29" s="97"/>
      <c r="L29" s="97">
        <v>1000</v>
      </c>
      <c r="M29" s="105"/>
      <c r="O29">
        <f>O28-200-6700</f>
        <v>350</v>
      </c>
    </row>
    <row r="30" spans="1:15" ht="15.75" x14ac:dyDescent="0.25">
      <c r="A30" s="109" t="s">
        <v>241</v>
      </c>
      <c r="B30" s="94" t="s">
        <v>61</v>
      </c>
      <c r="C30" s="100"/>
      <c r="D30" s="96">
        <f>'FEBRUARY 21'!J30:J109</f>
        <v>1550</v>
      </c>
      <c r="E30" s="101">
        <v>6500</v>
      </c>
      <c r="F30" s="102">
        <v>300</v>
      </c>
      <c r="G30" s="101">
        <v>150</v>
      </c>
      <c r="H30" s="97">
        <f t="shared" si="1"/>
        <v>8500</v>
      </c>
      <c r="I30" s="97">
        <f>8000+500</f>
        <v>8500</v>
      </c>
      <c r="J30" s="97">
        <f t="shared" si="0"/>
        <v>0</v>
      </c>
      <c r="K30" s="97"/>
      <c r="L30" s="97"/>
      <c r="M30" s="87"/>
      <c r="O30">
        <f>6800-650</f>
        <v>6150</v>
      </c>
    </row>
    <row r="31" spans="1:15" ht="15.75" x14ac:dyDescent="0.25">
      <c r="A31" s="109" t="s">
        <v>106</v>
      </c>
      <c r="B31" s="94" t="s">
        <v>62</v>
      </c>
      <c r="C31" s="95"/>
      <c r="D31" s="96">
        <f>'FEBRUARY 21'!J31:J110</f>
        <v>150</v>
      </c>
      <c r="E31" s="101">
        <v>6500</v>
      </c>
      <c r="F31" s="102">
        <v>300</v>
      </c>
      <c r="G31" s="101">
        <v>150</v>
      </c>
      <c r="H31" s="97">
        <f t="shared" si="1"/>
        <v>7100</v>
      </c>
      <c r="I31" s="97">
        <f>6650</f>
        <v>6650</v>
      </c>
      <c r="J31" s="97">
        <f t="shared" si="0"/>
        <v>450</v>
      </c>
      <c r="K31" s="97"/>
      <c r="L31" s="97"/>
      <c r="M31" s="105"/>
    </row>
    <row r="32" spans="1:15" ht="15.75" x14ac:dyDescent="0.25">
      <c r="A32" s="109" t="s">
        <v>181</v>
      </c>
      <c r="B32" s="94" t="s">
        <v>63</v>
      </c>
      <c r="C32" s="100"/>
      <c r="D32" s="96">
        <f>'FEBRUARY 21'!J32:J111</f>
        <v>6950</v>
      </c>
      <c r="E32" s="101">
        <v>6500</v>
      </c>
      <c r="F32" s="102">
        <v>300</v>
      </c>
      <c r="G32" s="101"/>
      <c r="H32" s="97">
        <f t="shared" si="1"/>
        <v>13750</v>
      </c>
      <c r="I32" s="97">
        <f>6500+2800</f>
        <v>9300</v>
      </c>
      <c r="J32" s="97">
        <f t="shared" si="0"/>
        <v>4450</v>
      </c>
      <c r="K32" s="97"/>
      <c r="L32" s="97"/>
      <c r="M32" s="113"/>
    </row>
    <row r="33" spans="1:16" ht="15.75" x14ac:dyDescent="0.25">
      <c r="A33" s="109" t="s">
        <v>171</v>
      </c>
      <c r="B33" s="94" t="s">
        <v>64</v>
      </c>
      <c r="C33" s="100"/>
      <c r="D33" s="96">
        <f>'FEBRUARY 21'!J33:J112</f>
        <v>150</v>
      </c>
      <c r="E33" s="101">
        <v>6500</v>
      </c>
      <c r="F33" s="102">
        <v>150</v>
      </c>
      <c r="G33" s="101">
        <v>150</v>
      </c>
      <c r="H33" s="97">
        <f t="shared" si="1"/>
        <v>6950</v>
      </c>
      <c r="I33" s="97">
        <v>6950</v>
      </c>
      <c r="J33" s="97">
        <f t="shared" si="0"/>
        <v>0</v>
      </c>
      <c r="K33" s="97"/>
      <c r="L33" s="97"/>
      <c r="M33" s="105"/>
    </row>
    <row r="34" spans="1:16" ht="15.75" x14ac:dyDescent="0.25">
      <c r="A34" s="109" t="s">
        <v>288</v>
      </c>
      <c r="B34" s="94" t="s">
        <v>65</v>
      </c>
      <c r="C34" s="100"/>
      <c r="D34" s="96">
        <v>150</v>
      </c>
      <c r="E34" s="102">
        <v>6500</v>
      </c>
      <c r="F34" s="102">
        <v>300</v>
      </c>
      <c r="G34" s="101"/>
      <c r="H34" s="97">
        <f t="shared" si="1"/>
        <v>6950</v>
      </c>
      <c r="I34" s="97">
        <v>6950</v>
      </c>
      <c r="J34" s="97">
        <f t="shared" si="0"/>
        <v>0</v>
      </c>
      <c r="K34" s="97"/>
      <c r="L34" s="97"/>
      <c r="M34" s="105"/>
    </row>
    <row r="35" spans="1:16" ht="15.75" x14ac:dyDescent="0.25">
      <c r="A35" s="93" t="s">
        <v>153</v>
      </c>
      <c r="B35" s="94" t="s">
        <v>66</v>
      </c>
      <c r="C35" s="100"/>
      <c r="D35" s="96">
        <f>'FEBRUARY 21'!J35:J114</f>
        <v>1750</v>
      </c>
      <c r="E35" s="102">
        <v>6500</v>
      </c>
      <c r="F35" s="102">
        <v>300</v>
      </c>
      <c r="G35" s="101">
        <v>150</v>
      </c>
      <c r="H35" s="97">
        <f t="shared" si="1"/>
        <v>8700</v>
      </c>
      <c r="I35" s="97">
        <f>3500+2000</f>
        <v>5500</v>
      </c>
      <c r="J35" s="97">
        <f t="shared" si="0"/>
        <v>3200</v>
      </c>
      <c r="K35" s="97"/>
      <c r="L35" s="97"/>
      <c r="M35" s="105">
        <f>1800+600</f>
        <v>2400</v>
      </c>
    </row>
    <row r="36" spans="1:16" ht="15.75" x14ac:dyDescent="0.25">
      <c r="A36" s="109" t="s">
        <v>308</v>
      </c>
      <c r="B36" s="94" t="s">
        <v>67</v>
      </c>
      <c r="C36" s="100">
        <v>6500</v>
      </c>
      <c r="D36" s="96"/>
      <c r="E36" s="102">
        <v>6500</v>
      </c>
      <c r="F36" s="102"/>
      <c r="G36" s="101">
        <v>150</v>
      </c>
      <c r="H36" s="97">
        <f t="shared" si="1"/>
        <v>13150</v>
      </c>
      <c r="I36" s="97">
        <v>13150</v>
      </c>
      <c r="J36" s="97">
        <f t="shared" si="0"/>
        <v>0</v>
      </c>
      <c r="K36" s="97"/>
      <c r="L36" s="97">
        <v>1000</v>
      </c>
      <c r="M36" s="105"/>
    </row>
    <row r="37" spans="1:16" ht="15.75" x14ac:dyDescent="0.25">
      <c r="A37" s="109" t="s">
        <v>126</v>
      </c>
      <c r="B37" s="94" t="s">
        <v>68</v>
      </c>
      <c r="C37" s="100"/>
      <c r="D37" s="96">
        <f>'FEBRUARY 21'!J37:J116</f>
        <v>2450</v>
      </c>
      <c r="E37" s="102">
        <v>7000</v>
      </c>
      <c r="F37" s="102">
        <v>300</v>
      </c>
      <c r="G37" s="101"/>
      <c r="H37" s="97">
        <f t="shared" si="1"/>
        <v>9750</v>
      </c>
      <c r="I37" s="97">
        <f>600+6700+2450</f>
        <v>9750</v>
      </c>
      <c r="J37" s="97">
        <f t="shared" si="0"/>
        <v>0</v>
      </c>
      <c r="L37" s="97"/>
      <c r="M37" s="105"/>
    </row>
    <row r="38" spans="1:16" ht="15.75" x14ac:dyDescent="0.25">
      <c r="A38" s="109" t="s">
        <v>280</v>
      </c>
      <c r="B38" s="94" t="s">
        <v>69</v>
      </c>
      <c r="C38" s="100"/>
      <c r="D38" s="96">
        <f>'FEBRUARY 21'!J38:J117</f>
        <v>150</v>
      </c>
      <c r="E38" s="102">
        <v>5500</v>
      </c>
      <c r="F38" s="102">
        <v>150</v>
      </c>
      <c r="G38" s="101">
        <v>150</v>
      </c>
      <c r="H38" s="97">
        <f t="shared" si="1"/>
        <v>5950</v>
      </c>
      <c r="I38" s="97">
        <f>150+5500+300</f>
        <v>5950</v>
      </c>
      <c r="J38" s="97">
        <f t="shared" si="0"/>
        <v>0</v>
      </c>
      <c r="K38" s="97"/>
      <c r="L38" s="97"/>
      <c r="M38" s="105"/>
    </row>
    <row r="39" spans="1:16" ht="15.75" x14ac:dyDescent="0.25">
      <c r="A39" s="109" t="s">
        <v>125</v>
      </c>
      <c r="B39" s="94" t="s">
        <v>70</v>
      </c>
      <c r="C39" s="100"/>
      <c r="D39" s="96">
        <f>'FEBRUARY 21'!J39:J118</f>
        <v>450</v>
      </c>
      <c r="E39" s="102">
        <v>7000</v>
      </c>
      <c r="F39" s="102">
        <v>300</v>
      </c>
      <c r="G39" s="101">
        <v>150</v>
      </c>
      <c r="H39" s="97">
        <f t="shared" si="1"/>
        <v>7900</v>
      </c>
      <c r="I39" s="97">
        <f>7300</f>
        <v>7300</v>
      </c>
      <c r="J39" s="97">
        <f t="shared" si="0"/>
        <v>600</v>
      </c>
      <c r="K39" s="97"/>
      <c r="L39" s="97"/>
      <c r="M39" s="105"/>
    </row>
    <row r="40" spans="1:16" ht="15.75" x14ac:dyDescent="0.25">
      <c r="A40" s="109" t="s">
        <v>191</v>
      </c>
      <c r="B40" s="94" t="s">
        <v>71</v>
      </c>
      <c r="C40" s="100"/>
      <c r="D40" s="96">
        <f>'FEBRUARY 21'!J40:J119</f>
        <v>5850</v>
      </c>
      <c r="E40" s="102">
        <v>6500</v>
      </c>
      <c r="F40" s="102">
        <v>300</v>
      </c>
      <c r="G40" s="101">
        <v>150</v>
      </c>
      <c r="H40" s="97">
        <f t="shared" si="1"/>
        <v>12800</v>
      </c>
      <c r="I40" s="97">
        <f>5000+3000</f>
        <v>8000</v>
      </c>
      <c r="J40" s="97">
        <f t="shared" si="0"/>
        <v>4800</v>
      </c>
      <c r="K40" s="97"/>
      <c r="L40" s="97"/>
      <c r="M40" s="105"/>
      <c r="O40">
        <f>6500/30</f>
        <v>216.66666666666666</v>
      </c>
      <c r="P40">
        <f>6650/30</f>
        <v>221.66666666666666</v>
      </c>
    </row>
    <row r="41" spans="1:16" ht="15.75" x14ac:dyDescent="0.25">
      <c r="A41" s="109" t="s">
        <v>127</v>
      </c>
      <c r="B41" s="94" t="s">
        <v>72</v>
      </c>
      <c r="C41" s="100"/>
      <c r="D41" s="96">
        <f>'FEBRUARY 21'!J41:J120</f>
        <v>300</v>
      </c>
      <c r="E41" s="102">
        <v>6500</v>
      </c>
      <c r="F41" s="102">
        <v>300</v>
      </c>
      <c r="G41" s="101">
        <v>150</v>
      </c>
      <c r="H41" s="97">
        <f t="shared" si="1"/>
        <v>7250</v>
      </c>
      <c r="I41" s="97">
        <v>6600</v>
      </c>
      <c r="J41" s="97">
        <f>H41-I41</f>
        <v>650</v>
      </c>
      <c r="K41" s="97"/>
      <c r="L41" s="97"/>
      <c r="M41" s="105"/>
      <c r="O41">
        <f>O40*14</f>
        <v>3033.333333333333</v>
      </c>
      <c r="P41">
        <f>P40*14</f>
        <v>3103.333333333333</v>
      </c>
    </row>
    <row r="42" spans="1:16" ht="15.75" x14ac:dyDescent="0.25">
      <c r="A42" s="109" t="s">
        <v>124</v>
      </c>
      <c r="B42" s="94" t="s">
        <v>73</v>
      </c>
      <c r="C42" s="100"/>
      <c r="D42" s="96">
        <f>'FEBRUARY 21'!J42:J121</f>
        <v>500</v>
      </c>
      <c r="E42" s="102">
        <v>6500</v>
      </c>
      <c r="F42" s="102">
        <v>300</v>
      </c>
      <c r="G42" s="101">
        <v>150</v>
      </c>
      <c r="H42" s="97">
        <f t="shared" si="1"/>
        <v>7450</v>
      </c>
      <c r="I42" s="97">
        <f>7000+450</f>
        <v>7450</v>
      </c>
      <c r="J42" s="97">
        <f t="shared" si="0"/>
        <v>0</v>
      </c>
      <c r="K42" s="97"/>
      <c r="L42" s="97"/>
      <c r="M42" s="105"/>
      <c r="O42">
        <f>3000+6500+1000</f>
        <v>10500</v>
      </c>
    </row>
    <row r="43" spans="1:16" ht="15.75" x14ac:dyDescent="0.25">
      <c r="A43" s="109" t="s">
        <v>305</v>
      </c>
      <c r="B43" s="94" t="s">
        <v>74</v>
      </c>
      <c r="C43" s="100">
        <v>6500</v>
      </c>
      <c r="D43" s="96"/>
      <c r="E43" s="102">
        <v>6500</v>
      </c>
      <c r="F43" s="102"/>
      <c r="G43" s="101"/>
      <c r="H43" s="97">
        <f>D43+E43+F43+G43+C43</f>
        <v>13000</v>
      </c>
      <c r="I43" s="97">
        <v>13000</v>
      </c>
      <c r="J43" s="97">
        <f t="shared" si="0"/>
        <v>0</v>
      </c>
      <c r="K43" s="97"/>
      <c r="L43" s="97">
        <v>1000</v>
      </c>
      <c r="M43" s="105"/>
      <c r="P43">
        <f>3100+6500+1000</f>
        <v>10600</v>
      </c>
    </row>
    <row r="44" spans="1:16" ht="15.75" x14ac:dyDescent="0.25">
      <c r="A44" s="109" t="s">
        <v>205</v>
      </c>
      <c r="B44" s="94" t="s">
        <v>75</v>
      </c>
      <c r="C44" s="100"/>
      <c r="D44" s="96">
        <f>'FEBRUARY 21'!J44:J123</f>
        <v>0</v>
      </c>
      <c r="E44" s="102">
        <v>6500</v>
      </c>
      <c r="F44" s="102">
        <v>150</v>
      </c>
      <c r="G44" s="101">
        <v>150</v>
      </c>
      <c r="H44" s="97">
        <f t="shared" si="1"/>
        <v>6800</v>
      </c>
      <c r="I44" s="97">
        <v>6650</v>
      </c>
      <c r="J44" s="97">
        <f>H44-I44</f>
        <v>150</v>
      </c>
      <c r="K44" s="97"/>
      <c r="L44" s="97"/>
      <c r="M44" s="105"/>
    </row>
    <row r="45" spans="1:16" ht="15.75" x14ac:dyDescent="0.25">
      <c r="A45" s="109" t="s">
        <v>307</v>
      </c>
      <c r="B45" s="94" t="s">
        <v>76</v>
      </c>
      <c r="C45" s="100">
        <v>6500</v>
      </c>
      <c r="D45" s="96">
        <f>'FEBRUARY 21'!J45:J124</f>
        <v>0</v>
      </c>
      <c r="E45" s="102">
        <v>6500</v>
      </c>
      <c r="F45" s="108"/>
      <c r="G45" s="101"/>
      <c r="H45" s="97">
        <f>D45+E45+F45+G45+C45</f>
        <v>13000</v>
      </c>
      <c r="I45" s="97">
        <f>6500+6500</f>
        <v>13000</v>
      </c>
      <c r="J45" s="97">
        <f t="shared" si="0"/>
        <v>0</v>
      </c>
      <c r="K45" s="97"/>
      <c r="L45" s="97">
        <v>1000</v>
      </c>
      <c r="M45" s="105"/>
    </row>
    <row r="46" spans="1:16" ht="15.75" x14ac:dyDescent="0.25">
      <c r="A46" s="109" t="s">
        <v>295</v>
      </c>
      <c r="B46" s="94" t="s">
        <v>77</v>
      </c>
      <c r="C46" s="100"/>
      <c r="D46" s="96">
        <f>'FEBRUARY 21'!J46:J125</f>
        <v>150</v>
      </c>
      <c r="E46" s="102">
        <v>6500</v>
      </c>
      <c r="F46" s="102">
        <v>300</v>
      </c>
      <c r="G46" s="101">
        <v>150</v>
      </c>
      <c r="H46" s="97">
        <f>D46+E46+G46+C46</f>
        <v>6800</v>
      </c>
      <c r="I46" s="97">
        <f>6500+300</f>
        <v>6800</v>
      </c>
      <c r="J46" s="97">
        <f t="shared" si="0"/>
        <v>0</v>
      </c>
      <c r="K46" s="97"/>
      <c r="L46" s="97"/>
      <c r="M46" s="105"/>
    </row>
    <row r="47" spans="1:16" ht="15.75" x14ac:dyDescent="0.25">
      <c r="A47" s="109" t="s">
        <v>204</v>
      </c>
      <c r="B47" s="94" t="s">
        <v>78</v>
      </c>
      <c r="C47" s="100"/>
      <c r="D47" s="96">
        <f>'FEBRUARY 21'!J47:J126</f>
        <v>450</v>
      </c>
      <c r="E47" s="102">
        <v>6500</v>
      </c>
      <c r="F47" s="102">
        <v>450</v>
      </c>
      <c r="G47" s="101">
        <v>150</v>
      </c>
      <c r="H47" s="97">
        <f t="shared" si="1"/>
        <v>7550</v>
      </c>
      <c r="I47" s="97">
        <f>5300+1800+450</f>
        <v>7550</v>
      </c>
      <c r="J47" s="97">
        <f t="shared" si="0"/>
        <v>0</v>
      </c>
      <c r="K47" s="97"/>
      <c r="L47" s="97"/>
      <c r="M47" s="105"/>
    </row>
    <row r="48" spans="1:16" ht="15.75" x14ac:dyDescent="0.25">
      <c r="A48" s="93" t="s">
        <v>262</v>
      </c>
      <c r="B48" s="94" t="s">
        <v>79</v>
      </c>
      <c r="C48" s="100"/>
      <c r="D48" s="96">
        <f>'FEBRUARY 21'!J48:J127</f>
        <v>0</v>
      </c>
      <c r="E48" s="102">
        <v>6500</v>
      </c>
      <c r="F48" s="102">
        <v>300</v>
      </c>
      <c r="G48" s="101">
        <v>150</v>
      </c>
      <c r="H48" s="97">
        <f t="shared" si="1"/>
        <v>6950</v>
      </c>
      <c r="I48" s="97">
        <f>6500</f>
        <v>6500</v>
      </c>
      <c r="J48" s="97">
        <f t="shared" si="0"/>
        <v>450</v>
      </c>
      <c r="K48" s="97"/>
      <c r="L48" s="97"/>
      <c r="M48" s="105"/>
    </row>
    <row r="49" spans="1:15" ht="15.75" x14ac:dyDescent="0.25">
      <c r="A49" s="109" t="s">
        <v>186</v>
      </c>
      <c r="B49" s="94" t="s">
        <v>80</v>
      </c>
      <c r="C49" s="100"/>
      <c r="D49" s="96">
        <f>'FEBRUARY 21'!J49:J128</f>
        <v>3250</v>
      </c>
      <c r="E49" s="102">
        <v>6500</v>
      </c>
      <c r="F49" s="102">
        <v>150</v>
      </c>
      <c r="G49" s="101">
        <v>150</v>
      </c>
      <c r="H49" s="97">
        <f t="shared" si="1"/>
        <v>10050</v>
      </c>
      <c r="I49" s="97">
        <f>3250</f>
        <v>3250</v>
      </c>
      <c r="J49" s="97">
        <f t="shared" si="0"/>
        <v>6800</v>
      </c>
      <c r="K49" s="97"/>
      <c r="L49" s="97"/>
      <c r="M49" s="88"/>
    </row>
    <row r="50" spans="1:15" ht="15.75" x14ac:dyDescent="0.25">
      <c r="A50" s="109" t="s">
        <v>135</v>
      </c>
      <c r="B50" s="94" t="s">
        <v>81</v>
      </c>
      <c r="C50" s="100"/>
      <c r="D50" s="96">
        <f>'FEBRUARY 21'!J50:J129</f>
        <v>1350</v>
      </c>
      <c r="E50" s="102">
        <v>7000</v>
      </c>
      <c r="F50" s="102">
        <v>300</v>
      </c>
      <c r="G50" s="101">
        <v>150</v>
      </c>
      <c r="H50" s="97">
        <f t="shared" si="1"/>
        <v>8800</v>
      </c>
      <c r="I50" s="97">
        <f>7000+1800</f>
        <v>8800</v>
      </c>
      <c r="J50" s="97">
        <f t="shared" si="0"/>
        <v>0</v>
      </c>
      <c r="K50" s="97"/>
      <c r="L50" s="97"/>
      <c r="M50" s="105"/>
    </row>
    <row r="51" spans="1:15" ht="15.75" x14ac:dyDescent="0.25">
      <c r="A51" s="109" t="s">
        <v>138</v>
      </c>
      <c r="B51" s="94" t="s">
        <v>82</v>
      </c>
      <c r="C51" s="100"/>
      <c r="D51" s="96">
        <f>'FEBRUARY 21'!J51:J130</f>
        <v>150</v>
      </c>
      <c r="E51" s="102">
        <v>5500</v>
      </c>
      <c r="F51" s="102">
        <v>300</v>
      </c>
      <c r="G51" s="101">
        <v>150</v>
      </c>
      <c r="H51" s="97">
        <f t="shared" si="1"/>
        <v>6100</v>
      </c>
      <c r="I51" s="97">
        <f>5800</f>
        <v>5800</v>
      </c>
      <c r="J51" s="97">
        <f t="shared" si="0"/>
        <v>300</v>
      </c>
      <c r="K51" s="97"/>
      <c r="L51" s="97"/>
      <c r="M51" s="105"/>
    </row>
    <row r="52" spans="1:15" ht="15.75" x14ac:dyDescent="0.25">
      <c r="A52" s="109" t="s">
        <v>109</v>
      </c>
      <c r="B52" s="94" t="s">
        <v>83</v>
      </c>
      <c r="C52" s="100"/>
      <c r="D52" s="96">
        <f>'FEBRUARY 21'!J52:J131</f>
        <v>650</v>
      </c>
      <c r="E52" s="102">
        <v>7000</v>
      </c>
      <c r="F52" s="102">
        <v>150</v>
      </c>
      <c r="G52" s="101">
        <v>150</v>
      </c>
      <c r="H52" s="97">
        <f t="shared" si="1"/>
        <v>7950</v>
      </c>
      <c r="I52" s="97">
        <f>7300</f>
        <v>7300</v>
      </c>
      <c r="J52" s="97">
        <f>H52-I52</f>
        <v>650</v>
      </c>
      <c r="K52" s="97"/>
      <c r="L52" s="97"/>
      <c r="M52" s="105"/>
    </row>
    <row r="53" spans="1:15" ht="15.75" x14ac:dyDescent="0.25">
      <c r="A53" s="109" t="s">
        <v>217</v>
      </c>
      <c r="B53" s="94" t="s">
        <v>84</v>
      </c>
      <c r="C53" s="100"/>
      <c r="D53" s="96">
        <f>'FEBRUARY 21'!J53:J132</f>
        <v>300</v>
      </c>
      <c r="E53" s="102">
        <v>6500</v>
      </c>
      <c r="F53" s="102">
        <v>150</v>
      </c>
      <c r="G53" s="101">
        <v>150</v>
      </c>
      <c r="H53" s="97">
        <f t="shared" si="1"/>
        <v>7100</v>
      </c>
      <c r="I53" s="97">
        <f>6500</f>
        <v>6500</v>
      </c>
      <c r="J53" s="97">
        <f t="shared" si="0"/>
        <v>600</v>
      </c>
      <c r="K53" s="97"/>
      <c r="L53" s="97"/>
      <c r="M53" s="105"/>
    </row>
    <row r="54" spans="1:15" ht="15.75" x14ac:dyDescent="0.25">
      <c r="A54" s="109" t="s">
        <v>212</v>
      </c>
      <c r="B54" s="94" t="s">
        <v>85</v>
      </c>
      <c r="C54" s="100"/>
      <c r="D54" s="96">
        <f>'FEBRUARY 21'!J54:J133</f>
        <v>6800</v>
      </c>
      <c r="E54" s="102">
        <v>6500</v>
      </c>
      <c r="F54" s="102">
        <v>150</v>
      </c>
      <c r="G54" s="101">
        <v>150</v>
      </c>
      <c r="H54" s="97">
        <f t="shared" si="1"/>
        <v>13600</v>
      </c>
      <c r="I54" s="97">
        <f>2000+6950</f>
        <v>8950</v>
      </c>
      <c r="J54" s="97">
        <f t="shared" si="0"/>
        <v>4650</v>
      </c>
      <c r="K54" s="97"/>
      <c r="L54" s="97"/>
      <c r="M54" s="105"/>
    </row>
    <row r="55" spans="1:15" ht="15.75" x14ac:dyDescent="0.25">
      <c r="A55" s="93" t="s">
        <v>289</v>
      </c>
      <c r="B55" s="94" t="s">
        <v>86</v>
      </c>
      <c r="C55" s="100"/>
      <c r="D55" s="96">
        <f>'FEBRUARY 21'!J55:J134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>
        <f>6650+150</f>
        <v>6800</v>
      </c>
      <c r="J55" s="97">
        <f>H55-I55</f>
        <v>0</v>
      </c>
      <c r="K55" s="97"/>
      <c r="L55" s="97"/>
      <c r="M55" s="105"/>
    </row>
    <row r="56" spans="1:15" ht="15.75" x14ac:dyDescent="0.25">
      <c r="A56" s="109" t="s">
        <v>243</v>
      </c>
      <c r="B56" s="94" t="s">
        <v>87</v>
      </c>
      <c r="C56" s="100"/>
      <c r="D56" s="96">
        <f>'FEBRUARY 21'!J56:J135</f>
        <v>450</v>
      </c>
      <c r="E56" s="102">
        <v>6500</v>
      </c>
      <c r="F56" s="102">
        <v>300</v>
      </c>
      <c r="G56" s="101">
        <v>150</v>
      </c>
      <c r="H56" s="97">
        <f>D56+E56+F56+G56+C56</f>
        <v>7400</v>
      </c>
      <c r="I56" s="97">
        <f>6500</f>
        <v>6500</v>
      </c>
      <c r="J56" s="97">
        <f t="shared" si="0"/>
        <v>900</v>
      </c>
      <c r="K56" s="97"/>
      <c r="L56" s="97"/>
      <c r="M56" s="105"/>
      <c r="N56" s="23"/>
    </row>
    <row r="57" spans="1:15" ht="15.75" x14ac:dyDescent="0.25">
      <c r="A57" s="109" t="s">
        <v>151</v>
      </c>
      <c r="B57" s="94" t="s">
        <v>88</v>
      </c>
      <c r="C57" s="100"/>
      <c r="D57" s="96">
        <f>'FEBRUARY 21'!J57:J136</f>
        <v>0</v>
      </c>
      <c r="E57" s="102">
        <v>6500</v>
      </c>
      <c r="F57" s="102">
        <v>300</v>
      </c>
      <c r="G57" s="101">
        <v>150</v>
      </c>
      <c r="H57" s="97">
        <f t="shared" si="1"/>
        <v>6950</v>
      </c>
      <c r="I57" s="97">
        <f>6650+300</f>
        <v>6950</v>
      </c>
      <c r="J57" s="97">
        <f t="shared" si="0"/>
        <v>0</v>
      </c>
      <c r="K57" s="97"/>
      <c r="L57" s="97"/>
      <c r="M57" s="105"/>
    </row>
    <row r="58" spans="1:15" ht="15.75" x14ac:dyDescent="0.25">
      <c r="A58" s="109" t="s">
        <v>110</v>
      </c>
      <c r="B58" s="94" t="s">
        <v>89</v>
      </c>
      <c r="C58" s="100"/>
      <c r="D58" s="96">
        <f>'FEBRUARY 21'!J58:J137</f>
        <v>300</v>
      </c>
      <c r="E58" s="102">
        <v>7000</v>
      </c>
      <c r="F58" s="102">
        <v>150</v>
      </c>
      <c r="G58" s="101">
        <v>150</v>
      </c>
      <c r="H58" s="97">
        <f t="shared" si="1"/>
        <v>7600</v>
      </c>
      <c r="I58" s="97">
        <f>3600</f>
        <v>3600</v>
      </c>
      <c r="J58" s="97">
        <f t="shared" si="0"/>
        <v>4000</v>
      </c>
      <c r="K58" s="97"/>
      <c r="L58" s="97"/>
      <c r="M58" s="105"/>
    </row>
    <row r="59" spans="1:15" ht="15.75" x14ac:dyDescent="0.25">
      <c r="A59" s="114" t="s">
        <v>17</v>
      </c>
      <c r="B59" s="94" t="s">
        <v>90</v>
      </c>
      <c r="C59" s="100"/>
      <c r="D59" s="96">
        <f>'FEBRUARY 21'!J59:J138</f>
        <v>0</v>
      </c>
      <c r="E59" s="102"/>
      <c r="F59" s="102"/>
      <c r="G59" s="101"/>
      <c r="H59" s="97">
        <f t="shared" si="1"/>
        <v>0</v>
      </c>
      <c r="I59" s="97"/>
      <c r="J59" s="97">
        <f>H59-I59</f>
        <v>0</v>
      </c>
      <c r="K59" s="97"/>
      <c r="L59" s="97"/>
      <c r="M59" s="105"/>
    </row>
    <row r="60" spans="1:15" ht="15.75" x14ac:dyDescent="0.25">
      <c r="A60" s="109" t="s">
        <v>192</v>
      </c>
      <c r="B60" s="94" t="s">
        <v>91</v>
      </c>
      <c r="C60" s="100"/>
      <c r="D60" s="96">
        <f>'FEBRUARY 21'!J60:J139</f>
        <v>0</v>
      </c>
      <c r="E60" s="102">
        <v>6500</v>
      </c>
      <c r="F60" s="102">
        <v>300</v>
      </c>
      <c r="G60" s="101">
        <v>150</v>
      </c>
      <c r="H60" s="97">
        <f t="shared" si="1"/>
        <v>6950</v>
      </c>
      <c r="I60" s="97">
        <f>6950</f>
        <v>6950</v>
      </c>
      <c r="J60" s="97">
        <f>H60-I60</f>
        <v>0</v>
      </c>
      <c r="K60" s="97"/>
      <c r="L60" s="97"/>
      <c r="M60" s="87"/>
    </row>
    <row r="61" spans="1:15" ht="15.75" x14ac:dyDescent="0.25">
      <c r="A61" s="114" t="s">
        <v>17</v>
      </c>
      <c r="B61" s="94" t="s">
        <v>92</v>
      </c>
      <c r="C61" s="100"/>
      <c r="D61" s="96"/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  <c r="M61" s="87"/>
    </row>
    <row r="62" spans="1:15" ht="15.75" x14ac:dyDescent="0.25">
      <c r="A62" s="93" t="s">
        <v>286</v>
      </c>
      <c r="B62" s="94" t="s">
        <v>93</v>
      </c>
      <c r="C62" s="100"/>
      <c r="D62" s="96">
        <f>'FEBRUARY 21'!J62:J141</f>
        <v>150</v>
      </c>
      <c r="E62" s="102">
        <v>6500</v>
      </c>
      <c r="F62" s="102">
        <v>450</v>
      </c>
      <c r="G62" s="101">
        <v>150</v>
      </c>
      <c r="H62" s="97">
        <f t="shared" si="1"/>
        <v>7250</v>
      </c>
      <c r="I62" s="97">
        <f>450+6800</f>
        <v>7250</v>
      </c>
      <c r="J62" s="97">
        <f t="shared" si="0"/>
        <v>0</v>
      </c>
      <c r="K62" s="97"/>
      <c r="L62" s="97"/>
      <c r="M62" s="87"/>
      <c r="O62" s="23">
        <f>7500-2383-1600</f>
        <v>3517</v>
      </c>
    </row>
    <row r="63" spans="1:15" ht="15.75" x14ac:dyDescent="0.25">
      <c r="A63" s="126" t="s">
        <v>17</v>
      </c>
      <c r="B63" s="94" t="s">
        <v>94</v>
      </c>
      <c r="C63" s="100"/>
      <c r="D63" s="96">
        <f>'FEBRUARY 21'!J63:J142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  <c r="M63" s="87" t="s">
        <v>318</v>
      </c>
      <c r="O63" s="23">
        <f>O62-150</f>
        <v>3367</v>
      </c>
    </row>
    <row r="64" spans="1:15" ht="15.75" x14ac:dyDescent="0.25">
      <c r="A64" s="109" t="s">
        <v>188</v>
      </c>
      <c r="B64" s="94" t="s">
        <v>95</v>
      </c>
      <c r="C64" s="100"/>
      <c r="D64" s="96">
        <f>'FEBRUARY 21'!J64:J143</f>
        <v>300</v>
      </c>
      <c r="E64" s="102">
        <v>5500</v>
      </c>
      <c r="F64" s="102">
        <v>150</v>
      </c>
      <c r="G64" s="101">
        <v>150</v>
      </c>
      <c r="H64" s="97">
        <f t="shared" si="1"/>
        <v>6100</v>
      </c>
      <c r="I64" s="97">
        <f>5800+300</f>
        <v>6100</v>
      </c>
      <c r="J64" s="97">
        <f t="shared" si="0"/>
        <v>0</v>
      </c>
      <c r="K64" s="97"/>
      <c r="L64" s="97"/>
      <c r="M64" s="87"/>
      <c r="O64">
        <f>7500-O65</f>
        <v>3517</v>
      </c>
    </row>
    <row r="65" spans="1:16" ht="15.75" x14ac:dyDescent="0.25">
      <c r="A65" s="109" t="s">
        <v>113</v>
      </c>
      <c r="B65" s="94" t="s">
        <v>96</v>
      </c>
      <c r="C65" s="100"/>
      <c r="D65" s="96">
        <f>'FEBRUARY 21'!J65:J144</f>
        <v>0</v>
      </c>
      <c r="E65" s="102">
        <v>7000</v>
      </c>
      <c r="F65" s="102">
        <v>150</v>
      </c>
      <c r="G65" s="101">
        <v>150</v>
      </c>
      <c r="H65" s="97">
        <f t="shared" si="1"/>
        <v>7300</v>
      </c>
      <c r="I65" s="97">
        <f>7300</f>
        <v>7300</v>
      </c>
      <c r="J65" s="97">
        <f>H65-I65</f>
        <v>0</v>
      </c>
      <c r="K65" s="97"/>
      <c r="L65" s="97"/>
      <c r="M65" s="87"/>
      <c r="O65">
        <f>2383+1600</f>
        <v>3983</v>
      </c>
    </row>
    <row r="66" spans="1:16" ht="15.75" x14ac:dyDescent="0.25">
      <c r="A66" s="93" t="s">
        <v>306</v>
      </c>
      <c r="B66" s="94" t="s">
        <v>97</v>
      </c>
      <c r="C66" s="100"/>
      <c r="D66" s="96">
        <f>'FEBRUARY 21'!J66:J145</f>
        <v>150</v>
      </c>
      <c r="E66" s="102">
        <v>6500</v>
      </c>
      <c r="F66" s="102">
        <v>450</v>
      </c>
      <c r="G66" s="101">
        <v>150</v>
      </c>
      <c r="H66" s="97">
        <f t="shared" si="1"/>
        <v>7250</v>
      </c>
      <c r="I66" s="97">
        <f>7100+150</f>
        <v>7250</v>
      </c>
      <c r="J66" s="97">
        <f t="shared" si="0"/>
        <v>0</v>
      </c>
      <c r="K66" s="97"/>
      <c r="L66" s="97"/>
      <c r="M66" s="87"/>
    </row>
    <row r="67" spans="1:16" ht="15.75" x14ac:dyDescent="0.25">
      <c r="A67" s="109" t="s">
        <v>234</v>
      </c>
      <c r="B67" s="94" t="s">
        <v>98</v>
      </c>
      <c r="C67" s="100"/>
      <c r="D67" s="96">
        <f>'FEBRUARY 21'!J67:J146</f>
        <v>0</v>
      </c>
      <c r="E67" s="102">
        <v>6500</v>
      </c>
      <c r="F67" s="102">
        <v>300</v>
      </c>
      <c r="G67" s="101">
        <v>150</v>
      </c>
      <c r="H67" s="97">
        <f t="shared" si="1"/>
        <v>6950</v>
      </c>
      <c r="I67" s="97">
        <f>6650+300</f>
        <v>6950</v>
      </c>
      <c r="J67" s="97">
        <f t="shared" si="0"/>
        <v>0</v>
      </c>
      <c r="K67" s="97"/>
      <c r="L67" s="97"/>
      <c r="M67" s="87"/>
      <c r="O67">
        <f>6500/30</f>
        <v>216.66666666666666</v>
      </c>
    </row>
    <row r="68" spans="1:16" ht="15.75" x14ac:dyDescent="0.25">
      <c r="A68" s="109" t="s">
        <v>115</v>
      </c>
      <c r="B68" s="94" t="s">
        <v>99</v>
      </c>
      <c r="C68" s="100"/>
      <c r="D68" s="96">
        <f>'FEBRUARY 21'!J68:J147</f>
        <v>0</v>
      </c>
      <c r="E68" s="102">
        <v>6500</v>
      </c>
      <c r="F68" s="102">
        <v>300</v>
      </c>
      <c r="G68" s="101">
        <v>150</v>
      </c>
      <c r="H68" s="97">
        <f t="shared" si="1"/>
        <v>6950</v>
      </c>
      <c r="I68" s="97">
        <v>6950</v>
      </c>
      <c r="J68" s="97">
        <f>H68-I68</f>
        <v>0</v>
      </c>
      <c r="K68" s="97"/>
      <c r="L68" s="97"/>
      <c r="M68" s="87"/>
      <c r="O68">
        <f>O67*11</f>
        <v>2383.333333333333</v>
      </c>
    </row>
    <row r="69" spans="1:16" ht="15.75" x14ac:dyDescent="0.25">
      <c r="A69" s="93" t="s">
        <v>287</v>
      </c>
      <c r="B69" s="94" t="s">
        <v>100</v>
      </c>
      <c r="C69" s="100"/>
      <c r="D69" s="96">
        <f>'FEBRUARY 21'!J69:J148</f>
        <v>300</v>
      </c>
      <c r="E69" s="102">
        <v>6500</v>
      </c>
      <c r="F69" s="102">
        <v>300</v>
      </c>
      <c r="G69" s="101"/>
      <c r="H69" s="97">
        <f t="shared" si="1"/>
        <v>7100</v>
      </c>
      <c r="I69" s="97">
        <f>6800+300</f>
        <v>7100</v>
      </c>
      <c r="J69" s="97">
        <f>H69-I69</f>
        <v>0</v>
      </c>
      <c r="K69" s="97"/>
      <c r="L69" s="97"/>
      <c r="M69" s="87"/>
      <c r="O69">
        <f>7500-O68</f>
        <v>5116.666666666667</v>
      </c>
    </row>
    <row r="70" spans="1:16" ht="15.75" x14ac:dyDescent="0.25">
      <c r="A70" s="109" t="s">
        <v>116</v>
      </c>
      <c r="B70" s="94" t="s">
        <v>101</v>
      </c>
      <c r="C70" s="100"/>
      <c r="D70" s="96">
        <f>'FEBRUARY 21'!J70:J149</f>
        <v>900</v>
      </c>
      <c r="E70" s="102">
        <v>7000</v>
      </c>
      <c r="F70" s="102">
        <v>300</v>
      </c>
      <c r="G70" s="101">
        <v>150</v>
      </c>
      <c r="H70" s="97">
        <f t="shared" si="1"/>
        <v>8350</v>
      </c>
      <c r="I70" s="97">
        <f>7300</f>
        <v>7300</v>
      </c>
      <c r="J70" s="97">
        <f>H70-I70</f>
        <v>1050</v>
      </c>
      <c r="K70" s="97"/>
      <c r="L70" s="97"/>
      <c r="M70" s="87"/>
      <c r="N70">
        <f>217*11</f>
        <v>2387</v>
      </c>
      <c r="O70">
        <f>O69-150</f>
        <v>4966.666666666667</v>
      </c>
    </row>
    <row r="71" spans="1:16" ht="15.75" x14ac:dyDescent="0.25">
      <c r="A71" s="115" t="s">
        <v>28</v>
      </c>
      <c r="B71" s="109"/>
      <c r="C71" s="100">
        <f>SUM(C6:C70)</f>
        <v>33000</v>
      </c>
      <c r="D71" s="96">
        <f>SUM(D6:D70)</f>
        <v>57450</v>
      </c>
      <c r="E71" s="116">
        <f>SUM(E6:E70)</f>
        <v>383500</v>
      </c>
      <c r="F71" s="147">
        <f t="shared" ref="F71:L71" si="2">SUM(F6:F70)</f>
        <v>15000</v>
      </c>
      <c r="G71" s="148">
        <f>SUM(G6:G70)</f>
        <v>7350</v>
      </c>
      <c r="H71" s="97">
        <f>SUM(H6:H70)</f>
        <v>496000</v>
      </c>
      <c r="I71" s="97">
        <f t="shared" si="2"/>
        <v>427800</v>
      </c>
      <c r="J71" s="97">
        <f>SUM(J6:J70)</f>
        <v>59000</v>
      </c>
      <c r="K71" s="97">
        <f t="shared" si="2"/>
        <v>0</v>
      </c>
      <c r="L71" s="97">
        <f t="shared" si="2"/>
        <v>4000</v>
      </c>
      <c r="M71" s="87"/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  <c r="M72" s="93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M73" s="144" t="s">
        <v>250</v>
      </c>
      <c r="N73" s="145"/>
      <c r="O73" s="83"/>
    </row>
    <row r="74" spans="1:16" ht="15.75" x14ac:dyDescent="0.25">
      <c r="A74" s="109" t="s">
        <v>299</v>
      </c>
      <c r="B74" s="124">
        <f>E71</f>
        <v>383500</v>
      </c>
      <c r="C74" s="109"/>
      <c r="D74" s="109"/>
      <c r="E74" s="109"/>
      <c r="F74" s="109" t="s">
        <v>299</v>
      </c>
      <c r="G74" s="109"/>
      <c r="H74" s="125">
        <f>I71</f>
        <v>427800</v>
      </c>
      <c r="I74" s="109"/>
      <c r="J74" s="109"/>
      <c r="K74" s="109"/>
      <c r="L74" s="126"/>
      <c r="M74" s="152">
        <v>44258</v>
      </c>
      <c r="N74" s="127" t="s">
        <v>144</v>
      </c>
      <c r="P74">
        <v>1012</v>
      </c>
    </row>
    <row r="75" spans="1:16" ht="15.75" x14ac:dyDescent="0.25">
      <c r="A75" s="109" t="s">
        <v>37</v>
      </c>
      <c r="B75" s="124">
        <f>'FEBRUARY 21'!D109</f>
        <v>191638.18999999994</v>
      </c>
      <c r="C75" s="109"/>
      <c r="D75" s="109"/>
      <c r="E75" s="109"/>
      <c r="F75" s="109" t="s">
        <v>37</v>
      </c>
      <c r="G75" s="109"/>
      <c r="H75" s="124">
        <f>'FEBRUARY 21'!J109</f>
        <v>125438.18999999994</v>
      </c>
      <c r="I75" s="109"/>
      <c r="J75" s="109"/>
      <c r="K75" s="109"/>
      <c r="L75" s="126"/>
      <c r="M75" s="152">
        <v>44260</v>
      </c>
      <c r="N75" s="127" t="s">
        <v>144</v>
      </c>
      <c r="P75">
        <v>542</v>
      </c>
    </row>
    <row r="76" spans="1:16" ht="15.75" x14ac:dyDescent="0.25">
      <c r="A76" s="109" t="s">
        <v>38</v>
      </c>
      <c r="B76" s="124">
        <f>C71</f>
        <v>33000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s="152">
        <v>44260</v>
      </c>
      <c r="N76" s="105" t="s">
        <v>144</v>
      </c>
      <c r="O76" s="2"/>
      <c r="P76">
        <v>1562</v>
      </c>
    </row>
    <row r="77" spans="1:16" ht="15.75" x14ac:dyDescent="0.25">
      <c r="A77" s="109" t="s">
        <v>7</v>
      </c>
      <c r="B77" s="124">
        <f>F71</f>
        <v>15000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s="152">
        <v>44260</v>
      </c>
      <c r="N77" s="88" t="s">
        <v>312</v>
      </c>
      <c r="P77">
        <v>2901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s="152">
        <v>44260</v>
      </c>
      <c r="N78" s="88" t="s">
        <v>313</v>
      </c>
      <c r="P78">
        <f>6075+1422</f>
        <v>7497</v>
      </c>
    </row>
    <row r="79" spans="1:16" ht="15.75" x14ac:dyDescent="0.25">
      <c r="A79" s="109" t="s">
        <v>40</v>
      </c>
      <c r="B79" s="125">
        <f>L71</f>
        <v>4000</v>
      </c>
      <c r="C79" s="109"/>
      <c r="D79" s="109"/>
      <c r="E79" s="109"/>
      <c r="F79" s="109" t="s">
        <v>40</v>
      </c>
      <c r="G79" s="109"/>
      <c r="H79" s="125">
        <f>L71</f>
        <v>4000</v>
      </c>
      <c r="I79" s="109"/>
      <c r="J79" s="109"/>
      <c r="K79" s="109"/>
      <c r="L79" s="126"/>
      <c r="M79" s="152">
        <v>44260</v>
      </c>
      <c r="N79" s="127" t="s">
        <v>240</v>
      </c>
      <c r="P79">
        <f>12119+5275</f>
        <v>17394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s="152">
        <v>44260</v>
      </c>
      <c r="N80" s="127" t="s">
        <v>314</v>
      </c>
      <c r="P80">
        <v>7275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s="152">
        <v>44260</v>
      </c>
      <c r="N81" s="88" t="s">
        <v>144</v>
      </c>
      <c r="P81">
        <v>912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s="152">
        <v>44261</v>
      </c>
      <c r="N82" s="152" t="s">
        <v>315</v>
      </c>
      <c r="P82">
        <v>10550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26845.000000000004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26845.000000000004</v>
      </c>
      <c r="J83" s="109"/>
      <c r="K83" s="109"/>
      <c r="L83" s="126"/>
      <c r="M83" s="152">
        <v>44261</v>
      </c>
      <c r="N83" s="88" t="s">
        <v>316</v>
      </c>
      <c r="P83">
        <v>15400</v>
      </c>
    </row>
    <row r="84" spans="1:16" ht="15.75" x14ac:dyDescent="0.25">
      <c r="A84" s="134" t="s">
        <v>136</v>
      </c>
      <c r="B84" s="135">
        <v>0.3</v>
      </c>
      <c r="C84" s="106">
        <f>B84*B76+(B84*C23)</f>
        <v>9900</v>
      </c>
      <c r="D84" s="125"/>
      <c r="E84" s="125"/>
      <c r="F84" s="134" t="s">
        <v>136</v>
      </c>
      <c r="G84" s="135">
        <v>0.3</v>
      </c>
      <c r="H84" s="88"/>
      <c r="I84" s="106">
        <f>C84</f>
        <v>9900</v>
      </c>
      <c r="J84" s="88"/>
      <c r="K84" s="125"/>
      <c r="L84" s="136"/>
      <c r="M84" s="152">
        <v>44261</v>
      </c>
      <c r="N84" s="88" t="s">
        <v>322</v>
      </c>
      <c r="P84">
        <f>2500+2000</f>
        <v>4500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7350</v>
      </c>
      <c r="J85" s="88"/>
      <c r="K85" s="125"/>
      <c r="L85" s="136"/>
      <c r="M85" s="152">
        <v>44260</v>
      </c>
      <c r="N85" s="143" t="s">
        <v>323</v>
      </c>
      <c r="O85" s="2"/>
      <c r="P85">
        <f>2032+800</f>
        <v>2832</v>
      </c>
    </row>
    <row r="86" spans="1:16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s="152">
        <v>44260</v>
      </c>
      <c r="N86" s="105" t="s">
        <v>311</v>
      </c>
      <c r="O86" s="2"/>
      <c r="P86">
        <f>4500+300</f>
        <v>4800</v>
      </c>
    </row>
    <row r="87" spans="1:16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25"/>
      <c r="I87" s="125">
        <v>8000</v>
      </c>
      <c r="J87" s="109"/>
      <c r="K87" s="109"/>
      <c r="L87" s="126"/>
      <c r="N87" s="88" t="s">
        <v>317</v>
      </c>
      <c r="P87">
        <v>9200</v>
      </c>
    </row>
    <row r="88" spans="1:16" ht="15.75" x14ac:dyDescent="0.25">
      <c r="A88" s="134" t="s">
        <v>310</v>
      </c>
      <c r="B88" s="132"/>
      <c r="C88" s="93">
        <v>300000</v>
      </c>
      <c r="D88" s="109"/>
      <c r="E88" s="109"/>
      <c r="F88" s="134" t="s">
        <v>310</v>
      </c>
      <c r="G88" s="132"/>
      <c r="H88" s="93"/>
      <c r="I88" s="125">
        <v>300000</v>
      </c>
      <c r="J88" s="109"/>
      <c r="K88" s="109"/>
      <c r="L88" s="126"/>
      <c r="M88" s="152">
        <v>44272</v>
      </c>
      <c r="N88" s="88" t="s">
        <v>144</v>
      </c>
      <c r="P88">
        <v>2200</v>
      </c>
    </row>
    <row r="89" spans="1:16" ht="15.75" x14ac:dyDescent="0.25">
      <c r="A89" s="134" t="s">
        <v>300</v>
      </c>
      <c r="B89" s="132"/>
      <c r="C89" s="93">
        <v>50000</v>
      </c>
      <c r="D89" s="109"/>
      <c r="E89" s="109"/>
      <c r="F89" s="134" t="s">
        <v>300</v>
      </c>
      <c r="G89" s="132"/>
      <c r="H89" s="93"/>
      <c r="I89" s="125">
        <v>50000</v>
      </c>
      <c r="J89" s="109"/>
      <c r="K89" s="109"/>
      <c r="L89" s="126"/>
      <c r="M89" s="153">
        <v>44272</v>
      </c>
      <c r="N89" s="88" t="s">
        <v>324</v>
      </c>
      <c r="P89">
        <v>2000</v>
      </c>
    </row>
    <row r="90" spans="1:16" ht="15.75" x14ac:dyDescent="0.25">
      <c r="A90" s="134" t="s">
        <v>120</v>
      </c>
      <c r="B90" s="132"/>
      <c r="C90" s="125">
        <v>1000</v>
      </c>
      <c r="D90" s="109"/>
      <c r="E90" s="109"/>
      <c r="F90" s="134" t="s">
        <v>120</v>
      </c>
      <c r="G90" s="132"/>
      <c r="H90" s="125"/>
      <c r="I90" s="125">
        <v>1000</v>
      </c>
      <c r="J90" s="109"/>
      <c r="K90" s="109"/>
      <c r="L90" s="126"/>
      <c r="M90" s="153">
        <v>44272</v>
      </c>
      <c r="N90" s="88" t="s">
        <v>210</v>
      </c>
      <c r="P90">
        <f>2000</f>
        <v>2000</v>
      </c>
    </row>
    <row r="91" spans="1:16" ht="15.75" x14ac:dyDescent="0.25">
      <c r="A91" s="177">
        <v>44260</v>
      </c>
      <c r="B91" s="93" t="s">
        <v>313</v>
      </c>
      <c r="C91" s="151">
        <f>6075+1422</f>
        <v>7497</v>
      </c>
      <c r="D91" s="151"/>
      <c r="E91" s="109"/>
      <c r="F91" s="177">
        <v>44260</v>
      </c>
      <c r="G91" s="93" t="s">
        <v>313</v>
      </c>
      <c r="I91" s="151">
        <f>6075+1422</f>
        <v>7497</v>
      </c>
      <c r="J91" s="109"/>
      <c r="K91" s="109"/>
      <c r="L91" s="126"/>
      <c r="M91" s="153"/>
      <c r="N91" s="88"/>
      <c r="P91">
        <f>SUM(P74:P90)</f>
        <v>92577</v>
      </c>
    </row>
    <row r="92" spans="1:16" ht="15.75" x14ac:dyDescent="0.25">
      <c r="A92" s="177">
        <v>44260</v>
      </c>
      <c r="B92" s="178" t="s">
        <v>240</v>
      </c>
      <c r="C92" s="151">
        <f>12119+5275</f>
        <v>17394</v>
      </c>
      <c r="D92" s="151"/>
      <c r="E92" s="109"/>
      <c r="F92" s="177">
        <v>44260</v>
      </c>
      <c r="G92" s="178" t="s">
        <v>240</v>
      </c>
      <c r="I92" s="151">
        <f>12119+5275</f>
        <v>17394</v>
      </c>
      <c r="J92" s="109"/>
      <c r="K92" s="109"/>
      <c r="L92" s="126"/>
      <c r="M92" s="153"/>
      <c r="N92" s="88"/>
    </row>
    <row r="93" spans="1:16" ht="15.75" x14ac:dyDescent="0.25">
      <c r="A93" s="177">
        <v>44260</v>
      </c>
      <c r="B93" s="178" t="s">
        <v>314</v>
      </c>
      <c r="C93" s="151">
        <v>7275</v>
      </c>
      <c r="D93" s="151"/>
      <c r="E93" s="109"/>
      <c r="F93" s="177">
        <v>44260</v>
      </c>
      <c r="G93" s="178" t="s">
        <v>314</v>
      </c>
      <c r="I93" s="151">
        <v>7275</v>
      </c>
      <c r="J93" s="109"/>
      <c r="K93" s="109"/>
      <c r="L93" s="126"/>
      <c r="M93" s="153"/>
      <c r="N93" s="88"/>
    </row>
    <row r="94" spans="1:16" ht="15.75" x14ac:dyDescent="0.25">
      <c r="A94" s="177"/>
      <c r="B94" s="93"/>
      <c r="C94" s="151"/>
      <c r="D94" s="151"/>
      <c r="E94" s="109"/>
      <c r="F94" s="177"/>
      <c r="G94" s="93"/>
      <c r="H94" s="151"/>
      <c r="I94" s="151"/>
      <c r="J94" s="109"/>
      <c r="K94" s="109"/>
      <c r="L94" s="126"/>
      <c r="M94" s="153"/>
      <c r="N94" s="88"/>
    </row>
    <row r="95" spans="1:16" ht="15.75" x14ac:dyDescent="0.25">
      <c r="A95" s="177">
        <v>44261</v>
      </c>
      <c r="B95" s="177" t="s">
        <v>315</v>
      </c>
      <c r="C95" s="151">
        <v>10550</v>
      </c>
      <c r="D95" s="151"/>
      <c r="E95" s="109"/>
      <c r="F95" s="177" t="s">
        <v>315</v>
      </c>
      <c r="G95" s="151"/>
      <c r="H95" s="151"/>
      <c r="I95" s="151">
        <v>10550</v>
      </c>
      <c r="J95" s="109"/>
      <c r="K95" s="109"/>
      <c r="L95" s="126"/>
      <c r="M95" s="153"/>
      <c r="N95" s="88"/>
    </row>
    <row r="96" spans="1:16" ht="15.75" x14ac:dyDescent="0.25">
      <c r="A96" s="177"/>
      <c r="B96" s="93"/>
      <c r="C96" s="151"/>
      <c r="D96" s="151"/>
      <c r="E96" s="109"/>
      <c r="F96" s="93"/>
      <c r="G96" s="151"/>
      <c r="H96" s="151"/>
      <c r="I96" s="151"/>
      <c r="J96" s="109"/>
      <c r="K96" s="109"/>
      <c r="L96" s="126"/>
      <c r="M96" s="153"/>
      <c r="N96" s="88"/>
    </row>
    <row r="97" spans="1:14" ht="15.75" x14ac:dyDescent="0.25">
      <c r="A97" s="177"/>
      <c r="B97" s="93" t="s">
        <v>317</v>
      </c>
      <c r="C97" s="151">
        <v>9200</v>
      </c>
      <c r="D97" s="151"/>
      <c r="E97" s="109"/>
      <c r="F97" s="93" t="s">
        <v>317</v>
      </c>
      <c r="G97" s="151"/>
      <c r="H97" s="151"/>
      <c r="I97" s="151">
        <v>9200</v>
      </c>
      <c r="J97" s="109"/>
      <c r="K97" s="109"/>
      <c r="L97" s="126"/>
      <c r="M97" s="153"/>
      <c r="N97" s="88"/>
    </row>
    <row r="98" spans="1:14" ht="15.75" x14ac:dyDescent="0.25">
      <c r="A98" s="177"/>
      <c r="B98" s="124"/>
      <c r="C98" s="151"/>
      <c r="D98" s="151"/>
      <c r="E98" s="109"/>
      <c r="F98" s="177"/>
      <c r="G98" s="124"/>
      <c r="H98" s="151"/>
      <c r="I98" s="151"/>
      <c r="J98" s="109"/>
      <c r="K98" s="109"/>
      <c r="L98" s="126"/>
      <c r="M98" s="153"/>
      <c r="N98" s="88"/>
    </row>
    <row r="99" spans="1:14" ht="15.75" x14ac:dyDescent="0.25">
      <c r="A99" s="177"/>
      <c r="B99" s="125"/>
      <c r="C99" s="151"/>
      <c r="D99" s="151"/>
      <c r="E99" s="109"/>
      <c r="F99" s="177"/>
      <c r="G99" s="125"/>
      <c r="H99" s="151"/>
      <c r="I99" s="151"/>
      <c r="J99" s="109"/>
      <c r="K99" s="109"/>
      <c r="L99" s="126"/>
      <c r="M99" s="153"/>
      <c r="N99" s="88"/>
    </row>
    <row r="100" spans="1:14" ht="15.75" x14ac:dyDescent="0.25">
      <c r="A100" s="151"/>
      <c r="B100" s="93"/>
      <c r="C100" s="151"/>
      <c r="D100" s="151"/>
      <c r="E100" s="109"/>
      <c r="F100" s="151"/>
      <c r="G100" s="93"/>
      <c r="H100" s="151"/>
      <c r="I100" s="151"/>
      <c r="J100" s="109"/>
      <c r="K100" s="109"/>
      <c r="L100" s="126"/>
      <c r="M100" s="153"/>
      <c r="N100" s="88"/>
    </row>
    <row r="101" spans="1:14" ht="15.75" x14ac:dyDescent="0.25">
      <c r="A101" s="177"/>
      <c r="B101" s="93"/>
      <c r="C101" s="151"/>
      <c r="D101" s="151"/>
      <c r="E101" s="109"/>
      <c r="F101" s="177"/>
      <c r="G101" s="93"/>
      <c r="H101" s="151"/>
      <c r="I101" s="151"/>
      <c r="J101" s="109"/>
      <c r="K101" s="109"/>
      <c r="L101" s="126"/>
      <c r="M101" s="153"/>
      <c r="N101" s="88"/>
    </row>
    <row r="102" spans="1:14" ht="15.75" x14ac:dyDescent="0.25">
      <c r="A102" s="179"/>
      <c r="B102" s="93"/>
      <c r="C102" s="151"/>
      <c r="D102" s="151"/>
      <c r="E102" s="109"/>
      <c r="F102" s="179"/>
      <c r="G102" s="93"/>
      <c r="H102" s="151"/>
      <c r="I102" s="151"/>
      <c r="J102" s="109"/>
      <c r="K102" s="109"/>
      <c r="L102" s="126"/>
      <c r="M102" s="153"/>
      <c r="N102" s="88"/>
    </row>
    <row r="103" spans="1:14" ht="15.75" x14ac:dyDescent="0.25">
      <c r="A103" s="179"/>
      <c r="B103" s="93"/>
      <c r="C103" s="151"/>
      <c r="D103" s="151"/>
      <c r="E103" s="109"/>
      <c r="F103" s="179"/>
      <c r="G103" s="93"/>
      <c r="H103" s="151"/>
      <c r="I103" s="151"/>
      <c r="J103" s="109"/>
      <c r="K103" s="109"/>
      <c r="L103" s="126"/>
      <c r="M103" s="153"/>
      <c r="N103" s="88"/>
    </row>
    <row r="104" spans="1:14" ht="15.75" x14ac:dyDescent="0.25">
      <c r="A104" s="179"/>
      <c r="B104" s="93"/>
      <c r="C104" s="151"/>
      <c r="D104" s="151"/>
      <c r="E104" s="109"/>
      <c r="F104" s="179"/>
      <c r="G104" s="93"/>
      <c r="H104" s="151"/>
      <c r="I104" s="125"/>
      <c r="J104" s="109"/>
      <c r="K104" s="109"/>
      <c r="L104" s="126"/>
      <c r="M104" s="153"/>
      <c r="N104" s="88"/>
    </row>
    <row r="105" spans="1:14" ht="15.75" x14ac:dyDescent="0.25">
      <c r="A105" s="174"/>
      <c r="B105" s="175"/>
      <c r="C105" s="138"/>
      <c r="D105" s="176"/>
      <c r="E105" s="109"/>
      <c r="F105" s="134"/>
      <c r="G105" s="132"/>
      <c r="H105" s="125"/>
      <c r="I105" s="125"/>
      <c r="J105" s="109"/>
      <c r="K105" s="109"/>
      <c r="L105" s="126"/>
      <c r="M105" s="153"/>
      <c r="N105" s="88"/>
    </row>
    <row r="106" spans="1:14" ht="15.75" x14ac:dyDescent="0.25">
      <c r="A106" s="115" t="s">
        <v>29</v>
      </c>
      <c r="B106" s="139">
        <f>B74+B75+B76+B77+B78+B79+B81+B80</f>
        <v>627138.18999999994</v>
      </c>
      <c r="C106" s="139">
        <f>SUM(C83:C105)</f>
        <v>455661</v>
      </c>
      <c r="D106" s="139">
        <f>B106-C106</f>
        <v>171477.18999999994</v>
      </c>
      <c r="E106" s="139"/>
      <c r="F106" s="115"/>
      <c r="G106" s="115"/>
      <c r="H106" s="139">
        <f>H74+H75+H77+H79+H80</f>
        <v>557238.18999999994</v>
      </c>
      <c r="I106" s="139">
        <f>SUM(I83:I105)</f>
        <v>463011</v>
      </c>
      <c r="J106" s="139">
        <f>H106-I106</f>
        <v>94227.189999999944</v>
      </c>
      <c r="K106" s="139"/>
      <c r="L106" s="140"/>
      <c r="M106" s="88"/>
    </row>
    <row r="107" spans="1:14" ht="15.75" x14ac:dyDescent="0.25">
      <c r="A107" s="141" t="s">
        <v>44</v>
      </c>
      <c r="B107" s="142"/>
      <c r="C107" s="142" t="s">
        <v>45</v>
      </c>
      <c r="D107" s="138"/>
      <c r="E107" s="138"/>
      <c r="F107" s="141"/>
      <c r="G107" s="141"/>
      <c r="H107" s="141" t="s">
        <v>46</v>
      </c>
      <c r="I107" s="143">
        <f>I106-I85</f>
        <v>455661</v>
      </c>
      <c r="J107" s="87"/>
      <c r="K107" s="87"/>
      <c r="L107" s="86"/>
      <c r="M107" s="127"/>
    </row>
    <row r="108" spans="1:14" ht="15.75" x14ac:dyDescent="0.25">
      <c r="A108" s="87" t="s">
        <v>47</v>
      </c>
      <c r="B108" s="87"/>
      <c r="C108" s="87" t="s">
        <v>48</v>
      </c>
      <c r="D108" s="113"/>
      <c r="E108" s="87"/>
      <c r="F108" s="87"/>
      <c r="G108" s="87"/>
      <c r="H108" s="87" t="s">
        <v>118</v>
      </c>
      <c r="I108" s="113">
        <f>I106-I83</f>
        <v>436166</v>
      </c>
      <c r="J108" s="87"/>
      <c r="K108" s="105"/>
      <c r="L108" s="86"/>
      <c r="M108" s="88"/>
    </row>
    <row r="110" spans="1:14" x14ac:dyDescent="0.25">
      <c r="J110" s="184">
        <f>J71+J106</f>
        <v>153227.18999999994</v>
      </c>
      <c r="L110" s="43"/>
    </row>
    <row r="111" spans="1:14" x14ac:dyDescent="0.25">
      <c r="I111" s="184">
        <f>D106-J11</f>
        <v>171477.18999999994</v>
      </c>
    </row>
    <row r="112" spans="1:14" x14ac:dyDescent="0.25">
      <c r="J112" s="184">
        <f>D106-J110</f>
        <v>18250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A40" workbookViewId="0">
      <selection activeCell="A69" sqref="A69"/>
    </sheetView>
  </sheetViews>
  <sheetFormatPr defaultRowHeight="15" x14ac:dyDescent="0.25"/>
  <cols>
    <col min="1" max="1" width="31.42578125" customWidth="1"/>
    <col min="2" max="2" width="12.42578125" customWidth="1"/>
    <col min="3" max="3" width="12.140625" customWidth="1"/>
    <col min="4" max="4" width="13.140625" customWidth="1"/>
    <col min="5" max="5" width="10.7109375" customWidth="1"/>
    <col min="6" max="6" width="9.5703125" customWidth="1"/>
    <col min="8" max="8" width="19.85546875" customWidth="1"/>
    <col min="9" max="9" width="12.42578125" customWidth="1"/>
    <col min="10" max="10" width="12.140625" customWidth="1"/>
    <col min="15" max="15" width="17.140625" customWidth="1"/>
    <col min="16" max="16" width="12.28515625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320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126" t="s">
        <v>175</v>
      </c>
      <c r="B6" s="94" t="s">
        <v>14</v>
      </c>
      <c r="C6" s="95"/>
      <c r="D6" s="96">
        <f>'MARCH 21'!J6:J71</f>
        <v>0</v>
      </c>
      <c r="E6" s="97">
        <v>6500</v>
      </c>
      <c r="F6" s="98"/>
      <c r="G6" s="97"/>
      <c r="H6" s="97">
        <f>D6+E6+F6+G6+C6</f>
        <v>6500</v>
      </c>
      <c r="I6" s="97">
        <f>5000</f>
        <v>5000</v>
      </c>
      <c r="J6" s="97">
        <f t="shared" ref="J6:J67" si="0">H6-I6</f>
        <v>1500</v>
      </c>
      <c r="K6" s="97"/>
      <c r="L6" s="97"/>
      <c r="M6" s="1" t="s">
        <v>326</v>
      </c>
    </row>
    <row r="7" spans="1:13" ht="15.75" x14ac:dyDescent="0.25">
      <c r="A7" s="111" t="s">
        <v>330</v>
      </c>
      <c r="B7" s="94" t="s">
        <v>15</v>
      </c>
      <c r="C7" s="100">
        <v>6500</v>
      </c>
      <c r="D7" s="96">
        <f>'MARCH 21'!J7:J72</f>
        <v>0</v>
      </c>
      <c r="E7" s="101">
        <v>6500</v>
      </c>
      <c r="F7" s="102"/>
      <c r="G7" s="101">
        <v>150</v>
      </c>
      <c r="H7" s="97">
        <f>D7+E7+F7+G7+C7</f>
        <v>13150</v>
      </c>
      <c r="I7" s="97">
        <v>13150</v>
      </c>
      <c r="J7" s="97"/>
      <c r="K7" s="97"/>
      <c r="L7" s="97">
        <v>1000</v>
      </c>
    </row>
    <row r="8" spans="1:13" ht="15.75" x14ac:dyDescent="0.25">
      <c r="A8" s="161" t="s">
        <v>328</v>
      </c>
      <c r="B8" s="154" t="s">
        <v>16</v>
      </c>
      <c r="C8" s="95"/>
      <c r="D8" s="155">
        <f>'MARCH 21'!J8:J73</f>
        <v>7100</v>
      </c>
      <c r="E8" s="101"/>
      <c r="F8" s="102"/>
      <c r="G8" s="101"/>
      <c r="H8" s="160">
        <f t="shared" ref="H8:H70" si="1">D8+E8+F8+G8+C8</f>
        <v>7100</v>
      </c>
      <c r="I8" s="97"/>
      <c r="J8" s="160">
        <f t="shared" si="0"/>
        <v>7100</v>
      </c>
      <c r="K8" s="97"/>
      <c r="L8" s="97"/>
      <c r="M8" s="78" t="s">
        <v>326</v>
      </c>
    </row>
    <row r="9" spans="1:13" ht="15.75" x14ac:dyDescent="0.25">
      <c r="A9" s="99" t="s">
        <v>189</v>
      </c>
      <c r="B9" s="94" t="s">
        <v>18</v>
      </c>
      <c r="C9" s="100"/>
      <c r="D9" s="96">
        <f>'MARCH 21'!J9:J74</f>
        <v>200</v>
      </c>
      <c r="E9" s="96">
        <v>6500</v>
      </c>
      <c r="F9" s="103">
        <v>150</v>
      </c>
      <c r="G9" s="101">
        <v>150</v>
      </c>
      <c r="H9" s="97">
        <f t="shared" si="1"/>
        <v>7000</v>
      </c>
      <c r="I9" s="97">
        <v>7000</v>
      </c>
      <c r="J9" s="97">
        <f t="shared" si="0"/>
        <v>0</v>
      </c>
      <c r="K9" s="97"/>
      <c r="L9" s="97"/>
    </row>
    <row r="10" spans="1:13" ht="15.75" x14ac:dyDescent="0.25">
      <c r="A10" s="99" t="s">
        <v>141</v>
      </c>
      <c r="B10" s="94" t="s">
        <v>19</v>
      </c>
      <c r="C10" s="100"/>
      <c r="D10" s="96">
        <f>'MARCH 21'!J10:J75</f>
        <v>0</v>
      </c>
      <c r="E10" s="101">
        <v>6500</v>
      </c>
      <c r="F10" s="102">
        <v>300</v>
      </c>
      <c r="G10" s="101">
        <v>150</v>
      </c>
      <c r="H10" s="97">
        <f t="shared" si="1"/>
        <v>6950</v>
      </c>
      <c r="I10" s="97">
        <f>6800</f>
        <v>6800</v>
      </c>
      <c r="J10" s="97">
        <f t="shared" si="0"/>
        <v>150</v>
      </c>
      <c r="K10" s="97"/>
      <c r="L10" s="97"/>
    </row>
    <row r="11" spans="1:13" ht="15.75" x14ac:dyDescent="0.25">
      <c r="A11" s="104" t="s">
        <v>134</v>
      </c>
      <c r="B11" s="94" t="s">
        <v>20</v>
      </c>
      <c r="C11" s="100"/>
      <c r="D11" s="96">
        <f>'MARCH 21'!J11:J76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'MARCH 21'!J12:J77</f>
        <v>0</v>
      </c>
      <c r="E12" s="101">
        <v>5500</v>
      </c>
      <c r="F12" s="88">
        <v>150</v>
      </c>
      <c r="G12" s="101">
        <v>150</v>
      </c>
      <c r="H12" s="97">
        <f t="shared" si="1"/>
        <v>5800</v>
      </c>
      <c r="I12" s="97">
        <f>5650</f>
        <v>5650</v>
      </c>
      <c r="J12" s="97">
        <f t="shared" si="0"/>
        <v>150</v>
      </c>
      <c r="K12" s="97"/>
      <c r="L12" s="97"/>
    </row>
    <row r="13" spans="1:13" ht="15.75" x14ac:dyDescent="0.25">
      <c r="A13" s="107" t="s">
        <v>298</v>
      </c>
      <c r="B13" s="94" t="s">
        <v>22</v>
      </c>
      <c r="C13" s="100"/>
      <c r="D13" s="96">
        <f>'MARCH 21'!J13:J78</f>
        <v>5000</v>
      </c>
      <c r="E13" s="101">
        <v>7000</v>
      </c>
      <c r="F13" s="108"/>
      <c r="G13" s="101">
        <v>150</v>
      </c>
      <c r="H13" s="97">
        <f t="shared" si="1"/>
        <v>12150</v>
      </c>
      <c r="I13" s="97">
        <f>3000+5000</f>
        <v>8000</v>
      </c>
      <c r="J13" s="97">
        <f t="shared" si="0"/>
        <v>4150</v>
      </c>
      <c r="K13" s="97"/>
      <c r="L13" s="97"/>
    </row>
    <row r="14" spans="1:13" ht="15.75" x14ac:dyDescent="0.25">
      <c r="A14" s="109" t="s">
        <v>259</v>
      </c>
      <c r="B14" s="94" t="s">
        <v>23</v>
      </c>
      <c r="C14" s="100"/>
      <c r="D14" s="96">
        <f>'MARCH 21'!J14:J79</f>
        <v>450</v>
      </c>
      <c r="E14" s="101">
        <v>6500</v>
      </c>
      <c r="F14" s="102"/>
      <c r="G14" s="101"/>
      <c r="H14" s="97">
        <f t="shared" si="1"/>
        <v>6950</v>
      </c>
      <c r="I14" s="97">
        <f>6700</f>
        <v>6700</v>
      </c>
      <c r="J14" s="97">
        <f t="shared" si="0"/>
        <v>250</v>
      </c>
      <c r="K14" s="97"/>
      <c r="L14" s="97"/>
    </row>
    <row r="15" spans="1:13" ht="15.75" x14ac:dyDescent="0.25">
      <c r="A15" s="126" t="s">
        <v>102</v>
      </c>
      <c r="B15" s="164" t="s">
        <v>24</v>
      </c>
      <c r="C15" s="166"/>
      <c r="D15" s="162">
        <f>'MARCH 21'!J15:J80</f>
        <v>600</v>
      </c>
      <c r="E15" s="101">
        <v>6500</v>
      </c>
      <c r="F15" s="102">
        <v>150</v>
      </c>
      <c r="G15" s="101">
        <v>150</v>
      </c>
      <c r="H15" s="97">
        <f t="shared" si="1"/>
        <v>7400</v>
      </c>
      <c r="I15" s="97"/>
      <c r="J15" s="97">
        <f>H15-I15</f>
        <v>7400</v>
      </c>
      <c r="K15" s="97"/>
      <c r="L15" s="97"/>
      <c r="M15" t="s">
        <v>326</v>
      </c>
    </row>
    <row r="16" spans="1:13" ht="15.75" x14ac:dyDescent="0.25">
      <c r="A16" s="109" t="s">
        <v>192</v>
      </c>
      <c r="B16" s="94" t="s">
        <v>25</v>
      </c>
      <c r="C16" s="100"/>
      <c r="D16" s="96">
        <f>'MARCH 21'!J16:J81</f>
        <v>0</v>
      </c>
      <c r="E16" s="101">
        <v>6500</v>
      </c>
      <c r="F16" s="102">
        <v>150</v>
      </c>
      <c r="G16" s="101">
        <v>150</v>
      </c>
      <c r="H16" s="97">
        <f t="shared" si="1"/>
        <v>6800</v>
      </c>
      <c r="I16" s="97">
        <f>6800</f>
        <v>6800</v>
      </c>
      <c r="J16" s="97">
        <f t="shared" si="0"/>
        <v>0</v>
      </c>
      <c r="K16" s="97"/>
      <c r="L16" s="97"/>
    </row>
    <row r="17" spans="1:12" ht="15.75" x14ac:dyDescent="0.25">
      <c r="A17" s="93" t="s">
        <v>133</v>
      </c>
      <c r="B17" s="94" t="s">
        <v>26</v>
      </c>
      <c r="C17" s="100"/>
      <c r="D17" s="96">
        <f>'MARCH 21'!J17:J82</f>
        <v>0</v>
      </c>
      <c r="E17" s="101">
        <v>6500</v>
      </c>
      <c r="F17" s="102">
        <v>150</v>
      </c>
      <c r="G17" s="101">
        <v>150</v>
      </c>
      <c r="H17" s="97">
        <f t="shared" si="1"/>
        <v>6800</v>
      </c>
      <c r="I17" s="97">
        <f>6650</f>
        <v>6650</v>
      </c>
      <c r="J17" s="97">
        <f t="shared" si="0"/>
        <v>150</v>
      </c>
      <c r="K17" s="97"/>
      <c r="L17" s="97"/>
    </row>
    <row r="18" spans="1:12" ht="15.75" x14ac:dyDescent="0.25">
      <c r="A18" s="114" t="s">
        <v>334</v>
      </c>
      <c r="B18" s="154" t="s">
        <v>27</v>
      </c>
      <c r="C18" s="95"/>
      <c r="D18" s="155">
        <f>'MARCH 21'!J18:J83</f>
        <v>600</v>
      </c>
      <c r="E18" s="101"/>
      <c r="F18" s="102"/>
      <c r="G18" s="101"/>
      <c r="H18" s="160">
        <f t="shared" si="1"/>
        <v>600</v>
      </c>
      <c r="I18" s="97"/>
      <c r="J18" s="160">
        <f>H18-I18</f>
        <v>600</v>
      </c>
      <c r="K18" s="97"/>
      <c r="L18" s="97"/>
    </row>
    <row r="19" spans="1:12" ht="15.75" x14ac:dyDescent="0.25">
      <c r="A19" s="109" t="s">
        <v>247</v>
      </c>
      <c r="B19" s="94" t="s">
        <v>50</v>
      </c>
      <c r="C19" s="100"/>
      <c r="D19" s="96">
        <f>'MARCH 21'!J19:J84</f>
        <v>250</v>
      </c>
      <c r="E19" s="101">
        <v>6500</v>
      </c>
      <c r="F19" s="102">
        <v>150</v>
      </c>
      <c r="G19" s="101">
        <v>150</v>
      </c>
      <c r="H19" s="97">
        <f t="shared" si="1"/>
        <v>7050</v>
      </c>
      <c r="I19" s="97">
        <f>6500</f>
        <v>6500</v>
      </c>
      <c r="J19" s="97">
        <f t="shared" si="0"/>
        <v>550</v>
      </c>
      <c r="K19" s="97"/>
      <c r="L19" s="97"/>
    </row>
    <row r="20" spans="1:12" ht="15.75" x14ac:dyDescent="0.25">
      <c r="A20" s="99" t="s">
        <v>260</v>
      </c>
      <c r="B20" s="94" t="s">
        <v>51</v>
      </c>
      <c r="C20" s="100"/>
      <c r="D20" s="96">
        <f>'MARCH 21'!J20:J85</f>
        <v>250</v>
      </c>
      <c r="E20" s="101">
        <v>6500</v>
      </c>
      <c r="F20" s="102"/>
      <c r="G20" s="101">
        <v>150</v>
      </c>
      <c r="H20" s="97">
        <f t="shared" si="1"/>
        <v>6900</v>
      </c>
      <c r="I20" s="97">
        <f>5000+1000</f>
        <v>6000</v>
      </c>
      <c r="J20" s="97">
        <f t="shared" si="0"/>
        <v>900</v>
      </c>
      <c r="K20" s="97"/>
      <c r="L20" s="97"/>
    </row>
    <row r="21" spans="1:12" ht="15.75" x14ac:dyDescent="0.25">
      <c r="A21" s="114" t="s">
        <v>17</v>
      </c>
      <c r="B21" s="154" t="s">
        <v>52</v>
      </c>
      <c r="C21" s="100"/>
      <c r="D21" s="96">
        <f>'MARCH 21'!J21:J86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2" ht="15.75" x14ac:dyDescent="0.25">
      <c r="A22" s="109" t="s">
        <v>270</v>
      </c>
      <c r="B22" s="94" t="s">
        <v>53</v>
      </c>
      <c r="C22" s="100"/>
      <c r="D22" s="96">
        <f>'MARCH 21'!J22:J87</f>
        <v>150</v>
      </c>
      <c r="E22" s="101">
        <v>6500</v>
      </c>
      <c r="F22" s="102"/>
      <c r="G22" s="101">
        <v>150</v>
      </c>
      <c r="H22" s="97">
        <f t="shared" si="1"/>
        <v>6800</v>
      </c>
      <c r="I22" s="97">
        <f>6650</f>
        <v>6650</v>
      </c>
      <c r="J22" s="97">
        <f t="shared" si="0"/>
        <v>150</v>
      </c>
      <c r="K22" s="97"/>
      <c r="L22" s="97"/>
    </row>
    <row r="23" spans="1:12" ht="15.75" x14ac:dyDescent="0.25">
      <c r="A23" s="99" t="s">
        <v>269</v>
      </c>
      <c r="B23" s="94" t="s">
        <v>54</v>
      </c>
      <c r="C23" s="100"/>
      <c r="D23" s="96">
        <f>'MARCH 21'!J23:J88</f>
        <v>750</v>
      </c>
      <c r="E23" s="101">
        <v>6500</v>
      </c>
      <c r="F23" s="102"/>
      <c r="G23" s="101">
        <v>150</v>
      </c>
      <c r="H23" s="97">
        <f t="shared" si="1"/>
        <v>7400</v>
      </c>
      <c r="I23" s="97">
        <f>6500</f>
        <v>6500</v>
      </c>
      <c r="J23" s="97">
        <f t="shared" si="0"/>
        <v>900</v>
      </c>
      <c r="K23" s="97"/>
      <c r="L23" s="97"/>
    </row>
    <row r="24" spans="1:12" ht="15.75" x14ac:dyDescent="0.25">
      <c r="A24" s="109" t="s">
        <v>190</v>
      </c>
      <c r="B24" s="94" t="s">
        <v>55</v>
      </c>
      <c r="C24" s="100"/>
      <c r="D24" s="96">
        <f>'MARCH 21'!J24:J105</f>
        <v>9950</v>
      </c>
      <c r="E24" s="101">
        <v>7000</v>
      </c>
      <c r="F24" s="102">
        <v>150</v>
      </c>
      <c r="G24" s="101">
        <v>150</v>
      </c>
      <c r="H24" s="97">
        <f t="shared" si="1"/>
        <v>17250</v>
      </c>
      <c r="I24" s="97">
        <f>2500+5000+500+1000+1500+500+500+500+1000+2000+250+1000</f>
        <v>16250</v>
      </c>
      <c r="J24" s="97">
        <f t="shared" si="0"/>
        <v>1000</v>
      </c>
      <c r="K24" s="97"/>
      <c r="L24" s="97"/>
    </row>
    <row r="25" spans="1:12" ht="15.75" x14ac:dyDescent="0.25">
      <c r="A25" s="109" t="s">
        <v>155</v>
      </c>
      <c r="B25" s="94" t="s">
        <v>56</v>
      </c>
      <c r="C25" s="100"/>
      <c r="D25" s="96">
        <f>'MARCH 21'!J25:J105</f>
        <v>0</v>
      </c>
      <c r="E25" s="101">
        <v>5500</v>
      </c>
      <c r="F25" s="102"/>
      <c r="G25" s="101">
        <v>150</v>
      </c>
      <c r="H25" s="97">
        <f t="shared" si="1"/>
        <v>5650</v>
      </c>
      <c r="I25" s="97">
        <f>5650</f>
        <v>5650</v>
      </c>
      <c r="J25" s="97">
        <f t="shared" si="0"/>
        <v>0</v>
      </c>
      <c r="K25" s="97"/>
      <c r="L25" s="97"/>
    </row>
    <row r="26" spans="1:12" ht="15.75" x14ac:dyDescent="0.25">
      <c r="A26" s="109" t="s">
        <v>130</v>
      </c>
      <c r="B26" s="94" t="s">
        <v>57</v>
      </c>
      <c r="C26" s="100"/>
      <c r="D26" s="96">
        <f>'MARCH 21'!J26:J105</f>
        <v>0</v>
      </c>
      <c r="E26" s="101">
        <v>7000</v>
      </c>
      <c r="F26" s="102">
        <v>150</v>
      </c>
      <c r="G26" s="101">
        <v>150</v>
      </c>
      <c r="H26" s="97">
        <f t="shared" si="1"/>
        <v>7300</v>
      </c>
      <c r="I26" s="97">
        <f>7300</f>
        <v>7300</v>
      </c>
      <c r="J26" s="97">
        <f t="shared" si="0"/>
        <v>0</v>
      </c>
      <c r="K26" s="97"/>
      <c r="L26" s="97"/>
    </row>
    <row r="27" spans="1:12" ht="15.75" x14ac:dyDescent="0.25">
      <c r="A27" s="109" t="s">
        <v>132</v>
      </c>
      <c r="B27" s="94" t="s">
        <v>58</v>
      </c>
      <c r="C27" s="100"/>
      <c r="D27" s="96">
        <f>'MARCH 21'!J27:J105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v>6650</v>
      </c>
      <c r="J27" s="97">
        <f t="shared" si="0"/>
        <v>0</v>
      </c>
      <c r="K27" s="97"/>
      <c r="L27" s="97"/>
    </row>
    <row r="28" spans="1:12" ht="15.75" x14ac:dyDescent="0.25">
      <c r="A28" s="109" t="s">
        <v>235</v>
      </c>
      <c r="B28" s="94" t="s">
        <v>59</v>
      </c>
      <c r="C28" s="100"/>
      <c r="D28" s="96">
        <f>'MARCH 21'!J28:J105</f>
        <v>0</v>
      </c>
      <c r="E28" s="101">
        <v>6500</v>
      </c>
      <c r="F28" s="102">
        <v>300</v>
      </c>
      <c r="G28" s="101">
        <v>150</v>
      </c>
      <c r="H28" s="97">
        <f t="shared" si="1"/>
        <v>6950</v>
      </c>
      <c r="I28" s="97">
        <v>6950</v>
      </c>
      <c r="J28" s="97">
        <f t="shared" si="0"/>
        <v>0</v>
      </c>
      <c r="K28" s="97"/>
      <c r="L28" s="97"/>
    </row>
    <row r="29" spans="1:12" ht="15.75" x14ac:dyDescent="0.25">
      <c r="A29" s="109" t="s">
        <v>309</v>
      </c>
      <c r="B29" s="94" t="s">
        <v>60</v>
      </c>
      <c r="C29" s="100"/>
      <c r="D29" s="96">
        <f>'MARCH 21'!J29:J105</f>
        <v>0</v>
      </c>
      <c r="E29" s="101">
        <v>6500</v>
      </c>
      <c r="F29" s="102"/>
      <c r="G29" s="101"/>
      <c r="H29" s="97">
        <f t="shared" si="1"/>
        <v>6500</v>
      </c>
      <c r="I29" s="97">
        <v>6500</v>
      </c>
      <c r="J29" s="97">
        <f t="shared" si="0"/>
        <v>0</v>
      </c>
      <c r="K29" s="97"/>
      <c r="L29" s="97"/>
    </row>
    <row r="30" spans="1:12" ht="15.75" x14ac:dyDescent="0.25">
      <c r="A30" s="109" t="s">
        <v>241</v>
      </c>
      <c r="B30" s="94" t="s">
        <v>61</v>
      </c>
      <c r="C30" s="100"/>
      <c r="D30" s="96">
        <f>'MARCH 21'!J30:J105</f>
        <v>0</v>
      </c>
      <c r="E30" s="101">
        <v>6500</v>
      </c>
      <c r="F30" s="102">
        <v>150</v>
      </c>
      <c r="G30" s="101">
        <v>150</v>
      </c>
      <c r="H30" s="97">
        <f t="shared" si="1"/>
        <v>6800</v>
      </c>
      <c r="I30" s="97">
        <v>6800</v>
      </c>
      <c r="J30" s="97">
        <f t="shared" si="0"/>
        <v>0</v>
      </c>
      <c r="K30" s="97"/>
      <c r="L30" s="97"/>
    </row>
    <row r="31" spans="1:12" ht="15.75" x14ac:dyDescent="0.25">
      <c r="A31" s="109" t="s">
        <v>106</v>
      </c>
      <c r="B31" s="94" t="s">
        <v>62</v>
      </c>
      <c r="C31" s="95"/>
      <c r="D31" s="96">
        <f>'MARCH 21'!J31:J106</f>
        <v>450</v>
      </c>
      <c r="E31" s="101">
        <v>6500</v>
      </c>
      <c r="F31" s="102">
        <v>150</v>
      </c>
      <c r="G31" s="101">
        <v>150</v>
      </c>
      <c r="H31" s="97">
        <f t="shared" si="1"/>
        <v>7250</v>
      </c>
      <c r="I31" s="97">
        <f>6800</f>
        <v>6800</v>
      </c>
      <c r="J31" s="97">
        <f t="shared" si="0"/>
        <v>450</v>
      </c>
      <c r="K31" s="97"/>
      <c r="L31" s="97"/>
    </row>
    <row r="32" spans="1:12" ht="15.75" x14ac:dyDescent="0.25">
      <c r="A32" s="109" t="s">
        <v>181</v>
      </c>
      <c r="B32" s="94" t="s">
        <v>63</v>
      </c>
      <c r="C32" s="100"/>
      <c r="D32" s="96">
        <f>'MARCH 21'!J32:J107</f>
        <v>4450</v>
      </c>
      <c r="E32" s="101">
        <v>6500</v>
      </c>
      <c r="F32" s="102"/>
      <c r="G32" s="101"/>
      <c r="H32" s="97">
        <f t="shared" si="1"/>
        <v>10950</v>
      </c>
      <c r="I32" s="97">
        <f>6500</f>
        <v>6500</v>
      </c>
      <c r="J32" s="97">
        <f t="shared" si="0"/>
        <v>4450</v>
      </c>
      <c r="K32" s="97"/>
      <c r="L32" s="97"/>
    </row>
    <row r="33" spans="1:14" ht="15.75" x14ac:dyDescent="0.25">
      <c r="A33" s="109" t="s">
        <v>171</v>
      </c>
      <c r="B33" s="94" t="s">
        <v>64</v>
      </c>
      <c r="C33" s="100"/>
      <c r="D33" s="96">
        <f>'MARCH 21'!J33:J108</f>
        <v>0</v>
      </c>
      <c r="E33" s="101">
        <v>6500</v>
      </c>
      <c r="F33" s="102">
        <v>150</v>
      </c>
      <c r="G33" s="101">
        <v>150</v>
      </c>
      <c r="H33" s="97">
        <f t="shared" si="1"/>
        <v>6800</v>
      </c>
      <c r="I33" s="97">
        <v>6800</v>
      </c>
      <c r="J33" s="97">
        <f t="shared" si="0"/>
        <v>0</v>
      </c>
      <c r="K33" s="97"/>
      <c r="L33" s="97"/>
    </row>
    <row r="34" spans="1:14" ht="15.75" x14ac:dyDescent="0.25">
      <c r="A34" s="109" t="s">
        <v>288</v>
      </c>
      <c r="B34" s="94" t="s">
        <v>65</v>
      </c>
      <c r="C34" s="100"/>
      <c r="D34" s="96">
        <f>'MARCH 21'!J34:J109</f>
        <v>0</v>
      </c>
      <c r="E34" s="102">
        <v>6500</v>
      </c>
      <c r="F34" s="102">
        <v>150</v>
      </c>
      <c r="G34" s="101">
        <v>150</v>
      </c>
      <c r="H34" s="97">
        <f t="shared" si="1"/>
        <v>6800</v>
      </c>
      <c r="I34" s="97">
        <v>6800</v>
      </c>
      <c r="J34" s="97">
        <f t="shared" si="0"/>
        <v>0</v>
      </c>
      <c r="K34" s="97"/>
      <c r="L34" s="97">
        <v>350</v>
      </c>
    </row>
    <row r="35" spans="1:14" ht="15.75" x14ac:dyDescent="0.25">
      <c r="A35" s="114" t="s">
        <v>329</v>
      </c>
      <c r="B35" s="154" t="s">
        <v>66</v>
      </c>
      <c r="C35" s="95"/>
      <c r="D35" s="155">
        <f>'MARCH 21'!J35:J110</f>
        <v>3200</v>
      </c>
      <c r="E35" s="102"/>
      <c r="F35" s="102"/>
      <c r="G35" s="101"/>
      <c r="H35" s="160">
        <f t="shared" si="1"/>
        <v>3200</v>
      </c>
      <c r="I35" s="97"/>
      <c r="J35" s="160">
        <f t="shared" si="0"/>
        <v>3200</v>
      </c>
      <c r="K35" s="160"/>
      <c r="L35" s="160"/>
      <c r="M35" s="78" t="s">
        <v>326</v>
      </c>
    </row>
    <row r="36" spans="1:14" ht="15.75" x14ac:dyDescent="0.25">
      <c r="A36" s="109" t="s">
        <v>308</v>
      </c>
      <c r="B36" s="94" t="s">
        <v>67</v>
      </c>
      <c r="C36" s="100"/>
      <c r="D36" s="96">
        <f>'MARCH 21'!J36:J111</f>
        <v>0</v>
      </c>
      <c r="E36" s="102">
        <v>6500</v>
      </c>
      <c r="F36" s="102"/>
      <c r="G36" s="101">
        <v>150</v>
      </c>
      <c r="H36" s="97">
        <f t="shared" si="1"/>
        <v>6650</v>
      </c>
      <c r="I36" s="97">
        <f>6650</f>
        <v>6650</v>
      </c>
      <c r="J36" s="97">
        <f t="shared" si="0"/>
        <v>0</v>
      </c>
      <c r="K36" s="97"/>
      <c r="L36" s="97"/>
      <c r="N36" s="23"/>
    </row>
    <row r="37" spans="1:14" ht="15.75" x14ac:dyDescent="0.25">
      <c r="A37" s="109" t="s">
        <v>126</v>
      </c>
      <c r="B37" s="94" t="s">
        <v>68</v>
      </c>
      <c r="C37" s="100"/>
      <c r="D37" s="96">
        <f>'MARCH 21'!J37:J112</f>
        <v>0</v>
      </c>
      <c r="E37" s="102">
        <v>7000</v>
      </c>
      <c r="F37" s="102">
        <v>450</v>
      </c>
      <c r="G37" s="101"/>
      <c r="H37" s="97">
        <f t="shared" si="1"/>
        <v>7450</v>
      </c>
      <c r="I37" s="97">
        <f>6400</f>
        <v>6400</v>
      </c>
      <c r="J37" s="97">
        <f t="shared" si="0"/>
        <v>1050</v>
      </c>
      <c r="L37" s="97"/>
    </row>
    <row r="38" spans="1:14" ht="15.75" x14ac:dyDescent="0.25">
      <c r="A38" s="109" t="s">
        <v>280</v>
      </c>
      <c r="B38" s="94" t="s">
        <v>69</v>
      </c>
      <c r="C38" s="100"/>
      <c r="D38" s="96">
        <f>'MARCH 21'!J38:J113</f>
        <v>0</v>
      </c>
      <c r="E38" s="102">
        <v>5500</v>
      </c>
      <c r="F38" s="102">
        <v>150</v>
      </c>
      <c r="G38" s="101">
        <v>150</v>
      </c>
      <c r="H38" s="97">
        <f t="shared" si="1"/>
        <v>5800</v>
      </c>
      <c r="I38" s="97">
        <f>5500</f>
        <v>5500</v>
      </c>
      <c r="J38" s="97">
        <f t="shared" si="0"/>
        <v>300</v>
      </c>
      <c r="K38" s="97"/>
      <c r="L38" s="97"/>
    </row>
    <row r="39" spans="1:14" ht="15.75" x14ac:dyDescent="0.25">
      <c r="A39" s="109" t="s">
        <v>125</v>
      </c>
      <c r="B39" s="94" t="s">
        <v>70</v>
      </c>
      <c r="C39" s="100"/>
      <c r="D39" s="96">
        <f>'MARCH 21'!J39:J114</f>
        <v>600</v>
      </c>
      <c r="E39" s="102">
        <v>7000</v>
      </c>
      <c r="F39" s="102">
        <v>150</v>
      </c>
      <c r="G39" s="101">
        <v>150</v>
      </c>
      <c r="H39" s="97">
        <f t="shared" si="1"/>
        <v>7900</v>
      </c>
      <c r="I39" s="97">
        <f>150+7150</f>
        <v>7300</v>
      </c>
      <c r="J39" s="97">
        <f t="shared" si="0"/>
        <v>600</v>
      </c>
      <c r="K39" s="97"/>
      <c r="L39" s="97"/>
    </row>
    <row r="40" spans="1:14" ht="15.75" x14ac:dyDescent="0.25">
      <c r="A40" s="156" t="s">
        <v>327</v>
      </c>
      <c r="B40" s="157" t="s">
        <v>71</v>
      </c>
      <c r="C40" s="158"/>
      <c r="D40" s="159">
        <f>'MARCH 21'!J40:J115</f>
        <v>4800</v>
      </c>
      <c r="E40" s="102"/>
      <c r="F40" s="102"/>
      <c r="G40" s="101"/>
      <c r="H40" s="160">
        <f t="shared" si="1"/>
        <v>4800</v>
      </c>
      <c r="I40" s="160"/>
      <c r="J40" s="160">
        <f t="shared" si="0"/>
        <v>4800</v>
      </c>
      <c r="K40" s="160"/>
      <c r="L40" s="160"/>
      <c r="M40" s="165" t="s">
        <v>326</v>
      </c>
    </row>
    <row r="41" spans="1:14" ht="15.75" x14ac:dyDescent="0.25">
      <c r="A41" s="109" t="s">
        <v>127</v>
      </c>
      <c r="B41" s="94" t="s">
        <v>72</v>
      </c>
      <c r="C41" s="100"/>
      <c r="D41" s="96">
        <f>'MARCH 21'!J41:J116</f>
        <v>650</v>
      </c>
      <c r="E41" s="102">
        <v>6500</v>
      </c>
      <c r="F41" s="102">
        <v>150</v>
      </c>
      <c r="G41" s="101">
        <v>150</v>
      </c>
      <c r="H41" s="97">
        <f t="shared" si="1"/>
        <v>7450</v>
      </c>
      <c r="I41" s="97">
        <f>6800</f>
        <v>6800</v>
      </c>
      <c r="J41" s="97">
        <f>H41-I41</f>
        <v>650</v>
      </c>
      <c r="K41" s="97"/>
      <c r="L41" s="97"/>
    </row>
    <row r="42" spans="1:14" ht="15.75" x14ac:dyDescent="0.25">
      <c r="A42" s="109" t="s">
        <v>124</v>
      </c>
      <c r="B42" s="94" t="s">
        <v>73</v>
      </c>
      <c r="C42" s="100"/>
      <c r="D42" s="96">
        <f>'MARCH 21'!J42:J117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v>6800</v>
      </c>
      <c r="J42" s="97">
        <f t="shared" si="0"/>
        <v>0</v>
      </c>
      <c r="K42" s="97"/>
      <c r="L42" s="97"/>
    </row>
    <row r="43" spans="1:14" ht="15.75" x14ac:dyDescent="0.25">
      <c r="A43" s="109" t="s">
        <v>305</v>
      </c>
      <c r="B43" s="94" t="s">
        <v>74</v>
      </c>
      <c r="C43" s="100"/>
      <c r="D43" s="96">
        <f>'MARCH 21'!J43:J118</f>
        <v>0</v>
      </c>
      <c r="E43" s="102">
        <v>6500</v>
      </c>
      <c r="F43" s="102">
        <v>150</v>
      </c>
      <c r="G43" s="101"/>
      <c r="H43" s="97">
        <f>D43+E43+F43+G43+C43</f>
        <v>6650</v>
      </c>
      <c r="I43" s="97">
        <f>6650</f>
        <v>6650</v>
      </c>
      <c r="J43" s="97">
        <f t="shared" si="0"/>
        <v>0</v>
      </c>
      <c r="K43" s="97"/>
      <c r="L43" s="97"/>
      <c r="M43" s="165" t="s">
        <v>336</v>
      </c>
      <c r="N43" s="165"/>
    </row>
    <row r="44" spans="1:14" ht="15.75" x14ac:dyDescent="0.25">
      <c r="A44" s="109" t="s">
        <v>205</v>
      </c>
      <c r="B44" s="94" t="s">
        <v>75</v>
      </c>
      <c r="C44" s="100"/>
      <c r="D44" s="96">
        <f>'MARCH 21'!J44:J119</f>
        <v>150</v>
      </c>
      <c r="E44" s="102">
        <v>6500</v>
      </c>
      <c r="F44" s="102"/>
      <c r="G44" s="101">
        <v>150</v>
      </c>
      <c r="H44" s="97">
        <f t="shared" si="1"/>
        <v>6800</v>
      </c>
      <c r="I44" s="97">
        <f>6500</f>
        <v>6500</v>
      </c>
      <c r="J44" s="97">
        <f t="shared" si="0"/>
        <v>300</v>
      </c>
      <c r="K44" s="97"/>
      <c r="L44" s="97"/>
    </row>
    <row r="45" spans="1:14" ht="15.75" x14ac:dyDescent="0.25">
      <c r="A45" s="109" t="s">
        <v>307</v>
      </c>
      <c r="B45" s="94" t="s">
        <v>76</v>
      </c>
      <c r="C45" s="100"/>
      <c r="D45" s="96">
        <f>'MARCH 21'!J45:J120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6650</f>
        <v>6650</v>
      </c>
      <c r="J45" s="97">
        <f t="shared" si="0"/>
        <v>0</v>
      </c>
      <c r="K45" s="97"/>
      <c r="L45" s="97"/>
    </row>
    <row r="46" spans="1:14" ht="15.75" x14ac:dyDescent="0.25">
      <c r="A46" s="109" t="s">
        <v>295</v>
      </c>
      <c r="B46" s="94" t="s">
        <v>77</v>
      </c>
      <c r="C46" s="100"/>
      <c r="D46" s="96">
        <f>'MARCH 21'!J46:J121</f>
        <v>0</v>
      </c>
      <c r="E46" s="102">
        <v>6500</v>
      </c>
      <c r="F46" s="102">
        <v>150</v>
      </c>
      <c r="G46" s="101">
        <v>150</v>
      </c>
      <c r="H46" s="97">
        <f>D46+E46+G46+C46</f>
        <v>6650</v>
      </c>
      <c r="I46" s="97"/>
      <c r="J46" s="97">
        <f t="shared" si="0"/>
        <v>6650</v>
      </c>
      <c r="K46" s="97"/>
      <c r="L46" s="97"/>
    </row>
    <row r="47" spans="1:14" ht="15.75" x14ac:dyDescent="0.25">
      <c r="A47" s="114" t="s">
        <v>17</v>
      </c>
      <c r="B47" s="94" t="s">
        <v>78</v>
      </c>
      <c r="C47" s="100"/>
      <c r="D47" s="96">
        <f>'MARCH 21'!J47:J122</f>
        <v>0</v>
      </c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4" ht="15.75" x14ac:dyDescent="0.25">
      <c r="A48" s="114" t="s">
        <v>335</v>
      </c>
      <c r="B48" s="94" t="s">
        <v>79</v>
      </c>
      <c r="C48" s="100"/>
      <c r="D48" s="155">
        <f>'MARCH 21'!J48:J123</f>
        <v>450</v>
      </c>
      <c r="E48" s="102"/>
      <c r="F48" s="102"/>
      <c r="G48" s="101"/>
      <c r="H48" s="160">
        <f t="shared" si="1"/>
        <v>450</v>
      </c>
      <c r="I48" s="97"/>
      <c r="J48" s="160">
        <f t="shared" si="0"/>
        <v>450</v>
      </c>
      <c r="K48" s="97"/>
      <c r="L48" s="97"/>
      <c r="M48" s="78" t="s">
        <v>326</v>
      </c>
    </row>
    <row r="49" spans="1:12" ht="15.75" x14ac:dyDescent="0.25">
      <c r="A49" s="114" t="s">
        <v>17</v>
      </c>
      <c r="B49" s="94" t="s">
        <v>80</v>
      </c>
      <c r="C49" s="100"/>
      <c r="D49" s="96"/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'MARCH 21'!J50:J125</f>
        <v>0</v>
      </c>
      <c r="E50" s="102">
        <v>7000</v>
      </c>
      <c r="F50" s="102">
        <v>600</v>
      </c>
      <c r="G50" s="101">
        <v>150</v>
      </c>
      <c r="H50" s="97">
        <f t="shared" si="1"/>
        <v>7750</v>
      </c>
      <c r="I50" s="97">
        <f>7000</f>
        <v>7000</v>
      </c>
      <c r="J50" s="97">
        <f t="shared" si="0"/>
        <v>750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'MARCH 21'!J51:J126</f>
        <v>300</v>
      </c>
      <c r="E51" s="102">
        <v>5500</v>
      </c>
      <c r="F51" s="102"/>
      <c r="G51" s="101">
        <v>150</v>
      </c>
      <c r="H51" s="97">
        <f t="shared" si="1"/>
        <v>5950</v>
      </c>
      <c r="I51" s="97">
        <f>5650</f>
        <v>5650</v>
      </c>
      <c r="J51" s="97">
        <f t="shared" si="0"/>
        <v>300</v>
      </c>
      <c r="K51" s="97"/>
      <c r="L51" s="97"/>
    </row>
    <row r="52" spans="1:12" ht="15.75" x14ac:dyDescent="0.25">
      <c r="A52" s="109" t="s">
        <v>109</v>
      </c>
      <c r="B52" s="94" t="s">
        <v>83</v>
      </c>
      <c r="C52" s="100"/>
      <c r="D52" s="96">
        <f>'MARCH 21'!J52:J127</f>
        <v>650</v>
      </c>
      <c r="E52" s="102">
        <v>7000</v>
      </c>
      <c r="F52" s="102"/>
      <c r="G52" s="101">
        <v>150</v>
      </c>
      <c r="H52" s="97">
        <f t="shared" si="1"/>
        <v>7800</v>
      </c>
      <c r="I52" s="97">
        <f>7000</f>
        <v>7000</v>
      </c>
      <c r="J52" s="97">
        <f>H52-I52</f>
        <v>800</v>
      </c>
      <c r="K52" s="97"/>
      <c r="L52" s="97"/>
    </row>
    <row r="53" spans="1:12" ht="15.75" x14ac:dyDescent="0.25">
      <c r="A53" s="109" t="s">
        <v>217</v>
      </c>
      <c r="B53" s="94" t="s">
        <v>84</v>
      </c>
      <c r="C53" s="100"/>
      <c r="D53" s="96">
        <f>'MARCH 21'!J53:J128</f>
        <v>600</v>
      </c>
      <c r="E53" s="102">
        <v>6500</v>
      </c>
      <c r="F53" s="102">
        <v>150</v>
      </c>
      <c r="G53" s="101">
        <v>150</v>
      </c>
      <c r="H53" s="97">
        <f t="shared" si="1"/>
        <v>7400</v>
      </c>
      <c r="I53" s="97">
        <f>7000</f>
        <v>7000</v>
      </c>
      <c r="J53" s="97">
        <f t="shared" si="0"/>
        <v>400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'MARCH 21'!J54:J129</f>
        <v>4650</v>
      </c>
      <c r="E54" s="102">
        <v>6500</v>
      </c>
      <c r="F54" s="102"/>
      <c r="G54" s="101">
        <v>150</v>
      </c>
      <c r="H54" s="97">
        <f t="shared" si="1"/>
        <v>11300</v>
      </c>
      <c r="I54" s="97">
        <f>6800</f>
        <v>6800</v>
      </c>
      <c r="J54" s="97">
        <f t="shared" si="0"/>
        <v>4500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'MARCH 21'!J55:J130</f>
        <v>0</v>
      </c>
      <c r="E55" s="102">
        <v>6500</v>
      </c>
      <c r="F55" s="102">
        <v>150</v>
      </c>
      <c r="G55" s="101">
        <v>150</v>
      </c>
      <c r="H55" s="97">
        <f>D55+E55+F55+G55+C55</f>
        <v>6800</v>
      </c>
      <c r="I55" s="97">
        <f>6800</f>
        <v>6800</v>
      </c>
      <c r="J55" s="97">
        <f>H55-I55</f>
        <v>0</v>
      </c>
      <c r="K55" s="97"/>
      <c r="L55" s="97"/>
    </row>
    <row r="56" spans="1:12" ht="15.75" x14ac:dyDescent="0.25">
      <c r="A56" s="126" t="s">
        <v>243</v>
      </c>
      <c r="B56" s="164" t="s">
        <v>87</v>
      </c>
      <c r="C56" s="100"/>
      <c r="D56" s="162">
        <f>'MARCH 21'!J56:J131</f>
        <v>900</v>
      </c>
      <c r="E56" s="102">
        <v>6500</v>
      </c>
      <c r="F56" s="102"/>
      <c r="G56" s="101"/>
      <c r="H56" s="163">
        <f>D56+E56+F56+G56+C56</f>
        <v>7400</v>
      </c>
      <c r="I56" s="97"/>
      <c r="J56" s="163">
        <f t="shared" si="0"/>
        <v>7400</v>
      </c>
      <c r="K56" s="97"/>
      <c r="L56" s="97"/>
    </row>
    <row r="57" spans="1:12" ht="15.75" x14ac:dyDescent="0.25">
      <c r="A57" s="109" t="s">
        <v>151</v>
      </c>
      <c r="B57" s="94" t="s">
        <v>88</v>
      </c>
      <c r="C57" s="100"/>
      <c r="D57" s="96">
        <f>'MARCH 21'!J57:J132</f>
        <v>0</v>
      </c>
      <c r="E57" s="102">
        <v>6500</v>
      </c>
      <c r="F57" s="102">
        <v>150</v>
      </c>
      <c r="G57" s="101">
        <v>150</v>
      </c>
      <c r="H57" s="97">
        <f t="shared" si="1"/>
        <v>6800</v>
      </c>
      <c r="I57" s="97">
        <f>4000+1400+1400</f>
        <v>6800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'MARCH 21'!J58:J133</f>
        <v>4000</v>
      </c>
      <c r="E58" s="102">
        <v>7000</v>
      </c>
      <c r="F58" s="102">
        <v>150</v>
      </c>
      <c r="G58" s="101">
        <v>150</v>
      </c>
      <c r="H58" s="97">
        <f t="shared" si="1"/>
        <v>11300</v>
      </c>
      <c r="I58" s="97">
        <f>5150+4000</f>
        <v>9150</v>
      </c>
      <c r="J58" s="97">
        <f t="shared" si="0"/>
        <v>2150</v>
      </c>
      <c r="K58" s="97"/>
      <c r="L58" s="97"/>
    </row>
    <row r="59" spans="1:12" ht="15.75" x14ac:dyDescent="0.25">
      <c r="A59" s="109" t="s">
        <v>352</v>
      </c>
      <c r="B59" s="94" t="s">
        <v>90</v>
      </c>
      <c r="C59" s="100"/>
      <c r="D59" s="96">
        <f>'MARCH 21'!J59:J134</f>
        <v>0</v>
      </c>
      <c r="E59" s="102">
        <v>6500</v>
      </c>
      <c r="F59" s="102"/>
      <c r="G59" s="101">
        <v>150</v>
      </c>
      <c r="H59" s="97">
        <f t="shared" si="1"/>
        <v>6650</v>
      </c>
      <c r="I59" s="97"/>
      <c r="J59" s="97">
        <f>H59-I59</f>
        <v>6650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'MARCH 21'!J60:J135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'MARCH 21'!J61:J136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>
        <v>6500</v>
      </c>
      <c r="D62" s="96">
        <f>'MARCH 21'!J62:J137</f>
        <v>0</v>
      </c>
      <c r="E62" s="102">
        <v>6500</v>
      </c>
      <c r="F62" s="102"/>
      <c r="G62" s="101"/>
      <c r="H62" s="97">
        <f t="shared" si="1"/>
        <v>13000</v>
      </c>
      <c r="I62" s="97">
        <v>13000</v>
      </c>
      <c r="J62" s="97">
        <f t="shared" si="0"/>
        <v>0</v>
      </c>
      <c r="K62" s="97"/>
      <c r="L62" s="97">
        <v>1000</v>
      </c>
    </row>
    <row r="63" spans="1:12" ht="15.75" x14ac:dyDescent="0.25">
      <c r="A63" s="114" t="s">
        <v>17</v>
      </c>
      <c r="B63" s="94" t="s">
        <v>94</v>
      </c>
      <c r="C63" s="100"/>
      <c r="D63" s="96">
        <f>'MARCH 21'!J63:J138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09" t="s">
        <v>188</v>
      </c>
      <c r="B64" s="94" t="s">
        <v>95</v>
      </c>
      <c r="C64" s="100"/>
      <c r="D64" s="96">
        <f>'MARCH 21'!J64:J139</f>
        <v>0</v>
      </c>
      <c r="E64" s="102">
        <v>5500</v>
      </c>
      <c r="F64" s="102">
        <v>150</v>
      </c>
      <c r="G64" s="101">
        <v>150</v>
      </c>
      <c r="H64" s="97">
        <f t="shared" si="1"/>
        <v>5800</v>
      </c>
      <c r="I64" s="97">
        <f>5500</f>
        <v>5500</v>
      </c>
      <c r="J64" s="97">
        <f t="shared" si="0"/>
        <v>300</v>
      </c>
      <c r="K64" s="97"/>
      <c r="L64" s="97"/>
    </row>
    <row r="65" spans="1:16" ht="15.75" x14ac:dyDescent="0.25">
      <c r="A65" s="109" t="s">
        <v>113</v>
      </c>
      <c r="B65" s="94" t="s">
        <v>96</v>
      </c>
      <c r="C65" s="100"/>
      <c r="D65" s="96">
        <f>'MARCH 21'!J65:J140</f>
        <v>0</v>
      </c>
      <c r="E65" s="102">
        <v>7000</v>
      </c>
      <c r="F65" s="102"/>
      <c r="G65" s="101">
        <v>150</v>
      </c>
      <c r="H65" s="97">
        <f t="shared" si="1"/>
        <v>7150</v>
      </c>
      <c r="I65" s="97">
        <f>7150</f>
        <v>7150</v>
      </c>
      <c r="J65" s="97">
        <f>H65-I65</f>
        <v>0</v>
      </c>
      <c r="K65" s="97"/>
      <c r="L65" s="97"/>
    </row>
    <row r="66" spans="1:16" ht="15.75" x14ac:dyDescent="0.25">
      <c r="A66" s="114" t="s">
        <v>17</v>
      </c>
      <c r="B66" s="94" t="s">
        <v>97</v>
      </c>
      <c r="C66" s="100"/>
      <c r="D66" s="96"/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6" ht="15.75" x14ac:dyDescent="0.25">
      <c r="A67" s="114" t="s">
        <v>17</v>
      </c>
      <c r="B67" s="94" t="s">
        <v>98</v>
      </c>
      <c r="C67" s="100"/>
      <c r="D67" s="96">
        <f>'MARCH 21'!J67:J142</f>
        <v>0</v>
      </c>
      <c r="E67" s="102"/>
      <c r="F67" s="102"/>
      <c r="G67" s="101"/>
      <c r="H67" s="97">
        <f t="shared" si="1"/>
        <v>0</v>
      </c>
      <c r="I67" s="97"/>
      <c r="J67" s="97">
        <f t="shared" si="0"/>
        <v>0</v>
      </c>
      <c r="K67" s="97"/>
      <c r="L67" s="97"/>
    </row>
    <row r="68" spans="1:16" ht="15.75" x14ac:dyDescent="0.25">
      <c r="A68" s="109" t="s">
        <v>115</v>
      </c>
      <c r="B68" s="94" t="s">
        <v>99</v>
      </c>
      <c r="C68" s="100"/>
      <c r="D68" s="96">
        <f>'MARCH 21'!J68:J143</f>
        <v>0</v>
      </c>
      <c r="E68" s="102">
        <v>6500</v>
      </c>
      <c r="F68" s="102"/>
      <c r="G68" s="101">
        <v>150</v>
      </c>
      <c r="H68" s="97">
        <f t="shared" si="1"/>
        <v>6650</v>
      </c>
      <c r="I68" s="97">
        <f>2000+800+3850</f>
        <v>6650</v>
      </c>
      <c r="J68" s="97">
        <f>H68-I68</f>
        <v>0</v>
      </c>
      <c r="K68" s="97"/>
      <c r="L68" s="97"/>
    </row>
    <row r="69" spans="1:16" ht="15.75" x14ac:dyDescent="0.25">
      <c r="A69" s="93" t="s">
        <v>287</v>
      </c>
      <c r="B69" s="94" t="s">
        <v>100</v>
      </c>
      <c r="C69" s="100"/>
      <c r="D69" s="96">
        <f>'MARCH 21'!J69:J144</f>
        <v>0</v>
      </c>
      <c r="E69" s="102">
        <v>6500</v>
      </c>
      <c r="F69" s="102">
        <v>150</v>
      </c>
      <c r="G69" s="101">
        <v>150</v>
      </c>
      <c r="H69" s="97">
        <f t="shared" si="1"/>
        <v>6800</v>
      </c>
      <c r="I69" s="97">
        <v>6800</v>
      </c>
      <c r="J69" s="97">
        <f>H69-I69</f>
        <v>0</v>
      </c>
      <c r="K69" s="97"/>
      <c r="L69" s="97"/>
    </row>
    <row r="70" spans="1:16" ht="15.75" x14ac:dyDescent="0.25">
      <c r="A70" s="109" t="s">
        <v>116</v>
      </c>
      <c r="B70" s="94" t="s">
        <v>101</v>
      </c>
      <c r="C70" s="100"/>
      <c r="D70" s="96">
        <f>'MARCH 21'!J70:J145</f>
        <v>1050</v>
      </c>
      <c r="E70" s="102">
        <v>7000</v>
      </c>
      <c r="F70" s="102"/>
      <c r="G70" s="101">
        <v>150</v>
      </c>
      <c r="H70" s="97">
        <f t="shared" si="1"/>
        <v>8200</v>
      </c>
      <c r="I70" s="97">
        <f>7500+600</f>
        <v>8100</v>
      </c>
      <c r="J70" s="97">
        <f>H70-I70</f>
        <v>100</v>
      </c>
      <c r="K70" s="97"/>
      <c r="L70" s="97"/>
    </row>
    <row r="71" spans="1:16" ht="15.75" x14ac:dyDescent="0.25">
      <c r="A71" s="115" t="s">
        <v>28</v>
      </c>
      <c r="B71" s="109"/>
      <c r="C71" s="100">
        <f>SUM(C6:C70)</f>
        <v>13000</v>
      </c>
      <c r="D71" s="96">
        <f>'MARCH 21'!J71:J146</f>
        <v>59000</v>
      </c>
      <c r="E71" s="116">
        <f>SUM(E6:E70)</f>
        <v>331500</v>
      </c>
      <c r="F71" s="147">
        <f t="shared" ref="F71:L71" si="2">SUM(F6:F70)</f>
        <v>5250</v>
      </c>
      <c r="G71" s="148">
        <f>SUM(G6:G70)</f>
        <v>6450</v>
      </c>
      <c r="H71" s="97">
        <f>SUM(H6:H70)</f>
        <v>408250</v>
      </c>
      <c r="I71" s="97">
        <f t="shared" si="2"/>
        <v>337050</v>
      </c>
      <c r="J71" s="97">
        <f>SUM(J6:J70)</f>
        <v>71200</v>
      </c>
      <c r="K71" s="97">
        <f t="shared" si="2"/>
        <v>0</v>
      </c>
      <c r="L71" s="97">
        <f t="shared" si="2"/>
        <v>2350</v>
      </c>
    </row>
    <row r="72" spans="1:16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6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N73" s="144" t="s">
        <v>250</v>
      </c>
      <c r="O73" s="145"/>
      <c r="P73" s="83"/>
    </row>
    <row r="74" spans="1:16" ht="15.75" x14ac:dyDescent="0.25">
      <c r="A74" s="109" t="s">
        <v>321</v>
      </c>
      <c r="B74" s="124">
        <f>E71</f>
        <v>331500</v>
      </c>
      <c r="C74" s="109"/>
      <c r="D74" s="109"/>
      <c r="E74" s="109"/>
      <c r="F74" s="109" t="s">
        <v>321</v>
      </c>
      <c r="G74" s="109"/>
      <c r="H74" s="125">
        <f>I71</f>
        <v>337050</v>
      </c>
      <c r="I74" s="109"/>
      <c r="J74" s="109"/>
      <c r="K74" s="109"/>
      <c r="L74" s="126"/>
    </row>
    <row r="75" spans="1:16" ht="15.75" x14ac:dyDescent="0.25">
      <c r="A75" s="109" t="s">
        <v>37</v>
      </c>
      <c r="B75" s="124">
        <f>'MARCH 21'!D106</f>
        <v>171477.18999999994</v>
      </c>
      <c r="C75" s="109"/>
      <c r="D75" s="109"/>
      <c r="E75" s="109"/>
      <c r="F75" s="109" t="s">
        <v>37</v>
      </c>
      <c r="G75" s="109"/>
      <c r="H75" s="124">
        <f>'MARCH 21'!J106</f>
        <v>94227.189999999944</v>
      </c>
      <c r="I75" s="109"/>
      <c r="J75" s="109"/>
      <c r="K75" s="109"/>
      <c r="L75" s="126"/>
      <c r="M75" t="s">
        <v>325</v>
      </c>
      <c r="P75">
        <v>4800</v>
      </c>
    </row>
    <row r="76" spans="1:16" ht="15.75" x14ac:dyDescent="0.25">
      <c r="A76" s="109" t="s">
        <v>38</v>
      </c>
      <c r="B76" s="124">
        <f>C71</f>
        <v>13000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M76" t="s">
        <v>338</v>
      </c>
      <c r="P76">
        <v>7100</v>
      </c>
    </row>
    <row r="77" spans="1:16" ht="15.75" x14ac:dyDescent="0.25">
      <c r="A77" s="109" t="s">
        <v>7</v>
      </c>
      <c r="B77" s="124">
        <f>F71</f>
        <v>5250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M77" t="s">
        <v>350</v>
      </c>
      <c r="P77">
        <v>3200</v>
      </c>
    </row>
    <row r="78" spans="1:16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M78" t="s">
        <v>332</v>
      </c>
      <c r="P78">
        <v>7100</v>
      </c>
    </row>
    <row r="79" spans="1:16" ht="15.75" x14ac:dyDescent="0.25">
      <c r="A79" s="109" t="s">
        <v>40</v>
      </c>
      <c r="B79" s="125">
        <f>L71</f>
        <v>2350</v>
      </c>
      <c r="C79" s="109"/>
      <c r="D79" s="109"/>
      <c r="E79" s="109"/>
      <c r="F79" s="109" t="s">
        <v>40</v>
      </c>
      <c r="G79" s="109"/>
      <c r="H79" s="125">
        <f>L71</f>
        <v>2350</v>
      </c>
      <c r="I79" s="109"/>
      <c r="J79" s="109"/>
      <c r="K79" s="109"/>
      <c r="L79" s="126"/>
      <c r="M79" t="s">
        <v>333</v>
      </c>
      <c r="P79">
        <v>450</v>
      </c>
    </row>
    <row r="80" spans="1:16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M80" t="s">
        <v>341</v>
      </c>
      <c r="P80">
        <v>1200</v>
      </c>
    </row>
    <row r="81" spans="1:16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M81" t="s">
        <v>210</v>
      </c>
      <c r="P81">
        <v>800</v>
      </c>
    </row>
    <row r="82" spans="1:16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M82" t="s">
        <v>342</v>
      </c>
      <c r="P82">
        <f>2500+1500</f>
        <v>4000</v>
      </c>
    </row>
    <row r="83" spans="1:16" ht="15.75" x14ac:dyDescent="0.25">
      <c r="A83" s="131" t="s">
        <v>43</v>
      </c>
      <c r="B83" s="132">
        <v>7.0000000000000007E-2</v>
      </c>
      <c r="C83" s="133">
        <f>B83*E71</f>
        <v>23205.000000000004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23205.000000000004</v>
      </c>
      <c r="J83" s="109"/>
      <c r="K83" s="109"/>
      <c r="L83" s="126"/>
      <c r="M83" t="s">
        <v>343</v>
      </c>
      <c r="P83">
        <f>11097</f>
        <v>11097</v>
      </c>
    </row>
    <row r="84" spans="1:16" ht="15.75" x14ac:dyDescent="0.25">
      <c r="A84" s="134" t="s">
        <v>136</v>
      </c>
      <c r="B84" s="135">
        <v>0.3</v>
      </c>
      <c r="C84" s="106">
        <f>B84*B76+(B84*C23)</f>
        <v>3900</v>
      </c>
      <c r="D84" s="125"/>
      <c r="E84" s="125"/>
      <c r="F84" s="134" t="s">
        <v>136</v>
      </c>
      <c r="G84" s="135">
        <v>0.3</v>
      </c>
      <c r="H84" s="88"/>
      <c r="I84" s="106">
        <f>C84</f>
        <v>3900</v>
      </c>
      <c r="J84" s="88"/>
      <c r="K84" s="125"/>
      <c r="L84" s="136"/>
      <c r="M84" t="s">
        <v>344</v>
      </c>
      <c r="P84">
        <v>2232</v>
      </c>
    </row>
    <row r="85" spans="1:16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6450</v>
      </c>
      <c r="J85" s="88"/>
      <c r="K85" s="125"/>
      <c r="L85" s="136"/>
      <c r="M85" t="s">
        <v>345</v>
      </c>
      <c r="P85">
        <v>6075</v>
      </c>
    </row>
    <row r="86" spans="1:16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  <c r="M86" t="s">
        <v>346</v>
      </c>
      <c r="N86" s="43"/>
      <c r="P86">
        <f>4855</f>
        <v>4855</v>
      </c>
    </row>
    <row r="87" spans="1:16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  <c r="M87" t="s">
        <v>347</v>
      </c>
      <c r="P87">
        <v>1152</v>
      </c>
    </row>
    <row r="88" spans="1:16" ht="15.75" x14ac:dyDescent="0.25">
      <c r="A88" s="134" t="s">
        <v>300</v>
      </c>
      <c r="B88" s="132"/>
      <c r="C88" s="93">
        <v>50000</v>
      </c>
      <c r="D88" s="109"/>
      <c r="E88" s="109"/>
      <c r="F88" s="134" t="s">
        <v>300</v>
      </c>
      <c r="G88" s="132"/>
      <c r="I88" s="93">
        <v>50000</v>
      </c>
      <c r="J88" s="125"/>
      <c r="K88" s="109"/>
      <c r="L88" s="126"/>
      <c r="M88" t="s">
        <v>348</v>
      </c>
      <c r="P88">
        <v>6500</v>
      </c>
    </row>
    <row r="89" spans="1:16" ht="15.75" x14ac:dyDescent="0.25">
      <c r="A89" s="134" t="s">
        <v>120</v>
      </c>
      <c r="B89" s="132"/>
      <c r="C89" s="125"/>
      <c r="D89" s="109"/>
      <c r="E89" s="109"/>
      <c r="F89" s="134" t="s">
        <v>120</v>
      </c>
      <c r="G89" s="132"/>
      <c r="H89" s="125"/>
      <c r="I89" s="125"/>
      <c r="J89" s="109"/>
      <c r="K89" s="109"/>
      <c r="L89" s="126"/>
      <c r="M89" t="s">
        <v>349</v>
      </c>
      <c r="P89">
        <v>7400</v>
      </c>
    </row>
    <row r="90" spans="1:16" ht="15.75" x14ac:dyDescent="0.25">
      <c r="A90" s="134" t="s">
        <v>337</v>
      </c>
      <c r="B90" s="132"/>
      <c r="C90" s="93">
        <f>219500</f>
        <v>219500</v>
      </c>
      <c r="D90" s="109"/>
      <c r="E90" s="109"/>
      <c r="F90" s="134" t="s">
        <v>337</v>
      </c>
      <c r="G90" s="132"/>
      <c r="H90" s="93"/>
      <c r="I90" s="125">
        <v>219500</v>
      </c>
      <c r="J90" s="109"/>
      <c r="K90" s="109"/>
      <c r="L90" s="126"/>
    </row>
    <row r="91" spans="1:16" ht="15.75" x14ac:dyDescent="0.25">
      <c r="A91" t="s">
        <v>325</v>
      </c>
      <c r="B91" s="151"/>
      <c r="C91" s="151">
        <v>4800</v>
      </c>
      <c r="D91" s="151"/>
      <c r="E91" s="109"/>
      <c r="F91" t="s">
        <v>325</v>
      </c>
      <c r="H91" s="151"/>
      <c r="I91" s="151">
        <v>4800</v>
      </c>
      <c r="J91" s="109"/>
      <c r="K91" s="109"/>
      <c r="L91" s="126"/>
    </row>
    <row r="92" spans="1:16" ht="15.75" x14ac:dyDescent="0.25">
      <c r="A92" t="s">
        <v>338</v>
      </c>
      <c r="B92" s="151"/>
      <c r="C92" s="151">
        <v>7100</v>
      </c>
      <c r="D92" s="151"/>
      <c r="E92" s="109"/>
      <c r="F92" t="s">
        <v>338</v>
      </c>
      <c r="H92" s="151"/>
      <c r="I92" s="151">
        <v>7100</v>
      </c>
      <c r="J92" s="109"/>
      <c r="K92" s="109"/>
      <c r="L92" s="126"/>
    </row>
    <row r="93" spans="1:16" ht="15.75" x14ac:dyDescent="0.25">
      <c r="A93" t="s">
        <v>350</v>
      </c>
      <c r="B93" s="151"/>
      <c r="C93" s="151">
        <v>3200</v>
      </c>
      <c r="D93" s="151"/>
      <c r="E93" s="109"/>
      <c r="F93" t="s">
        <v>350</v>
      </c>
      <c r="H93" s="151"/>
      <c r="I93" s="151">
        <v>3200</v>
      </c>
      <c r="J93" s="109"/>
      <c r="K93" s="109"/>
      <c r="L93" s="126"/>
    </row>
    <row r="94" spans="1:16" ht="15.75" x14ac:dyDescent="0.25">
      <c r="A94" t="s">
        <v>332</v>
      </c>
      <c r="B94" s="151"/>
      <c r="C94" s="151">
        <v>7100</v>
      </c>
      <c r="D94" s="151"/>
      <c r="E94" s="109"/>
      <c r="F94" t="s">
        <v>332</v>
      </c>
      <c r="H94" s="151"/>
      <c r="I94" s="151">
        <v>7100</v>
      </c>
      <c r="J94" s="109"/>
      <c r="K94" s="109"/>
      <c r="L94" s="126"/>
    </row>
    <row r="95" spans="1:16" ht="15.75" x14ac:dyDescent="0.25">
      <c r="A95" t="s">
        <v>333</v>
      </c>
      <c r="B95" s="151"/>
      <c r="C95" s="151">
        <v>450</v>
      </c>
      <c r="D95" s="151"/>
      <c r="E95" s="109"/>
      <c r="F95" t="s">
        <v>333</v>
      </c>
      <c r="H95" s="151"/>
      <c r="I95" s="151">
        <v>450</v>
      </c>
      <c r="J95" s="109"/>
      <c r="K95" s="109"/>
      <c r="L95" s="126"/>
    </row>
    <row r="96" spans="1:16" ht="15.75" x14ac:dyDescent="0.25">
      <c r="A96" t="s">
        <v>341</v>
      </c>
      <c r="B96" s="151"/>
      <c r="C96" s="151">
        <v>1200</v>
      </c>
      <c r="D96" s="151"/>
      <c r="E96" s="109"/>
      <c r="F96" t="s">
        <v>341</v>
      </c>
      <c r="H96" s="151"/>
      <c r="I96" s="151">
        <v>1200</v>
      </c>
      <c r="J96" s="109"/>
      <c r="K96" s="109"/>
      <c r="L96" s="126"/>
    </row>
    <row r="97" spans="1:16" ht="15.75" x14ac:dyDescent="0.25">
      <c r="A97" t="s">
        <v>210</v>
      </c>
      <c r="B97" s="151"/>
      <c r="C97" s="151">
        <v>800</v>
      </c>
      <c r="D97" s="151"/>
      <c r="E97" s="109"/>
      <c r="F97" t="s">
        <v>210</v>
      </c>
      <c r="H97" s="151"/>
      <c r="I97" s="151">
        <v>800</v>
      </c>
      <c r="J97" s="109"/>
      <c r="K97" s="109"/>
      <c r="L97" s="126"/>
    </row>
    <row r="98" spans="1:16" ht="15.75" x14ac:dyDescent="0.25">
      <c r="A98" t="s">
        <v>342</v>
      </c>
      <c r="B98" s="151"/>
      <c r="C98" s="151">
        <f>2500+1500</f>
        <v>4000</v>
      </c>
      <c r="D98" s="151"/>
      <c r="E98" s="109"/>
      <c r="F98" t="s">
        <v>342</v>
      </c>
      <c r="H98" s="151"/>
      <c r="I98" s="151">
        <f>2500+1500</f>
        <v>4000</v>
      </c>
      <c r="J98" s="109"/>
      <c r="K98" s="109"/>
      <c r="L98" s="126"/>
    </row>
    <row r="99" spans="1:16" ht="15.75" x14ac:dyDescent="0.25">
      <c r="A99" t="s">
        <v>343</v>
      </c>
      <c r="B99" s="151"/>
      <c r="C99" s="151">
        <f>11097</f>
        <v>11097</v>
      </c>
      <c r="D99" s="151"/>
      <c r="E99" s="109"/>
      <c r="F99" t="s">
        <v>343</v>
      </c>
      <c r="H99" s="151"/>
      <c r="I99" s="151">
        <f>11097</f>
        <v>11097</v>
      </c>
      <c r="J99" s="109"/>
      <c r="K99" s="109"/>
      <c r="L99" s="126"/>
    </row>
    <row r="100" spans="1:16" ht="15.75" x14ac:dyDescent="0.25">
      <c r="A100" t="s">
        <v>344</v>
      </c>
      <c r="B100" s="151"/>
      <c r="C100" s="151">
        <v>2232</v>
      </c>
      <c r="D100" s="151"/>
      <c r="E100" s="109"/>
      <c r="F100" t="s">
        <v>344</v>
      </c>
      <c r="H100" s="151"/>
      <c r="I100" s="151">
        <v>2232</v>
      </c>
      <c r="J100" s="109"/>
      <c r="K100" s="109"/>
      <c r="L100" s="126"/>
    </row>
    <row r="101" spans="1:16" ht="15.75" x14ac:dyDescent="0.25">
      <c r="A101" t="s">
        <v>345</v>
      </c>
      <c r="B101" s="151"/>
      <c r="C101" s="151">
        <v>6075</v>
      </c>
      <c r="D101" s="151"/>
      <c r="E101" s="109"/>
      <c r="F101" t="s">
        <v>345</v>
      </c>
      <c r="H101" s="151"/>
      <c r="I101" s="151">
        <v>6075</v>
      </c>
      <c r="J101" s="109"/>
      <c r="K101" s="109"/>
      <c r="L101" s="126"/>
    </row>
    <row r="102" spans="1:16" ht="15.75" x14ac:dyDescent="0.25">
      <c r="A102" t="s">
        <v>346</v>
      </c>
      <c r="B102" s="172"/>
      <c r="C102" s="151">
        <f>4855</f>
        <v>4855</v>
      </c>
      <c r="D102" s="151"/>
      <c r="E102" s="109"/>
      <c r="F102" t="s">
        <v>346</v>
      </c>
      <c r="G102" s="43"/>
      <c r="H102" s="151"/>
      <c r="I102" s="151">
        <f>4855</f>
        <v>4855</v>
      </c>
      <c r="J102" s="109"/>
      <c r="K102" s="109"/>
      <c r="L102" s="126"/>
    </row>
    <row r="103" spans="1:16" ht="15.75" x14ac:dyDescent="0.25">
      <c r="A103" t="s">
        <v>347</v>
      </c>
      <c r="B103" s="151"/>
      <c r="C103" s="151">
        <v>1152</v>
      </c>
      <c r="D103" s="151"/>
      <c r="E103" s="109"/>
      <c r="F103" t="s">
        <v>347</v>
      </c>
      <c r="H103" s="151"/>
      <c r="I103" s="151">
        <v>1152</v>
      </c>
      <c r="J103" s="109"/>
      <c r="K103" s="109"/>
      <c r="L103" s="126"/>
    </row>
    <row r="104" spans="1:16" ht="15.75" x14ac:dyDescent="0.25">
      <c r="A104" t="s">
        <v>348</v>
      </c>
      <c r="B104" s="151"/>
      <c r="C104" s="151">
        <v>6500</v>
      </c>
      <c r="D104" s="151"/>
      <c r="E104" s="109"/>
      <c r="F104" t="s">
        <v>348</v>
      </c>
      <c r="G104" s="151"/>
      <c r="H104" s="151"/>
      <c r="I104" s="151">
        <v>6500</v>
      </c>
      <c r="J104" s="109"/>
      <c r="K104" s="109"/>
      <c r="L104" s="126"/>
    </row>
    <row r="105" spans="1:16" ht="15.75" x14ac:dyDescent="0.25">
      <c r="A105" t="s">
        <v>349</v>
      </c>
      <c r="B105" s="151"/>
      <c r="C105" s="151">
        <v>7400</v>
      </c>
      <c r="D105" s="151"/>
      <c r="E105" s="109"/>
      <c r="F105" t="s">
        <v>349</v>
      </c>
      <c r="G105" s="151"/>
      <c r="H105" s="151"/>
      <c r="I105" s="151">
        <v>7400</v>
      </c>
      <c r="J105" s="109"/>
      <c r="K105" s="109"/>
      <c r="L105" s="126"/>
    </row>
    <row r="106" spans="1:16" ht="15.75" x14ac:dyDescent="0.25">
      <c r="A106" s="171"/>
      <c r="B106" s="132"/>
      <c r="C106" s="93"/>
      <c r="D106" s="109"/>
      <c r="E106" s="109"/>
      <c r="F106" s="134"/>
      <c r="G106" s="173"/>
      <c r="H106" s="93"/>
      <c r="I106" s="125"/>
      <c r="J106" s="109"/>
      <c r="K106" s="109"/>
      <c r="L106" s="126"/>
    </row>
    <row r="107" spans="1:16" ht="15.75" x14ac:dyDescent="0.25">
      <c r="A107" s="134"/>
      <c r="B107" s="134"/>
      <c r="C107" s="93"/>
      <c r="D107" s="109"/>
      <c r="E107" s="109"/>
      <c r="F107" s="134"/>
      <c r="G107" s="132"/>
      <c r="H107" s="93"/>
      <c r="I107" s="125"/>
      <c r="J107" s="109"/>
      <c r="K107" s="109"/>
      <c r="L107" s="126"/>
      <c r="P107">
        <f>SUM(P75:P106)</f>
        <v>67961</v>
      </c>
    </row>
    <row r="108" spans="1:16" ht="15.75" x14ac:dyDescent="0.25">
      <c r="A108" s="134"/>
      <c r="B108" s="132"/>
      <c r="C108" s="125"/>
      <c r="D108" s="109"/>
      <c r="E108" s="109"/>
      <c r="F108" s="134"/>
      <c r="G108" s="132"/>
      <c r="H108" s="125"/>
      <c r="I108" s="125"/>
      <c r="J108" s="109"/>
      <c r="K108" s="109"/>
      <c r="L108" s="126"/>
    </row>
    <row r="109" spans="1:16" ht="15.75" x14ac:dyDescent="0.25">
      <c r="A109" s="134"/>
      <c r="B109" s="132"/>
      <c r="C109" s="93"/>
      <c r="D109" s="109"/>
      <c r="E109" s="109"/>
      <c r="F109" s="134"/>
      <c r="G109" s="132"/>
      <c r="H109" s="93"/>
      <c r="I109" s="125"/>
      <c r="J109" s="109"/>
      <c r="K109" s="109"/>
      <c r="L109" s="126"/>
    </row>
    <row r="110" spans="1:16" ht="15.75" x14ac:dyDescent="0.25">
      <c r="A110" s="134"/>
      <c r="B110" s="132"/>
      <c r="C110" s="125"/>
      <c r="D110" s="109"/>
      <c r="E110" s="109"/>
      <c r="F110" s="134"/>
      <c r="G110" s="132"/>
      <c r="H110" s="125"/>
      <c r="I110" s="125"/>
      <c r="J110" s="109"/>
      <c r="K110" s="109"/>
      <c r="L110" s="126"/>
    </row>
    <row r="111" spans="1:16" ht="15.75" x14ac:dyDescent="0.25">
      <c r="A111" s="115" t="s">
        <v>29</v>
      </c>
      <c r="B111" s="139">
        <f>B74+B75+B76+B77+B78+B79+B81+B80</f>
        <v>523577.18999999994</v>
      </c>
      <c r="C111" s="139">
        <f>SUM(C83:C110)</f>
        <v>380566</v>
      </c>
      <c r="D111" s="139">
        <f>B111-C111</f>
        <v>143011.18999999994</v>
      </c>
      <c r="E111" s="139"/>
      <c r="F111" s="115"/>
      <c r="G111" s="115"/>
      <c r="H111" s="139">
        <f>H74+H75+H77+H79+H80</f>
        <v>433627.18999999994</v>
      </c>
      <c r="I111" s="139">
        <f>SUM(I83:I110)</f>
        <v>387016</v>
      </c>
      <c r="J111" s="139">
        <f>H111-I111</f>
        <v>46611.189999999944</v>
      </c>
      <c r="K111" s="139"/>
      <c r="L111" s="140"/>
    </row>
    <row r="112" spans="1:16" ht="15.75" x14ac:dyDescent="0.25">
      <c r="A112" s="141" t="s">
        <v>44</v>
      </c>
      <c r="B112" s="142"/>
      <c r="C112" s="142" t="s">
        <v>45</v>
      </c>
      <c r="D112" s="138"/>
      <c r="E112" s="138"/>
      <c r="F112" s="141"/>
      <c r="G112" s="141"/>
      <c r="H112" s="141" t="s">
        <v>46</v>
      </c>
      <c r="I112" s="143">
        <f>I111-I85</f>
        <v>380566</v>
      </c>
      <c r="J112" s="87"/>
      <c r="K112" s="87"/>
      <c r="L112" s="86"/>
    </row>
    <row r="113" spans="1:12" ht="15.75" x14ac:dyDescent="0.25">
      <c r="A113" s="87" t="s">
        <v>47</v>
      </c>
      <c r="B113" s="87"/>
      <c r="C113" s="87" t="s">
        <v>48</v>
      </c>
      <c r="D113" s="105"/>
      <c r="E113" s="87"/>
      <c r="F113" s="87"/>
      <c r="G113" s="87"/>
      <c r="H113" s="87" t="s">
        <v>118</v>
      </c>
      <c r="I113" s="113">
        <f>I111-I83</f>
        <v>363811</v>
      </c>
      <c r="J113" s="87"/>
      <c r="K113" s="105"/>
      <c r="L113" s="86"/>
    </row>
    <row r="115" spans="1:12" x14ac:dyDescent="0.25">
      <c r="L115" s="43"/>
    </row>
    <row r="118" spans="1:12" x14ac:dyDescent="0.25">
      <c r="J118" s="43">
        <f>J111+J71</f>
        <v>117811.18999999994</v>
      </c>
    </row>
    <row r="121" spans="1:12" x14ac:dyDescent="0.25">
      <c r="I121" s="4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76" workbookViewId="0">
      <selection activeCell="B7" sqref="B7"/>
    </sheetView>
  </sheetViews>
  <sheetFormatPr defaultRowHeight="15" x14ac:dyDescent="0.25"/>
  <cols>
    <col min="1" max="1" width="24.140625" customWidth="1"/>
    <col min="2" max="2" width="16.5703125" customWidth="1"/>
    <col min="3" max="3" width="12" customWidth="1"/>
    <col min="5" max="5" width="10.42578125" customWidth="1"/>
    <col min="6" max="6" width="13.7109375" customWidth="1"/>
    <col min="8" max="8" width="9.5703125" customWidth="1"/>
    <col min="9" max="9" width="13.7109375" customWidth="1"/>
    <col min="10" max="10" width="9.5703125" customWidth="1"/>
    <col min="16" max="16" width="13" customWidth="1"/>
  </cols>
  <sheetData>
    <row r="1" spans="1:13" ht="15.75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3" ht="15.75" x14ac:dyDescent="0.25">
      <c r="A2" s="87"/>
      <c r="B2" s="3"/>
      <c r="C2" s="3"/>
      <c r="D2" s="3"/>
      <c r="E2" s="3" t="s">
        <v>49</v>
      </c>
      <c r="F2" s="87"/>
      <c r="G2" s="3"/>
      <c r="H2" s="4"/>
      <c r="I2" s="87"/>
      <c r="J2" s="87"/>
      <c r="K2" s="87"/>
      <c r="L2" s="87"/>
    </row>
    <row r="3" spans="1:13" ht="15.75" x14ac:dyDescent="0.25">
      <c r="A3" s="87"/>
      <c r="B3" s="3"/>
      <c r="C3" s="3"/>
      <c r="D3" s="3"/>
      <c r="E3" s="3" t="s">
        <v>0</v>
      </c>
      <c r="F3" s="3"/>
      <c r="G3" s="3"/>
      <c r="H3" s="5"/>
      <c r="I3" s="87"/>
      <c r="J3" s="87"/>
      <c r="K3" s="87"/>
      <c r="L3" s="87"/>
    </row>
    <row r="4" spans="1:13" ht="15.75" x14ac:dyDescent="0.25">
      <c r="A4" s="3"/>
      <c r="B4" s="88"/>
      <c r="C4" s="88"/>
      <c r="D4" s="3" t="s">
        <v>339</v>
      </c>
      <c r="E4" s="3"/>
      <c r="F4" s="88"/>
      <c r="G4" s="3"/>
      <c r="H4" s="7"/>
      <c r="I4" s="7"/>
      <c r="J4" s="7"/>
      <c r="K4" s="7"/>
      <c r="L4" s="7"/>
    </row>
    <row r="5" spans="1:13" ht="15.75" x14ac:dyDescent="0.25">
      <c r="A5" s="89" t="s">
        <v>2</v>
      </c>
      <c r="B5" s="89" t="s">
        <v>3</v>
      </c>
      <c r="C5" s="89" t="s">
        <v>38</v>
      </c>
      <c r="D5" s="90" t="s">
        <v>5</v>
      </c>
      <c r="E5" s="89" t="s">
        <v>6</v>
      </c>
      <c r="F5" s="91" t="s">
        <v>7</v>
      </c>
      <c r="G5" s="89" t="s">
        <v>8</v>
      </c>
      <c r="H5" s="92" t="s">
        <v>9</v>
      </c>
      <c r="I5" s="89" t="s">
        <v>10</v>
      </c>
      <c r="J5" s="89" t="s">
        <v>11</v>
      </c>
      <c r="K5" s="89" t="s">
        <v>12</v>
      </c>
      <c r="L5" s="89" t="s">
        <v>13</v>
      </c>
    </row>
    <row r="6" spans="1:13" ht="15.75" x14ac:dyDescent="0.25">
      <c r="A6" s="114" t="s">
        <v>17</v>
      </c>
      <c r="B6" s="94" t="s">
        <v>14</v>
      </c>
      <c r="C6" s="95"/>
      <c r="D6" s="96"/>
      <c r="E6" s="97"/>
      <c r="F6" s="98"/>
      <c r="G6" s="97"/>
      <c r="H6" s="97">
        <f>D6+E6+F6+G6+C6</f>
        <v>0</v>
      </c>
      <c r="I6" s="97"/>
      <c r="J6" s="97">
        <f t="shared" ref="J6:J67" si="0">H6-I6</f>
        <v>0</v>
      </c>
      <c r="K6" s="97"/>
      <c r="L6" s="97"/>
      <c r="M6" s="1"/>
    </row>
    <row r="7" spans="1:13" ht="15.75" x14ac:dyDescent="0.25">
      <c r="A7" s="111" t="s">
        <v>330</v>
      </c>
      <c r="B7" s="94" t="s">
        <v>15</v>
      </c>
      <c r="C7" s="100"/>
      <c r="D7" s="96">
        <f>APRIL21!J7:J72</f>
        <v>0</v>
      </c>
      <c r="E7" s="101">
        <v>6500</v>
      </c>
      <c r="F7" s="102"/>
      <c r="G7" s="101">
        <v>150</v>
      </c>
      <c r="H7" s="97">
        <f>D7+E7+F7+G7+C7</f>
        <v>6650</v>
      </c>
      <c r="I7" s="97">
        <v>6500</v>
      </c>
      <c r="J7" s="97"/>
      <c r="K7" s="97"/>
      <c r="L7" s="97"/>
    </row>
    <row r="8" spans="1:13" ht="15.75" x14ac:dyDescent="0.25">
      <c r="A8" s="161" t="s">
        <v>17</v>
      </c>
      <c r="B8" s="154" t="s">
        <v>16</v>
      </c>
      <c r="C8" s="95"/>
      <c r="D8" s="96"/>
      <c r="E8" s="101"/>
      <c r="F8" s="102"/>
      <c r="G8" s="101"/>
      <c r="H8" s="160">
        <f t="shared" ref="H8:H70" si="1">D8+E8+F8+G8+C8</f>
        <v>0</v>
      </c>
      <c r="I8" s="97"/>
      <c r="J8" s="160">
        <f t="shared" si="0"/>
        <v>0</v>
      </c>
      <c r="K8" s="97"/>
      <c r="L8" s="97"/>
      <c r="M8" s="78"/>
    </row>
    <row r="9" spans="1:13" ht="15.75" x14ac:dyDescent="0.25">
      <c r="A9" s="99" t="s">
        <v>189</v>
      </c>
      <c r="B9" s="94" t="s">
        <v>18</v>
      </c>
      <c r="C9" s="100"/>
      <c r="D9" s="96">
        <f>APRIL21!J9:J74</f>
        <v>0</v>
      </c>
      <c r="E9" s="96">
        <v>6500</v>
      </c>
      <c r="F9" s="103">
        <v>150</v>
      </c>
      <c r="G9" s="101">
        <v>150</v>
      </c>
      <c r="H9" s="97">
        <f t="shared" si="1"/>
        <v>6800</v>
      </c>
      <c r="I9" s="97">
        <v>6800</v>
      </c>
      <c r="J9" s="97">
        <f t="shared" si="0"/>
        <v>0</v>
      </c>
      <c r="K9" s="97"/>
      <c r="L9" s="97"/>
    </row>
    <row r="10" spans="1:13" ht="15.75" x14ac:dyDescent="0.25">
      <c r="A10" s="99" t="s">
        <v>141</v>
      </c>
      <c r="B10" s="94" t="s">
        <v>19</v>
      </c>
      <c r="C10" s="100"/>
      <c r="D10" s="96">
        <f>APRIL21!J10:J75</f>
        <v>150</v>
      </c>
      <c r="E10" s="101">
        <v>6500</v>
      </c>
      <c r="F10" s="102"/>
      <c r="G10" s="101">
        <v>150</v>
      </c>
      <c r="H10" s="97">
        <f t="shared" si="1"/>
        <v>6800</v>
      </c>
      <c r="I10" s="97">
        <f>6650</f>
        <v>6650</v>
      </c>
      <c r="J10" s="97">
        <f t="shared" si="0"/>
        <v>150</v>
      </c>
      <c r="K10" s="97"/>
      <c r="L10" s="97"/>
    </row>
    <row r="11" spans="1:13" ht="15.75" x14ac:dyDescent="0.25">
      <c r="A11" s="104" t="s">
        <v>134</v>
      </c>
      <c r="B11" s="94" t="s">
        <v>20</v>
      </c>
      <c r="C11" s="100"/>
      <c r="D11" s="96">
        <f>APRIL21!J11:J76</f>
        <v>0</v>
      </c>
      <c r="E11" s="101"/>
      <c r="F11" s="102"/>
      <c r="G11" s="101"/>
      <c r="H11" s="97">
        <f t="shared" si="1"/>
        <v>0</v>
      </c>
      <c r="I11" s="97"/>
      <c r="J11" s="97">
        <f t="shared" si="0"/>
        <v>0</v>
      </c>
      <c r="K11" s="97"/>
      <c r="L11" s="97"/>
    </row>
    <row r="12" spans="1:13" ht="15.75" x14ac:dyDescent="0.25">
      <c r="A12" s="109" t="s">
        <v>293</v>
      </c>
      <c r="B12" s="94" t="s">
        <v>21</v>
      </c>
      <c r="C12" s="100"/>
      <c r="D12" s="96">
        <f>APRIL21!J12:J77</f>
        <v>150</v>
      </c>
      <c r="E12" s="101">
        <v>5500</v>
      </c>
      <c r="F12" s="88">
        <v>150</v>
      </c>
      <c r="G12" s="101">
        <v>150</v>
      </c>
      <c r="H12" s="97">
        <f t="shared" si="1"/>
        <v>5950</v>
      </c>
      <c r="I12" s="97">
        <v>5000</v>
      </c>
      <c r="J12" s="97">
        <f t="shared" si="0"/>
        <v>950</v>
      </c>
      <c r="K12" s="97"/>
      <c r="L12" s="97"/>
    </row>
    <row r="13" spans="1:13" ht="15.75" x14ac:dyDescent="0.25">
      <c r="A13" s="107" t="s">
        <v>298</v>
      </c>
      <c r="B13" s="94" t="s">
        <v>22</v>
      </c>
      <c r="C13" s="100"/>
      <c r="D13" s="96">
        <f>APRIL21!J13:J78</f>
        <v>4150</v>
      </c>
      <c r="E13" s="101">
        <v>7000</v>
      </c>
      <c r="F13" s="108">
        <v>150</v>
      </c>
      <c r="G13" s="101">
        <v>150</v>
      </c>
      <c r="H13" s="97">
        <f t="shared" si="1"/>
        <v>11450</v>
      </c>
      <c r="I13" s="97">
        <f>5000+2000</f>
        <v>7000</v>
      </c>
      <c r="J13" s="97">
        <f t="shared" si="0"/>
        <v>4450</v>
      </c>
      <c r="K13" s="97"/>
      <c r="L13" s="97"/>
    </row>
    <row r="14" spans="1:13" ht="15.75" x14ac:dyDescent="0.25">
      <c r="A14" s="109" t="s">
        <v>259</v>
      </c>
      <c r="B14" s="94" t="s">
        <v>23</v>
      </c>
      <c r="C14" s="100"/>
      <c r="D14" s="96">
        <f>APRIL21!J14:J79</f>
        <v>250</v>
      </c>
      <c r="E14" s="101">
        <v>6500</v>
      </c>
      <c r="F14" s="102"/>
      <c r="G14" s="101"/>
      <c r="H14" s="97">
        <f t="shared" si="1"/>
        <v>6750</v>
      </c>
      <c r="I14" s="97">
        <f>6650</f>
        <v>6650</v>
      </c>
      <c r="J14" s="97">
        <f t="shared" si="0"/>
        <v>100</v>
      </c>
      <c r="K14" s="97"/>
      <c r="L14" s="97"/>
    </row>
    <row r="15" spans="1:13" ht="15.75" x14ac:dyDescent="0.25">
      <c r="A15" s="114" t="s">
        <v>17</v>
      </c>
      <c r="B15" s="94" t="s">
        <v>24</v>
      </c>
      <c r="C15" s="100"/>
      <c r="D15" s="96"/>
      <c r="E15" s="101"/>
      <c r="F15" s="102"/>
      <c r="G15" s="101"/>
      <c r="H15" s="97">
        <f t="shared" si="1"/>
        <v>0</v>
      </c>
      <c r="I15" s="97"/>
      <c r="J15" s="97">
        <f>H15-I15</f>
        <v>0</v>
      </c>
      <c r="K15" s="97"/>
      <c r="L15" s="97"/>
    </row>
    <row r="16" spans="1:13" ht="15.75" x14ac:dyDescent="0.25">
      <c r="A16" s="109" t="s">
        <v>192</v>
      </c>
      <c r="B16" s="94" t="s">
        <v>25</v>
      </c>
      <c r="C16" s="100"/>
      <c r="D16" s="96">
        <f>APRIL21!J16:J81</f>
        <v>0</v>
      </c>
      <c r="E16" s="101">
        <v>6500</v>
      </c>
      <c r="F16" s="102">
        <v>300</v>
      </c>
      <c r="G16" s="101">
        <v>150</v>
      </c>
      <c r="H16" s="97">
        <f t="shared" si="1"/>
        <v>6950</v>
      </c>
      <c r="I16" s="97">
        <f>150+300</f>
        <v>450</v>
      </c>
      <c r="J16" s="97">
        <f t="shared" si="0"/>
        <v>6500</v>
      </c>
      <c r="K16" s="97"/>
      <c r="L16" s="97"/>
    </row>
    <row r="17" spans="1:12" ht="15.75" x14ac:dyDescent="0.25">
      <c r="A17" s="93" t="s">
        <v>133</v>
      </c>
      <c r="B17" s="94" t="s">
        <v>26</v>
      </c>
      <c r="C17" s="100"/>
      <c r="D17" s="96">
        <f>APRIL21!J17:J82</f>
        <v>150</v>
      </c>
      <c r="E17" s="101">
        <v>6500</v>
      </c>
      <c r="F17" s="102">
        <v>150</v>
      </c>
      <c r="G17" s="101">
        <v>150</v>
      </c>
      <c r="H17" s="97">
        <f t="shared" si="1"/>
        <v>6950</v>
      </c>
      <c r="I17" s="97">
        <f>6000</f>
        <v>6000</v>
      </c>
      <c r="J17" s="97">
        <f t="shared" si="0"/>
        <v>950</v>
      </c>
      <c r="K17" s="97"/>
      <c r="L17" s="97"/>
    </row>
    <row r="18" spans="1:12" ht="15.75" x14ac:dyDescent="0.25">
      <c r="A18" s="109" t="s">
        <v>305</v>
      </c>
      <c r="B18" s="94" t="s">
        <v>27</v>
      </c>
      <c r="C18" s="95"/>
      <c r="D18" s="96"/>
      <c r="E18" s="101">
        <v>6500</v>
      </c>
      <c r="F18" s="102">
        <v>150</v>
      </c>
      <c r="G18" s="101">
        <v>150</v>
      </c>
      <c r="H18" s="97">
        <f t="shared" si="1"/>
        <v>6800</v>
      </c>
      <c r="I18" s="97">
        <f>6500</f>
        <v>6500</v>
      </c>
      <c r="J18" s="160">
        <f>H18-I18</f>
        <v>300</v>
      </c>
      <c r="K18" s="97"/>
      <c r="L18" s="97"/>
    </row>
    <row r="19" spans="1:12" ht="15.75" x14ac:dyDescent="0.25">
      <c r="A19" s="109" t="s">
        <v>247</v>
      </c>
      <c r="B19" s="94" t="s">
        <v>50</v>
      </c>
      <c r="C19" s="100"/>
      <c r="D19" s="96">
        <f>APRIL21!J19:J84</f>
        <v>550</v>
      </c>
      <c r="E19" s="101">
        <v>6500</v>
      </c>
      <c r="F19" s="102">
        <v>300</v>
      </c>
      <c r="G19" s="101">
        <v>150</v>
      </c>
      <c r="H19" s="97">
        <f t="shared" si="1"/>
        <v>7500</v>
      </c>
      <c r="I19" s="97">
        <f>6000</f>
        <v>6000</v>
      </c>
      <c r="J19" s="97">
        <f t="shared" si="0"/>
        <v>1500</v>
      </c>
      <c r="K19" s="97"/>
      <c r="L19" s="97"/>
    </row>
    <row r="20" spans="1:12" ht="15.75" x14ac:dyDescent="0.25">
      <c r="A20" s="99" t="s">
        <v>260</v>
      </c>
      <c r="B20" s="94" t="s">
        <v>51</v>
      </c>
      <c r="C20" s="100"/>
      <c r="D20" s="96">
        <f>APRIL21!J20:J85</f>
        <v>900</v>
      </c>
      <c r="E20" s="101">
        <v>6500</v>
      </c>
      <c r="F20" s="102"/>
      <c r="G20" s="101">
        <v>150</v>
      </c>
      <c r="H20" s="97">
        <f t="shared" si="1"/>
        <v>7550</v>
      </c>
      <c r="I20" s="97">
        <f>6800</f>
        <v>6800</v>
      </c>
      <c r="J20" s="97">
        <f t="shared" si="0"/>
        <v>750</v>
      </c>
      <c r="K20" s="97"/>
      <c r="L20" s="97"/>
    </row>
    <row r="21" spans="1:12" ht="15.75" x14ac:dyDescent="0.25">
      <c r="A21" s="114" t="s">
        <v>17</v>
      </c>
      <c r="B21" s="154" t="s">
        <v>52</v>
      </c>
      <c r="C21" s="100"/>
      <c r="D21" s="96">
        <f>APRIL21!J21:J86</f>
        <v>0</v>
      </c>
      <c r="E21" s="101"/>
      <c r="F21" s="102"/>
      <c r="G21" s="101"/>
      <c r="H21" s="97">
        <f t="shared" si="1"/>
        <v>0</v>
      </c>
      <c r="I21" s="97"/>
      <c r="J21" s="97">
        <f t="shared" si="0"/>
        <v>0</v>
      </c>
      <c r="K21" s="97"/>
      <c r="L21" s="97"/>
    </row>
    <row r="22" spans="1:12" ht="15.75" x14ac:dyDescent="0.25">
      <c r="A22" s="114" t="s">
        <v>17</v>
      </c>
      <c r="B22" s="94" t="s">
        <v>53</v>
      </c>
      <c r="C22" s="100"/>
      <c r="D22" s="96"/>
      <c r="E22" s="101"/>
      <c r="F22" s="102"/>
      <c r="G22" s="101"/>
      <c r="H22" s="97">
        <f t="shared" si="1"/>
        <v>0</v>
      </c>
      <c r="I22" s="97"/>
      <c r="J22" s="97">
        <f t="shared" si="0"/>
        <v>0</v>
      </c>
      <c r="K22" s="97"/>
      <c r="L22" s="97"/>
    </row>
    <row r="23" spans="1:12" ht="15.75" x14ac:dyDescent="0.25">
      <c r="A23" s="99" t="s">
        <v>269</v>
      </c>
      <c r="B23" s="94" t="s">
        <v>54</v>
      </c>
      <c r="C23" s="100"/>
      <c r="D23" s="96">
        <f>APRIL21!J23:J88</f>
        <v>900</v>
      </c>
      <c r="E23" s="101">
        <v>6500</v>
      </c>
      <c r="F23" s="102"/>
      <c r="G23" s="101">
        <v>150</v>
      </c>
      <c r="H23" s="97">
        <f t="shared" si="1"/>
        <v>7550</v>
      </c>
      <c r="I23" s="97"/>
      <c r="J23" s="97">
        <f t="shared" si="0"/>
        <v>7550</v>
      </c>
      <c r="K23" s="97"/>
      <c r="L23" s="97"/>
    </row>
    <row r="24" spans="1:12" ht="15.75" x14ac:dyDescent="0.25">
      <c r="A24" s="109" t="s">
        <v>190</v>
      </c>
      <c r="B24" s="94" t="s">
        <v>55</v>
      </c>
      <c r="C24" s="100"/>
      <c r="D24" s="96">
        <f>APRIL21!J24:J89</f>
        <v>1000</v>
      </c>
      <c r="E24" s="101">
        <v>7000</v>
      </c>
      <c r="F24" s="102">
        <v>300</v>
      </c>
      <c r="G24" s="101">
        <v>150</v>
      </c>
      <c r="H24" s="97">
        <f t="shared" si="1"/>
        <v>8450</v>
      </c>
      <c r="I24" s="97">
        <f>500+500+500+2000+500</f>
        <v>4000</v>
      </c>
      <c r="J24" s="97">
        <f t="shared" si="0"/>
        <v>4450</v>
      </c>
      <c r="K24" s="97"/>
      <c r="L24" s="97"/>
    </row>
    <row r="25" spans="1:12" ht="15.75" x14ac:dyDescent="0.25">
      <c r="A25" s="109" t="s">
        <v>155</v>
      </c>
      <c r="B25" s="94" t="s">
        <v>56</v>
      </c>
      <c r="C25" s="100"/>
      <c r="D25" s="96">
        <f>APRIL21!J25:J90</f>
        <v>0</v>
      </c>
      <c r="E25" s="101">
        <v>5500</v>
      </c>
      <c r="F25" s="102">
        <v>450</v>
      </c>
      <c r="G25" s="101">
        <v>150</v>
      </c>
      <c r="H25" s="97">
        <f t="shared" si="1"/>
        <v>6100</v>
      </c>
      <c r="I25" s="97">
        <f>5650</f>
        <v>5650</v>
      </c>
      <c r="J25" s="97">
        <f t="shared" si="0"/>
        <v>450</v>
      </c>
      <c r="K25" s="97"/>
      <c r="L25" s="97"/>
    </row>
    <row r="26" spans="1:12" ht="15.75" x14ac:dyDescent="0.25">
      <c r="A26" s="109" t="s">
        <v>130</v>
      </c>
      <c r="B26" s="94" t="s">
        <v>57</v>
      </c>
      <c r="C26" s="100"/>
      <c r="D26" s="96">
        <f>APRIL21!J26:J106</f>
        <v>0</v>
      </c>
      <c r="E26" s="101">
        <v>7000</v>
      </c>
      <c r="F26" s="102"/>
      <c r="G26" s="101">
        <v>150</v>
      </c>
      <c r="H26" s="97">
        <f t="shared" si="1"/>
        <v>7150</v>
      </c>
      <c r="I26" s="97">
        <f>7150</f>
        <v>7150</v>
      </c>
      <c r="J26" s="97">
        <f t="shared" si="0"/>
        <v>0</v>
      </c>
      <c r="K26" s="97"/>
      <c r="L26" s="97"/>
    </row>
    <row r="27" spans="1:12" ht="15.75" x14ac:dyDescent="0.25">
      <c r="A27" s="109" t="s">
        <v>132</v>
      </c>
      <c r="B27" s="94" t="s">
        <v>58</v>
      </c>
      <c r="C27" s="100"/>
      <c r="D27" s="96">
        <f>APRIL21!J27:J107</f>
        <v>0</v>
      </c>
      <c r="E27" s="101">
        <v>6500</v>
      </c>
      <c r="F27" s="102"/>
      <c r="G27" s="101">
        <v>150</v>
      </c>
      <c r="H27" s="97">
        <f t="shared" si="1"/>
        <v>6650</v>
      </c>
      <c r="I27" s="97">
        <f>6400</f>
        <v>6400</v>
      </c>
      <c r="J27" s="97">
        <f t="shared" si="0"/>
        <v>250</v>
      </c>
      <c r="K27" s="97"/>
      <c r="L27" s="97"/>
    </row>
    <row r="28" spans="1:12" ht="15.75" x14ac:dyDescent="0.25">
      <c r="A28" s="109" t="s">
        <v>235</v>
      </c>
      <c r="B28" s="94" t="s">
        <v>59</v>
      </c>
      <c r="C28" s="100"/>
      <c r="D28" s="96">
        <f>APRIL21!J28:J108</f>
        <v>0</v>
      </c>
      <c r="E28" s="101">
        <v>6500</v>
      </c>
      <c r="F28" s="102"/>
      <c r="G28" s="101">
        <v>150</v>
      </c>
      <c r="H28" s="97">
        <f t="shared" si="1"/>
        <v>6650</v>
      </c>
      <c r="I28" s="97">
        <f>6650</f>
        <v>6650</v>
      </c>
      <c r="J28" s="97">
        <f t="shared" si="0"/>
        <v>0</v>
      </c>
      <c r="K28" s="97"/>
      <c r="L28" s="97"/>
    </row>
    <row r="29" spans="1:12" ht="15.75" x14ac:dyDescent="0.25">
      <c r="A29" s="109" t="s">
        <v>309</v>
      </c>
      <c r="B29" s="94" t="s">
        <v>60</v>
      </c>
      <c r="C29" s="100"/>
      <c r="D29" s="96">
        <f>APRIL21!J29:J109</f>
        <v>0</v>
      </c>
      <c r="E29" s="101">
        <v>6500</v>
      </c>
      <c r="F29" s="102">
        <v>150</v>
      </c>
      <c r="G29" s="101"/>
      <c r="H29" s="97">
        <f t="shared" si="1"/>
        <v>6650</v>
      </c>
      <c r="I29" s="97">
        <f>6500</f>
        <v>6500</v>
      </c>
      <c r="J29" s="97">
        <f t="shared" si="0"/>
        <v>150</v>
      </c>
      <c r="K29" s="97"/>
      <c r="L29" s="97"/>
    </row>
    <row r="30" spans="1:12" ht="15.75" x14ac:dyDescent="0.25">
      <c r="A30" s="109" t="s">
        <v>241</v>
      </c>
      <c r="B30" s="94" t="s">
        <v>61</v>
      </c>
      <c r="C30" s="100"/>
      <c r="D30" s="96">
        <f>APRIL21!J30:J110</f>
        <v>0</v>
      </c>
      <c r="E30" s="101">
        <v>6500</v>
      </c>
      <c r="F30" s="102">
        <v>150</v>
      </c>
      <c r="G30" s="101">
        <v>150</v>
      </c>
      <c r="H30" s="97">
        <f t="shared" si="1"/>
        <v>6800</v>
      </c>
      <c r="I30" s="97">
        <f>6800</f>
        <v>6800</v>
      </c>
      <c r="J30" s="97">
        <f t="shared" si="0"/>
        <v>0</v>
      </c>
      <c r="K30" s="97"/>
      <c r="L30" s="97"/>
    </row>
    <row r="31" spans="1:12" ht="15.75" x14ac:dyDescent="0.25">
      <c r="A31" s="109" t="s">
        <v>106</v>
      </c>
      <c r="B31" s="94" t="s">
        <v>62</v>
      </c>
      <c r="C31" s="95"/>
      <c r="D31" s="96">
        <f>APRIL21!J31:J111</f>
        <v>450</v>
      </c>
      <c r="E31" s="101">
        <v>6500</v>
      </c>
      <c r="F31" s="102">
        <v>450</v>
      </c>
      <c r="G31" s="101">
        <v>150</v>
      </c>
      <c r="H31" s="97">
        <f t="shared" si="1"/>
        <v>7550</v>
      </c>
      <c r="I31" s="97">
        <f>7100+450</f>
        <v>7550</v>
      </c>
      <c r="J31" s="97">
        <f t="shared" si="0"/>
        <v>0</v>
      </c>
      <c r="K31" s="97"/>
      <c r="L31" s="97"/>
    </row>
    <row r="32" spans="1:12" ht="15.75" x14ac:dyDescent="0.25">
      <c r="A32" s="109" t="s">
        <v>181</v>
      </c>
      <c r="B32" s="94" t="s">
        <v>63</v>
      </c>
      <c r="C32" s="100"/>
      <c r="D32" s="96">
        <f>APRIL21!J32:J112</f>
        <v>4450</v>
      </c>
      <c r="E32" s="101">
        <v>6500</v>
      </c>
      <c r="F32" s="102"/>
      <c r="G32" s="101"/>
      <c r="H32" s="97">
        <f t="shared" si="1"/>
        <v>10950</v>
      </c>
      <c r="I32" s="97">
        <f>6000</f>
        <v>6000</v>
      </c>
      <c r="J32" s="97">
        <f t="shared" si="0"/>
        <v>4950</v>
      </c>
      <c r="K32" s="97"/>
      <c r="L32" s="97"/>
    </row>
    <row r="33" spans="1:13" ht="15.75" x14ac:dyDescent="0.25">
      <c r="A33" s="109" t="s">
        <v>171</v>
      </c>
      <c r="B33" s="94" t="s">
        <v>64</v>
      </c>
      <c r="C33" s="100"/>
      <c r="D33" s="96">
        <f>APRIL21!J33:J113</f>
        <v>0</v>
      </c>
      <c r="E33" s="101">
        <v>6500</v>
      </c>
      <c r="F33" s="102"/>
      <c r="G33" s="101">
        <v>150</v>
      </c>
      <c r="H33" s="97">
        <f t="shared" si="1"/>
        <v>6650</v>
      </c>
      <c r="I33" s="97">
        <f>2000+4650</f>
        <v>6650</v>
      </c>
      <c r="J33" s="97">
        <f t="shared" si="0"/>
        <v>0</v>
      </c>
      <c r="K33" s="97"/>
      <c r="L33" s="97"/>
    </row>
    <row r="34" spans="1:13" ht="15.75" x14ac:dyDescent="0.25">
      <c r="A34" s="109" t="s">
        <v>288</v>
      </c>
      <c r="B34" s="94" t="s">
        <v>65</v>
      </c>
      <c r="C34" s="100"/>
      <c r="D34" s="96">
        <f>APRIL21!J34:J114</f>
        <v>0</v>
      </c>
      <c r="E34" s="102">
        <v>6500</v>
      </c>
      <c r="F34" s="102">
        <v>300</v>
      </c>
      <c r="G34" s="101">
        <v>150</v>
      </c>
      <c r="H34" s="97">
        <f t="shared" si="1"/>
        <v>6950</v>
      </c>
      <c r="I34" s="97">
        <f>6950</f>
        <v>6950</v>
      </c>
      <c r="J34" s="97">
        <f t="shared" si="0"/>
        <v>0</v>
      </c>
      <c r="K34" s="97"/>
      <c r="L34" s="97"/>
    </row>
    <row r="35" spans="1:13" ht="15.75" x14ac:dyDescent="0.25">
      <c r="A35" s="114" t="s">
        <v>356</v>
      </c>
      <c r="B35" s="154" t="s">
        <v>66</v>
      </c>
      <c r="C35" s="95">
        <v>6500</v>
      </c>
      <c r="D35" s="96"/>
      <c r="E35" s="102">
        <v>6500</v>
      </c>
      <c r="F35" s="102">
        <v>150</v>
      </c>
      <c r="G35" s="101"/>
      <c r="H35" s="160">
        <f t="shared" si="1"/>
        <v>13150</v>
      </c>
      <c r="I35" s="97">
        <f>10000+3150</f>
        <v>13150</v>
      </c>
      <c r="J35" s="160">
        <f t="shared" si="0"/>
        <v>0</v>
      </c>
      <c r="K35" s="160"/>
      <c r="L35" s="160">
        <f>1000</f>
        <v>1000</v>
      </c>
      <c r="M35" s="78"/>
    </row>
    <row r="36" spans="1:13" ht="15.75" x14ac:dyDescent="0.25">
      <c r="A36" s="109" t="s">
        <v>308</v>
      </c>
      <c r="B36" s="94" t="s">
        <v>67</v>
      </c>
      <c r="C36" s="100"/>
      <c r="D36" s="96">
        <f>APRIL21!J36:J116</f>
        <v>0</v>
      </c>
      <c r="E36" s="102">
        <v>6500</v>
      </c>
      <c r="F36" s="102"/>
      <c r="G36" s="101">
        <v>150</v>
      </c>
      <c r="H36" s="97">
        <f t="shared" si="1"/>
        <v>6650</v>
      </c>
      <c r="I36" s="97"/>
      <c r="J36" s="97">
        <f t="shared" si="0"/>
        <v>6650</v>
      </c>
      <c r="K36" s="97"/>
      <c r="L36" s="97"/>
    </row>
    <row r="37" spans="1:13" ht="15.75" x14ac:dyDescent="0.25">
      <c r="A37" s="109" t="s">
        <v>126</v>
      </c>
      <c r="B37" s="94" t="s">
        <v>68</v>
      </c>
      <c r="C37" s="100"/>
      <c r="D37" s="96">
        <f>APRIL21!J37:J117</f>
        <v>1050</v>
      </c>
      <c r="E37" s="102">
        <v>7000</v>
      </c>
      <c r="F37" s="102"/>
      <c r="G37" s="101"/>
      <c r="H37" s="97">
        <f t="shared" si="1"/>
        <v>8050</v>
      </c>
      <c r="I37" s="97">
        <f>7100</f>
        <v>7100</v>
      </c>
      <c r="J37" s="97">
        <f t="shared" si="0"/>
        <v>950</v>
      </c>
      <c r="L37" s="97"/>
    </row>
    <row r="38" spans="1:13" ht="15.75" x14ac:dyDescent="0.25">
      <c r="A38" s="109" t="s">
        <v>280</v>
      </c>
      <c r="B38" s="94" t="s">
        <v>69</v>
      </c>
      <c r="C38" s="100"/>
      <c r="D38" s="96">
        <f>APRIL21!J38:J118</f>
        <v>300</v>
      </c>
      <c r="E38" s="102">
        <v>5500</v>
      </c>
      <c r="F38" s="102"/>
      <c r="G38" s="101">
        <v>150</v>
      </c>
      <c r="H38" s="97">
        <f t="shared" si="1"/>
        <v>5950</v>
      </c>
      <c r="I38" s="97">
        <f>5800</f>
        <v>5800</v>
      </c>
      <c r="J38" s="97">
        <f t="shared" si="0"/>
        <v>150</v>
      </c>
      <c r="K38" s="97"/>
      <c r="L38" s="97"/>
    </row>
    <row r="39" spans="1:13" ht="15.75" x14ac:dyDescent="0.25">
      <c r="A39" s="109" t="s">
        <v>125</v>
      </c>
      <c r="B39" s="94" t="s">
        <v>70</v>
      </c>
      <c r="C39" s="100"/>
      <c r="D39" s="96">
        <f>APRIL21!J39:J119</f>
        <v>600</v>
      </c>
      <c r="E39" s="102">
        <v>7000</v>
      </c>
      <c r="F39" s="102"/>
      <c r="G39" s="101">
        <v>150</v>
      </c>
      <c r="H39" s="97">
        <f t="shared" si="1"/>
        <v>7750</v>
      </c>
      <c r="I39" s="97">
        <f>7000+300</f>
        <v>7300</v>
      </c>
      <c r="J39" s="97">
        <f t="shared" si="0"/>
        <v>450</v>
      </c>
      <c r="K39" s="97"/>
      <c r="L39" s="97"/>
    </row>
    <row r="40" spans="1:13" ht="15.75" x14ac:dyDescent="0.25">
      <c r="A40" s="115" t="s">
        <v>351</v>
      </c>
      <c r="B40" s="167" t="s">
        <v>71</v>
      </c>
      <c r="C40" s="168">
        <v>6500</v>
      </c>
      <c r="D40" s="96"/>
      <c r="E40" s="102">
        <v>6500</v>
      </c>
      <c r="F40" s="102"/>
      <c r="G40" s="101">
        <v>150</v>
      </c>
      <c r="H40" s="97">
        <f t="shared" si="1"/>
        <v>13150</v>
      </c>
      <c r="I40" s="97">
        <f>7000+6150</f>
        <v>13150</v>
      </c>
      <c r="J40" s="97">
        <f t="shared" si="0"/>
        <v>0</v>
      </c>
      <c r="K40" s="160"/>
      <c r="L40" s="160"/>
      <c r="M40" s="165"/>
    </row>
    <row r="41" spans="1:13" ht="15.75" x14ac:dyDescent="0.25">
      <c r="A41" s="109" t="s">
        <v>127</v>
      </c>
      <c r="B41" s="94" t="s">
        <v>72</v>
      </c>
      <c r="C41" s="100"/>
      <c r="D41" s="96">
        <f>APRIL21!J41:J121</f>
        <v>650</v>
      </c>
      <c r="E41" s="102">
        <v>6500</v>
      </c>
      <c r="F41" s="102"/>
      <c r="G41" s="101">
        <v>150</v>
      </c>
      <c r="H41" s="97">
        <f t="shared" si="1"/>
        <v>7300</v>
      </c>
      <c r="I41" s="97">
        <f>6650</f>
        <v>6650</v>
      </c>
      <c r="J41" s="97">
        <f>H41-I41</f>
        <v>650</v>
      </c>
      <c r="K41" s="97"/>
      <c r="L41" s="97"/>
    </row>
    <row r="42" spans="1:13" ht="15.75" x14ac:dyDescent="0.25">
      <c r="A42" s="109" t="s">
        <v>124</v>
      </c>
      <c r="B42" s="94" t="s">
        <v>73</v>
      </c>
      <c r="C42" s="100"/>
      <c r="D42" s="96">
        <f>APRIL21!J42:J122</f>
        <v>0</v>
      </c>
      <c r="E42" s="102">
        <v>6500</v>
      </c>
      <c r="F42" s="102">
        <v>150</v>
      </c>
      <c r="G42" s="101">
        <v>150</v>
      </c>
      <c r="H42" s="97">
        <f t="shared" si="1"/>
        <v>6800</v>
      </c>
      <c r="I42" s="97">
        <f>6800</f>
        <v>6800</v>
      </c>
      <c r="J42" s="97">
        <f t="shared" si="0"/>
        <v>0</v>
      </c>
      <c r="K42" s="97"/>
      <c r="L42" s="97"/>
    </row>
    <row r="43" spans="1:13" ht="15.75" x14ac:dyDescent="0.25">
      <c r="A43" s="109" t="s">
        <v>353</v>
      </c>
      <c r="B43" s="94" t="s">
        <v>74</v>
      </c>
      <c r="C43" s="100">
        <v>6500</v>
      </c>
      <c r="D43" s="96">
        <f>APRIL21!J43:J123</f>
        <v>0</v>
      </c>
      <c r="E43" s="102">
        <v>6500</v>
      </c>
      <c r="F43" s="102">
        <v>150</v>
      </c>
      <c r="G43" s="101"/>
      <c r="H43" s="97">
        <f>D43+E43+F43+G43+C43</f>
        <v>13150</v>
      </c>
      <c r="I43" s="97">
        <v>13000</v>
      </c>
      <c r="J43" s="97">
        <f t="shared" si="0"/>
        <v>150</v>
      </c>
      <c r="K43" s="97"/>
      <c r="L43" s="97">
        <v>1000</v>
      </c>
      <c r="M43" s="165"/>
    </row>
    <row r="44" spans="1:13" ht="15.75" x14ac:dyDescent="0.25">
      <c r="A44" s="109" t="s">
        <v>270</v>
      </c>
      <c r="B44" s="94" t="s">
        <v>75</v>
      </c>
      <c r="C44" s="100"/>
      <c r="D44" s="96">
        <v>150</v>
      </c>
      <c r="E44" s="102">
        <v>6500</v>
      </c>
      <c r="F44" s="102"/>
      <c r="G44" s="101"/>
      <c r="H44" s="97">
        <f t="shared" si="1"/>
        <v>6650</v>
      </c>
      <c r="I44" s="97">
        <f>6650</f>
        <v>6650</v>
      </c>
      <c r="J44" s="97">
        <f t="shared" si="0"/>
        <v>0</v>
      </c>
      <c r="K44" s="97"/>
      <c r="L44" s="97"/>
    </row>
    <row r="45" spans="1:13" ht="15.75" x14ac:dyDescent="0.25">
      <c r="A45" s="109" t="s">
        <v>362</v>
      </c>
      <c r="B45" s="94" t="s">
        <v>76</v>
      </c>
      <c r="C45" s="100"/>
      <c r="D45" s="96">
        <f>APRIL21!J45:J125</f>
        <v>0</v>
      </c>
      <c r="E45" s="102">
        <v>6500</v>
      </c>
      <c r="F45" s="108"/>
      <c r="G45" s="101">
        <v>150</v>
      </c>
      <c r="H45" s="97">
        <f>D45+E45+F45+G45+C45</f>
        <v>6650</v>
      </c>
      <c r="I45" s="97">
        <f>6500+150</f>
        <v>6650</v>
      </c>
      <c r="J45" s="97">
        <f t="shared" si="0"/>
        <v>0</v>
      </c>
      <c r="K45" s="97"/>
      <c r="L45" s="97"/>
    </row>
    <row r="46" spans="1:13" ht="15.75" x14ac:dyDescent="0.25">
      <c r="A46" s="126" t="s">
        <v>295</v>
      </c>
      <c r="B46" s="164" t="s">
        <v>77</v>
      </c>
      <c r="C46" s="166"/>
      <c r="D46" s="162">
        <f>APRIL21!J46:J126</f>
        <v>6650</v>
      </c>
      <c r="E46" s="102"/>
      <c r="F46" s="102"/>
      <c r="G46" s="101"/>
      <c r="H46" s="97">
        <f>D46+E46+G46+C46</f>
        <v>6650</v>
      </c>
      <c r="I46" s="97">
        <v>6500</v>
      </c>
      <c r="J46" s="97">
        <f t="shared" si="0"/>
        <v>150</v>
      </c>
      <c r="K46" s="97"/>
      <c r="L46" s="97"/>
    </row>
    <row r="47" spans="1:13" ht="15.75" x14ac:dyDescent="0.25">
      <c r="A47" s="114" t="s">
        <v>17</v>
      </c>
      <c r="B47" s="94" t="s">
        <v>78</v>
      </c>
      <c r="C47" s="100"/>
      <c r="D47" s="96">
        <f>APRIL21!J47:J127</f>
        <v>0</v>
      </c>
      <c r="E47" s="102"/>
      <c r="F47" s="102"/>
      <c r="G47" s="101"/>
      <c r="H47" s="97">
        <f t="shared" si="1"/>
        <v>0</v>
      </c>
      <c r="I47" s="97"/>
      <c r="J47" s="97">
        <f t="shared" si="0"/>
        <v>0</v>
      </c>
      <c r="K47" s="97"/>
      <c r="L47" s="97"/>
    </row>
    <row r="48" spans="1:13" ht="15.75" x14ac:dyDescent="0.25">
      <c r="A48" s="109" t="s">
        <v>355</v>
      </c>
      <c r="B48" s="94" t="s">
        <v>79</v>
      </c>
      <c r="C48" s="100">
        <v>6500</v>
      </c>
      <c r="D48" s="96"/>
      <c r="E48" s="102">
        <v>6500</v>
      </c>
      <c r="F48" s="102"/>
      <c r="G48" s="101">
        <v>150</v>
      </c>
      <c r="H48" s="160">
        <f t="shared" si="1"/>
        <v>13150</v>
      </c>
      <c r="I48" s="97">
        <f>10000</f>
        <v>10000</v>
      </c>
      <c r="J48" s="160">
        <f t="shared" si="0"/>
        <v>3150</v>
      </c>
      <c r="K48" s="97"/>
      <c r="L48" s="97"/>
      <c r="M48" s="78"/>
    </row>
    <row r="49" spans="1:12" ht="15.75" x14ac:dyDescent="0.25">
      <c r="A49" s="114" t="s">
        <v>17</v>
      </c>
      <c r="B49" s="94" t="s">
        <v>80</v>
      </c>
      <c r="C49" s="100"/>
      <c r="D49" s="96">
        <f>APRIL21!J49:J129</f>
        <v>0</v>
      </c>
      <c r="E49" s="102"/>
      <c r="F49" s="102"/>
      <c r="G49" s="101"/>
      <c r="H49" s="97">
        <f t="shared" si="1"/>
        <v>0</v>
      </c>
      <c r="I49" s="97"/>
      <c r="J49" s="97">
        <f t="shared" si="0"/>
        <v>0</v>
      </c>
      <c r="K49" s="97"/>
      <c r="L49" s="97"/>
    </row>
    <row r="50" spans="1:12" ht="15.75" x14ac:dyDescent="0.25">
      <c r="A50" s="109" t="s">
        <v>135</v>
      </c>
      <c r="B50" s="94" t="s">
        <v>81</v>
      </c>
      <c r="C50" s="100"/>
      <c r="D50" s="96">
        <f>APRIL21!J50:J130</f>
        <v>750</v>
      </c>
      <c r="E50" s="102">
        <v>7000</v>
      </c>
      <c r="F50" s="102">
        <v>150</v>
      </c>
      <c r="G50" s="101">
        <v>150</v>
      </c>
      <c r="H50" s="97">
        <f t="shared" si="1"/>
        <v>8050</v>
      </c>
      <c r="I50" s="97">
        <f>7000</f>
        <v>7000</v>
      </c>
      <c r="J50" s="97">
        <f t="shared" si="0"/>
        <v>1050</v>
      </c>
      <c r="K50" s="97"/>
      <c r="L50" s="97"/>
    </row>
    <row r="51" spans="1:12" ht="15.75" x14ac:dyDescent="0.25">
      <c r="A51" s="109" t="s">
        <v>138</v>
      </c>
      <c r="B51" s="94" t="s">
        <v>82</v>
      </c>
      <c r="C51" s="100"/>
      <c r="D51" s="96">
        <f>APRIL21!J51:J131</f>
        <v>300</v>
      </c>
      <c r="E51" s="102">
        <v>5500</v>
      </c>
      <c r="F51" s="102"/>
      <c r="G51" s="101">
        <v>150</v>
      </c>
      <c r="H51" s="97">
        <f t="shared" si="1"/>
        <v>5950</v>
      </c>
      <c r="I51" s="97">
        <f>5650</f>
        <v>5650</v>
      </c>
      <c r="J51" s="97">
        <f t="shared" si="0"/>
        <v>300</v>
      </c>
      <c r="K51" s="97"/>
      <c r="L51" s="97"/>
    </row>
    <row r="52" spans="1:12" ht="15.75" x14ac:dyDescent="0.25">
      <c r="A52" s="109" t="s">
        <v>109</v>
      </c>
      <c r="B52" s="94" t="s">
        <v>83</v>
      </c>
      <c r="C52" s="100"/>
      <c r="D52" s="96">
        <f>APRIL21!J52:J132</f>
        <v>800</v>
      </c>
      <c r="E52" s="102">
        <v>7000</v>
      </c>
      <c r="F52" s="102">
        <v>150</v>
      </c>
      <c r="G52" s="101">
        <v>150</v>
      </c>
      <c r="H52" s="97">
        <f t="shared" si="1"/>
        <v>8100</v>
      </c>
      <c r="I52" s="97">
        <f>7400</f>
        <v>7400</v>
      </c>
      <c r="J52" s="97">
        <f>H52-I52</f>
        <v>700</v>
      </c>
      <c r="K52" s="97"/>
      <c r="L52" s="97"/>
    </row>
    <row r="53" spans="1:12" ht="15.75" x14ac:dyDescent="0.25">
      <c r="A53" s="109" t="s">
        <v>217</v>
      </c>
      <c r="B53" s="94" t="s">
        <v>84</v>
      </c>
      <c r="C53" s="100"/>
      <c r="D53" s="96">
        <f>APRIL21!J53:J133</f>
        <v>400</v>
      </c>
      <c r="E53" s="102">
        <v>6500</v>
      </c>
      <c r="F53" s="102"/>
      <c r="G53" s="101">
        <v>150</v>
      </c>
      <c r="H53" s="97">
        <f t="shared" si="1"/>
        <v>7050</v>
      </c>
      <c r="I53" s="97">
        <f>6650</f>
        <v>6650</v>
      </c>
      <c r="J53" s="97">
        <f t="shared" si="0"/>
        <v>400</v>
      </c>
      <c r="K53" s="97"/>
      <c r="L53" s="97"/>
    </row>
    <row r="54" spans="1:12" ht="15.75" x14ac:dyDescent="0.25">
      <c r="A54" s="109" t="s">
        <v>212</v>
      </c>
      <c r="B54" s="94" t="s">
        <v>85</v>
      </c>
      <c r="C54" s="100"/>
      <c r="D54" s="96">
        <f>APRIL21!J54:J134</f>
        <v>4500</v>
      </c>
      <c r="E54" s="102">
        <v>6500</v>
      </c>
      <c r="F54" s="102"/>
      <c r="G54" s="101">
        <v>150</v>
      </c>
      <c r="H54" s="97">
        <f t="shared" si="1"/>
        <v>11150</v>
      </c>
      <c r="I54" s="97">
        <f>5000+3000+1500</f>
        <v>9500</v>
      </c>
      <c r="J54" s="97">
        <f t="shared" si="0"/>
        <v>1650</v>
      </c>
      <c r="K54" s="97"/>
      <c r="L54" s="97"/>
    </row>
    <row r="55" spans="1:12" ht="15.75" x14ac:dyDescent="0.25">
      <c r="A55" s="93" t="s">
        <v>289</v>
      </c>
      <c r="B55" s="94" t="s">
        <v>86</v>
      </c>
      <c r="C55" s="100"/>
      <c r="D55" s="96">
        <f>APRIL21!J55:J135</f>
        <v>0</v>
      </c>
      <c r="E55" s="102">
        <v>6500</v>
      </c>
      <c r="F55" s="102"/>
      <c r="G55" s="101">
        <v>150</v>
      </c>
      <c r="H55" s="97">
        <f>D55+E55+F55+G55+C55</f>
        <v>6650</v>
      </c>
      <c r="I55" s="97">
        <f>6650</f>
        <v>6650</v>
      </c>
      <c r="J55" s="97">
        <f>H55-I55</f>
        <v>0</v>
      </c>
      <c r="K55" s="97"/>
      <c r="L55" s="97"/>
    </row>
    <row r="56" spans="1:12" ht="15.75" x14ac:dyDescent="0.25">
      <c r="A56" s="126" t="s">
        <v>243</v>
      </c>
      <c r="B56" s="164" t="s">
        <v>87</v>
      </c>
      <c r="C56" s="100"/>
      <c r="D56" s="96">
        <f>APRIL21!J56:J136</f>
        <v>7400</v>
      </c>
      <c r="E56" s="102">
        <v>6500</v>
      </c>
      <c r="F56" s="102">
        <v>150</v>
      </c>
      <c r="G56" s="101"/>
      <c r="H56" s="163">
        <f>D56+E56+F56+G56+C56</f>
        <v>14050</v>
      </c>
      <c r="I56" s="97">
        <f>6500+7550</f>
        <v>14050</v>
      </c>
      <c r="J56" s="163">
        <f t="shared" si="0"/>
        <v>0</v>
      </c>
      <c r="K56" s="97"/>
      <c r="L56" s="97"/>
    </row>
    <row r="57" spans="1:12" ht="15.75" x14ac:dyDescent="0.25">
      <c r="A57" s="109" t="s">
        <v>151</v>
      </c>
      <c r="B57" s="94" t="s">
        <v>88</v>
      </c>
      <c r="C57" s="100"/>
      <c r="D57" s="96">
        <f>APRIL21!J57:J137</f>
        <v>0</v>
      </c>
      <c r="E57" s="102">
        <v>6500</v>
      </c>
      <c r="F57" s="102"/>
      <c r="G57" s="101">
        <v>150</v>
      </c>
      <c r="H57" s="97">
        <f t="shared" si="1"/>
        <v>6650</v>
      </c>
      <c r="I57" s="97">
        <f>6650</f>
        <v>6650</v>
      </c>
      <c r="J57" s="97">
        <f t="shared" si="0"/>
        <v>0</v>
      </c>
      <c r="K57" s="97"/>
      <c r="L57" s="97"/>
    </row>
    <row r="58" spans="1:12" ht="15.75" x14ac:dyDescent="0.25">
      <c r="A58" s="109" t="s">
        <v>110</v>
      </c>
      <c r="B58" s="94" t="s">
        <v>89</v>
      </c>
      <c r="C58" s="100"/>
      <c r="D58" s="96">
        <f>APRIL21!J58:J138</f>
        <v>2150</v>
      </c>
      <c r="E58" s="102">
        <v>7000</v>
      </c>
      <c r="F58" s="102">
        <v>300</v>
      </c>
      <c r="G58" s="101">
        <v>150</v>
      </c>
      <c r="H58" s="97">
        <f t="shared" si="1"/>
        <v>9600</v>
      </c>
      <c r="I58" s="97">
        <f>1500+2000</f>
        <v>3500</v>
      </c>
      <c r="J58" s="97">
        <f t="shared" si="0"/>
        <v>6100</v>
      </c>
      <c r="K58" s="97"/>
      <c r="L58" s="97"/>
    </row>
    <row r="59" spans="1:12" ht="15.75" x14ac:dyDescent="0.25">
      <c r="A59" s="109" t="s">
        <v>352</v>
      </c>
      <c r="B59" s="94" t="s">
        <v>90</v>
      </c>
      <c r="C59" s="100"/>
      <c r="D59" s="96">
        <f>APRIL21!J59:J139</f>
        <v>6650</v>
      </c>
      <c r="E59" s="102">
        <v>6500</v>
      </c>
      <c r="F59" s="102"/>
      <c r="G59" s="101">
        <v>150</v>
      </c>
      <c r="H59" s="97">
        <f t="shared" si="1"/>
        <v>13300</v>
      </c>
      <c r="I59" s="97">
        <f>5500+7800</f>
        <v>13300</v>
      </c>
      <c r="J59" s="97">
        <f>H59-I59</f>
        <v>0</v>
      </c>
      <c r="K59" s="97"/>
      <c r="L59" s="97"/>
    </row>
    <row r="60" spans="1:12" ht="15.75" x14ac:dyDescent="0.25">
      <c r="A60" s="114" t="s">
        <v>17</v>
      </c>
      <c r="B60" s="94" t="s">
        <v>91</v>
      </c>
      <c r="C60" s="100"/>
      <c r="D60" s="96">
        <f>APRIL21!J60:J140</f>
        <v>0</v>
      </c>
      <c r="E60" s="102"/>
      <c r="F60" s="102"/>
      <c r="G60" s="101"/>
      <c r="H60" s="97">
        <f t="shared" si="1"/>
        <v>0</v>
      </c>
      <c r="I60" s="97"/>
      <c r="J60" s="97">
        <f>H60-I60</f>
        <v>0</v>
      </c>
      <c r="K60" s="97"/>
      <c r="L60" s="97"/>
    </row>
    <row r="61" spans="1:12" ht="15.75" x14ac:dyDescent="0.25">
      <c r="A61" s="114" t="s">
        <v>17</v>
      </c>
      <c r="B61" s="94" t="s">
        <v>92</v>
      </c>
      <c r="C61" s="100"/>
      <c r="D61" s="96">
        <f>APRIL21!J61:J141</f>
        <v>0</v>
      </c>
      <c r="E61" s="102"/>
      <c r="F61" s="102"/>
      <c r="G61" s="101"/>
      <c r="H61" s="97">
        <f t="shared" si="1"/>
        <v>0</v>
      </c>
      <c r="I61" s="97"/>
      <c r="J61" s="97">
        <f t="shared" si="0"/>
        <v>0</v>
      </c>
      <c r="K61" s="97"/>
      <c r="L61" s="97"/>
    </row>
    <row r="62" spans="1:12" ht="15.75" x14ac:dyDescent="0.25">
      <c r="A62" s="93" t="s">
        <v>331</v>
      </c>
      <c r="B62" s="94" t="s">
        <v>93</v>
      </c>
      <c r="C62" s="100"/>
      <c r="D62" s="96">
        <f>APRIL21!J62:J142</f>
        <v>0</v>
      </c>
      <c r="E62" s="102">
        <v>6500</v>
      </c>
      <c r="F62" s="102">
        <v>300</v>
      </c>
      <c r="G62" s="101"/>
      <c r="H62" s="97">
        <f t="shared" si="1"/>
        <v>6800</v>
      </c>
      <c r="I62" s="97">
        <f>6500</f>
        <v>6500</v>
      </c>
      <c r="J62" s="97">
        <f t="shared" si="0"/>
        <v>300</v>
      </c>
      <c r="K62" s="97"/>
      <c r="L62" s="97"/>
    </row>
    <row r="63" spans="1:12" ht="15.75" x14ac:dyDescent="0.25">
      <c r="A63" s="114" t="s">
        <v>17</v>
      </c>
      <c r="B63" s="94" t="s">
        <v>94</v>
      </c>
      <c r="C63" s="100"/>
      <c r="D63" s="96">
        <f>APRIL21!J63:J143</f>
        <v>0</v>
      </c>
      <c r="E63" s="102"/>
      <c r="F63" s="102"/>
      <c r="G63" s="101"/>
      <c r="H63" s="97">
        <f t="shared" si="1"/>
        <v>0</v>
      </c>
      <c r="I63" s="97"/>
      <c r="J63" s="97">
        <f t="shared" si="0"/>
        <v>0</v>
      </c>
      <c r="K63" s="97"/>
      <c r="L63" s="97"/>
    </row>
    <row r="64" spans="1:12" ht="15.75" x14ac:dyDescent="0.25">
      <c r="A64" s="109" t="s">
        <v>188</v>
      </c>
      <c r="B64" s="94" t="s">
        <v>95</v>
      </c>
      <c r="C64" s="100"/>
      <c r="D64" s="96">
        <f>APRIL21!J64:J144</f>
        <v>300</v>
      </c>
      <c r="E64" s="102">
        <v>5500</v>
      </c>
      <c r="F64" s="102"/>
      <c r="G64" s="101">
        <v>150</v>
      </c>
      <c r="H64" s="97">
        <f t="shared" si="1"/>
        <v>5950</v>
      </c>
      <c r="I64" s="97">
        <f>5950</f>
        <v>5950</v>
      </c>
      <c r="J64" s="97">
        <f t="shared" si="0"/>
        <v>0</v>
      </c>
      <c r="K64" s="97"/>
      <c r="L64" s="97"/>
    </row>
    <row r="65" spans="1:18" ht="15.75" x14ac:dyDescent="0.25">
      <c r="A65" s="109" t="s">
        <v>113</v>
      </c>
      <c r="B65" s="94" t="s">
        <v>96</v>
      </c>
      <c r="C65" s="100"/>
      <c r="D65" s="96">
        <f>APRIL21!J65:J145</f>
        <v>0</v>
      </c>
      <c r="E65" s="102">
        <v>7000</v>
      </c>
      <c r="F65" s="102"/>
      <c r="G65" s="101">
        <v>150</v>
      </c>
      <c r="H65" s="97">
        <f t="shared" si="1"/>
        <v>7150</v>
      </c>
      <c r="I65" s="97">
        <v>7150</v>
      </c>
      <c r="J65" s="97">
        <f>H65-I65</f>
        <v>0</v>
      </c>
      <c r="K65" s="97"/>
      <c r="L65" s="97"/>
    </row>
    <row r="66" spans="1:18" ht="15.75" x14ac:dyDescent="0.25">
      <c r="A66" s="114" t="s">
        <v>17</v>
      </c>
      <c r="B66" s="94" t="s">
        <v>97</v>
      </c>
      <c r="C66" s="100"/>
      <c r="D66" s="96">
        <f>APRIL21!J66:J146</f>
        <v>0</v>
      </c>
      <c r="E66" s="102"/>
      <c r="F66" s="102"/>
      <c r="G66" s="101"/>
      <c r="H66" s="97">
        <f t="shared" si="1"/>
        <v>0</v>
      </c>
      <c r="I66" s="97"/>
      <c r="J66" s="97">
        <f t="shared" si="0"/>
        <v>0</v>
      </c>
      <c r="K66" s="97"/>
      <c r="L66" s="97"/>
    </row>
    <row r="67" spans="1:18" ht="15.75" x14ac:dyDescent="0.25">
      <c r="A67" s="109" t="s">
        <v>354</v>
      </c>
      <c r="B67" s="94" t="s">
        <v>98</v>
      </c>
      <c r="C67" s="100"/>
      <c r="D67" s="96">
        <f>APRIL21!J67:J147</f>
        <v>0</v>
      </c>
      <c r="E67" s="102">
        <v>6500</v>
      </c>
      <c r="F67" s="102"/>
      <c r="G67" s="101"/>
      <c r="H67" s="97">
        <f t="shared" si="1"/>
        <v>6500</v>
      </c>
      <c r="I67" s="97">
        <f>6500</f>
        <v>6500</v>
      </c>
      <c r="J67" s="97">
        <f t="shared" si="0"/>
        <v>0</v>
      </c>
      <c r="K67" s="97"/>
      <c r="L67" s="97"/>
    </row>
    <row r="68" spans="1:18" ht="15.75" x14ac:dyDescent="0.25">
      <c r="A68" s="109" t="s">
        <v>115</v>
      </c>
      <c r="B68" s="94" t="s">
        <v>99</v>
      </c>
      <c r="C68" s="100"/>
      <c r="D68" s="96">
        <f>APRIL21!J68:J148</f>
        <v>0</v>
      </c>
      <c r="E68" s="102">
        <v>6500</v>
      </c>
      <c r="F68" s="102"/>
      <c r="G68" s="101">
        <v>150</v>
      </c>
      <c r="H68" s="97">
        <f t="shared" si="1"/>
        <v>6650</v>
      </c>
      <c r="I68" s="97">
        <f>6500</f>
        <v>6500</v>
      </c>
      <c r="J68" s="97">
        <f>H68-I68</f>
        <v>150</v>
      </c>
      <c r="K68" s="97"/>
      <c r="L68" s="97"/>
    </row>
    <row r="69" spans="1:18" ht="15.75" x14ac:dyDescent="0.25">
      <c r="A69" s="93" t="s">
        <v>287</v>
      </c>
      <c r="B69" s="94" t="s">
        <v>100</v>
      </c>
      <c r="C69" s="100"/>
      <c r="D69" s="96">
        <f>APRIL21!J69:J149</f>
        <v>0</v>
      </c>
      <c r="E69" s="102">
        <v>6500</v>
      </c>
      <c r="F69" s="102"/>
      <c r="G69" s="101">
        <v>150</v>
      </c>
      <c r="H69" s="97">
        <f t="shared" si="1"/>
        <v>6650</v>
      </c>
      <c r="I69" s="97">
        <f>6650</f>
        <v>6650</v>
      </c>
      <c r="J69" s="97">
        <f>H69-I69</f>
        <v>0</v>
      </c>
      <c r="K69" s="97"/>
      <c r="L69" s="97"/>
    </row>
    <row r="70" spans="1:18" ht="15.75" x14ac:dyDescent="0.25">
      <c r="A70" s="109" t="s">
        <v>116</v>
      </c>
      <c r="B70" s="94" t="s">
        <v>101</v>
      </c>
      <c r="C70" s="100"/>
      <c r="D70" s="96">
        <f>APRIL21!J70:J150</f>
        <v>100</v>
      </c>
      <c r="E70" s="102">
        <v>7000</v>
      </c>
      <c r="F70" s="102">
        <v>300</v>
      </c>
      <c r="G70" s="101">
        <v>150</v>
      </c>
      <c r="H70" s="97">
        <f t="shared" si="1"/>
        <v>7550</v>
      </c>
      <c r="I70" s="97">
        <f>7250</f>
        <v>7250</v>
      </c>
      <c r="J70" s="97">
        <f>H70-I70</f>
        <v>300</v>
      </c>
      <c r="K70" s="97"/>
      <c r="L70" s="97"/>
    </row>
    <row r="71" spans="1:18" ht="15.75" x14ac:dyDescent="0.25">
      <c r="A71" s="115" t="s">
        <v>28</v>
      </c>
      <c r="B71" s="109"/>
      <c r="C71" s="100">
        <f>SUM(C6:C70)</f>
        <v>26000</v>
      </c>
      <c r="D71" s="96">
        <f>APRIL21!J71:J151</f>
        <v>71200</v>
      </c>
      <c r="E71" s="116">
        <f>SUM(E6:E70)</f>
        <v>338000</v>
      </c>
      <c r="F71" s="147">
        <f t="shared" ref="F71:L71" si="2">SUM(F6:F70)</f>
        <v>4950</v>
      </c>
      <c r="G71" s="148">
        <f>SUM(G6:G70)</f>
        <v>6300</v>
      </c>
      <c r="H71" s="97">
        <f>SUM(H6:H70)</f>
        <v>421100</v>
      </c>
      <c r="I71" s="97">
        <f t="shared" si="2"/>
        <v>364250</v>
      </c>
      <c r="J71" s="97">
        <f>SUM(J6:J70)</f>
        <v>56700</v>
      </c>
      <c r="K71" s="97">
        <f t="shared" si="2"/>
        <v>0</v>
      </c>
      <c r="L71" s="97">
        <f t="shared" si="2"/>
        <v>2000</v>
      </c>
    </row>
    <row r="72" spans="1:18" ht="15.75" x14ac:dyDescent="0.25">
      <c r="A72" s="120" t="s">
        <v>30</v>
      </c>
      <c r="B72" s="120"/>
      <c r="C72" s="120"/>
      <c r="D72" s="121"/>
      <c r="E72" s="122"/>
      <c r="F72" s="120" t="s">
        <v>10</v>
      </c>
      <c r="G72" s="120"/>
      <c r="H72" s="120"/>
      <c r="I72" s="87"/>
      <c r="J72" s="87"/>
      <c r="K72" s="87"/>
      <c r="L72" s="86"/>
    </row>
    <row r="73" spans="1:18" ht="15.75" x14ac:dyDescent="0.25">
      <c r="A73" s="115" t="s">
        <v>31</v>
      </c>
      <c r="B73" s="115" t="s">
        <v>32</v>
      </c>
      <c r="C73" s="115" t="s">
        <v>33</v>
      </c>
      <c r="D73" s="115" t="s">
        <v>34</v>
      </c>
      <c r="E73" s="115"/>
      <c r="F73" s="115" t="s">
        <v>31</v>
      </c>
      <c r="G73" s="115"/>
      <c r="H73" s="115" t="s">
        <v>35</v>
      </c>
      <c r="I73" s="115" t="s">
        <v>33</v>
      </c>
      <c r="J73" s="115" t="s">
        <v>34</v>
      </c>
      <c r="K73" s="115"/>
      <c r="L73" s="123"/>
      <c r="P73" s="144" t="s">
        <v>250</v>
      </c>
      <c r="Q73" s="145"/>
      <c r="R73" s="83"/>
    </row>
    <row r="74" spans="1:18" ht="15.75" x14ac:dyDescent="0.25">
      <c r="A74" s="109" t="s">
        <v>340</v>
      </c>
      <c r="B74" s="124">
        <f>E71</f>
        <v>338000</v>
      </c>
      <c r="C74" s="109"/>
      <c r="D74" s="109"/>
      <c r="E74" s="109"/>
      <c r="F74" s="109" t="s">
        <v>340</v>
      </c>
      <c r="G74" s="109"/>
      <c r="H74" s="125">
        <f>I71</f>
        <v>364250</v>
      </c>
      <c r="I74" s="109"/>
      <c r="J74" s="109"/>
      <c r="K74" s="109"/>
      <c r="L74" s="126"/>
    </row>
    <row r="75" spans="1:18" ht="15.75" x14ac:dyDescent="0.25">
      <c r="A75" s="109" t="s">
        <v>37</v>
      </c>
      <c r="B75" s="124">
        <f>APRIL21!D111</f>
        <v>143011.18999999994</v>
      </c>
      <c r="C75" s="109"/>
      <c r="D75" s="109"/>
      <c r="E75" s="109"/>
      <c r="F75" s="109" t="s">
        <v>37</v>
      </c>
      <c r="G75" s="109"/>
      <c r="H75" s="124">
        <f>APRIL21!J111</f>
        <v>46611.189999999944</v>
      </c>
      <c r="I75" s="109"/>
      <c r="J75" s="109"/>
      <c r="K75" s="109"/>
      <c r="L75" s="126"/>
      <c r="O75" t="s">
        <v>365</v>
      </c>
      <c r="Q75">
        <v>1252</v>
      </c>
    </row>
    <row r="76" spans="1:18" ht="15.75" x14ac:dyDescent="0.25">
      <c r="A76" s="109" t="s">
        <v>38</v>
      </c>
      <c r="B76" s="124">
        <f>C71</f>
        <v>26000</v>
      </c>
      <c r="C76" s="109"/>
      <c r="D76" s="109"/>
      <c r="E76" s="109"/>
      <c r="F76" s="109"/>
      <c r="G76" s="109"/>
      <c r="H76" s="109"/>
      <c r="I76" s="109"/>
      <c r="J76" s="109"/>
      <c r="K76" s="109"/>
      <c r="L76" s="126"/>
      <c r="O76" t="s">
        <v>366</v>
      </c>
      <c r="Q76">
        <v>3281</v>
      </c>
    </row>
    <row r="77" spans="1:18" ht="15.75" x14ac:dyDescent="0.25">
      <c r="A77" s="109" t="s">
        <v>7</v>
      </c>
      <c r="B77" s="124">
        <f>F71</f>
        <v>4950</v>
      </c>
      <c r="C77" s="109"/>
      <c r="D77" s="109"/>
      <c r="E77" s="109"/>
      <c r="F77" s="109"/>
      <c r="G77" s="109"/>
      <c r="H77" s="109"/>
      <c r="I77" s="109"/>
      <c r="J77" s="109"/>
      <c r="K77" s="109"/>
      <c r="L77" s="126"/>
      <c r="O77" t="s">
        <v>367</v>
      </c>
      <c r="Q77">
        <v>1000</v>
      </c>
    </row>
    <row r="78" spans="1:18" ht="15.75" x14ac:dyDescent="0.25">
      <c r="A78" s="109" t="s">
        <v>39</v>
      </c>
      <c r="B78" s="124">
        <f>K71</f>
        <v>0</v>
      </c>
      <c r="C78" s="109"/>
      <c r="D78" s="109"/>
      <c r="E78" s="109"/>
      <c r="F78" s="109"/>
      <c r="G78" s="109"/>
      <c r="H78" s="109"/>
      <c r="I78" s="109"/>
      <c r="J78" s="109"/>
      <c r="K78" s="109"/>
      <c r="L78" s="126"/>
      <c r="O78" t="s">
        <v>371</v>
      </c>
      <c r="Q78">
        <f>506</f>
        <v>506</v>
      </c>
    </row>
    <row r="79" spans="1:18" ht="15.75" x14ac:dyDescent="0.25">
      <c r="A79" s="109" t="s">
        <v>40</v>
      </c>
      <c r="B79" s="125">
        <f>L71</f>
        <v>2000</v>
      </c>
      <c r="C79" s="109"/>
      <c r="D79" s="109"/>
      <c r="E79" s="109"/>
      <c r="F79" s="109" t="s">
        <v>40</v>
      </c>
      <c r="G79" s="109"/>
      <c r="H79" s="125">
        <f>L71</f>
        <v>2000</v>
      </c>
      <c r="I79" s="109"/>
      <c r="J79" s="109"/>
      <c r="K79" s="109"/>
      <c r="L79" s="126"/>
      <c r="O79" t="s">
        <v>368</v>
      </c>
      <c r="Q79">
        <v>3367</v>
      </c>
    </row>
    <row r="80" spans="1:18" ht="15.75" x14ac:dyDescent="0.25">
      <c r="A80" s="109"/>
      <c r="B80" s="124"/>
      <c r="C80" s="109"/>
      <c r="D80" s="109"/>
      <c r="E80" s="109"/>
      <c r="F80" s="109"/>
      <c r="G80" s="124"/>
      <c r="H80" s="88"/>
      <c r="I80" s="88"/>
      <c r="J80" s="109"/>
      <c r="K80" s="109"/>
      <c r="L80" s="126"/>
      <c r="O80" t="s">
        <v>384</v>
      </c>
      <c r="Q80">
        <f>3200+1900+800</f>
        <v>5900</v>
      </c>
    </row>
    <row r="81" spans="1:19" ht="15.75" x14ac:dyDescent="0.25">
      <c r="A81" s="109"/>
      <c r="B81" s="125"/>
      <c r="C81" s="124"/>
      <c r="D81" s="109"/>
      <c r="E81" s="109"/>
      <c r="F81" s="109"/>
      <c r="G81" s="109"/>
      <c r="H81" s="109"/>
      <c r="I81" s="124"/>
      <c r="J81" s="124"/>
      <c r="K81" s="124"/>
      <c r="L81" s="130"/>
      <c r="O81" t="s">
        <v>369</v>
      </c>
      <c r="Q81">
        <f>1000+2500+1000+4500</f>
        <v>9000</v>
      </c>
    </row>
    <row r="82" spans="1:19" ht="15.75" x14ac:dyDescent="0.25">
      <c r="A82" s="115" t="s">
        <v>41</v>
      </c>
      <c r="B82" s="109" t="s">
        <v>42</v>
      </c>
      <c r="C82" s="109"/>
      <c r="D82" s="109"/>
      <c r="E82" s="109"/>
      <c r="F82" s="115" t="s">
        <v>41</v>
      </c>
      <c r="G82" s="115"/>
      <c r="H82" s="115"/>
      <c r="I82" s="109"/>
      <c r="J82" s="109"/>
      <c r="K82" s="109"/>
      <c r="L82" s="126"/>
      <c r="O82" t="s">
        <v>370</v>
      </c>
      <c r="Q82">
        <v>2532</v>
      </c>
    </row>
    <row r="83" spans="1:19" ht="15.75" x14ac:dyDescent="0.25">
      <c r="A83" s="131" t="s">
        <v>43</v>
      </c>
      <c r="B83" s="132">
        <v>7.0000000000000007E-2</v>
      </c>
      <c r="C83" s="133">
        <f>B83*E71</f>
        <v>23660.000000000004</v>
      </c>
      <c r="D83" s="109"/>
      <c r="E83" s="109"/>
      <c r="F83" s="131" t="s">
        <v>43</v>
      </c>
      <c r="G83" s="131"/>
      <c r="H83" s="132">
        <v>7.0000000000000007E-2</v>
      </c>
      <c r="I83" s="125">
        <f>H83*E71</f>
        <v>23660.000000000004</v>
      </c>
      <c r="J83" s="109"/>
      <c r="K83" s="109"/>
      <c r="L83" s="126"/>
      <c r="O83" t="s">
        <v>383</v>
      </c>
      <c r="Q83">
        <v>1562</v>
      </c>
    </row>
    <row r="84" spans="1:19" ht="15.75" x14ac:dyDescent="0.25">
      <c r="A84" s="134" t="s">
        <v>136</v>
      </c>
      <c r="B84" s="135">
        <v>0.3</v>
      </c>
      <c r="C84" s="106">
        <f>B84*B76+(B84*C23)</f>
        <v>7800</v>
      </c>
      <c r="D84" s="125"/>
      <c r="E84" s="125"/>
      <c r="F84" s="134" t="s">
        <v>136</v>
      </c>
      <c r="G84" s="135">
        <v>0.3</v>
      </c>
      <c r="H84" s="88"/>
      <c r="I84" s="106">
        <f>C84</f>
        <v>7800</v>
      </c>
      <c r="J84" s="88"/>
      <c r="K84" s="125"/>
      <c r="L84" s="136"/>
      <c r="O84" t="s">
        <v>373</v>
      </c>
      <c r="Q84">
        <v>6500</v>
      </c>
    </row>
    <row r="85" spans="1:19" ht="15.75" x14ac:dyDescent="0.25">
      <c r="A85" s="134"/>
      <c r="B85" s="135"/>
      <c r="C85" s="106"/>
      <c r="D85" s="125"/>
      <c r="E85" s="125"/>
      <c r="F85" s="137" t="s">
        <v>8</v>
      </c>
      <c r="G85" s="132"/>
      <c r="H85" s="125"/>
      <c r="I85" s="125">
        <f>G71</f>
        <v>6300</v>
      </c>
      <c r="J85" s="88"/>
      <c r="K85" s="125"/>
      <c r="L85" s="136"/>
      <c r="S85">
        <v>3500</v>
      </c>
    </row>
    <row r="86" spans="1:19" ht="15.75" x14ac:dyDescent="0.25">
      <c r="A86" s="134" t="s">
        <v>134</v>
      </c>
      <c r="B86" s="132"/>
      <c r="C86" s="125">
        <v>8000</v>
      </c>
      <c r="D86" s="109"/>
      <c r="E86" s="109"/>
      <c r="F86" s="134" t="s">
        <v>134</v>
      </c>
      <c r="G86" s="132"/>
      <c r="H86" s="125"/>
      <c r="I86" s="125">
        <v>8000</v>
      </c>
      <c r="J86" s="109"/>
      <c r="K86" s="109"/>
      <c r="L86" s="126"/>
    </row>
    <row r="87" spans="1:19" ht="15.75" x14ac:dyDescent="0.25">
      <c r="A87" s="134" t="s">
        <v>160</v>
      </c>
      <c r="B87" s="132"/>
      <c r="C87" s="138">
        <v>8000</v>
      </c>
      <c r="D87" s="109"/>
      <c r="E87" s="109"/>
      <c r="F87" s="134" t="s">
        <v>160</v>
      </c>
      <c r="G87" s="132"/>
      <c r="H87" s="138"/>
      <c r="I87" s="105">
        <v>8000</v>
      </c>
      <c r="J87" s="109"/>
      <c r="K87" s="109"/>
      <c r="L87" s="126"/>
    </row>
    <row r="88" spans="1:19" ht="15.75" x14ac:dyDescent="0.25">
      <c r="A88" s="134" t="s">
        <v>300</v>
      </c>
      <c r="B88" s="132"/>
      <c r="C88" s="93">
        <v>50000</v>
      </c>
      <c r="D88" s="109"/>
      <c r="E88" s="109"/>
      <c r="F88" s="134" t="s">
        <v>300</v>
      </c>
      <c r="G88" s="132"/>
      <c r="H88" s="93"/>
      <c r="I88" s="125">
        <v>50000</v>
      </c>
      <c r="J88" s="109"/>
      <c r="K88" s="109"/>
      <c r="L88" s="126"/>
    </row>
    <row r="89" spans="1:19" ht="15.75" x14ac:dyDescent="0.25">
      <c r="A89" s="134" t="s">
        <v>120</v>
      </c>
      <c r="B89" s="132"/>
      <c r="C89" s="125"/>
      <c r="D89" s="109"/>
      <c r="E89" s="109"/>
      <c r="F89" s="134" t="s">
        <v>120</v>
      </c>
      <c r="G89" s="132"/>
      <c r="H89" s="125"/>
      <c r="I89" s="125"/>
      <c r="J89" s="109"/>
      <c r="K89" s="109"/>
      <c r="L89" s="126"/>
    </row>
    <row r="90" spans="1:19" ht="15.75" x14ac:dyDescent="0.25">
      <c r="A90" s="134" t="s">
        <v>357</v>
      </c>
      <c r="B90" s="132"/>
      <c r="C90" s="93">
        <f>224868</f>
        <v>224868</v>
      </c>
      <c r="D90" s="109"/>
      <c r="E90" s="109"/>
      <c r="F90" s="134" t="s">
        <v>357</v>
      </c>
      <c r="G90" s="132"/>
      <c r="H90" s="93"/>
      <c r="I90" s="93">
        <f>224868</f>
        <v>224868</v>
      </c>
      <c r="J90" s="109"/>
      <c r="K90" s="109"/>
      <c r="L90" s="126"/>
    </row>
    <row r="91" spans="1:19" ht="15.75" x14ac:dyDescent="0.25">
      <c r="A91" t="s">
        <v>365</v>
      </c>
      <c r="C91">
        <v>1252</v>
      </c>
      <c r="D91" s="109"/>
      <c r="E91" s="109"/>
      <c r="F91" t="s">
        <v>365</v>
      </c>
      <c r="G91" s="151"/>
      <c r="H91" s="151"/>
      <c r="I91" s="151">
        <v>1252</v>
      </c>
      <c r="J91" s="109"/>
      <c r="K91" s="109"/>
      <c r="L91" s="126"/>
    </row>
    <row r="92" spans="1:19" ht="15.75" x14ac:dyDescent="0.25">
      <c r="A92" t="s">
        <v>366</v>
      </c>
      <c r="C92">
        <v>3281</v>
      </c>
      <c r="D92" s="109"/>
      <c r="E92" s="109"/>
      <c r="F92" t="s">
        <v>366</v>
      </c>
      <c r="G92" s="151"/>
      <c r="H92" s="151"/>
      <c r="I92" s="151">
        <v>3281</v>
      </c>
      <c r="J92" s="109"/>
      <c r="K92" s="109"/>
      <c r="L92" s="126"/>
    </row>
    <row r="93" spans="1:19" ht="15.75" x14ac:dyDescent="0.25">
      <c r="A93" t="s">
        <v>367</v>
      </c>
      <c r="C93">
        <v>1000</v>
      </c>
      <c r="D93" s="109"/>
      <c r="E93" s="109"/>
      <c r="F93" t="s">
        <v>367</v>
      </c>
      <c r="G93" s="151"/>
      <c r="H93" s="151"/>
      <c r="I93" s="151">
        <v>1000</v>
      </c>
      <c r="J93" s="109"/>
      <c r="K93" s="109"/>
      <c r="L93" s="126"/>
    </row>
    <row r="94" spans="1:19" ht="15.75" x14ac:dyDescent="0.25">
      <c r="A94" t="s">
        <v>371</v>
      </c>
      <c r="C94">
        <f>506</f>
        <v>506</v>
      </c>
      <c r="D94" s="109"/>
      <c r="E94" s="109"/>
      <c r="F94" t="s">
        <v>371</v>
      </c>
      <c r="G94" s="151"/>
      <c r="H94" s="151"/>
      <c r="I94" s="151">
        <f>506</f>
        <v>506</v>
      </c>
      <c r="J94" s="109"/>
      <c r="K94" s="109"/>
      <c r="L94" s="126"/>
    </row>
    <row r="95" spans="1:19" ht="15.75" x14ac:dyDescent="0.25">
      <c r="A95" t="s">
        <v>368</v>
      </c>
      <c r="C95">
        <v>3367</v>
      </c>
      <c r="D95" s="109"/>
      <c r="E95" s="109"/>
      <c r="F95" t="s">
        <v>368</v>
      </c>
      <c r="G95" s="151"/>
      <c r="H95" s="151"/>
      <c r="I95" s="151">
        <v>3367</v>
      </c>
      <c r="J95" s="109"/>
      <c r="K95" s="109"/>
      <c r="L95" s="126"/>
    </row>
    <row r="96" spans="1:19" ht="15.75" x14ac:dyDescent="0.25">
      <c r="A96" t="s">
        <v>384</v>
      </c>
      <c r="C96">
        <f>3200+1900+800</f>
        <v>5900</v>
      </c>
      <c r="D96" s="109"/>
      <c r="E96" s="109"/>
      <c r="F96" t="s">
        <v>384</v>
      </c>
      <c r="G96" s="151"/>
      <c r="H96" s="151"/>
      <c r="I96" s="151">
        <f>3200+1900+800</f>
        <v>5900</v>
      </c>
      <c r="J96" s="109"/>
      <c r="K96" s="109"/>
      <c r="L96" s="126"/>
    </row>
    <row r="97" spans="1:18" ht="15.75" x14ac:dyDescent="0.25">
      <c r="A97" t="s">
        <v>369</v>
      </c>
      <c r="C97">
        <f>1000+2500+1000+4500</f>
        <v>9000</v>
      </c>
      <c r="D97" s="109"/>
      <c r="E97" s="109"/>
      <c r="F97" t="s">
        <v>369</v>
      </c>
      <c r="G97" s="151"/>
      <c r="H97" s="151"/>
      <c r="I97" s="151">
        <f>1000+2500+1000+4500</f>
        <v>9000</v>
      </c>
      <c r="J97" s="109"/>
      <c r="K97" s="109"/>
      <c r="L97" s="126"/>
    </row>
    <row r="98" spans="1:18" ht="15.75" x14ac:dyDescent="0.25">
      <c r="A98" t="s">
        <v>370</v>
      </c>
      <c r="C98">
        <v>2532</v>
      </c>
      <c r="D98" s="109"/>
      <c r="E98" s="109"/>
      <c r="F98" t="s">
        <v>370</v>
      </c>
      <c r="G98" s="151"/>
      <c r="H98" s="151"/>
      <c r="I98" s="151">
        <v>2532</v>
      </c>
      <c r="J98" s="109"/>
      <c r="K98" s="109"/>
      <c r="L98" s="126"/>
    </row>
    <row r="99" spans="1:18" ht="15.75" x14ac:dyDescent="0.25">
      <c r="A99" t="s">
        <v>383</v>
      </c>
      <c r="C99">
        <v>1562</v>
      </c>
      <c r="D99" s="109"/>
      <c r="E99" s="109"/>
      <c r="F99" t="s">
        <v>383</v>
      </c>
      <c r="G99" s="151"/>
      <c r="H99" s="151"/>
      <c r="I99" s="151">
        <v>1562</v>
      </c>
      <c r="J99" s="109"/>
      <c r="K99" s="109"/>
      <c r="L99" s="126"/>
      <c r="P99" s="83" t="s">
        <v>29</v>
      </c>
      <c r="Q99" s="83">
        <f>SUM(Q75:Q91)</f>
        <v>34900</v>
      </c>
      <c r="R99">
        <f>SUM(R75:R91)</f>
        <v>0</v>
      </c>
    </row>
    <row r="100" spans="1:18" ht="15.75" x14ac:dyDescent="0.25">
      <c r="A100" t="s">
        <v>373</v>
      </c>
      <c r="C100">
        <v>6500</v>
      </c>
      <c r="D100" s="109"/>
      <c r="E100" s="109"/>
      <c r="F100" t="s">
        <v>373</v>
      </c>
      <c r="G100" s="151"/>
      <c r="H100" s="151"/>
      <c r="I100" s="151">
        <v>6500</v>
      </c>
      <c r="J100" s="109"/>
      <c r="K100" s="109"/>
      <c r="L100" s="126"/>
    </row>
    <row r="101" spans="1:18" ht="15.75" x14ac:dyDescent="0.25">
      <c r="A101" s="134" t="s">
        <v>387</v>
      </c>
      <c r="B101" s="132"/>
      <c r="C101" s="93">
        <f>5235+7075</f>
        <v>12310</v>
      </c>
      <c r="D101" s="109"/>
      <c r="E101" s="109"/>
      <c r="F101" s="134" t="s">
        <v>387</v>
      </c>
      <c r="G101" s="132"/>
      <c r="H101" s="93"/>
      <c r="I101" s="93">
        <v>12310</v>
      </c>
      <c r="J101" s="109"/>
      <c r="K101" s="109"/>
      <c r="L101" s="126"/>
    </row>
    <row r="102" spans="1:18" ht="15.75" x14ac:dyDescent="0.25">
      <c r="A102" s="134"/>
      <c r="B102" s="132"/>
      <c r="C102" s="125"/>
      <c r="D102" s="109"/>
      <c r="E102" s="109"/>
      <c r="F102" s="134"/>
      <c r="G102" s="132"/>
      <c r="H102" s="125"/>
      <c r="I102" s="125"/>
      <c r="J102" s="109"/>
      <c r="K102" s="109"/>
      <c r="L102" s="126"/>
    </row>
    <row r="103" spans="1:18" ht="15.75" x14ac:dyDescent="0.25">
      <c r="A103" s="115" t="s">
        <v>29</v>
      </c>
      <c r="B103" s="139">
        <f>B74+B75+B76+B77+B78+B79+B81+B80</f>
        <v>513961.18999999994</v>
      </c>
      <c r="C103" s="139">
        <f>SUM(C83:C102)</f>
        <v>369538</v>
      </c>
      <c r="D103" s="139">
        <f>B103-C103</f>
        <v>144423.18999999994</v>
      </c>
      <c r="E103" s="139"/>
      <c r="F103" s="115"/>
      <c r="G103" s="115"/>
      <c r="H103" s="139">
        <f>H74+H75+H77+H79+H80</f>
        <v>412861.18999999994</v>
      </c>
      <c r="I103" s="139">
        <f>SUM(I83:I102)</f>
        <v>375838</v>
      </c>
      <c r="J103" s="139">
        <f>H103-I103</f>
        <v>37023.189999999944</v>
      </c>
      <c r="K103" s="139"/>
      <c r="L103" s="140"/>
    </row>
    <row r="104" spans="1:18" ht="15.75" x14ac:dyDescent="0.25">
      <c r="A104" s="141" t="s">
        <v>44</v>
      </c>
      <c r="B104" s="142"/>
      <c r="C104" s="142" t="s">
        <v>45</v>
      </c>
      <c r="D104" s="138"/>
      <c r="E104" s="138"/>
      <c r="F104" s="141"/>
      <c r="G104" s="141"/>
      <c r="H104" s="141" t="s">
        <v>46</v>
      </c>
      <c r="I104" s="143">
        <f>I103-I85</f>
        <v>369538</v>
      </c>
      <c r="J104" s="87"/>
      <c r="K104" s="87"/>
      <c r="L104" s="86"/>
    </row>
    <row r="105" spans="1:18" ht="15.75" x14ac:dyDescent="0.25">
      <c r="A105" s="87" t="s">
        <v>47</v>
      </c>
      <c r="B105" s="87"/>
      <c r="C105" s="87" t="s">
        <v>48</v>
      </c>
      <c r="D105" s="105"/>
      <c r="E105" s="87"/>
      <c r="F105" s="87"/>
      <c r="G105" s="87"/>
      <c r="H105" s="87" t="s">
        <v>118</v>
      </c>
      <c r="I105" s="113">
        <f>I103-I83</f>
        <v>352178</v>
      </c>
      <c r="J105" s="87"/>
      <c r="K105" s="105"/>
      <c r="L105" s="86"/>
    </row>
    <row r="111" spans="1:18" x14ac:dyDescent="0.25">
      <c r="J111" s="43">
        <f>J103+J71</f>
        <v>93723.189999999944</v>
      </c>
    </row>
    <row r="113" spans="9:9" x14ac:dyDescent="0.25">
      <c r="I113" s="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SEPTEMBER 20</vt:lpstr>
      <vt:lpstr>OCTOBER 20</vt:lpstr>
      <vt:lpstr>NOVEMBER20</vt:lpstr>
      <vt:lpstr>DECEMBER20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2021-02-24T08:05:36Z</cp:lastPrinted>
  <dcterms:created xsi:type="dcterms:W3CDTF">2020-09-15T13:19:22Z</dcterms:created>
  <dcterms:modified xsi:type="dcterms:W3CDTF">2021-12-08T08:33:11Z</dcterms:modified>
</cp:coreProperties>
</file>