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55" windowWidth="14805" windowHeight="7860" firstSheet="35" activeTab="39"/>
  </bookViews>
  <sheets>
    <sheet name="SEPTEMBER" sheetId="1" r:id="rId1"/>
    <sheet name="OCT" sheetId="2" r:id="rId2"/>
    <sheet name="NOVEMBER" sheetId="3" r:id="rId3"/>
    <sheet name="DECEMBER" sheetId="4" r:id="rId4"/>
    <sheet name="JANUARY" sheetId="5" r:id="rId5"/>
    <sheet name="FEBRUARY" sheetId="6" r:id="rId6"/>
    <sheet name="MARCH" sheetId="7" r:id="rId7"/>
    <sheet name="APRIL " sheetId="8" r:id="rId8"/>
    <sheet name="MAY " sheetId="9" r:id="rId9"/>
    <sheet name="JUNE " sheetId="10" r:id="rId10"/>
    <sheet name="JULY " sheetId="11" r:id="rId11"/>
    <sheet name="AUGUST 19" sheetId="12" r:id="rId12"/>
    <sheet name="SEPTEMBER 19" sheetId="13" r:id="rId13"/>
    <sheet name="OCTOBER 19" sheetId="14" r:id="rId14"/>
    <sheet name="NOVEMBER 19" sheetId="15" r:id="rId15"/>
    <sheet name="DECEMBER 19" sheetId="16" r:id="rId16"/>
    <sheet name="JANUARY 20" sheetId="17" r:id="rId17"/>
    <sheet name="FEBRUARY 20" sheetId="18" r:id="rId18"/>
    <sheet name="MARCH 20" sheetId="19" r:id="rId19"/>
    <sheet name="APRIL 20" sheetId="20" r:id="rId20"/>
    <sheet name="MAY 20" sheetId="21" r:id="rId21"/>
    <sheet name="JUNE 20" sheetId="22" r:id="rId22"/>
    <sheet name="JULY 20" sheetId="23" r:id="rId23"/>
    <sheet name="AUGUST 20" sheetId="24" r:id="rId24"/>
    <sheet name="SEPTEMBER20" sheetId="25" r:id="rId25"/>
    <sheet name="OCTOBER 20" sheetId="26" r:id="rId26"/>
    <sheet name="NOVEMBER20" sheetId="27" r:id="rId27"/>
    <sheet name="DECEMBER 20" sheetId="28" r:id="rId28"/>
    <sheet name="JANUARY 21" sheetId="29" r:id="rId29"/>
    <sheet name="FEBRUARY 21" sheetId="30" r:id="rId30"/>
    <sheet name="MARCH 21" sheetId="31" r:id="rId31"/>
    <sheet name="APRIL21" sheetId="32" r:id="rId32"/>
    <sheet name="MAY21" sheetId="33" r:id="rId33"/>
    <sheet name="JUNE 21" sheetId="34" r:id="rId34"/>
    <sheet name="JULY 21" sheetId="35" r:id="rId35"/>
    <sheet name="AUGUST 21" sheetId="36" r:id="rId36"/>
    <sheet name="SEPT 21" sheetId="37" r:id="rId37"/>
    <sheet name="OCTOBER  21" sheetId="38" r:id="rId38"/>
    <sheet name="NOVEMBER 21" sheetId="39" r:id="rId39"/>
    <sheet name="DECEMBER 21" sheetId="40" r:id="rId40"/>
  </sheets>
  <calcPr calcId="162913"/>
</workbook>
</file>

<file path=xl/calcChain.xml><?xml version="1.0" encoding="utf-8"?>
<calcChain xmlns="http://schemas.openxmlformats.org/spreadsheetml/2006/main">
  <c r="H35" i="40" l="1"/>
  <c r="D35" i="40"/>
  <c r="E24" i="40"/>
  <c r="C28" i="40" s="1"/>
  <c r="C24" i="40"/>
  <c r="G24" i="40"/>
  <c r="G28" i="40" s="1"/>
  <c r="D31" i="40" l="1"/>
  <c r="L33" i="40" s="1"/>
  <c r="H31" i="40"/>
  <c r="G18" i="37"/>
  <c r="H33" i="39" l="1"/>
  <c r="D33" i="39"/>
  <c r="G14" i="39" l="1"/>
  <c r="G18" i="39" l="1"/>
  <c r="G23" i="39" l="1"/>
  <c r="G7" i="39" l="1"/>
  <c r="G23" i="38"/>
  <c r="G22" i="38"/>
  <c r="G19" i="38"/>
  <c r="H35" i="39" l="1"/>
  <c r="D35" i="39"/>
  <c r="C24" i="39"/>
  <c r="G24" i="39"/>
  <c r="G28" i="39" s="1"/>
  <c r="E24" i="39" l="1"/>
  <c r="C28" i="39" s="1"/>
  <c r="H31" i="39" l="1"/>
  <c r="D31" i="39"/>
  <c r="L33" i="39" s="1"/>
  <c r="E7" i="38" l="1"/>
  <c r="G18" i="38"/>
  <c r="G15" i="38"/>
  <c r="G20" i="37" l="1"/>
  <c r="H35" i="38" l="1"/>
  <c r="D35" i="38"/>
  <c r="E24" i="38"/>
  <c r="C28" i="38" s="1"/>
  <c r="C24" i="38"/>
  <c r="G24" i="38"/>
  <c r="G28" i="38" s="1"/>
  <c r="H31" i="38" l="1"/>
  <c r="D31" i="38"/>
  <c r="G23" i="37"/>
  <c r="G15" i="37" l="1"/>
  <c r="G19" i="36" l="1"/>
  <c r="G18" i="36"/>
  <c r="G18" i="35"/>
  <c r="G11" i="37"/>
  <c r="H38" i="37" l="1"/>
  <c r="D38" i="37"/>
  <c r="D25" i="37"/>
  <c r="G24" i="37"/>
  <c r="G28" i="37" s="1"/>
  <c r="E24" i="37"/>
  <c r="C28" i="37" s="1"/>
  <c r="H31" i="37" s="1"/>
  <c r="C24" i="37"/>
  <c r="D31" i="37" l="1"/>
  <c r="G20" i="36"/>
  <c r="F11" i="38" l="1"/>
  <c r="H11" i="38" s="1"/>
  <c r="D11" i="39" s="1"/>
  <c r="F11" i="39" s="1"/>
  <c r="H11" i="39" s="1"/>
  <c r="D11" i="40" s="1"/>
  <c r="F11" i="40" s="1"/>
  <c r="H11" i="40" s="1"/>
  <c r="G15" i="36"/>
  <c r="G21" i="36" l="1"/>
  <c r="G16" i="36" l="1"/>
  <c r="G24" i="36" s="1"/>
  <c r="G28" i="36" s="1"/>
  <c r="D6" i="36"/>
  <c r="F6" i="36" s="1"/>
  <c r="H6" i="36" s="1"/>
  <c r="D6" i="37" s="1"/>
  <c r="F6" i="37" s="1"/>
  <c r="H6" i="37" s="1"/>
  <c r="D6" i="38" s="1"/>
  <c r="F6" i="38" s="1"/>
  <c r="H6" i="38" s="1"/>
  <c r="D6" i="39" s="1"/>
  <c r="F6" i="39" s="1"/>
  <c r="H6" i="39" s="1"/>
  <c r="D6" i="40" s="1"/>
  <c r="F6" i="40" s="1"/>
  <c r="H6" i="40" s="1"/>
  <c r="H38" i="36"/>
  <c r="D38" i="36"/>
  <c r="P33" i="36"/>
  <c r="P32" i="36"/>
  <c r="P31" i="36"/>
  <c r="P30" i="36"/>
  <c r="N29" i="36"/>
  <c r="P29" i="36" s="1"/>
  <c r="D25" i="36"/>
  <c r="C24" i="36"/>
  <c r="E24" i="36"/>
  <c r="C28" i="36" s="1"/>
  <c r="P34" i="36" l="1"/>
  <c r="D31" i="36"/>
  <c r="H31" i="36"/>
  <c r="N34" i="36"/>
  <c r="P37" i="36" s="1"/>
  <c r="P39" i="36" s="1"/>
  <c r="G11" i="35"/>
  <c r="G5" i="35" l="1"/>
  <c r="E5" i="35"/>
  <c r="G10" i="34" l="1"/>
  <c r="H37" i="34"/>
  <c r="G21" i="27" l="1"/>
  <c r="D37" i="34"/>
  <c r="G23" i="35"/>
  <c r="G20" i="35"/>
  <c r="G21" i="35" l="1"/>
  <c r="G7" i="35" l="1"/>
  <c r="D7" i="27" l="1"/>
  <c r="G15" i="35" l="1"/>
  <c r="J22" i="34" l="1"/>
  <c r="L21" i="32"/>
  <c r="G23" i="34" l="1"/>
  <c r="G18" i="34" l="1"/>
  <c r="P33" i="35" l="1"/>
  <c r="P32" i="35"/>
  <c r="P31" i="35"/>
  <c r="P30" i="35"/>
  <c r="N29" i="35"/>
  <c r="P29" i="35" s="1"/>
  <c r="H38" i="35"/>
  <c r="D38" i="35"/>
  <c r="D25" i="35"/>
  <c r="E24" i="35"/>
  <c r="C28" i="35" s="1"/>
  <c r="C24" i="35"/>
  <c r="G24" i="35"/>
  <c r="G28" i="35" s="1"/>
  <c r="F6" i="35"/>
  <c r="P34" i="35" l="1"/>
  <c r="N34" i="35"/>
  <c r="P37" i="35" s="1"/>
  <c r="P39" i="35" s="1"/>
  <c r="H31" i="35"/>
  <c r="D31" i="35"/>
  <c r="G21" i="34" l="1"/>
  <c r="G15" i="34" l="1"/>
  <c r="Q34" i="34" l="1"/>
  <c r="Q33" i="34"/>
  <c r="Q32" i="34"/>
  <c r="Q31" i="34"/>
  <c r="O30" i="34"/>
  <c r="O35" i="34" s="1"/>
  <c r="Q38" i="34" s="1"/>
  <c r="G5" i="33"/>
  <c r="Q30" i="34" l="1"/>
  <c r="G18" i="33"/>
  <c r="G20" i="34"/>
  <c r="G24" i="34" s="1"/>
  <c r="G20" i="33"/>
  <c r="Q40" i="34" l="1"/>
  <c r="Q35" i="34"/>
  <c r="G7" i="29" l="1"/>
  <c r="H38" i="34" l="1"/>
  <c r="D38" i="34"/>
  <c r="D25" i="34"/>
  <c r="E24" i="34"/>
  <c r="C28" i="34" s="1"/>
  <c r="C24" i="34"/>
  <c r="G28" i="34"/>
  <c r="H31" i="34" l="1"/>
  <c r="D31" i="34"/>
  <c r="G11" i="33" l="1"/>
  <c r="G23" i="33" l="1"/>
  <c r="G15" i="33" l="1"/>
  <c r="G10" i="33" l="1"/>
  <c r="P31" i="33" l="1"/>
  <c r="P30" i="33"/>
  <c r="P29" i="33"/>
  <c r="P28" i="33"/>
  <c r="N27" i="33"/>
  <c r="N32" i="33" s="1"/>
  <c r="G22" i="32"/>
  <c r="P27" i="33" l="1"/>
  <c r="P32" i="33" s="1"/>
  <c r="P35" i="33" s="1"/>
  <c r="G20" i="32" l="1"/>
  <c r="G18" i="32"/>
  <c r="H38" i="33" l="1"/>
  <c r="D38" i="33"/>
  <c r="D25" i="33"/>
  <c r="E24" i="33"/>
  <c r="C24" i="33"/>
  <c r="G24" i="33"/>
  <c r="G28" i="33" s="1"/>
  <c r="C28" i="33" l="1"/>
  <c r="H31" i="33" s="1"/>
  <c r="D31" i="33" l="1"/>
  <c r="E24" i="32"/>
  <c r="E24" i="29" l="1"/>
  <c r="E24" i="28"/>
  <c r="E24" i="27"/>
  <c r="E24" i="30"/>
  <c r="G29" i="25"/>
  <c r="H34" i="24"/>
  <c r="D34" i="24"/>
  <c r="G10" i="32" l="1"/>
  <c r="G13" i="32" l="1"/>
  <c r="G15" i="32" l="1"/>
  <c r="R33" i="31" l="1"/>
  <c r="R34" i="31" s="1"/>
  <c r="O17" i="31"/>
  <c r="K13" i="30"/>
  <c r="G21" i="32" l="1"/>
  <c r="G11" i="32" l="1"/>
  <c r="K40" i="32" l="1"/>
  <c r="D33" i="31"/>
  <c r="H33" i="31" s="1"/>
  <c r="L39" i="32"/>
  <c r="O30" i="32" l="1"/>
  <c r="O29" i="32"/>
  <c r="O28" i="32"/>
  <c r="O27" i="32"/>
  <c r="M26" i="32"/>
  <c r="M31" i="32" s="1"/>
  <c r="G19" i="31"/>
  <c r="N27" i="31"/>
  <c r="N28" i="31"/>
  <c r="O26" i="32" l="1"/>
  <c r="O31" i="32" s="1"/>
  <c r="O34" i="32" s="1"/>
  <c r="G23" i="32"/>
  <c r="G24" i="32" s="1"/>
  <c r="G28" i="32" s="1"/>
  <c r="Q41" i="31" l="1"/>
  <c r="Q42" i="31" s="1"/>
  <c r="H38" i="32" l="1"/>
  <c r="D38" i="32"/>
  <c r="I26" i="32"/>
  <c r="C28" i="32"/>
  <c r="C24" i="32"/>
  <c r="H31" i="32" l="1"/>
  <c r="D31" i="32"/>
  <c r="G18" i="31" l="1"/>
  <c r="G5" i="31"/>
  <c r="G21" i="31" l="1"/>
  <c r="G11" i="31"/>
  <c r="G16" i="31" l="1"/>
  <c r="G23" i="31" l="1"/>
  <c r="G20" i="31" l="1"/>
  <c r="G15" i="31" l="1"/>
  <c r="G24" i="31" s="1"/>
  <c r="G19" i="30" l="1"/>
  <c r="G16" i="30"/>
  <c r="H36" i="30"/>
  <c r="D36" i="30"/>
  <c r="O19" i="30"/>
  <c r="O21" i="30" s="1"/>
  <c r="G8" i="24" l="1"/>
  <c r="H40" i="31"/>
  <c r="D40" i="31"/>
  <c r="N26" i="31"/>
  <c r="I26" i="31"/>
  <c r="N25" i="31"/>
  <c r="L24" i="31"/>
  <c r="E24" i="31"/>
  <c r="C28" i="31" s="1"/>
  <c r="C24" i="31"/>
  <c r="G28" i="31"/>
  <c r="G13" i="30"/>
  <c r="G20" i="30"/>
  <c r="N24" i="31" l="1"/>
  <c r="N29" i="31" s="1"/>
  <c r="L29" i="31"/>
  <c r="D31" i="31"/>
  <c r="O35" i="31" s="1"/>
  <c r="O36" i="31" s="1"/>
  <c r="O40" i="31" s="1"/>
  <c r="M42" i="31" s="1"/>
  <c r="H31" i="31"/>
  <c r="G22" i="30"/>
  <c r="G10" i="30" l="1"/>
  <c r="G15" i="30" l="1"/>
  <c r="G18" i="30" l="1"/>
  <c r="G24" i="30" s="1"/>
  <c r="G28" i="30" s="1"/>
  <c r="G18" i="29" l="1"/>
  <c r="G23" i="27"/>
  <c r="G23" i="28"/>
  <c r="G23" i="26"/>
  <c r="G5" i="29" l="1"/>
  <c r="D15" i="30" l="1"/>
  <c r="F15" i="30" s="1"/>
  <c r="H15" i="30" s="1"/>
  <c r="D15" i="31" s="1"/>
  <c r="F15" i="31" s="1"/>
  <c r="H15" i="31" s="1"/>
  <c r="D15" i="32" s="1"/>
  <c r="F15" i="32" s="1"/>
  <c r="H15" i="32" s="1"/>
  <c r="D15" i="33" s="1"/>
  <c r="F15" i="33" s="1"/>
  <c r="H15" i="33" s="1"/>
  <c r="D15" i="34" s="1"/>
  <c r="F15" i="34" s="1"/>
  <c r="H15" i="34" s="1"/>
  <c r="D15" i="35" s="1"/>
  <c r="F15" i="35" s="1"/>
  <c r="H15" i="35" s="1"/>
  <c r="D15" i="36" s="1"/>
  <c r="F15" i="36" s="1"/>
  <c r="H15" i="36" s="1"/>
  <c r="D15" i="37" s="1"/>
  <c r="F15" i="37" s="1"/>
  <c r="H15" i="37" s="1"/>
  <c r="D15" i="38" s="1"/>
  <c r="F15" i="38" s="1"/>
  <c r="H15" i="38" s="1"/>
  <c r="D15" i="39" s="1"/>
  <c r="F15" i="39" s="1"/>
  <c r="H15" i="39" s="1"/>
  <c r="D15" i="40" s="1"/>
  <c r="F15" i="40" s="1"/>
  <c r="H15" i="40" s="1"/>
  <c r="H38" i="30" l="1"/>
  <c r="D38" i="30"/>
  <c r="N26" i="30"/>
  <c r="I26" i="30"/>
  <c r="N25" i="30"/>
  <c r="L24" i="30"/>
  <c r="L28" i="30" s="1"/>
  <c r="C28" i="30"/>
  <c r="C24" i="30"/>
  <c r="P43" i="29"/>
  <c r="N24" i="30" l="1"/>
  <c r="N27" i="30" s="1"/>
  <c r="N28" i="30" s="1"/>
  <c r="H31" i="30"/>
  <c r="O33" i="30"/>
  <c r="D31" i="30"/>
  <c r="O34" i="30" s="1"/>
  <c r="G20" i="29"/>
  <c r="O35" i="30" l="1"/>
  <c r="O37" i="30" s="1"/>
  <c r="G22" i="26"/>
  <c r="P44" i="29" l="1"/>
  <c r="P37" i="29"/>
  <c r="N26" i="29"/>
  <c r="N25" i="29"/>
  <c r="G16" i="29" l="1"/>
  <c r="G23" i="29" l="1"/>
  <c r="G17" i="29" l="1"/>
  <c r="G24" i="29" s="1"/>
  <c r="G18" i="28" l="1"/>
  <c r="D15" i="29" l="1"/>
  <c r="H38" i="29"/>
  <c r="D38" i="29"/>
  <c r="I26" i="29"/>
  <c r="L24" i="29"/>
  <c r="C28" i="29"/>
  <c r="C24" i="29"/>
  <c r="G28" i="29"/>
  <c r="G16" i="28"/>
  <c r="L28" i="29" l="1"/>
  <c r="N24" i="29"/>
  <c r="N27" i="29" s="1"/>
  <c r="N28" i="29" s="1"/>
  <c r="H31" i="29"/>
  <c r="D31" i="29"/>
  <c r="G20" i="28" l="1"/>
  <c r="G10" i="28" l="1"/>
  <c r="G24" i="28" s="1"/>
  <c r="G8" i="25" l="1"/>
  <c r="L33" i="28"/>
  <c r="K24" i="28"/>
  <c r="G19" i="27"/>
  <c r="N28" i="27" l="1"/>
  <c r="D15" i="28" l="1"/>
  <c r="H38" i="28"/>
  <c r="D38" i="28"/>
  <c r="I26" i="28"/>
  <c r="C28" i="28"/>
  <c r="C24" i="28"/>
  <c r="G28" i="28" l="1"/>
  <c r="D31" i="28"/>
  <c r="L32" i="28" s="1"/>
  <c r="H31" i="28"/>
  <c r="G8" i="27"/>
  <c r="L34" i="28" l="1"/>
  <c r="L35" i="28" s="1"/>
  <c r="L37" i="28" s="1"/>
  <c r="G18" i="27"/>
  <c r="G5" i="27" l="1"/>
  <c r="G16" i="27" l="1"/>
  <c r="G20" i="27"/>
  <c r="G14" i="27" l="1"/>
  <c r="G13" i="27" l="1"/>
  <c r="G24" i="27" s="1"/>
  <c r="F10" i="6" l="1"/>
  <c r="F18" i="27" l="1"/>
  <c r="H18" i="27" l="1"/>
  <c r="G21" i="26"/>
  <c r="G13" i="26"/>
  <c r="D18" i="28" l="1"/>
  <c r="F18" i="28" s="1"/>
  <c r="G16" i="26"/>
  <c r="G10" i="26"/>
  <c r="H18" i="28" l="1"/>
  <c r="D15" i="27"/>
  <c r="D20" i="27"/>
  <c r="F20" i="27" s="1"/>
  <c r="H20" i="27" s="1"/>
  <c r="D20" i="28" s="1"/>
  <c r="F20" i="28" s="1"/>
  <c r="H20" i="28" s="1"/>
  <c r="D20" i="29" s="1"/>
  <c r="F20" i="29" s="1"/>
  <c r="H20" i="29" s="1"/>
  <c r="D20" i="30" s="1"/>
  <c r="F20" i="30" s="1"/>
  <c r="H20" i="30" s="1"/>
  <c r="D20" i="31" s="1"/>
  <c r="F20" i="31" s="1"/>
  <c r="H20" i="31" s="1"/>
  <c r="D20" i="32" s="1"/>
  <c r="F20" i="32" s="1"/>
  <c r="H20" i="32" s="1"/>
  <c r="D20" i="33" s="1"/>
  <c r="F20" i="33" s="1"/>
  <c r="H20" i="33" s="1"/>
  <c r="D20" i="34" s="1"/>
  <c r="F20" i="34" s="1"/>
  <c r="H20" i="34" s="1"/>
  <c r="D20" i="35" s="1"/>
  <c r="F20" i="35" s="1"/>
  <c r="H20" i="35" s="1"/>
  <c r="D20" i="36" s="1"/>
  <c r="F20" i="36" s="1"/>
  <c r="H20" i="36" s="1"/>
  <c r="D20" i="37" s="1"/>
  <c r="F20" i="37" s="1"/>
  <c r="H20" i="37" s="1"/>
  <c r="H38" i="27"/>
  <c r="D38" i="27"/>
  <c r="I26" i="27"/>
  <c r="C28" i="27"/>
  <c r="C24" i="27"/>
  <c r="F22" i="27"/>
  <c r="H22" i="27" s="1"/>
  <c r="D22" i="28" s="1"/>
  <c r="F22" i="28" s="1"/>
  <c r="H22" i="28" s="1"/>
  <c r="D22" i="29" s="1"/>
  <c r="F22" i="29" s="1"/>
  <c r="H22" i="29" s="1"/>
  <c r="D22" i="30" s="1"/>
  <c r="F22" i="30" s="1"/>
  <c r="H22" i="30" s="1"/>
  <c r="D22" i="31" s="1"/>
  <c r="F22" i="31" s="1"/>
  <c r="H22" i="31" s="1"/>
  <c r="D22" i="32" s="1"/>
  <c r="F22" i="32" s="1"/>
  <c r="H22" i="32" s="1"/>
  <c r="D22" i="33" s="1"/>
  <c r="F22" i="33" s="1"/>
  <c r="H22" i="33" s="1"/>
  <c r="D22" i="34" s="1"/>
  <c r="F22" i="34" s="1"/>
  <c r="H22" i="34" s="1"/>
  <c r="D22" i="35" s="1"/>
  <c r="F22" i="35" s="1"/>
  <c r="H22" i="35" s="1"/>
  <c r="D22" i="36" s="1"/>
  <c r="G28" i="27"/>
  <c r="F22" i="36" l="1"/>
  <c r="H22" i="36" s="1"/>
  <c r="D22" i="37" s="1"/>
  <c r="F22" i="37" s="1"/>
  <c r="H22" i="37" s="1"/>
  <c r="D22" i="38" s="1"/>
  <c r="D20" i="38"/>
  <c r="F20" i="38" s="1"/>
  <c r="H20" i="38" s="1"/>
  <c r="D20" i="39" s="1"/>
  <c r="F20" i="39" s="1"/>
  <c r="H20" i="39" s="1"/>
  <c r="D20" i="40" s="1"/>
  <c r="F20" i="40" s="1"/>
  <c r="H20" i="40" s="1"/>
  <c r="D18" i="29"/>
  <c r="F18" i="29" s="1"/>
  <c r="H18" i="29" s="1"/>
  <c r="D18" i="30" s="1"/>
  <c r="F18" i="30" s="1"/>
  <c r="H18" i="30" s="1"/>
  <c r="D18" i="31" s="1"/>
  <c r="F18" i="31" s="1"/>
  <c r="H18" i="31" s="1"/>
  <c r="D18" i="32" s="1"/>
  <c r="F18" i="32" s="1"/>
  <c r="H18" i="32" s="1"/>
  <c r="D18" i="33" s="1"/>
  <c r="F18" i="33" s="1"/>
  <c r="H31" i="27"/>
  <c r="D31" i="27"/>
  <c r="F22" i="38" l="1"/>
  <c r="H22" i="38" s="1"/>
  <c r="D22" i="39" s="1"/>
  <c r="F22" i="39" s="1"/>
  <c r="H18" i="33"/>
  <c r="D18" i="34" s="1"/>
  <c r="F18" i="34" s="1"/>
  <c r="H18" i="34" s="1"/>
  <c r="D18" i="35" s="1"/>
  <c r="G19" i="26"/>
  <c r="H22" i="39" l="1"/>
  <c r="D22" i="40" s="1"/>
  <c r="F22" i="40" s="1"/>
  <c r="H22" i="40" s="1"/>
  <c r="F18" i="35"/>
  <c r="G5" i="26"/>
  <c r="H18" i="35" l="1"/>
  <c r="D18" i="36" s="1"/>
  <c r="N35" i="25"/>
  <c r="F18" i="36" l="1"/>
  <c r="G20" i="26"/>
  <c r="H18" i="36" l="1"/>
  <c r="G17" i="26"/>
  <c r="G24" i="26" s="1"/>
  <c r="G28" i="26" s="1"/>
  <c r="D18" i="37" l="1"/>
  <c r="G5" i="25"/>
  <c r="I26" i="26"/>
  <c r="G11" i="25"/>
  <c r="F18" i="37" l="1"/>
  <c r="D15" i="26"/>
  <c r="D20" i="26"/>
  <c r="H42" i="26"/>
  <c r="E24" i="26"/>
  <c r="C24" i="26"/>
  <c r="F20" i="26"/>
  <c r="H18" i="37" l="1"/>
  <c r="D18" i="38" s="1"/>
  <c r="F18" i="38" s="1"/>
  <c r="H18" i="38" s="1"/>
  <c r="D18" i="39" s="1"/>
  <c r="F18" i="39" s="1"/>
  <c r="H18" i="39" s="1"/>
  <c r="D18" i="40" s="1"/>
  <c r="F18" i="40" s="1"/>
  <c r="H18" i="40" s="1"/>
  <c r="C28" i="26"/>
  <c r="H31" i="26" s="1"/>
  <c r="D42" i="26"/>
  <c r="D31" i="26"/>
  <c r="G10" i="25"/>
  <c r="G16" i="25" l="1"/>
  <c r="G21" i="25" l="1"/>
  <c r="G24" i="25" s="1"/>
  <c r="G28" i="25" s="1"/>
  <c r="H35" i="25" l="1"/>
  <c r="D35" i="25"/>
  <c r="E24" i="25" l="1"/>
  <c r="G14" i="24" l="1"/>
  <c r="H38" i="24"/>
  <c r="D38" i="24"/>
  <c r="G16" i="23" l="1"/>
  <c r="G21" i="24" l="1"/>
  <c r="G13" i="24" l="1"/>
  <c r="H40" i="25" l="1"/>
  <c r="D40" i="25"/>
  <c r="I26" i="25"/>
  <c r="C28" i="25"/>
  <c r="C24" i="25"/>
  <c r="D31" i="25" l="1"/>
  <c r="H31" i="25"/>
  <c r="G19" i="24" l="1"/>
  <c r="N32" i="24" l="1"/>
  <c r="G5" i="24" l="1"/>
  <c r="D22" i="24" l="1"/>
  <c r="F22" i="24" s="1"/>
  <c r="H22" i="24" s="1"/>
  <c r="F23" i="24"/>
  <c r="H23" i="24" s="1"/>
  <c r="F20" i="24"/>
  <c r="H20" i="24" s="1"/>
  <c r="F21" i="24"/>
  <c r="H21" i="24" s="1"/>
  <c r="D21" i="25" s="1"/>
  <c r="I26" i="24"/>
  <c r="G13" i="22"/>
  <c r="Q20" i="20"/>
  <c r="D20" i="25" l="1"/>
  <c r="F20" i="25" s="1"/>
  <c r="D22" i="25"/>
  <c r="F22" i="25" s="1"/>
  <c r="H22" i="25" s="1"/>
  <c r="D22" i="26" s="1"/>
  <c r="F22" i="26" s="1"/>
  <c r="H22" i="26" s="1"/>
  <c r="D23" i="25"/>
  <c r="F23" i="25" s="1"/>
  <c r="H23" i="25" s="1"/>
  <c r="F16" i="24"/>
  <c r="H16" i="24" s="1"/>
  <c r="H41" i="24"/>
  <c r="D41" i="24"/>
  <c r="G24" i="24"/>
  <c r="G28" i="24" s="1"/>
  <c r="E24" i="24"/>
  <c r="C24" i="24"/>
  <c r="D23" i="26" l="1"/>
  <c r="F23" i="26" s="1"/>
  <c r="H23" i="26" s="1"/>
  <c r="D23" i="27" s="1"/>
  <c r="F23" i="27" s="1"/>
  <c r="H23" i="27" s="1"/>
  <c r="D23" i="28" s="1"/>
  <c r="F23" i="28" s="1"/>
  <c r="H23" i="28" s="1"/>
  <c r="D23" i="29" s="1"/>
  <c r="F23" i="29" s="1"/>
  <c r="H23" i="29" s="1"/>
  <c r="D23" i="30" s="1"/>
  <c r="F23" i="30" s="1"/>
  <c r="H23" i="30" s="1"/>
  <c r="D23" i="31" s="1"/>
  <c r="F23" i="31" s="1"/>
  <c r="H23" i="31" s="1"/>
  <c r="D23" i="32" s="1"/>
  <c r="F23" i="32" s="1"/>
  <c r="H23" i="32" s="1"/>
  <c r="D23" i="33" s="1"/>
  <c r="F23" i="33" s="1"/>
  <c r="H23" i="33" s="1"/>
  <c r="D23" i="34" s="1"/>
  <c r="F23" i="34" s="1"/>
  <c r="H23" i="34" s="1"/>
  <c r="D23" i="35" s="1"/>
  <c r="F23" i="35" s="1"/>
  <c r="H23" i="35" s="1"/>
  <c r="D23" i="36" s="1"/>
  <c r="F23" i="36" s="1"/>
  <c r="H23" i="36" s="1"/>
  <c r="D23" i="37" s="1"/>
  <c r="F23" i="37" s="1"/>
  <c r="H23" i="37" s="1"/>
  <c r="D23" i="38" s="1"/>
  <c r="F23" i="38" s="1"/>
  <c r="H23" i="38" s="1"/>
  <c r="D23" i="39" s="1"/>
  <c r="F23" i="39" s="1"/>
  <c r="H23" i="39" s="1"/>
  <c r="D23" i="40" s="1"/>
  <c r="F23" i="40" s="1"/>
  <c r="H23" i="40" s="1"/>
  <c r="D16" i="25"/>
  <c r="F16" i="25" s="1"/>
  <c r="H16" i="25" s="1"/>
  <c r="D16" i="26" s="1"/>
  <c r="F16" i="26" s="1"/>
  <c r="H16" i="26" s="1"/>
  <c r="D16" i="27" s="1"/>
  <c r="F16" i="27" s="1"/>
  <c r="H16" i="27" s="1"/>
  <c r="D16" i="28" s="1"/>
  <c r="F16" i="28" s="1"/>
  <c r="H16" i="28" s="1"/>
  <c r="D16" i="29" s="1"/>
  <c r="F16" i="29" s="1"/>
  <c r="H16" i="29" s="1"/>
  <c r="C28" i="24"/>
  <c r="J22" i="24" s="1"/>
  <c r="F21" i="25"/>
  <c r="D31" i="24"/>
  <c r="C41" i="24" s="1"/>
  <c r="E41" i="24" s="1"/>
  <c r="K32" i="24" l="1"/>
  <c r="C29" i="25"/>
  <c r="C40" i="25" s="1"/>
  <c r="E40" i="25" s="1"/>
  <c r="C29" i="26" s="1"/>
  <c r="D16" i="30"/>
  <c r="F16" i="30" s="1"/>
  <c r="H16" i="30" s="1"/>
  <c r="D16" i="31" s="1"/>
  <c r="F16" i="31" s="1"/>
  <c r="H31" i="24"/>
  <c r="F7" i="26"/>
  <c r="F9" i="25"/>
  <c r="H9" i="25" s="1"/>
  <c r="D9" i="26" s="1"/>
  <c r="F9" i="26" s="1"/>
  <c r="H9" i="26" s="1"/>
  <c r="D9" i="27" s="1"/>
  <c r="F9" i="27" s="1"/>
  <c r="H9" i="27" s="1"/>
  <c r="D9" i="28" s="1"/>
  <c r="F9" i="28" s="1"/>
  <c r="H9" i="28" s="1"/>
  <c r="D9" i="29" s="1"/>
  <c r="F9" i="29" s="1"/>
  <c r="H9" i="29" s="1"/>
  <c r="D9" i="30" s="1"/>
  <c r="F9" i="30" s="1"/>
  <c r="H9" i="30" s="1"/>
  <c r="D9" i="31" s="1"/>
  <c r="F9" i="31" s="1"/>
  <c r="H9" i="31" s="1"/>
  <c r="D9" i="32" s="1"/>
  <c r="F9" i="32" s="1"/>
  <c r="H9" i="32" s="1"/>
  <c r="D9" i="33" s="1"/>
  <c r="F9" i="33" s="1"/>
  <c r="H9" i="33" s="1"/>
  <c r="D9" i="34" s="1"/>
  <c r="F9" i="34" s="1"/>
  <c r="H9" i="34" s="1"/>
  <c r="D9" i="35" s="1"/>
  <c r="F9" i="35" s="1"/>
  <c r="H9" i="35" s="1"/>
  <c r="D9" i="36" s="1"/>
  <c r="F9" i="36" s="1"/>
  <c r="H9" i="36" s="1"/>
  <c r="D9" i="37" s="1"/>
  <c r="F9" i="37" s="1"/>
  <c r="H9" i="37" s="1"/>
  <c r="D9" i="38" s="1"/>
  <c r="F9" i="38" s="1"/>
  <c r="H9" i="38" s="1"/>
  <c r="D9" i="39" s="1"/>
  <c r="F9" i="39" s="1"/>
  <c r="H9" i="39" s="1"/>
  <c r="D9" i="40" s="1"/>
  <c r="F9" i="40" s="1"/>
  <c r="H9" i="40" s="1"/>
  <c r="H21" i="25"/>
  <c r="H42" i="23"/>
  <c r="H16" i="31" l="1"/>
  <c r="D16" i="32" s="1"/>
  <c r="F16" i="32" s="1"/>
  <c r="H16" i="32" s="1"/>
  <c r="D16" i="33" s="1"/>
  <c r="D21" i="26"/>
  <c r="F21" i="26" s="1"/>
  <c r="H21" i="26" s="1"/>
  <c r="D21" i="27" s="1"/>
  <c r="F21" i="27" s="1"/>
  <c r="C42" i="26"/>
  <c r="E42" i="26" s="1"/>
  <c r="C29" i="27" s="1"/>
  <c r="C38" i="27" s="1"/>
  <c r="E38" i="27" s="1"/>
  <c r="H7" i="26"/>
  <c r="F7" i="27" s="1"/>
  <c r="H7" i="27" s="1"/>
  <c r="D7" i="28" s="1"/>
  <c r="F7" i="28" s="1"/>
  <c r="H7" i="28" s="1"/>
  <c r="D7" i="29" s="1"/>
  <c r="H36" i="22"/>
  <c r="D36" i="22"/>
  <c r="D42" i="23"/>
  <c r="D33" i="20"/>
  <c r="J5" i="20"/>
  <c r="G5" i="21"/>
  <c r="D32" i="20"/>
  <c r="F16" i="33" l="1"/>
  <c r="H16" i="33" s="1"/>
  <c r="D16" i="34" s="1"/>
  <c r="F7" i="29"/>
  <c r="C29" i="28"/>
  <c r="C38" i="28" s="1"/>
  <c r="E38" i="28" s="1"/>
  <c r="C29" i="29" s="1"/>
  <c r="C38" i="29" s="1"/>
  <c r="E38" i="29" s="1"/>
  <c r="C29" i="30" s="1"/>
  <c r="C38" i="30" s="1"/>
  <c r="E38" i="30" s="1"/>
  <c r="C29" i="31" s="1"/>
  <c r="C40" i="31" s="1"/>
  <c r="E40" i="31" s="1"/>
  <c r="H21" i="27"/>
  <c r="J7" i="26"/>
  <c r="G10" i="23"/>
  <c r="O13" i="23" s="1"/>
  <c r="F16" i="34" l="1"/>
  <c r="H16" i="34" s="1"/>
  <c r="D16" i="35" s="1"/>
  <c r="H7" i="29"/>
  <c r="D7" i="30" s="1"/>
  <c r="C29" i="32"/>
  <c r="F21" i="28"/>
  <c r="D32" i="21"/>
  <c r="D35" i="21"/>
  <c r="H35" i="21" s="1"/>
  <c r="E20" i="23"/>
  <c r="C25" i="23" s="1"/>
  <c r="C20" i="23"/>
  <c r="G20" i="23"/>
  <c r="G25" i="23" s="1"/>
  <c r="F16" i="35" l="1"/>
  <c r="H16" i="35" s="1"/>
  <c r="D16" i="36" s="1"/>
  <c r="F16" i="36" s="1"/>
  <c r="H16" i="36" s="1"/>
  <c r="C38" i="32"/>
  <c r="E38" i="32" s="1"/>
  <c r="C29" i="33" s="1"/>
  <c r="C38" i="33" s="1"/>
  <c r="E38" i="33" s="1"/>
  <c r="D36" i="21"/>
  <c r="H21" i="28"/>
  <c r="D21" i="29" s="1"/>
  <c r="F21" i="29" s="1"/>
  <c r="H21" i="29" s="1"/>
  <c r="D21" i="30" s="1"/>
  <c r="F21" i="30" s="1"/>
  <c r="H21" i="30" s="1"/>
  <c r="D21" i="31" s="1"/>
  <c r="F21" i="31" s="1"/>
  <c r="H21" i="31" s="1"/>
  <c r="D21" i="32" s="1"/>
  <c r="F21" i="32" s="1"/>
  <c r="H21" i="32" s="1"/>
  <c r="D21" i="33" s="1"/>
  <c r="F21" i="33" s="1"/>
  <c r="H21" i="33" s="1"/>
  <c r="D21" i="34" s="1"/>
  <c r="F21" i="34" s="1"/>
  <c r="H21" i="34" s="1"/>
  <c r="D21" i="35" s="1"/>
  <c r="F21" i="35" s="1"/>
  <c r="H21" i="35" s="1"/>
  <c r="D21" i="36" s="1"/>
  <c r="F21" i="36" s="1"/>
  <c r="H21" i="36" s="1"/>
  <c r="D21" i="37" s="1"/>
  <c r="F21" i="37" s="1"/>
  <c r="H21" i="37" s="1"/>
  <c r="D21" i="38" s="1"/>
  <c r="F21" i="38" s="1"/>
  <c r="H21" i="38" s="1"/>
  <c r="D21" i="39" s="1"/>
  <c r="F21" i="39" s="1"/>
  <c r="H21" i="39" s="1"/>
  <c r="D21" i="40" s="1"/>
  <c r="F21" i="40" s="1"/>
  <c r="H21" i="40" s="1"/>
  <c r="H28" i="23"/>
  <c r="D28" i="23"/>
  <c r="G10" i="22"/>
  <c r="D16" i="37" l="1"/>
  <c r="F16" i="37" s="1"/>
  <c r="C29" i="34"/>
  <c r="C38" i="34" s="1"/>
  <c r="E38" i="34" s="1"/>
  <c r="C29" i="35" s="1"/>
  <c r="C38" i="35" s="1"/>
  <c r="E38" i="35" s="1"/>
  <c r="C29" i="36" s="1"/>
  <c r="C38" i="36" s="1"/>
  <c r="E38" i="36" s="1"/>
  <c r="C29" i="37" s="1"/>
  <c r="C38" i="37" s="1"/>
  <c r="E38" i="37" s="1"/>
  <c r="C29" i="38" s="1"/>
  <c r="C35" i="38" s="1"/>
  <c r="E35" i="38" s="1"/>
  <c r="C29" i="39" s="1"/>
  <c r="C35" i="39" s="1"/>
  <c r="E35" i="39" s="1"/>
  <c r="C29" i="40" s="1"/>
  <c r="C35" i="40" s="1"/>
  <c r="E35" i="40" s="1"/>
  <c r="F7" i="30"/>
  <c r="G18" i="22"/>
  <c r="O18" i="22" s="1"/>
  <c r="H7" i="30" l="1"/>
  <c r="G10" i="21"/>
  <c r="H16" i="37" l="1"/>
  <c r="D7" i="31"/>
  <c r="F7" i="31" s="1"/>
  <c r="E20" i="22"/>
  <c r="C25" i="22" s="1"/>
  <c r="H28" i="22" s="1"/>
  <c r="C20" i="22"/>
  <c r="G20" i="22"/>
  <c r="G25" i="22" s="1"/>
  <c r="D16" i="38" l="1"/>
  <c r="F16" i="38" s="1"/>
  <c r="H7" i="31"/>
  <c r="D28" i="22"/>
  <c r="G19" i="21"/>
  <c r="H32" i="21"/>
  <c r="H36" i="21" s="1"/>
  <c r="H16" i="38" l="1"/>
  <c r="D16" i="39" s="1"/>
  <c r="F16" i="39" s="1"/>
  <c r="H16" i="39" s="1"/>
  <c r="D16" i="40" s="1"/>
  <c r="F16" i="40" s="1"/>
  <c r="H16" i="40" s="1"/>
  <c r="D7" i="32"/>
  <c r="F7" i="32" s="1"/>
  <c r="G18" i="21"/>
  <c r="H7" i="32" l="1"/>
  <c r="D7" i="33" s="1"/>
  <c r="F7" i="33" s="1"/>
  <c r="H7" i="33" s="1"/>
  <c r="D7" i="34" s="1"/>
  <c r="F7" i="34" s="1"/>
  <c r="G20" i="21"/>
  <c r="G25" i="21" s="1"/>
  <c r="O19" i="21"/>
  <c r="H7" i="34" l="1"/>
  <c r="D7" i="35" s="1"/>
  <c r="G5" i="20"/>
  <c r="G10" i="20"/>
  <c r="G16" i="19"/>
  <c r="P13" i="20" l="1"/>
  <c r="P17" i="20" s="1"/>
  <c r="P19" i="20" s="1"/>
  <c r="P21" i="20" s="1"/>
  <c r="P24" i="20" s="1"/>
  <c r="P20" i="21" s="1"/>
  <c r="O21" i="21" s="1"/>
  <c r="O23" i="21" s="1"/>
  <c r="O25" i="21" s="1"/>
  <c r="O27" i="21" s="1"/>
  <c r="P19" i="22" s="1"/>
  <c r="O20" i="22" s="1"/>
  <c r="O22" i="22" s="1"/>
  <c r="O25" i="22" s="1"/>
  <c r="P15" i="23" s="1"/>
  <c r="O16" i="23" s="1"/>
  <c r="O18" i="23" s="1"/>
  <c r="O20" i="23" s="1"/>
  <c r="G22" i="20"/>
  <c r="K8" i="20"/>
  <c r="G5" i="19"/>
  <c r="H32" i="20"/>
  <c r="F7" i="35" l="1"/>
  <c r="E20" i="21"/>
  <c r="C25" i="21" s="1"/>
  <c r="C20" i="21"/>
  <c r="C25" i="12"/>
  <c r="D30" i="13"/>
  <c r="D31" i="12"/>
  <c r="D29" i="5"/>
  <c r="H7" i="35" l="1"/>
  <c r="D7" i="36" s="1"/>
  <c r="F7" i="36" s="1"/>
  <c r="H7" i="36" s="1"/>
  <c r="D7" i="37" s="1"/>
  <c r="F7" i="37" s="1"/>
  <c r="H7" i="37" s="1"/>
  <c r="F7" i="38" s="1"/>
  <c r="H7" i="38" s="1"/>
  <c r="D7" i="39" s="1"/>
  <c r="F7" i="39" s="1"/>
  <c r="H7" i="39" s="1"/>
  <c r="D7" i="40" s="1"/>
  <c r="F7" i="40" s="1"/>
  <c r="H7" i="40" s="1"/>
  <c r="D28" i="21"/>
  <c r="H28" i="21" s="1"/>
  <c r="H36" i="20" l="1"/>
  <c r="D36" i="20"/>
  <c r="E20" i="20"/>
  <c r="C25" i="20" s="1"/>
  <c r="H28" i="20" s="1"/>
  <c r="C20" i="20"/>
  <c r="G20" i="20"/>
  <c r="H22" i="20" l="1"/>
  <c r="G25" i="20"/>
  <c r="K26" i="20" s="1"/>
  <c r="L26" i="20" s="1"/>
  <c r="L27" i="20" s="1"/>
  <c r="L28" i="20" s="1"/>
  <c r="D28" i="20"/>
  <c r="K27" i="20" l="1"/>
  <c r="G19" i="18"/>
  <c r="G16" i="18" l="1"/>
  <c r="G10" i="18" l="1"/>
  <c r="F7" i="19" l="1"/>
  <c r="H7" i="19" s="1"/>
  <c r="D7" i="20" s="1"/>
  <c r="F7" i="20" s="1"/>
  <c r="H7" i="20" s="1"/>
  <c r="H37" i="19"/>
  <c r="D37" i="19"/>
  <c r="E20" i="19"/>
  <c r="C20" i="19"/>
  <c r="G20" i="19"/>
  <c r="G25" i="19" s="1"/>
  <c r="D7" i="21" l="1"/>
  <c r="F7" i="21" s="1"/>
  <c r="H7" i="21" s="1"/>
  <c r="D7" i="22" s="1"/>
  <c r="F7" i="22" s="1"/>
  <c r="H7" i="22" s="1"/>
  <c r="C25" i="19"/>
  <c r="D28" i="19" s="1"/>
  <c r="H28" i="19" s="1"/>
  <c r="J11" i="19"/>
  <c r="G14" i="18"/>
  <c r="H31" i="18"/>
  <c r="D31" i="18"/>
  <c r="H33" i="18"/>
  <c r="D33" i="18"/>
  <c r="D7" i="23" l="1"/>
  <c r="F7" i="23" s="1"/>
  <c r="H7" i="23" s="1"/>
  <c r="G13" i="18"/>
  <c r="D7" i="24" l="1"/>
  <c r="F7" i="24" s="1"/>
  <c r="H7" i="24" s="1"/>
  <c r="D7" i="25" s="1"/>
  <c r="F7" i="25" s="1"/>
  <c r="H7" i="25" s="1"/>
  <c r="J7" i="25" s="1"/>
  <c r="D36" i="18"/>
  <c r="D36" i="17"/>
  <c r="G7" i="14"/>
  <c r="G14" i="17" l="1"/>
  <c r="G5" i="16" l="1"/>
  <c r="G10" i="17" l="1"/>
  <c r="H36" i="18"/>
  <c r="G20" i="18"/>
  <c r="G25" i="18" s="1"/>
  <c r="E20" i="18"/>
  <c r="C25" i="18" s="1"/>
  <c r="C20" i="18"/>
  <c r="D28" i="18" l="1"/>
  <c r="H28" i="18" s="1"/>
  <c r="D32" i="14"/>
  <c r="G13" i="17"/>
  <c r="D33" i="16" l="1"/>
  <c r="H33" i="16" s="1"/>
  <c r="H32" i="16" l="1"/>
  <c r="D32" i="16"/>
  <c r="H36" i="17"/>
  <c r="G20" i="17"/>
  <c r="G25" i="17" s="1"/>
  <c r="E20" i="17"/>
  <c r="C25" i="17" s="1"/>
  <c r="C20" i="17"/>
  <c r="D28" i="17" l="1"/>
  <c r="H28" i="17" s="1"/>
  <c r="G10" i="16"/>
  <c r="E20" i="16" l="1"/>
  <c r="H36" i="16" l="1"/>
  <c r="D36" i="16"/>
  <c r="C25" i="16"/>
  <c r="C20" i="16"/>
  <c r="G20" i="16"/>
  <c r="G25" i="16" s="1"/>
  <c r="D28" i="16" l="1"/>
  <c r="H28" i="16" s="1"/>
  <c r="G16" i="15"/>
  <c r="G10" i="15" l="1"/>
  <c r="G15" i="12" l="1"/>
  <c r="G14" i="15"/>
  <c r="G10" i="14" l="1"/>
  <c r="G14" i="14" l="1"/>
  <c r="G15" i="14" l="1"/>
  <c r="E20" i="14" l="1"/>
  <c r="D11" i="15" l="1"/>
  <c r="H36" i="15"/>
  <c r="D36" i="15"/>
  <c r="G20" i="15"/>
  <c r="G25" i="15" s="1"/>
  <c r="E20" i="15"/>
  <c r="C25" i="15" s="1"/>
  <c r="C20" i="15"/>
  <c r="F11" i="15"/>
  <c r="H11" i="15" s="1"/>
  <c r="D11" i="16" s="1"/>
  <c r="F11" i="16" s="1"/>
  <c r="H11" i="16" s="1"/>
  <c r="D11" i="17" s="1"/>
  <c r="F11" i="17" s="1"/>
  <c r="H11" i="17" s="1"/>
  <c r="D11" i="18" s="1"/>
  <c r="F11" i="18" s="1"/>
  <c r="H11" i="18" s="1"/>
  <c r="D11" i="19" s="1"/>
  <c r="F11" i="19" s="1"/>
  <c r="H11" i="19" s="1"/>
  <c r="D11" i="20" s="1"/>
  <c r="F11" i="20" s="1"/>
  <c r="H11" i="20" s="1"/>
  <c r="D11" i="21" s="1"/>
  <c r="F11" i="21" s="1"/>
  <c r="H11" i="21" s="1"/>
  <c r="D11" i="22" s="1"/>
  <c r="F11" i="22" s="1"/>
  <c r="H11" i="22" s="1"/>
  <c r="D11" i="23" s="1"/>
  <c r="F11" i="23" s="1"/>
  <c r="H11" i="23" s="1"/>
  <c r="D11" i="24" s="1"/>
  <c r="F11" i="24" s="1"/>
  <c r="H11" i="24" s="1"/>
  <c r="H32" i="14"/>
  <c r="D11" i="25" l="1"/>
  <c r="F11" i="25" s="1"/>
  <c r="H11" i="25" s="1"/>
  <c r="D11" i="26" s="1"/>
  <c r="F11" i="26" s="1"/>
  <c r="H11" i="26" s="1"/>
  <c r="D11" i="27" s="1"/>
  <c r="F11" i="27" s="1"/>
  <c r="H11" i="27" s="1"/>
  <c r="D11" i="28" s="1"/>
  <c r="F11" i="28" s="1"/>
  <c r="H11" i="28" s="1"/>
  <c r="D11" i="29" s="1"/>
  <c r="F11" i="29" s="1"/>
  <c r="H11" i="29" s="1"/>
  <c r="D28" i="15"/>
  <c r="H28" i="15" s="1"/>
  <c r="D11" i="30" l="1"/>
  <c r="F11" i="30" s="1"/>
  <c r="H11" i="30" s="1"/>
  <c r="D11" i="31" s="1"/>
  <c r="F11" i="31" s="1"/>
  <c r="H11" i="31" s="1"/>
  <c r="D11" i="32" s="1"/>
  <c r="F11" i="32" s="1"/>
  <c r="H11" i="32" s="1"/>
  <c r="D11" i="33" s="1"/>
  <c r="F11" i="33" s="1"/>
  <c r="H11" i="33" s="1"/>
  <c r="D11" i="34" s="1"/>
  <c r="F11" i="34" s="1"/>
  <c r="H11" i="34" s="1"/>
  <c r="E19" i="13"/>
  <c r="D11" i="35" l="1"/>
  <c r="F11" i="35" s="1"/>
  <c r="H11" i="35" s="1"/>
  <c r="D11" i="36" s="1"/>
  <c r="F11" i="36" s="1"/>
  <c r="H11" i="36" s="1"/>
  <c r="D11" i="37" s="1"/>
  <c r="F11" i="37" s="1"/>
  <c r="H11" i="37" s="1"/>
  <c r="F15" i="14"/>
  <c r="H15" i="14" s="1"/>
  <c r="D15" i="15" s="1"/>
  <c r="F15" i="15" s="1"/>
  <c r="H15" i="15" s="1"/>
  <c r="D15" i="16" s="1"/>
  <c r="F15" i="16" s="1"/>
  <c r="H15" i="16" s="1"/>
  <c r="D15" i="17" s="1"/>
  <c r="F15" i="17" s="1"/>
  <c r="H15" i="17" s="1"/>
  <c r="D15" i="18" s="1"/>
  <c r="F15" i="18" s="1"/>
  <c r="H15" i="18" s="1"/>
  <c r="D15" i="19" s="1"/>
  <c r="F15" i="19" s="1"/>
  <c r="H15" i="19" s="1"/>
  <c r="D15" i="20" s="1"/>
  <c r="F15" i="20" s="1"/>
  <c r="H15" i="20" s="1"/>
  <c r="D15" i="21" s="1"/>
  <c r="F15" i="21" s="1"/>
  <c r="H15" i="21" s="1"/>
  <c r="D15" i="22" s="1"/>
  <c r="F15" i="22" s="1"/>
  <c r="H15" i="22" s="1"/>
  <c r="D15" i="23" s="1"/>
  <c r="F15" i="23" s="1"/>
  <c r="H15" i="23" s="1"/>
  <c r="D15" i="24" s="1"/>
  <c r="F15" i="24" s="1"/>
  <c r="H15" i="24" s="1"/>
  <c r="D36" i="14"/>
  <c r="C25" i="14"/>
  <c r="C20" i="14"/>
  <c r="F12" i="14"/>
  <c r="H12" i="14" s="1"/>
  <c r="D12" i="15" s="1"/>
  <c r="F12" i="15" s="1"/>
  <c r="H12" i="15" s="1"/>
  <c r="D12" i="16" s="1"/>
  <c r="F12" i="16" s="1"/>
  <c r="H12" i="16" s="1"/>
  <c r="D12" i="17" s="1"/>
  <c r="F12" i="17" s="1"/>
  <c r="H12" i="17" s="1"/>
  <c r="D12" i="18" s="1"/>
  <c r="F12" i="18" s="1"/>
  <c r="H12" i="18" s="1"/>
  <c r="D12" i="19" s="1"/>
  <c r="F12" i="19" s="1"/>
  <c r="H12" i="19" s="1"/>
  <c r="D12" i="20" s="1"/>
  <c r="F12" i="20" s="1"/>
  <c r="H12" i="20" s="1"/>
  <c r="D12" i="21" s="1"/>
  <c r="F12" i="21" s="1"/>
  <c r="H12" i="21" s="1"/>
  <c r="D12" i="22" s="1"/>
  <c r="F12" i="22" s="1"/>
  <c r="H12" i="22" s="1"/>
  <c r="D12" i="23" s="1"/>
  <c r="F12" i="23" s="1"/>
  <c r="H12" i="23" s="1"/>
  <c r="D12" i="24" s="1"/>
  <c r="F12" i="24" s="1"/>
  <c r="H12" i="24" s="1"/>
  <c r="G20" i="14"/>
  <c r="H30" i="13"/>
  <c r="G10" i="13"/>
  <c r="D12" i="25" l="1"/>
  <c r="F12" i="25" s="1"/>
  <c r="H12" i="25" s="1"/>
  <c r="D12" i="26" s="1"/>
  <c r="F12" i="26" s="1"/>
  <c r="H12" i="26" s="1"/>
  <c r="D12" i="27" s="1"/>
  <c r="F12" i="27" s="1"/>
  <c r="H12" i="27" s="1"/>
  <c r="D12" i="28" s="1"/>
  <c r="F12" i="28" s="1"/>
  <c r="H12" i="28" s="1"/>
  <c r="D12" i="29" s="1"/>
  <c r="F12" i="29" s="1"/>
  <c r="H12" i="29" s="1"/>
  <c r="G25" i="14"/>
  <c r="D28" i="14"/>
  <c r="H28" i="14" s="1"/>
  <c r="H36" i="14"/>
  <c r="G5" i="13"/>
  <c r="D12" i="30" l="1"/>
  <c r="F12" i="30" s="1"/>
  <c r="H12" i="30" s="1"/>
  <c r="D12" i="31" s="1"/>
  <c r="F12" i="31" s="1"/>
  <c r="H12" i="31" s="1"/>
  <c r="D12" i="32" s="1"/>
  <c r="F12" i="32" s="1"/>
  <c r="H12" i="32" s="1"/>
  <c r="D12" i="33" s="1"/>
  <c r="F12" i="33" s="1"/>
  <c r="H12" i="33" s="1"/>
  <c r="D12" i="34" s="1"/>
  <c r="F12" i="34" s="1"/>
  <c r="H12" i="34" s="1"/>
  <c r="D12" i="35" s="1"/>
  <c r="F12" i="35" s="1"/>
  <c r="H12" i="35" s="1"/>
  <c r="D12" i="36" s="1"/>
  <c r="F12" i="36" s="1"/>
  <c r="H12" i="36" s="1"/>
  <c r="D12" i="37" s="1"/>
  <c r="F12" i="37" s="1"/>
  <c r="H12" i="37" s="1"/>
  <c r="D12" i="38" s="1"/>
  <c r="F12" i="38" s="1"/>
  <c r="H12" i="38" s="1"/>
  <c r="D12" i="39" s="1"/>
  <c r="F12" i="39" s="1"/>
  <c r="H12" i="39" s="1"/>
  <c r="D12" i="40" s="1"/>
  <c r="F12" i="40" s="1"/>
  <c r="H12" i="40" s="1"/>
  <c r="D32" i="12"/>
  <c r="H32" i="12" s="1"/>
  <c r="H31" i="12" l="1"/>
  <c r="D30" i="10"/>
  <c r="F14" i="12"/>
  <c r="H14" i="12" s="1"/>
  <c r="D14" i="13" s="1"/>
  <c r="F14" i="13" s="1"/>
  <c r="H14" i="13" s="1"/>
  <c r="D14" i="14" s="1"/>
  <c r="F14" i="14" s="1"/>
  <c r="H14" i="14" s="1"/>
  <c r="D14" i="15" s="1"/>
  <c r="F14" i="15" s="1"/>
  <c r="H14" i="15" s="1"/>
  <c r="D14" i="16" s="1"/>
  <c r="D35" i="11"/>
  <c r="D35" i="13"/>
  <c r="G19" i="13"/>
  <c r="G24" i="13" s="1"/>
  <c r="C24" i="13"/>
  <c r="C19" i="13"/>
  <c r="F14" i="16" l="1"/>
  <c r="D27" i="13"/>
  <c r="H27" i="13" s="1"/>
  <c r="H14" i="16" l="1"/>
  <c r="L19" i="13"/>
  <c r="L20" i="13" s="1"/>
  <c r="E19" i="12"/>
  <c r="C24" i="12" s="1"/>
  <c r="D27" i="12" s="1"/>
  <c r="E19" i="11"/>
  <c r="D14" i="17" l="1"/>
  <c r="H30" i="10"/>
  <c r="F14" i="17" l="1"/>
  <c r="H35" i="12"/>
  <c r="D35" i="12"/>
  <c r="G19" i="12"/>
  <c r="C19" i="12"/>
  <c r="G24" i="12" l="1"/>
  <c r="H14" i="17"/>
  <c r="G19" i="11"/>
  <c r="G24" i="11" s="1"/>
  <c r="H35" i="11"/>
  <c r="C24" i="11"/>
  <c r="D19" i="11"/>
  <c r="C19" i="11"/>
  <c r="F18" i="11"/>
  <c r="H18" i="11" s="1"/>
  <c r="D18" i="12" s="1"/>
  <c r="F18" i="12" s="1"/>
  <c r="H18" i="12" s="1"/>
  <c r="D18" i="13" s="1"/>
  <c r="F17" i="11"/>
  <c r="H17" i="11" s="1"/>
  <c r="D17" i="12" s="1"/>
  <c r="F17" i="12" s="1"/>
  <c r="H17" i="12" s="1"/>
  <c r="D17" i="13" s="1"/>
  <c r="F16" i="11"/>
  <c r="H16" i="11" s="1"/>
  <c r="D16" i="12" s="1"/>
  <c r="F16" i="12" s="1"/>
  <c r="H16" i="12" s="1"/>
  <c r="D16" i="13" s="1"/>
  <c r="F16" i="13" s="1"/>
  <c r="H16" i="13" s="1"/>
  <c r="F15" i="11"/>
  <c r="H15" i="11" s="1"/>
  <c r="D15" i="12" s="1"/>
  <c r="F15" i="12" s="1"/>
  <c r="H15" i="12" s="1"/>
  <c r="D15" i="13" s="1"/>
  <c r="F15" i="13" s="1"/>
  <c r="H15" i="13" s="1"/>
  <c r="D16" i="14" s="1"/>
  <c r="F16" i="14" s="1"/>
  <c r="H16" i="14" s="1"/>
  <c r="D16" i="15" s="1"/>
  <c r="F16" i="15" s="1"/>
  <c r="H16" i="15" s="1"/>
  <c r="F14" i="11"/>
  <c r="F13" i="11"/>
  <c r="H13" i="11" s="1"/>
  <c r="D13" i="12" s="1"/>
  <c r="F13" i="12" s="1"/>
  <c r="H13" i="12" s="1"/>
  <c r="D13" i="13" s="1"/>
  <c r="F13" i="13" s="1"/>
  <c r="H13" i="13" s="1"/>
  <c r="F12" i="11"/>
  <c r="H12" i="11" s="1"/>
  <c r="D12" i="12" s="1"/>
  <c r="F12" i="12" s="1"/>
  <c r="H12" i="12" s="1"/>
  <c r="D12" i="13" s="1"/>
  <c r="F12" i="13" s="1"/>
  <c r="H12" i="13" s="1"/>
  <c r="D13" i="14" s="1"/>
  <c r="F13" i="14" s="1"/>
  <c r="H13" i="14" s="1"/>
  <c r="D13" i="15" s="1"/>
  <c r="F13" i="15" s="1"/>
  <c r="H13" i="15" s="1"/>
  <c r="D13" i="16" s="1"/>
  <c r="F13" i="16" s="1"/>
  <c r="H13" i="16" s="1"/>
  <c r="D13" i="17" s="1"/>
  <c r="F13" i="17" s="1"/>
  <c r="H13" i="17" s="1"/>
  <c r="D13" i="18" s="1"/>
  <c r="F13" i="18" s="1"/>
  <c r="H13" i="18" s="1"/>
  <c r="D13" i="19" s="1"/>
  <c r="F13" i="19" s="1"/>
  <c r="H13" i="19" s="1"/>
  <c r="D13" i="20" s="1"/>
  <c r="F13" i="20" s="1"/>
  <c r="H13" i="20" s="1"/>
  <c r="D13" i="21" s="1"/>
  <c r="F13" i="21" s="1"/>
  <c r="H13" i="21" s="1"/>
  <c r="D13" i="22" s="1"/>
  <c r="F13" i="22" s="1"/>
  <c r="H13" i="22" s="1"/>
  <c r="D13" i="23" s="1"/>
  <c r="F13" i="23" s="1"/>
  <c r="H13" i="23" s="1"/>
  <c r="D13" i="24" s="1"/>
  <c r="F13" i="24" s="1"/>
  <c r="H13" i="24" s="1"/>
  <c r="F11" i="11"/>
  <c r="H11" i="11" s="1"/>
  <c r="D11" i="12" s="1"/>
  <c r="F11" i="12" s="1"/>
  <c r="F10" i="11"/>
  <c r="H10" i="11" s="1"/>
  <c r="D10" i="12" s="1"/>
  <c r="F10" i="12" s="1"/>
  <c r="H10" i="12" s="1"/>
  <c r="D10" i="13" s="1"/>
  <c r="F10" i="13" s="1"/>
  <c r="H10" i="13" s="1"/>
  <c r="D10" i="14" s="1"/>
  <c r="F10" i="14" s="1"/>
  <c r="H10" i="14" s="1"/>
  <c r="D10" i="15" s="1"/>
  <c r="F10" i="15" s="1"/>
  <c r="H10" i="15" s="1"/>
  <c r="D10" i="16" s="1"/>
  <c r="F10" i="16" s="1"/>
  <c r="H10" i="16" s="1"/>
  <c r="D10" i="17" s="1"/>
  <c r="F10" i="17" s="1"/>
  <c r="H10" i="17" s="1"/>
  <c r="D10" i="18" s="1"/>
  <c r="F10" i="18" s="1"/>
  <c r="H10" i="18" s="1"/>
  <c r="D10" i="19" s="1"/>
  <c r="F10" i="19" s="1"/>
  <c r="H10" i="19" s="1"/>
  <c r="D10" i="20" s="1"/>
  <c r="F10" i="20" s="1"/>
  <c r="H10" i="20" s="1"/>
  <c r="D10" i="21" s="1"/>
  <c r="F10" i="21" s="1"/>
  <c r="H10" i="21" s="1"/>
  <c r="D10" i="22" s="1"/>
  <c r="F10" i="22" s="1"/>
  <c r="H10" i="22" s="1"/>
  <c r="D10" i="23" s="1"/>
  <c r="F10" i="23" s="1"/>
  <c r="H10" i="23" s="1"/>
  <c r="F9" i="11"/>
  <c r="H9" i="11" s="1"/>
  <c r="D9" i="12" s="1"/>
  <c r="F9" i="12" s="1"/>
  <c r="H9" i="12" s="1"/>
  <c r="D9" i="13" s="1"/>
  <c r="F9" i="13" s="1"/>
  <c r="H9" i="13" s="1"/>
  <c r="D9" i="14" s="1"/>
  <c r="F9" i="14" s="1"/>
  <c r="H9" i="14" s="1"/>
  <c r="D9" i="15" s="1"/>
  <c r="F9" i="15" s="1"/>
  <c r="H9" i="15" s="1"/>
  <c r="D9" i="16" s="1"/>
  <c r="F9" i="16" s="1"/>
  <c r="H9" i="16" s="1"/>
  <c r="D9" i="17" s="1"/>
  <c r="F9" i="17" s="1"/>
  <c r="H9" i="17" s="1"/>
  <c r="D9" i="18" s="1"/>
  <c r="F9" i="18" s="1"/>
  <c r="H9" i="18" s="1"/>
  <c r="D9" i="19" s="1"/>
  <c r="F9" i="19" s="1"/>
  <c r="H9" i="19" s="1"/>
  <c r="D9" i="20" s="1"/>
  <c r="F9" i="20" s="1"/>
  <c r="H9" i="20" s="1"/>
  <c r="D9" i="21" s="1"/>
  <c r="F9" i="21" s="1"/>
  <c r="H9" i="21" s="1"/>
  <c r="D9" i="22" s="1"/>
  <c r="F9" i="22" s="1"/>
  <c r="H9" i="22" s="1"/>
  <c r="D9" i="23" s="1"/>
  <c r="F9" i="23" s="1"/>
  <c r="H9" i="23" s="1"/>
  <c r="D9" i="24" s="1"/>
  <c r="F9" i="24" s="1"/>
  <c r="H9" i="24" s="1"/>
  <c r="F8" i="11"/>
  <c r="H8" i="11" s="1"/>
  <c r="D8" i="12" s="1"/>
  <c r="F7" i="11"/>
  <c r="H7" i="11" s="1"/>
  <c r="D7" i="12" s="1"/>
  <c r="F7" i="12" s="1"/>
  <c r="H7" i="12" s="1"/>
  <c r="D7" i="13" s="1"/>
  <c r="F7" i="13" s="1"/>
  <c r="H7" i="13" s="1"/>
  <c r="D7" i="14" s="1"/>
  <c r="F7" i="14" s="1"/>
  <c r="H7" i="14" s="1"/>
  <c r="D7" i="15" s="1"/>
  <c r="F7" i="15" s="1"/>
  <c r="H7" i="15" s="1"/>
  <c r="D7" i="16" s="1"/>
  <c r="F7" i="16" s="1"/>
  <c r="H7" i="16" s="1"/>
  <c r="D7" i="17" s="1"/>
  <c r="F7" i="17" s="1"/>
  <c r="H7" i="17" s="1"/>
  <c r="D7" i="18" s="1"/>
  <c r="F7" i="18" s="1"/>
  <c r="H7" i="18" s="1"/>
  <c r="F6" i="11"/>
  <c r="D6" i="12" s="1"/>
  <c r="F5" i="11"/>
  <c r="D16" i="16" l="1"/>
  <c r="F16" i="16" s="1"/>
  <c r="H16" i="16" s="1"/>
  <c r="D16" i="17" s="1"/>
  <c r="F16" i="17" s="1"/>
  <c r="H16" i="17" s="1"/>
  <c r="D16" i="18" s="1"/>
  <c r="F16" i="18" s="1"/>
  <c r="H16" i="18" s="1"/>
  <c r="D16" i="19" s="1"/>
  <c r="F16" i="19" s="1"/>
  <c r="H16" i="19" s="1"/>
  <c r="D16" i="20" s="1"/>
  <c r="F16" i="20" s="1"/>
  <c r="H16" i="20" s="1"/>
  <c r="D16" i="21" s="1"/>
  <c r="F16" i="21" s="1"/>
  <c r="H16" i="21" s="1"/>
  <c r="D16" i="22" s="1"/>
  <c r="F16" i="22" s="1"/>
  <c r="H16" i="22" s="1"/>
  <c r="D16" i="23" s="1"/>
  <c r="F16" i="23" s="1"/>
  <c r="H16" i="23" s="1"/>
  <c r="H11" i="12"/>
  <c r="D11" i="13" s="1"/>
  <c r="F11" i="13" s="1"/>
  <c r="H11" i="13" s="1"/>
  <c r="D11" i="14" s="1"/>
  <c r="F11" i="14" s="1"/>
  <c r="D18" i="14"/>
  <c r="F18" i="14" s="1"/>
  <c r="H18" i="14" s="1"/>
  <c r="D18" i="15" s="1"/>
  <c r="F18" i="15" s="1"/>
  <c r="H18" i="15" s="1"/>
  <c r="D18" i="16" s="1"/>
  <c r="F18" i="16" s="1"/>
  <c r="H18" i="16" s="1"/>
  <c r="D18" i="17" s="1"/>
  <c r="F18" i="17" s="1"/>
  <c r="H18" i="17" s="1"/>
  <c r="D18" i="18" s="1"/>
  <c r="F18" i="18" s="1"/>
  <c r="H18" i="18" s="1"/>
  <c r="D18" i="19" s="1"/>
  <c r="F18" i="19" s="1"/>
  <c r="H18" i="19" s="1"/>
  <c r="D18" i="20" s="1"/>
  <c r="F18" i="20" s="1"/>
  <c r="H18" i="20" s="1"/>
  <c r="D18" i="21" s="1"/>
  <c r="F18" i="21" s="1"/>
  <c r="H18" i="21" s="1"/>
  <c r="D18" i="22" s="1"/>
  <c r="F18" i="22" s="1"/>
  <c r="H18" i="22" s="1"/>
  <c r="D18" i="23" s="1"/>
  <c r="F18" i="23" s="1"/>
  <c r="H18" i="23" s="1"/>
  <c r="D18" i="24" s="1"/>
  <c r="F18" i="24" s="1"/>
  <c r="H18" i="24" s="1"/>
  <c r="F17" i="13"/>
  <c r="H17" i="13" s="1"/>
  <c r="D17" i="14" s="1"/>
  <c r="F17" i="14" s="1"/>
  <c r="H17" i="14" s="1"/>
  <c r="D17" i="15" s="1"/>
  <c r="F17" i="15" s="1"/>
  <c r="H17" i="15" s="1"/>
  <c r="D17" i="16" s="1"/>
  <c r="F17" i="16" s="1"/>
  <c r="H17" i="16" s="1"/>
  <c r="D17" i="17" s="1"/>
  <c r="F17" i="17" s="1"/>
  <c r="H17" i="17" s="1"/>
  <c r="D17" i="18" s="1"/>
  <c r="F17" i="18" s="1"/>
  <c r="H17" i="18" s="1"/>
  <c r="D17" i="19" s="1"/>
  <c r="F17" i="19" s="1"/>
  <c r="H17" i="19" s="1"/>
  <c r="D17" i="20" s="1"/>
  <c r="F17" i="20" s="1"/>
  <c r="H17" i="20" s="1"/>
  <c r="D17" i="21" s="1"/>
  <c r="F17" i="21" s="1"/>
  <c r="H17" i="21" s="1"/>
  <c r="D17" i="22" s="1"/>
  <c r="F17" i="22" s="1"/>
  <c r="H17" i="22" s="1"/>
  <c r="D17" i="23" s="1"/>
  <c r="F17" i="23" s="1"/>
  <c r="H17" i="23" s="1"/>
  <c r="F17" i="24" s="1"/>
  <c r="H17" i="24" s="1"/>
  <c r="D17" i="25" s="1"/>
  <c r="F10" i="24"/>
  <c r="D13" i="25"/>
  <c r="F13" i="25" s="1"/>
  <c r="H13" i="25" s="1"/>
  <c r="J13" i="24"/>
  <c r="D19" i="14"/>
  <c r="F19" i="14" s="1"/>
  <c r="H19" i="14" s="1"/>
  <c r="D19" i="15" s="1"/>
  <c r="F19" i="15" s="1"/>
  <c r="H19" i="15" s="1"/>
  <c r="D19" i="16" s="1"/>
  <c r="F19" i="16" s="1"/>
  <c r="H19" i="16" s="1"/>
  <c r="D19" i="17" s="1"/>
  <c r="F19" i="17" s="1"/>
  <c r="H19" i="17" s="1"/>
  <c r="D19" i="18" s="1"/>
  <c r="F19" i="18" s="1"/>
  <c r="H19" i="18" s="1"/>
  <c r="D19" i="19" s="1"/>
  <c r="F19" i="19" s="1"/>
  <c r="H19" i="19" s="1"/>
  <c r="D19" i="20" s="1"/>
  <c r="F19" i="20" s="1"/>
  <c r="H19" i="20" s="1"/>
  <c r="D19" i="21" s="1"/>
  <c r="F19" i="21" s="1"/>
  <c r="H19" i="21" s="1"/>
  <c r="D19" i="22" s="1"/>
  <c r="F19" i="22" s="1"/>
  <c r="H19" i="22" s="1"/>
  <c r="D19" i="23" s="1"/>
  <c r="F19" i="23" s="1"/>
  <c r="H19" i="23" s="1"/>
  <c r="D19" i="24" s="1"/>
  <c r="F19" i="24" s="1"/>
  <c r="H19" i="24" s="1"/>
  <c r="F18" i="13"/>
  <c r="H18" i="13" s="1"/>
  <c r="D14" i="18"/>
  <c r="F8" i="12"/>
  <c r="H27" i="12"/>
  <c r="F6" i="12"/>
  <c r="F19" i="11"/>
  <c r="D27" i="11"/>
  <c r="H27" i="11" s="1"/>
  <c r="H5" i="11"/>
  <c r="H35" i="10"/>
  <c r="D35" i="10"/>
  <c r="H10" i="24" l="1"/>
  <c r="D18" i="25"/>
  <c r="F18" i="25" s="1"/>
  <c r="H18" i="25" s="1"/>
  <c r="F17" i="25"/>
  <c r="H17" i="25" s="1"/>
  <c r="D17" i="26" s="1"/>
  <c r="F17" i="26" s="1"/>
  <c r="H17" i="26" s="1"/>
  <c r="D17" i="27" s="1"/>
  <c r="F17" i="27" s="1"/>
  <c r="H17" i="27" s="1"/>
  <c r="D17" i="28" s="1"/>
  <c r="F17" i="28" s="1"/>
  <c r="H17" i="28" s="1"/>
  <c r="D17" i="29" s="1"/>
  <c r="F17" i="29" s="1"/>
  <c r="H17" i="29" s="1"/>
  <c r="D13" i="26"/>
  <c r="F13" i="26" s="1"/>
  <c r="H13" i="26" s="1"/>
  <c r="J13" i="25"/>
  <c r="H6" i="12"/>
  <c r="D6" i="13" s="1"/>
  <c r="F6" i="13" s="1"/>
  <c r="H6" i="13" s="1"/>
  <c r="D6" i="14" s="1"/>
  <c r="F6" i="14" s="1"/>
  <c r="H6" i="14" s="1"/>
  <c r="D6" i="15" s="1"/>
  <c r="F6" i="15" s="1"/>
  <c r="H6" i="15" s="1"/>
  <c r="D6" i="16" s="1"/>
  <c r="F6" i="16" s="1"/>
  <c r="H6" i="16" s="1"/>
  <c r="D6" i="17" s="1"/>
  <c r="F6" i="17" s="1"/>
  <c r="H6" i="17" s="1"/>
  <c r="F6" i="18" s="1"/>
  <c r="H6" i="18" s="1"/>
  <c r="D6" i="19" s="1"/>
  <c r="F6" i="19" s="1"/>
  <c r="H6" i="19" s="1"/>
  <c r="D6" i="20" s="1"/>
  <c r="F6" i="20" s="1"/>
  <c r="H6" i="20" s="1"/>
  <c r="D6" i="21" s="1"/>
  <c r="F6" i="21" s="1"/>
  <c r="H6" i="21" s="1"/>
  <c r="D6" i="22" s="1"/>
  <c r="F6" i="22" s="1"/>
  <c r="H6" i="22" s="1"/>
  <c r="D6" i="23" s="1"/>
  <c r="F6" i="23" s="1"/>
  <c r="H6" i="23" s="1"/>
  <c r="D6" i="24" s="1"/>
  <c r="F6" i="24" s="1"/>
  <c r="H6" i="24" s="1"/>
  <c r="H8" i="12"/>
  <c r="D8" i="13" s="1"/>
  <c r="F8" i="13" s="1"/>
  <c r="H8" i="13" s="1"/>
  <c r="D8" i="14" s="1"/>
  <c r="F8" i="14" s="1"/>
  <c r="H8" i="14" s="1"/>
  <c r="D8" i="15" s="1"/>
  <c r="F8" i="15" s="1"/>
  <c r="H8" i="15" s="1"/>
  <c r="D8" i="16" s="1"/>
  <c r="F8" i="16" s="1"/>
  <c r="H8" i="16" s="1"/>
  <c r="D8" i="17" s="1"/>
  <c r="F8" i="17" s="1"/>
  <c r="H8" i="17" s="1"/>
  <c r="D8" i="18" s="1"/>
  <c r="F8" i="18" s="1"/>
  <c r="H8" i="18" s="1"/>
  <c r="D8" i="19" s="1"/>
  <c r="F8" i="19" s="1"/>
  <c r="H8" i="19" s="1"/>
  <c r="D8" i="20" s="1"/>
  <c r="F8" i="20" s="1"/>
  <c r="H8" i="20" s="1"/>
  <c r="D8" i="21" s="1"/>
  <c r="F8" i="21" s="1"/>
  <c r="H8" i="21" s="1"/>
  <c r="D8" i="22" s="1"/>
  <c r="F8" i="22" s="1"/>
  <c r="H8" i="22" s="1"/>
  <c r="D8" i="23" s="1"/>
  <c r="F8" i="23" s="1"/>
  <c r="H8" i="23" s="1"/>
  <c r="D19" i="25"/>
  <c r="F19" i="25" s="1"/>
  <c r="H19" i="25" s="1"/>
  <c r="D19" i="26" s="1"/>
  <c r="F19" i="26" s="1"/>
  <c r="H19" i="26" s="1"/>
  <c r="D19" i="27" s="1"/>
  <c r="F19" i="27" s="1"/>
  <c r="H19" i="27" s="1"/>
  <c r="D19" i="28" s="1"/>
  <c r="F19" i="28" s="1"/>
  <c r="H19" i="28" s="1"/>
  <c r="D19" i="29" s="1"/>
  <c r="F19" i="29" s="1"/>
  <c r="H19" i="29" s="1"/>
  <c r="H19" i="11"/>
  <c r="D19" i="12" s="1"/>
  <c r="D5" i="12"/>
  <c r="F5" i="12" s="1"/>
  <c r="H5" i="12" s="1"/>
  <c r="D5" i="13" s="1"/>
  <c r="F5" i="13" s="1"/>
  <c r="H5" i="13" s="1"/>
  <c r="D5" i="14" s="1"/>
  <c r="D10" i="25"/>
  <c r="F10" i="25" s="1"/>
  <c r="F14" i="18"/>
  <c r="E19" i="10"/>
  <c r="H10" i="25" l="1"/>
  <c r="D19" i="30"/>
  <c r="F19" i="30" s="1"/>
  <c r="H19" i="30" s="1"/>
  <c r="D19" i="31" s="1"/>
  <c r="F19" i="31" s="1"/>
  <c r="H19" i="31" s="1"/>
  <c r="D19" i="32" s="1"/>
  <c r="F19" i="32" s="1"/>
  <c r="D17" i="30"/>
  <c r="F17" i="30" s="1"/>
  <c r="H17" i="30" s="1"/>
  <c r="D17" i="31" s="1"/>
  <c r="F17" i="31" s="1"/>
  <c r="H17" i="31" s="1"/>
  <c r="F17" i="32" s="1"/>
  <c r="H17" i="32" s="1"/>
  <c r="D17" i="33" s="1"/>
  <c r="F17" i="33" s="1"/>
  <c r="H17" i="33" s="1"/>
  <c r="D17" i="34" s="1"/>
  <c r="F17" i="34" s="1"/>
  <c r="H17" i="34" s="1"/>
  <c r="D17" i="35" s="1"/>
  <c r="F17" i="35" s="1"/>
  <c r="H17" i="35" s="1"/>
  <c r="D17" i="36" s="1"/>
  <c r="F17" i="36" s="1"/>
  <c r="H17" i="36" s="1"/>
  <c r="D17" i="37" s="1"/>
  <c r="F17" i="37" s="1"/>
  <c r="H17" i="37" s="1"/>
  <c r="D17" i="38" s="1"/>
  <c r="F17" i="38" s="1"/>
  <c r="H17" i="38" s="1"/>
  <c r="D17" i="39" s="1"/>
  <c r="F17" i="39" s="1"/>
  <c r="H17" i="39" s="1"/>
  <c r="D17" i="40" s="1"/>
  <c r="F17" i="40" s="1"/>
  <c r="H17" i="40" s="1"/>
  <c r="D8" i="24"/>
  <c r="F8" i="24" s="1"/>
  <c r="H8" i="24" s="1"/>
  <c r="H25" i="24" s="1"/>
  <c r="H26" i="24" s="1"/>
  <c r="J23" i="23"/>
  <c r="K25" i="23" s="1"/>
  <c r="D6" i="25"/>
  <c r="F6" i="25" s="1"/>
  <c r="H6" i="25" s="1"/>
  <c r="F5" i="14"/>
  <c r="D20" i="14"/>
  <c r="F19" i="12"/>
  <c r="H19" i="12" s="1"/>
  <c r="D19" i="13" s="1"/>
  <c r="D13" i="27"/>
  <c r="F13" i="27" s="1"/>
  <c r="H13" i="27" s="1"/>
  <c r="D13" i="28" s="1"/>
  <c r="F13" i="28" s="1"/>
  <c r="H13" i="28" s="1"/>
  <c r="D13" i="29" s="1"/>
  <c r="F13" i="29" s="1"/>
  <c r="H13" i="29" s="1"/>
  <c r="D13" i="30" s="1"/>
  <c r="J13" i="26"/>
  <c r="H14" i="18"/>
  <c r="H35" i="13"/>
  <c r="F19" i="13"/>
  <c r="H19" i="13"/>
  <c r="F13" i="10"/>
  <c r="H13" i="10" s="1"/>
  <c r="D6" i="26" l="1"/>
  <c r="H26" i="25"/>
  <c r="D10" i="26"/>
  <c r="H19" i="32"/>
  <c r="D19" i="33" s="1"/>
  <c r="F19" i="33" s="1"/>
  <c r="H19" i="33" s="1"/>
  <c r="D19" i="34" s="1"/>
  <c r="F19" i="34" s="1"/>
  <c r="H19" i="34" s="1"/>
  <c r="D19" i="35" s="1"/>
  <c r="F19" i="35" s="1"/>
  <c r="H19" i="35" s="1"/>
  <c r="D19" i="36" s="1"/>
  <c r="F19" i="36" s="1"/>
  <c r="H19" i="36" s="1"/>
  <c r="D19" i="37" s="1"/>
  <c r="F19" i="37" s="1"/>
  <c r="H19" i="37" s="1"/>
  <c r="D19" i="38" s="1"/>
  <c r="F19" i="38" s="1"/>
  <c r="H19" i="38" s="1"/>
  <c r="D19" i="39" s="1"/>
  <c r="F19" i="39" s="1"/>
  <c r="H19" i="39" s="1"/>
  <c r="D19" i="40" s="1"/>
  <c r="F19" i="40" s="1"/>
  <c r="H19" i="40" s="1"/>
  <c r="F13" i="30"/>
  <c r="H13" i="30" s="1"/>
  <c r="D8" i="25"/>
  <c r="F8" i="25" s="1"/>
  <c r="H8" i="25" s="1"/>
  <c r="D8" i="26" s="1"/>
  <c r="F8" i="26" s="1"/>
  <c r="H8" i="26" s="1"/>
  <c r="D8" i="27" s="1"/>
  <c r="F8" i="27" s="1"/>
  <c r="H8" i="27" s="1"/>
  <c r="D8" i="28" s="1"/>
  <c r="F8" i="28" s="1"/>
  <c r="H8" i="28" s="1"/>
  <c r="D8" i="29" s="1"/>
  <c r="F8" i="29" s="1"/>
  <c r="H8" i="29" s="1"/>
  <c r="M20" i="24"/>
  <c r="H5" i="14"/>
  <c r="F20" i="14"/>
  <c r="D14" i="19"/>
  <c r="G19" i="10"/>
  <c r="G24" i="10" s="1"/>
  <c r="C24" i="10"/>
  <c r="D19" i="10"/>
  <c r="C19" i="10"/>
  <c r="F18" i="10"/>
  <c r="H18" i="10" s="1"/>
  <c r="F17" i="10"/>
  <c r="H17" i="10" s="1"/>
  <c r="F16" i="10"/>
  <c r="H16" i="10" s="1"/>
  <c r="F15" i="10"/>
  <c r="H15" i="10" s="1"/>
  <c r="F14" i="10"/>
  <c r="H14" i="10" s="1"/>
  <c r="F12" i="10"/>
  <c r="H12" i="10" s="1"/>
  <c r="F11" i="10"/>
  <c r="H11" i="10" s="1"/>
  <c r="F10" i="10"/>
  <c r="H10" i="10" s="1"/>
  <c r="F9" i="10"/>
  <c r="H9" i="10" s="1"/>
  <c r="F8" i="10"/>
  <c r="H8" i="10" s="1"/>
  <c r="F7" i="10"/>
  <c r="H7" i="10" s="1"/>
  <c r="F6" i="10"/>
  <c r="F5" i="10"/>
  <c r="H5" i="10" s="1"/>
  <c r="F6" i="26" l="1"/>
  <c r="H6" i="26" s="1"/>
  <c r="D6" i="27" s="1"/>
  <c r="F6" i="27" s="1"/>
  <c r="H6" i="27" s="1"/>
  <c r="D6" i="28" s="1"/>
  <c r="F6" i="28" s="1"/>
  <c r="H6" i="28" s="1"/>
  <c r="D6" i="29" s="1"/>
  <c r="F6" i="29" s="1"/>
  <c r="H6" i="29" s="1"/>
  <c r="D6" i="30" s="1"/>
  <c r="F6" i="30" s="1"/>
  <c r="H6" i="30" s="1"/>
  <c r="D6" i="31" s="1"/>
  <c r="F6" i="31" s="1"/>
  <c r="H6" i="31" s="1"/>
  <c r="D6" i="32" s="1"/>
  <c r="F6" i="32" s="1"/>
  <c r="H6" i="32" s="1"/>
  <c r="D6" i="33" s="1"/>
  <c r="F6" i="33" s="1"/>
  <c r="H6" i="33" s="1"/>
  <c r="D6" i="34" s="1"/>
  <c r="F6" i="34" s="1"/>
  <c r="H6" i="34" s="1"/>
  <c r="F10" i="26"/>
  <c r="D13" i="31"/>
  <c r="D8" i="30"/>
  <c r="D5" i="15"/>
  <c r="H20" i="14"/>
  <c r="F14" i="19"/>
  <c r="F19" i="10"/>
  <c r="H6" i="10"/>
  <c r="H19" i="10" s="1"/>
  <c r="D27" i="10"/>
  <c r="H27" i="10" s="1"/>
  <c r="L28" i="9"/>
  <c r="H10" i="26" l="1"/>
  <c r="F13" i="31"/>
  <c r="H13" i="31" s="1"/>
  <c r="D13" i="32" s="1"/>
  <c r="F13" i="32" s="1"/>
  <c r="H13" i="32" s="1"/>
  <c r="D13" i="33" s="1"/>
  <c r="F13" i="33" s="1"/>
  <c r="H13" i="33" s="1"/>
  <c r="D13" i="34" s="1"/>
  <c r="F13" i="34" s="1"/>
  <c r="H13" i="34" s="1"/>
  <c r="K24" i="24"/>
  <c r="J23" i="24"/>
  <c r="G41" i="24"/>
  <c r="I41" i="24" s="1"/>
  <c r="F8" i="30"/>
  <c r="F5" i="15"/>
  <c r="D20" i="15"/>
  <c r="H14" i="19"/>
  <c r="F5" i="9"/>
  <c r="H5" i="9" s="1"/>
  <c r="D13" i="35" l="1"/>
  <c r="F13" i="35" s="1"/>
  <c r="H13" i="35" s="1"/>
  <c r="D13" i="36" s="1"/>
  <c r="F13" i="36" s="1"/>
  <c r="H13" i="36" s="1"/>
  <c r="D13" i="37" s="1"/>
  <c r="F13" i="37" s="1"/>
  <c r="H13" i="37" s="1"/>
  <c r="D13" i="38" s="1"/>
  <c r="F13" i="38" s="1"/>
  <c r="H13" i="38" s="1"/>
  <c r="D13" i="39" s="1"/>
  <c r="F13" i="39" s="1"/>
  <c r="H13" i="39" s="1"/>
  <c r="D13" i="40" s="1"/>
  <c r="F13" i="40" s="1"/>
  <c r="H13" i="40" s="1"/>
  <c r="F10" i="27"/>
  <c r="H10" i="27" s="1"/>
  <c r="D10" i="28" s="1"/>
  <c r="F10" i="28" s="1"/>
  <c r="H10" i="28" s="1"/>
  <c r="D10" i="29" s="1"/>
  <c r="F10" i="29" s="1"/>
  <c r="H10" i="29" s="1"/>
  <c r="D10" i="30" s="1"/>
  <c r="F10" i="30" s="1"/>
  <c r="H10" i="30" s="1"/>
  <c r="D10" i="31" s="1"/>
  <c r="F10" i="31" s="1"/>
  <c r="H10" i="31" s="1"/>
  <c r="D10" i="32" s="1"/>
  <c r="F10" i="32" s="1"/>
  <c r="H10" i="32" s="1"/>
  <c r="D10" i="33" s="1"/>
  <c r="F10" i="33" s="1"/>
  <c r="H10" i="33" s="1"/>
  <c r="D10" i="34" s="1"/>
  <c r="F10" i="34" s="1"/>
  <c r="H10" i="34" s="1"/>
  <c r="F10" i="35" s="1"/>
  <c r="H10" i="35" s="1"/>
  <c r="D10" i="36" s="1"/>
  <c r="F10" i="36" s="1"/>
  <c r="H10" i="36" s="1"/>
  <c r="D10" i="37" s="1"/>
  <c r="F10" i="37" s="1"/>
  <c r="H10" i="37" s="1"/>
  <c r="D10" i="38" s="1"/>
  <c r="F10" i="38" s="1"/>
  <c r="H10" i="38" s="1"/>
  <c r="D10" i="39" s="1"/>
  <c r="F10" i="39" s="1"/>
  <c r="H10" i="39" s="1"/>
  <c r="D10" i="40" s="1"/>
  <c r="F10" i="40" s="1"/>
  <c r="H10" i="40" s="1"/>
  <c r="H8" i="30"/>
  <c r="D8" i="31" s="1"/>
  <c r="F8" i="31" s="1"/>
  <c r="H8" i="31" s="1"/>
  <c r="D8" i="32" s="1"/>
  <c r="F8" i="32" s="1"/>
  <c r="H8" i="32" s="1"/>
  <c r="D8" i="33" s="1"/>
  <c r="F8" i="33" s="1"/>
  <c r="H8" i="33" s="1"/>
  <c r="D8" i="34" s="1"/>
  <c r="F8" i="34" s="1"/>
  <c r="H8" i="34" s="1"/>
  <c r="D8" i="35" s="1"/>
  <c r="F8" i="35" s="1"/>
  <c r="H8" i="35" s="1"/>
  <c r="D8" i="36" s="1"/>
  <c r="F8" i="36" s="1"/>
  <c r="H8" i="36" s="1"/>
  <c r="D8" i="37" s="1"/>
  <c r="F8" i="37" s="1"/>
  <c r="H8" i="37" s="1"/>
  <c r="D8" i="38" s="1"/>
  <c r="F8" i="38" s="1"/>
  <c r="H8" i="38" s="1"/>
  <c r="D8" i="39" s="1"/>
  <c r="F8" i="39" s="1"/>
  <c r="H8" i="39" s="1"/>
  <c r="D8" i="40" s="1"/>
  <c r="F8" i="40" s="1"/>
  <c r="H8" i="40" s="1"/>
  <c r="H5" i="15"/>
  <c r="F20" i="15"/>
  <c r="D14" i="20"/>
  <c r="D35" i="9"/>
  <c r="H35" i="9"/>
  <c r="G19" i="9"/>
  <c r="G24" i="9" s="1"/>
  <c r="E19" i="9"/>
  <c r="C24" i="9" s="1"/>
  <c r="D19" i="9"/>
  <c r="C19" i="9"/>
  <c r="F18" i="9"/>
  <c r="H18" i="9" s="1"/>
  <c r="F17" i="9"/>
  <c r="H17" i="9" s="1"/>
  <c r="F16" i="9"/>
  <c r="H16" i="9" s="1"/>
  <c r="F15" i="9"/>
  <c r="H15" i="9" s="1"/>
  <c r="F14" i="9"/>
  <c r="H14" i="9" s="1"/>
  <c r="F12" i="9"/>
  <c r="H12" i="9" s="1"/>
  <c r="F11" i="9"/>
  <c r="H11" i="9" s="1"/>
  <c r="F10" i="9"/>
  <c r="H10" i="9" s="1"/>
  <c r="F9" i="9"/>
  <c r="H9" i="9" s="1"/>
  <c r="F8" i="9"/>
  <c r="H8" i="9" s="1"/>
  <c r="F7" i="9"/>
  <c r="H7" i="9" s="1"/>
  <c r="F6" i="9"/>
  <c r="H6" i="9" s="1"/>
  <c r="D5" i="16" l="1"/>
  <c r="H20" i="15"/>
  <c r="F14" i="20"/>
  <c r="H19" i="9"/>
  <c r="F19" i="9"/>
  <c r="D27" i="9"/>
  <c r="H27" i="9" s="1"/>
  <c r="E19" i="8"/>
  <c r="F5" i="16" l="1"/>
  <c r="D20" i="16"/>
  <c r="H14" i="20"/>
  <c r="H35" i="8"/>
  <c r="D35" i="8"/>
  <c r="G19" i="8"/>
  <c r="G24" i="8" s="1"/>
  <c r="C24" i="8"/>
  <c r="D19" i="8"/>
  <c r="C19" i="8"/>
  <c r="F17" i="8"/>
  <c r="H17" i="8" s="1"/>
  <c r="F16" i="8"/>
  <c r="H16" i="8" s="1"/>
  <c r="F15" i="8"/>
  <c r="H15" i="8" s="1"/>
  <c r="F14" i="8"/>
  <c r="H14" i="8" s="1"/>
  <c r="F11" i="8"/>
  <c r="H11" i="8" s="1"/>
  <c r="F12" i="8"/>
  <c r="H12" i="8" s="1"/>
  <c r="F18" i="8"/>
  <c r="H18" i="8" s="1"/>
  <c r="F10" i="8"/>
  <c r="H10" i="8" s="1"/>
  <c r="F9" i="8"/>
  <c r="H9" i="8" s="1"/>
  <c r="F8" i="8"/>
  <c r="H8" i="8" s="1"/>
  <c r="F7" i="8"/>
  <c r="H7" i="8" s="1"/>
  <c r="F6" i="8"/>
  <c r="H6" i="8" s="1"/>
  <c r="F5" i="8"/>
  <c r="F19" i="8" l="1"/>
  <c r="H5" i="16"/>
  <c r="F20" i="16"/>
  <c r="D14" i="21"/>
  <c r="D27" i="8"/>
  <c r="H27" i="8" s="1"/>
  <c r="H5" i="8"/>
  <c r="H19" i="8" s="1"/>
  <c r="D35" i="7"/>
  <c r="D5" i="17" l="1"/>
  <c r="H20" i="16"/>
  <c r="F14" i="21"/>
  <c r="H35" i="7"/>
  <c r="G19" i="7"/>
  <c r="G24" i="7" s="1"/>
  <c r="E19" i="7"/>
  <c r="C24" i="7" s="1"/>
  <c r="D27" i="7" s="1"/>
  <c r="D19" i="7"/>
  <c r="C19" i="7"/>
  <c r="F18" i="7"/>
  <c r="H18" i="7" s="1"/>
  <c r="F17" i="7"/>
  <c r="H17" i="7" s="1"/>
  <c r="F16" i="7"/>
  <c r="H16" i="7" s="1"/>
  <c r="F15" i="7"/>
  <c r="H15" i="7" s="1"/>
  <c r="F14" i="7"/>
  <c r="H14" i="7" s="1"/>
  <c r="F13" i="7"/>
  <c r="H13" i="7" s="1"/>
  <c r="F12" i="7"/>
  <c r="H12" i="7" s="1"/>
  <c r="F11" i="7"/>
  <c r="H11" i="7" s="1"/>
  <c r="F10" i="7"/>
  <c r="H10" i="7" s="1"/>
  <c r="F9" i="7"/>
  <c r="H9" i="7" s="1"/>
  <c r="F8" i="7"/>
  <c r="H8" i="7" s="1"/>
  <c r="F7" i="7"/>
  <c r="H7" i="7" s="1"/>
  <c r="F6" i="7"/>
  <c r="H6" i="7" s="1"/>
  <c r="F5" i="7"/>
  <c r="F19" i="7" l="1"/>
  <c r="F5" i="17"/>
  <c r="D20" i="17"/>
  <c r="H14" i="21"/>
  <c r="H27" i="7"/>
  <c r="H5" i="7"/>
  <c r="H19" i="7" s="1"/>
  <c r="D35" i="6"/>
  <c r="H35" i="6"/>
  <c r="H5" i="17" l="1"/>
  <c r="F20" i="17"/>
  <c r="D14" i="22"/>
  <c r="D5" i="18" l="1"/>
  <c r="H20" i="17"/>
  <c r="F14" i="22"/>
  <c r="F17" i="6"/>
  <c r="F5" i="18" l="1"/>
  <c r="D20" i="18"/>
  <c r="H14" i="22"/>
  <c r="H29" i="5"/>
  <c r="H5" i="18" l="1"/>
  <c r="F20" i="18"/>
  <c r="G19" i="6"/>
  <c r="G24" i="6" s="1"/>
  <c r="E19" i="6"/>
  <c r="C24" i="6" s="1"/>
  <c r="D19" i="6"/>
  <c r="C19" i="6"/>
  <c r="F18" i="6"/>
  <c r="H18" i="6" s="1"/>
  <c r="H17" i="6"/>
  <c r="F16" i="6"/>
  <c r="H16" i="6" s="1"/>
  <c r="F15" i="6"/>
  <c r="H15" i="6" s="1"/>
  <c r="F14" i="6"/>
  <c r="H14" i="6" s="1"/>
  <c r="F13" i="6"/>
  <c r="H13" i="6" s="1"/>
  <c r="F12" i="6"/>
  <c r="H12" i="6" s="1"/>
  <c r="F11" i="6"/>
  <c r="H11" i="6" s="1"/>
  <c r="H10" i="6"/>
  <c r="F9" i="6"/>
  <c r="H9" i="6" s="1"/>
  <c r="F8" i="6"/>
  <c r="H8" i="6" s="1"/>
  <c r="F7" i="6"/>
  <c r="H7" i="6" s="1"/>
  <c r="F6" i="6"/>
  <c r="H6" i="6" s="1"/>
  <c r="F5" i="6"/>
  <c r="F19" i="6" l="1"/>
  <c r="H5" i="6"/>
  <c r="D27" i="6"/>
  <c r="H27" i="6" s="1"/>
  <c r="D5" i="19"/>
  <c r="H20" i="18"/>
  <c r="F14" i="23"/>
  <c r="H19" i="6"/>
  <c r="G19" i="5"/>
  <c r="C19" i="5"/>
  <c r="H34" i="5"/>
  <c r="D34" i="5"/>
  <c r="F5" i="19" l="1"/>
  <c r="D20" i="19"/>
  <c r="H14" i="23"/>
  <c r="D14" i="24" s="1"/>
  <c r="F14" i="24" s="1"/>
  <c r="H14" i="24" s="1"/>
  <c r="D14" i="25" s="1"/>
  <c r="F14" i="25" s="1"/>
  <c r="H14" i="25" s="1"/>
  <c r="D14" i="26" s="1"/>
  <c r="F14" i="26" s="1"/>
  <c r="H14" i="26" s="1"/>
  <c r="D14" i="27" s="1"/>
  <c r="F14" i="27" s="1"/>
  <c r="H14" i="27" s="1"/>
  <c r="D14" i="28" s="1"/>
  <c r="F14" i="28" s="1"/>
  <c r="H14" i="28" s="1"/>
  <c r="D14" i="29" s="1"/>
  <c r="F14" i="29" s="1"/>
  <c r="H14" i="29" s="1"/>
  <c r="E19" i="5"/>
  <c r="D14" i="30" l="1"/>
  <c r="F14" i="30" s="1"/>
  <c r="H14" i="30" s="1"/>
  <c r="D14" i="31" s="1"/>
  <c r="F14" i="31" s="1"/>
  <c r="H14" i="31" s="1"/>
  <c r="D14" i="32" s="1"/>
  <c r="F14" i="32" s="1"/>
  <c r="H14" i="32" s="1"/>
  <c r="H5" i="19"/>
  <c r="F20" i="19"/>
  <c r="D34" i="4"/>
  <c r="D14" i="33" l="1"/>
  <c r="F14" i="33" s="1"/>
  <c r="D5" i="20"/>
  <c r="H20" i="19"/>
  <c r="G24" i="5"/>
  <c r="C24" i="5"/>
  <c r="D19" i="5"/>
  <c r="F18" i="5"/>
  <c r="H18" i="5" s="1"/>
  <c r="F17" i="5"/>
  <c r="F16" i="5"/>
  <c r="H16" i="5" s="1"/>
  <c r="F15" i="5"/>
  <c r="H15" i="5" s="1"/>
  <c r="F14" i="5"/>
  <c r="H14" i="5" s="1"/>
  <c r="F13" i="5"/>
  <c r="H13" i="5" s="1"/>
  <c r="F12" i="5"/>
  <c r="H12" i="5" s="1"/>
  <c r="F11" i="5"/>
  <c r="H11" i="5" s="1"/>
  <c r="F10" i="5"/>
  <c r="H10" i="5" s="1"/>
  <c r="F9" i="5"/>
  <c r="H9" i="5" s="1"/>
  <c r="F8" i="5"/>
  <c r="H8" i="5" s="1"/>
  <c r="F7" i="5"/>
  <c r="H7" i="5" s="1"/>
  <c r="F6" i="5"/>
  <c r="H6" i="5" s="1"/>
  <c r="F5" i="5"/>
  <c r="H5" i="5" s="1"/>
  <c r="H34" i="4"/>
  <c r="H14" i="33" l="1"/>
  <c r="F5" i="20"/>
  <c r="D20" i="20"/>
  <c r="H17" i="5"/>
  <c r="F19" i="5"/>
  <c r="H19" i="5"/>
  <c r="D26" i="5"/>
  <c r="H26" i="5" s="1"/>
  <c r="E19" i="4"/>
  <c r="D14" i="34" l="1"/>
  <c r="F14" i="34" s="1"/>
  <c r="H14" i="34" s="1"/>
  <c r="D14" i="35" s="1"/>
  <c r="F14" i="35" s="1"/>
  <c r="H14" i="35" s="1"/>
  <c r="D14" i="36" s="1"/>
  <c r="F14" i="36" s="1"/>
  <c r="H14" i="36" s="1"/>
  <c r="D14" i="37" s="1"/>
  <c r="F14" i="37" s="1"/>
  <c r="H14" i="37" s="1"/>
  <c r="D14" i="38" s="1"/>
  <c r="F14" i="38" s="1"/>
  <c r="H14" i="38" s="1"/>
  <c r="D14" i="39" s="1"/>
  <c r="F14" i="39" s="1"/>
  <c r="H14" i="39" s="1"/>
  <c r="D14" i="40" s="1"/>
  <c r="F14" i="40" s="1"/>
  <c r="H14" i="40" s="1"/>
  <c r="H5" i="20"/>
  <c r="F20" i="20"/>
  <c r="D5" i="21" l="1"/>
  <c r="H20" i="20"/>
  <c r="G19" i="4"/>
  <c r="G24" i="4" s="1"/>
  <c r="C24" i="4"/>
  <c r="D19" i="4"/>
  <c r="C19" i="4"/>
  <c r="F18" i="4"/>
  <c r="H18" i="4" s="1"/>
  <c r="F17" i="4"/>
  <c r="H17" i="4" s="1"/>
  <c r="F16" i="4"/>
  <c r="H16" i="4" s="1"/>
  <c r="F15" i="4"/>
  <c r="H15" i="4" s="1"/>
  <c r="F14" i="4"/>
  <c r="H14" i="4" s="1"/>
  <c r="F13" i="4"/>
  <c r="H13" i="4" s="1"/>
  <c r="F12" i="4"/>
  <c r="H12" i="4" s="1"/>
  <c r="F11" i="4"/>
  <c r="H11" i="4" s="1"/>
  <c r="F10" i="4"/>
  <c r="H10" i="4" s="1"/>
  <c r="F9" i="4"/>
  <c r="H9" i="4" s="1"/>
  <c r="F8" i="4"/>
  <c r="H8" i="4" s="1"/>
  <c r="F7" i="4"/>
  <c r="H7" i="4" s="1"/>
  <c r="F6" i="4"/>
  <c r="H6" i="4" s="1"/>
  <c r="F5" i="4"/>
  <c r="F5" i="21" l="1"/>
  <c r="D20" i="21"/>
  <c r="F19" i="4"/>
  <c r="D26" i="4"/>
  <c r="H5" i="4"/>
  <c r="H19" i="4" s="1"/>
  <c r="E19" i="3"/>
  <c r="H5" i="21" l="1"/>
  <c r="F20" i="21"/>
  <c r="H26" i="4"/>
  <c r="G19" i="3"/>
  <c r="G24" i="3" s="1"/>
  <c r="C24" i="3"/>
  <c r="D19" i="3"/>
  <c r="C19" i="3"/>
  <c r="F18" i="3"/>
  <c r="H18" i="3" s="1"/>
  <c r="F17" i="3"/>
  <c r="H17" i="3" s="1"/>
  <c r="F16" i="3"/>
  <c r="H16" i="3" s="1"/>
  <c r="F15" i="3"/>
  <c r="H15" i="3" s="1"/>
  <c r="F14" i="3"/>
  <c r="H14" i="3" s="1"/>
  <c r="F13" i="3"/>
  <c r="H13" i="3" s="1"/>
  <c r="F12" i="3"/>
  <c r="H12" i="3" s="1"/>
  <c r="F11" i="3"/>
  <c r="H11" i="3" s="1"/>
  <c r="F10" i="3"/>
  <c r="H10" i="3" s="1"/>
  <c r="F9" i="3"/>
  <c r="H9" i="3" s="1"/>
  <c r="F8" i="3"/>
  <c r="H8" i="3" s="1"/>
  <c r="F7" i="3"/>
  <c r="H7" i="3" s="1"/>
  <c r="F6" i="3"/>
  <c r="H6" i="3" s="1"/>
  <c r="F5" i="3"/>
  <c r="D5" i="22" l="1"/>
  <c r="H20" i="21"/>
  <c r="D26" i="3"/>
  <c r="D34" i="3" s="1"/>
  <c r="F19" i="3"/>
  <c r="H5" i="3"/>
  <c r="H19" i="3" s="1"/>
  <c r="E19" i="2"/>
  <c r="E19" i="1"/>
  <c r="F5" i="22" l="1"/>
  <c r="D20" i="22"/>
  <c r="H26" i="3"/>
  <c r="H34" i="3" s="1"/>
  <c r="C24" i="2"/>
  <c r="H5" i="22" l="1"/>
  <c r="F20" i="22"/>
  <c r="D19" i="2"/>
  <c r="F13" i="2"/>
  <c r="G19" i="2"/>
  <c r="G24" i="2" s="1"/>
  <c r="C19" i="2"/>
  <c r="F18" i="2"/>
  <c r="H18" i="2" s="1"/>
  <c r="F17" i="2"/>
  <c r="H17" i="2" s="1"/>
  <c r="F16" i="2"/>
  <c r="H16" i="2" s="1"/>
  <c r="F15" i="2"/>
  <c r="H15" i="2" s="1"/>
  <c r="F14" i="2"/>
  <c r="H14" i="2" s="1"/>
  <c r="F12" i="2"/>
  <c r="H12" i="2" s="1"/>
  <c r="F11" i="2"/>
  <c r="H11" i="2" s="1"/>
  <c r="F10" i="2"/>
  <c r="H10" i="2" s="1"/>
  <c r="F9" i="2"/>
  <c r="H9" i="2" s="1"/>
  <c r="F8" i="2"/>
  <c r="H8" i="2" s="1"/>
  <c r="F7" i="2"/>
  <c r="H7" i="2" s="1"/>
  <c r="F6" i="2"/>
  <c r="H6" i="2" s="1"/>
  <c r="F5" i="2"/>
  <c r="D5" i="23" l="1"/>
  <c r="H20" i="22"/>
  <c r="F19" i="2"/>
  <c r="H13" i="2"/>
  <c r="D26" i="2"/>
  <c r="D34" i="2" s="1"/>
  <c r="H5" i="2"/>
  <c r="H19" i="2" s="1"/>
  <c r="F5" i="23" l="1"/>
  <c r="D20" i="23"/>
  <c r="H26" i="2"/>
  <c r="H34" i="2" s="1"/>
  <c r="F12" i="1"/>
  <c r="H5" i="23" l="1"/>
  <c r="F20" i="23"/>
  <c r="H13" i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H12" i="1"/>
  <c r="F14" i="1"/>
  <c r="H14" i="1" s="1"/>
  <c r="F15" i="1"/>
  <c r="H15" i="1" s="1"/>
  <c r="F16" i="1"/>
  <c r="H16" i="1" s="1"/>
  <c r="F17" i="1"/>
  <c r="H17" i="1" s="1"/>
  <c r="F18" i="1"/>
  <c r="H18" i="1" s="1"/>
  <c r="F5" i="1"/>
  <c r="H5" i="1" s="1"/>
  <c r="D5" i="24" l="1"/>
  <c r="H20" i="23"/>
  <c r="G19" i="1"/>
  <c r="G24" i="1" s="1"/>
  <c r="G34" i="1" s="1"/>
  <c r="C24" i="1"/>
  <c r="C19" i="1"/>
  <c r="F19" i="1"/>
  <c r="D24" i="24" l="1"/>
  <c r="F5" i="24"/>
  <c r="F24" i="24" s="1"/>
  <c r="D26" i="1"/>
  <c r="D34" i="1" s="1"/>
  <c r="C34" i="1"/>
  <c r="H19" i="1"/>
  <c r="H5" i="24" l="1"/>
  <c r="H24" i="24" s="1"/>
  <c r="H26" i="1"/>
  <c r="E34" i="1"/>
  <c r="C25" i="2" s="1"/>
  <c r="C34" i="2" s="1"/>
  <c r="E34" i="2" s="1"/>
  <c r="C25" i="3" s="1"/>
  <c r="C34" i="3" s="1"/>
  <c r="E34" i="3" s="1"/>
  <c r="C25" i="4" s="1"/>
  <c r="H34" i="1"/>
  <c r="I34" i="1" s="1"/>
  <c r="G25" i="2" s="1"/>
  <c r="G34" i="2" s="1"/>
  <c r="I34" i="2" s="1"/>
  <c r="G25" i="3" s="1"/>
  <c r="G34" i="3" s="1"/>
  <c r="I34" i="3" s="1"/>
  <c r="G25" i="4" s="1"/>
  <c r="G34" i="4" s="1"/>
  <c r="I34" i="4" s="1"/>
  <c r="C34" i="4" l="1"/>
  <c r="E34" i="4" s="1"/>
  <c r="C25" i="5" s="1"/>
  <c r="C34" i="5" s="1"/>
  <c r="E34" i="5" s="1"/>
  <c r="C25" i="6" s="1"/>
  <c r="C35" i="6" s="1"/>
  <c r="E35" i="6" s="1"/>
  <c r="C25" i="7" s="1"/>
  <c r="C35" i="7" s="1"/>
  <c r="E35" i="7" s="1"/>
  <c r="C25" i="8" s="1"/>
  <c r="C35" i="8" s="1"/>
  <c r="E35" i="8" s="1"/>
  <c r="C25" i="9" s="1"/>
  <c r="C35" i="9" s="1"/>
  <c r="E35" i="9" s="1"/>
  <c r="C25" i="10" s="1"/>
  <c r="C35" i="10" s="1"/>
  <c r="E35" i="10" s="1"/>
  <c r="K28" i="4"/>
  <c r="G25" i="5"/>
  <c r="G34" i="5" s="1"/>
  <c r="I34" i="5" s="1"/>
  <c r="D5" i="25"/>
  <c r="D24" i="25" s="1"/>
  <c r="D25" i="25" s="1"/>
  <c r="K29" i="24"/>
  <c r="C25" i="11" l="1"/>
  <c r="C35" i="11" s="1"/>
  <c r="E35" i="11" s="1"/>
  <c r="C35" i="12" s="1"/>
  <c r="E35" i="12" s="1"/>
  <c r="C25" i="13" s="1"/>
  <c r="C35" i="13" s="1"/>
  <c r="E35" i="13" s="1"/>
  <c r="C26" i="14" s="1"/>
  <c r="C36" i="14" s="1"/>
  <c r="E36" i="14" s="1"/>
  <c r="C26" i="15" s="1"/>
  <c r="C36" i="15" s="1"/>
  <c r="E36" i="15" s="1"/>
  <c r="C26" i="16" s="1"/>
  <c r="C36" i="16" s="1"/>
  <c r="E36" i="16" s="1"/>
  <c r="C26" i="17" s="1"/>
  <c r="C36" i="17" s="1"/>
  <c r="E36" i="17" s="1"/>
  <c r="C26" i="18" s="1"/>
  <c r="C36" i="18" s="1"/>
  <c r="E36" i="18" s="1"/>
  <c r="C26" i="19" s="1"/>
  <c r="G25" i="6"/>
  <c r="G35" i="6" s="1"/>
  <c r="I35" i="6" s="1"/>
  <c r="K1" i="5"/>
  <c r="J31" i="5"/>
  <c r="F5" i="25"/>
  <c r="F24" i="25" s="1"/>
  <c r="C37" i="19" l="1"/>
  <c r="E37" i="19" s="1"/>
  <c r="C26" i="20" s="1"/>
  <c r="C36" i="20" s="1"/>
  <c r="E36" i="20" s="1"/>
  <c r="C26" i="21" s="1"/>
  <c r="C36" i="21" s="1"/>
  <c r="E36" i="21" s="1"/>
  <c r="C26" i="22" s="1"/>
  <c r="C36" i="22" s="1"/>
  <c r="E36" i="22" s="1"/>
  <c r="C26" i="23" s="1"/>
  <c r="C42" i="23" s="1"/>
  <c r="E42" i="23" s="1"/>
  <c r="J12" i="19"/>
  <c r="J13" i="19" s="1"/>
  <c r="J14" i="19" s="1"/>
  <c r="J15" i="19" s="1"/>
  <c r="H5" i="25"/>
  <c r="H24" i="25" s="1"/>
  <c r="H25" i="25" s="1"/>
  <c r="G25" i="7"/>
  <c r="G35" i="7" s="1"/>
  <c r="I35" i="7" s="1"/>
  <c r="J26" i="6"/>
  <c r="G25" i="8" l="1"/>
  <c r="G35" i="8" s="1"/>
  <c r="I35" i="8" s="1"/>
  <c r="J27" i="7"/>
  <c r="D5" i="26"/>
  <c r="F5" i="26" l="1"/>
  <c r="F24" i="26" s="1"/>
  <c r="D24" i="26"/>
  <c r="G40" i="25"/>
  <c r="I40" i="25" s="1"/>
  <c r="G29" i="26" s="1"/>
  <c r="G25" i="9"/>
  <c r="G35" i="9" s="1"/>
  <c r="I35" i="9" s="1"/>
  <c r="K27" i="8"/>
  <c r="H5" i="26" l="1"/>
  <c r="H24" i="26" s="1"/>
  <c r="K37" i="25"/>
  <c r="G42" i="26"/>
  <c r="I42" i="26" s="1"/>
  <c r="G29" i="27" s="1"/>
  <c r="L41" i="25"/>
  <c r="K32" i="9"/>
  <c r="G25" i="10"/>
  <c r="G35" i="10" s="1"/>
  <c r="I35" i="10" s="1"/>
  <c r="D5" i="27"/>
  <c r="F5" i="27" l="1"/>
  <c r="F24" i="27" s="1"/>
  <c r="D24" i="27"/>
  <c r="G38" i="27"/>
  <c r="I38" i="27" s="1"/>
  <c r="G29" i="28" s="1"/>
  <c r="K40" i="26"/>
  <c r="H25" i="26"/>
  <c r="G25" i="11"/>
  <c r="G35" i="11" s="1"/>
  <c r="I35" i="11" s="1"/>
  <c r="K32" i="10"/>
  <c r="H5" i="27" l="1"/>
  <c r="H24" i="27" s="1"/>
  <c r="G38" i="28"/>
  <c r="I38" i="28" s="1"/>
  <c r="G29" i="29" s="1"/>
  <c r="G38" i="29" s="1"/>
  <c r="I38" i="29" s="1"/>
  <c r="G29" i="30" s="1"/>
  <c r="G38" i="30" s="1"/>
  <c r="I38" i="30" s="1"/>
  <c r="D5" i="28"/>
  <c r="J34" i="11"/>
  <c r="G25" i="12"/>
  <c r="G35" i="12" s="1"/>
  <c r="I35" i="12" s="1"/>
  <c r="G25" i="13" s="1"/>
  <c r="G35" i="13" s="1"/>
  <c r="I35" i="13" s="1"/>
  <c r="G26" i="14" s="1"/>
  <c r="G36" i="14" s="1"/>
  <c r="I36" i="14" s="1"/>
  <c r="G26" i="15" s="1"/>
  <c r="G36" i="15" s="1"/>
  <c r="I36" i="15" s="1"/>
  <c r="G26" i="16" s="1"/>
  <c r="G36" i="16" s="1"/>
  <c r="I36" i="16" s="1"/>
  <c r="G26" i="17" s="1"/>
  <c r="G36" i="17" s="1"/>
  <c r="I36" i="17" s="1"/>
  <c r="G26" i="18" s="1"/>
  <c r="G36" i="18" s="1"/>
  <c r="I36" i="18" s="1"/>
  <c r="G26" i="19" s="1"/>
  <c r="G37" i="19" s="1"/>
  <c r="I37" i="19" s="1"/>
  <c r="K39" i="30" l="1"/>
  <c r="G29" i="31"/>
  <c r="G40" i="31" s="1"/>
  <c r="I40" i="31" s="1"/>
  <c r="I42" i="31" s="1"/>
  <c r="G26" i="20"/>
  <c r="G36" i="20" s="1"/>
  <c r="I36" i="20" s="1"/>
  <c r="G26" i="21" s="1"/>
  <c r="G36" i="21" s="1"/>
  <c r="I36" i="21" s="1"/>
  <c r="G26" i="22" s="1"/>
  <c r="G36" i="22" s="1"/>
  <c r="I36" i="22" s="1"/>
  <c r="G26" i="23" s="1"/>
  <c r="G42" i="23" s="1"/>
  <c r="I42" i="23" s="1"/>
  <c r="I39" i="19"/>
  <c r="F5" i="28"/>
  <c r="F24" i="28" s="1"/>
  <c r="D24" i="28"/>
  <c r="G29" i="32" l="1"/>
  <c r="G38" i="32" s="1"/>
  <c r="I38" i="32" s="1"/>
  <c r="G29" i="33" s="1"/>
  <c r="G38" i="33" s="1"/>
  <c r="I38" i="33" s="1"/>
  <c r="H5" i="28"/>
  <c r="H24" i="28" s="1"/>
  <c r="G29" i="34" l="1"/>
  <c r="G38" i="34" s="1"/>
  <c r="I38" i="34" s="1"/>
  <c r="D5" i="29"/>
  <c r="G29" i="35" l="1"/>
  <c r="G38" i="35" s="1"/>
  <c r="I38" i="35" s="1"/>
  <c r="G29" i="36" s="1"/>
  <c r="G38" i="36" s="1"/>
  <c r="I38" i="36" s="1"/>
  <c r="G29" i="37" s="1"/>
  <c r="G38" i="37" s="1"/>
  <c r="I38" i="37" s="1"/>
  <c r="G29" i="38" s="1"/>
  <c r="G35" i="38" s="1"/>
  <c r="I35" i="38" s="1"/>
  <c r="G29" i="39" s="1"/>
  <c r="G35" i="39" s="1"/>
  <c r="I35" i="39" s="1"/>
  <c r="G29" i="40" s="1"/>
  <c r="G35" i="40" s="1"/>
  <c r="I35" i="40" s="1"/>
  <c r="F5" i="29"/>
  <c r="F24" i="29" s="1"/>
  <c r="D24" i="29"/>
  <c r="H5" i="29" l="1"/>
  <c r="H24" i="29" s="1"/>
  <c r="H25" i="29" s="1"/>
  <c r="D5" i="30" l="1"/>
  <c r="D24" i="30" s="1"/>
  <c r="F5" i="30" l="1"/>
  <c r="F24" i="30" s="1"/>
  <c r="H5" i="30" l="1"/>
  <c r="D5" i="31" l="1"/>
  <c r="H24" i="30"/>
  <c r="N29" i="30" s="1"/>
  <c r="D24" i="31" l="1"/>
  <c r="F5" i="31"/>
  <c r="D25" i="32"/>
  <c r="F24" i="31" l="1"/>
  <c r="H5" i="31"/>
  <c r="H24" i="31" l="1"/>
  <c r="D24" i="32" s="1"/>
  <c r="D5" i="32"/>
  <c r="F5" i="32" s="1"/>
  <c r="F24" i="32" l="1"/>
  <c r="H5" i="32"/>
  <c r="D5" i="33" l="1"/>
  <c r="F5" i="33" s="1"/>
  <c r="H24" i="32"/>
  <c r="H26" i="32" l="1"/>
  <c r="H25" i="32"/>
  <c r="D24" i="33"/>
  <c r="H5" i="33"/>
  <c r="F24" i="33"/>
  <c r="D5" i="34" l="1"/>
  <c r="F5" i="34" s="1"/>
  <c r="H24" i="33"/>
  <c r="H25" i="33" l="1"/>
  <c r="I26" i="33" s="1"/>
  <c r="J36" i="33" s="1"/>
  <c r="D24" i="34"/>
  <c r="H5" i="34"/>
  <c r="F24" i="34"/>
  <c r="D5" i="35" l="1"/>
  <c r="H24" i="34"/>
  <c r="H25" i="34" s="1"/>
  <c r="I25" i="34" l="1"/>
  <c r="J36" i="34"/>
  <c r="F5" i="35"/>
  <c r="D24" i="35"/>
  <c r="H5" i="35" l="1"/>
  <c r="F24" i="35"/>
  <c r="D5" i="36" l="1"/>
  <c r="H24" i="35"/>
  <c r="H25" i="35" s="1"/>
  <c r="F5" i="36" l="1"/>
  <c r="D24" i="36"/>
  <c r="H5" i="36" l="1"/>
  <c r="F24" i="36"/>
  <c r="D5" i="37" l="1"/>
  <c r="H24" i="36"/>
  <c r="H25" i="36" s="1"/>
  <c r="F5" i="37" l="1"/>
  <c r="D24" i="37"/>
  <c r="H5" i="37" l="1"/>
  <c r="F24" i="37"/>
  <c r="D5" i="38" l="1"/>
  <c r="F5" i="38" s="1"/>
  <c r="H24" i="37"/>
  <c r="D24" i="39" s="1"/>
  <c r="D24" i="38" l="1"/>
  <c r="H25" i="37"/>
  <c r="D25" i="40" s="1"/>
  <c r="H5" i="38"/>
  <c r="F24" i="38"/>
  <c r="D25" i="38" l="1"/>
  <c r="D25" i="39"/>
  <c r="H24" i="38"/>
  <c r="H25" i="38" s="1"/>
  <c r="D5" i="39"/>
  <c r="F5" i="39" s="1"/>
  <c r="H5" i="39" l="1"/>
  <c r="F24" i="39"/>
  <c r="H24" i="39" l="1"/>
  <c r="H25" i="39" s="1"/>
  <c r="D5" i="40"/>
  <c r="D24" i="40" l="1"/>
  <c r="F5" i="40"/>
  <c r="F24" i="40" l="1"/>
  <c r="H5" i="40"/>
  <c r="H24" i="40" s="1"/>
  <c r="H25" i="40" s="1"/>
</calcChain>
</file>

<file path=xl/sharedStrings.xml><?xml version="1.0" encoding="utf-8"?>
<sst xmlns="http://schemas.openxmlformats.org/spreadsheetml/2006/main" count="2761" uniqueCount="340">
  <si>
    <t xml:space="preserve">RENT STATEMENT </t>
  </si>
  <si>
    <t>FOR THE MONTH OF SEPTEMBER 2018</t>
  </si>
  <si>
    <t xml:space="preserve">NO. </t>
  </si>
  <si>
    <t>NAME</t>
  </si>
  <si>
    <t>STIMA</t>
  </si>
  <si>
    <t>BF</t>
  </si>
  <si>
    <t>RENT</t>
  </si>
  <si>
    <t>TOTAL DUE</t>
  </si>
  <si>
    <t xml:space="preserve">PAID </t>
  </si>
  <si>
    <t>BAL</t>
  </si>
  <si>
    <t>7,8</t>
  </si>
  <si>
    <t>TOTAL</t>
  </si>
  <si>
    <t>SUMMARY</t>
  </si>
  <si>
    <t>EXPECTED</t>
  </si>
  <si>
    <t>PAID</t>
  </si>
  <si>
    <t xml:space="preserve">DETAILS </t>
  </si>
  <si>
    <t xml:space="preserve">CR </t>
  </si>
  <si>
    <t>DR</t>
  </si>
  <si>
    <t>BL</t>
  </si>
  <si>
    <t>SEP</t>
  </si>
  <si>
    <t>COMM</t>
  </si>
  <si>
    <t>PAYMENTS</t>
  </si>
  <si>
    <t xml:space="preserve"> </t>
  </si>
  <si>
    <t xml:space="preserve">PREPARED BY </t>
  </si>
  <si>
    <t>APPROVED BY</t>
  </si>
  <si>
    <t xml:space="preserve">RECEIVED BY </t>
  </si>
  <si>
    <t>RUTH</t>
  </si>
  <si>
    <t>GRACE</t>
  </si>
  <si>
    <t>MOSES SANINGO</t>
  </si>
  <si>
    <t>CARETAKER</t>
  </si>
  <si>
    <t>VACCANT</t>
  </si>
  <si>
    <t>EDWIN OMONDI</t>
  </si>
  <si>
    <t>KIARA KILONZO</t>
  </si>
  <si>
    <t>KARANJA</t>
  </si>
  <si>
    <t>JOSEPH SWALA</t>
  </si>
  <si>
    <t>SHEM</t>
  </si>
  <si>
    <t>KIMWELE/MUTAMBU</t>
  </si>
  <si>
    <t>BONIFACE OMBOGA</t>
  </si>
  <si>
    <t>COLLINS OLUOCH</t>
  </si>
  <si>
    <t>15,16</t>
  </si>
  <si>
    <t>MAINA</t>
  </si>
  <si>
    <t>NEW</t>
  </si>
  <si>
    <t>FOR THE MONTH OF OCTOBER 2018</t>
  </si>
  <si>
    <t>OCT</t>
  </si>
  <si>
    <t>FRANCIS NDUNGU</t>
  </si>
  <si>
    <t>MOSES KINYUA</t>
  </si>
  <si>
    <t>MOSES</t>
  </si>
  <si>
    <t xml:space="preserve"> ANTHONY KARANJA</t>
  </si>
  <si>
    <t>LL</t>
  </si>
  <si>
    <t xml:space="preserve">    </t>
  </si>
  <si>
    <t>BENJAMIN WANJAMA</t>
  </si>
  <si>
    <t>FOR THE MONTH OF NOVEMBER 2018</t>
  </si>
  <si>
    <t>NOV</t>
  </si>
  <si>
    <t>BENJAMIN</t>
  </si>
  <si>
    <t>FOR THE MONTH OF DECEMBER 2018</t>
  </si>
  <si>
    <t>DEC</t>
  </si>
  <si>
    <t>DIRECT TO LL-9</t>
  </si>
  <si>
    <t>PAID ON 6/12/18</t>
  </si>
  <si>
    <t>PAID ON 8/12/18</t>
  </si>
  <si>
    <t>PAID ON 26/12/18</t>
  </si>
  <si>
    <t>FOR THE MONTH OF JANUARY 2019</t>
  </si>
  <si>
    <t>JAN</t>
  </si>
  <si>
    <t>FELIX MUTUA</t>
  </si>
  <si>
    <t>PAID ON 8/1/19</t>
  </si>
  <si>
    <t xml:space="preserve">TOTAL </t>
  </si>
  <si>
    <t>FOR THE MONTH OF FEBRUARY 2019</t>
  </si>
  <si>
    <t>FEB</t>
  </si>
  <si>
    <t>DIRECT TO LL</t>
  </si>
  <si>
    <t>DIRECT TO LANDLORD-2</t>
  </si>
  <si>
    <t>PAID ON 9/2/19</t>
  </si>
  <si>
    <t xml:space="preserve">DEPOSIT </t>
  </si>
  <si>
    <t>ISAAC MWAURA</t>
  </si>
  <si>
    <t>NO. 9</t>
  </si>
  <si>
    <t>FOR THE MONTH OF MARCH 2019</t>
  </si>
  <si>
    <t>MARCH</t>
  </si>
  <si>
    <t>PAID ON 8/3/19</t>
  </si>
  <si>
    <t>FOR THE MONTH OF APRIL 2019</t>
  </si>
  <si>
    <t>APRIL</t>
  </si>
  <si>
    <t xml:space="preserve">APRIL </t>
  </si>
  <si>
    <t>PAID ON 7/4/19</t>
  </si>
  <si>
    <t>KIMWELE</t>
  </si>
  <si>
    <t>PAID ON 12/4/19</t>
  </si>
  <si>
    <t>STEPHEN NYABUTO</t>
  </si>
  <si>
    <t>FOR THE MONTH OF MAY 2019</t>
  </si>
  <si>
    <t>MAY</t>
  </si>
  <si>
    <t xml:space="preserve">COLLINS </t>
  </si>
  <si>
    <t xml:space="preserve">ISAAC </t>
  </si>
  <si>
    <t>PAID ON 9/5/19</t>
  </si>
  <si>
    <t>LL 2200</t>
  </si>
  <si>
    <t>PAID ON 31/5/19</t>
  </si>
  <si>
    <t>FOR THE MONTH OF JUNE  2019</t>
  </si>
  <si>
    <t>JUNE</t>
  </si>
  <si>
    <t>PAID ON 8/6/19</t>
  </si>
  <si>
    <t>DAVID ONDIEK</t>
  </si>
  <si>
    <t>FOR THE MONTH OF JULY  2019</t>
  </si>
  <si>
    <t>JULY</t>
  </si>
  <si>
    <t>NO. 9 &amp; 13</t>
  </si>
  <si>
    <t>MARTIN KINYANJUI</t>
  </si>
  <si>
    <t>PAID ON 8/7/19</t>
  </si>
  <si>
    <t>KENNEDY KIMANI</t>
  </si>
  <si>
    <t>KENNETH KAMAU</t>
  </si>
  <si>
    <t xml:space="preserve">MARTIN </t>
  </si>
  <si>
    <t>FOR THE MONTH OF AUG  2019</t>
  </si>
  <si>
    <t>AUG</t>
  </si>
  <si>
    <t>NO 9,11&amp;13</t>
  </si>
  <si>
    <t>NICK ONDIEK</t>
  </si>
  <si>
    <t>PAID ON 8/8/19</t>
  </si>
  <si>
    <t>ZAKARIA</t>
  </si>
  <si>
    <t>FLORENCE</t>
  </si>
  <si>
    <t>BONIFACE OLUOCH</t>
  </si>
  <si>
    <t>NO</t>
  </si>
  <si>
    <t>NO 11</t>
  </si>
  <si>
    <t>PAID ON 7/9</t>
  </si>
  <si>
    <t>SEPT</t>
  </si>
  <si>
    <t>FOR THE MONTH OF SEPT  2019</t>
  </si>
  <si>
    <t>FOR THE MONTH OF OCTOBER  2019</t>
  </si>
  <si>
    <t>OCTOBER</t>
  </si>
  <si>
    <t>CLIFF</t>
  </si>
  <si>
    <t>PAID ON 8/10/19</t>
  </si>
  <si>
    <t>VACCATED</t>
  </si>
  <si>
    <t>HAVE PAID TILL JAN</t>
  </si>
  <si>
    <t>SHADRACK SIMIYU</t>
  </si>
  <si>
    <t>OCHIENG BONIFACE</t>
  </si>
  <si>
    <t>JOSEPH SWAGA</t>
  </si>
  <si>
    <t>DIRECT TO LL NO.7</t>
  </si>
  <si>
    <t>NOVEMBER</t>
  </si>
  <si>
    <t>FOR THE MONTH OF NOVEMBER  2019</t>
  </si>
  <si>
    <t>LL 1500</t>
  </si>
  <si>
    <t>SHADRACK</t>
  </si>
  <si>
    <t>PAID ON 8/11</t>
  </si>
  <si>
    <t>FOR THE MONTH OF DECEMBER  2019</t>
  </si>
  <si>
    <t>DECEMBER</t>
  </si>
  <si>
    <t>PAID ON 5/12</t>
  </si>
  <si>
    <t>PAID ON 6/12</t>
  </si>
  <si>
    <t>JANUARY</t>
  </si>
  <si>
    <t>FOR THE MONTH OF JANUARY  2020</t>
  </si>
  <si>
    <t>PAID ON 8/1</t>
  </si>
  <si>
    <t>FEBRUARY</t>
  </si>
  <si>
    <t>FOR THE MONTH OF FEBRUARY 2020</t>
  </si>
  <si>
    <t>PAID ON 31/1</t>
  </si>
  <si>
    <t>DAME</t>
  </si>
  <si>
    <t>BONIFACE</t>
  </si>
  <si>
    <t>DAVID ONDIEK 10</t>
  </si>
  <si>
    <t>FOR THE MONTH OF MARCH 2020</t>
  </si>
  <si>
    <t>PAID ON 7/2</t>
  </si>
  <si>
    <t>BONIFACE 7</t>
  </si>
  <si>
    <t>PAID ON3/3</t>
  </si>
  <si>
    <t>RAMBO VICTOR</t>
  </si>
  <si>
    <t>DIANA OMBACHO</t>
  </si>
  <si>
    <t>CHEGE</t>
  </si>
  <si>
    <t>PAID ON 9/3</t>
  </si>
  <si>
    <t>FOR THE MONTH OF APRIL 2020</t>
  </si>
  <si>
    <t>PAID ON 18/4</t>
  </si>
  <si>
    <t>FOR THE MONTH OF MAY 2020</t>
  </si>
  <si>
    <t>LL2000</t>
  </si>
  <si>
    <t>ZAKARIA+STEPHEN</t>
  </si>
  <si>
    <t>AWAY</t>
  </si>
  <si>
    <t>HAVE NO MONEY</t>
  </si>
  <si>
    <t>PAID ON 16/5</t>
  </si>
  <si>
    <t>LL 9000</t>
  </si>
  <si>
    <t>LL 2000</t>
  </si>
  <si>
    <t>NYABUTO 1</t>
  </si>
  <si>
    <t>FOR THE MONTH OF JUNE 2020</t>
  </si>
  <si>
    <t>PAID ON 24/5</t>
  </si>
  <si>
    <t>LL1000</t>
  </si>
  <si>
    <t>ZAKARIA+STEPHEN gave ll</t>
  </si>
  <si>
    <t>gave ll</t>
  </si>
  <si>
    <t>RAMBOgave ll</t>
  </si>
  <si>
    <t>CHEGEgave ll</t>
  </si>
  <si>
    <t>no.8gave ll</t>
  </si>
  <si>
    <t>SHEMgave ll</t>
  </si>
  <si>
    <t>NYABUTO 1gave ll</t>
  </si>
  <si>
    <t>ZAKARIAgave ll</t>
  </si>
  <si>
    <t>NO.10gave ll</t>
  </si>
  <si>
    <t>NEWgave ll</t>
  </si>
  <si>
    <t>ll2000</t>
  </si>
  <si>
    <t>ll2500</t>
  </si>
  <si>
    <t>vaccated</t>
  </si>
  <si>
    <t>JUSTUS MATHEKA-mpesa</t>
  </si>
  <si>
    <t>NO.8 gave ll</t>
  </si>
  <si>
    <t>NO.2,3gave ll</t>
  </si>
  <si>
    <t>NO.8gave ll</t>
  </si>
  <si>
    <t>KENNEDY PAID LL</t>
  </si>
  <si>
    <t>LL1500</t>
  </si>
  <si>
    <t>STEPHEN PAID LL</t>
  </si>
  <si>
    <t>FOR THE MONTH OF JULY 2020</t>
  </si>
  <si>
    <t>PAID LL</t>
  </si>
  <si>
    <t>PAID LL 5000</t>
  </si>
  <si>
    <t>PAID LL5500</t>
  </si>
  <si>
    <t xml:space="preserve">NOT AVAILABLE </t>
  </si>
  <si>
    <t>CHEGE EVICTED</t>
  </si>
  <si>
    <t>TO BE EVICTED</t>
  </si>
  <si>
    <t>PAID LL 7000</t>
  </si>
  <si>
    <t>PAID LL 1800</t>
  </si>
  <si>
    <t>PAID LL 2500</t>
  </si>
  <si>
    <t>PAID LL 3000</t>
  </si>
  <si>
    <t>ZAKARIA NO.9PAID LL</t>
  </si>
  <si>
    <t>NEW 10PAID LL</t>
  </si>
  <si>
    <t>BONIFACE NO.12 PAID LL</t>
  </si>
  <si>
    <t>KENNEDY 13 PAID LL</t>
  </si>
  <si>
    <t>FELIX PAID LL</t>
  </si>
  <si>
    <t>SHEM PAID LL</t>
  </si>
  <si>
    <t>STEPHEN NO1 PAID LL</t>
  </si>
  <si>
    <t>RAMBO 3PAID LL</t>
  </si>
  <si>
    <t>NICK 4PAID LL</t>
  </si>
  <si>
    <t>ANTONY VACCATED</t>
  </si>
  <si>
    <t>money received by assetflow</t>
  </si>
  <si>
    <t>chege no.10 gavell</t>
  </si>
  <si>
    <t>b/f march  rambo  no.3gave ll</t>
  </si>
  <si>
    <t>bal</t>
  </si>
  <si>
    <t>comm</t>
  </si>
  <si>
    <t>bal after comm</t>
  </si>
  <si>
    <t>paid to ll on 18/4</t>
  </si>
  <si>
    <t>bal as at 30/4</t>
  </si>
  <si>
    <t>total bal ll owes assetflow</t>
  </si>
  <si>
    <t>b/f april</t>
  </si>
  <si>
    <t>paid to ll on 16/5</t>
  </si>
  <si>
    <t xml:space="preserve">BAL AS AT 30/5 </t>
  </si>
  <si>
    <t>STEPHEN NO1 PAID LBAL MARCH</t>
  </si>
  <si>
    <t>B/F MAY</t>
  </si>
  <si>
    <t>BAL AS AT 31/6</t>
  </si>
  <si>
    <t>B/F JUNE</t>
  </si>
  <si>
    <t>BAL AS AT 31/7</t>
  </si>
  <si>
    <t>payment mpesa LL</t>
  </si>
  <si>
    <t>antony vaccated march WE HAD PAID LL</t>
  </si>
  <si>
    <t>PAID TO LL ON 20/6</t>
  </si>
  <si>
    <t>PAID TO LL 27/6</t>
  </si>
  <si>
    <t>PAID ON 20/6</t>
  </si>
  <si>
    <t>PAID ON 27/6</t>
  </si>
  <si>
    <t>AUGUST</t>
  </si>
  <si>
    <t>FOR THE MONTH OF AUGUST 2020</t>
  </si>
  <si>
    <t>NO.3,11,13</t>
  </si>
  <si>
    <t>PAID ON 10/8</t>
  </si>
  <si>
    <t>15&amp;16</t>
  </si>
  <si>
    <t>STEPHEN WESONGA</t>
  </si>
  <si>
    <t>ANN KIKI</t>
  </si>
  <si>
    <t>HANNA KIMANI</t>
  </si>
  <si>
    <t>LL500</t>
  </si>
  <si>
    <t>FOR THE MONTH OF SEPTEMBER 2020</t>
  </si>
  <si>
    <t>SEPTEMBER</t>
  </si>
  <si>
    <t>NO.5 NO TENANT</t>
  </si>
  <si>
    <t>NO TENANT IN THE HSE</t>
  </si>
  <si>
    <t>SAMUEL MWANGI</t>
  </si>
  <si>
    <t>PAID LL NICK+STEPHEN NO.10</t>
  </si>
  <si>
    <t>KETTYKINGSS NJATHI GAITHO</t>
  </si>
  <si>
    <t>VAVVANT</t>
  </si>
  <si>
    <t>EVICTED</t>
  </si>
  <si>
    <t>BRADLEY MWAURA</t>
  </si>
  <si>
    <t>RAMBO</t>
  </si>
  <si>
    <t>PAID ON 8/9</t>
  </si>
  <si>
    <t>FELIX NO.14 VACCATED</t>
  </si>
  <si>
    <t>FOR THE MONTH OF  OCTOMBER 2020</t>
  </si>
  <si>
    <t>NICK PAID LL</t>
  </si>
  <si>
    <t>HANNAH</t>
  </si>
  <si>
    <t>PAID ON 10/10</t>
  </si>
  <si>
    <t>FOR THE MONTH OF  NOVEMBER 2020</t>
  </si>
  <si>
    <t>stephen 10 paid ll</t>
  </si>
  <si>
    <t>PAID ON 29/10</t>
  </si>
  <si>
    <t>EZEKIEL</t>
  </si>
  <si>
    <t>SAMUEL PAID LL</t>
  </si>
  <si>
    <t>PAID ON 9/11</t>
  </si>
  <si>
    <t>PAID ON 25/11</t>
  </si>
  <si>
    <t>ITEMS TO BE REMOVED</t>
  </si>
  <si>
    <t>FOR THE MONTH OF  DECEMBER 2020</t>
  </si>
  <si>
    <t>NO.6 PAID LL</t>
  </si>
  <si>
    <t>PAID 27/11</t>
  </si>
  <si>
    <t>PAID ON 2/12</t>
  </si>
  <si>
    <t>ARREARS</t>
  </si>
  <si>
    <t>SAMUEL19</t>
  </si>
  <si>
    <t>HANNAH 2</t>
  </si>
  <si>
    <t>ANN KIKI 18</t>
  </si>
  <si>
    <t>PAID ON 8/12</t>
  </si>
  <si>
    <t>FOR THE MONTH OF  JANUARY 2021</t>
  </si>
  <si>
    <t>EMMANUEL WEPHUKULU</t>
  </si>
  <si>
    <t>EZEKIEL PAID LL</t>
  </si>
  <si>
    <t>STEPHEN MATHEW</t>
  </si>
  <si>
    <t xml:space="preserve">NEW </t>
  </si>
  <si>
    <t>PAID ON 9/1</t>
  </si>
  <si>
    <t>ZAKARIA PAIDLL</t>
  </si>
  <si>
    <t>ARREARS L</t>
  </si>
  <si>
    <t>ARREARS LL</t>
  </si>
  <si>
    <t>TOTAL ARREARS</t>
  </si>
  <si>
    <t>TOTAL BAL</t>
  </si>
  <si>
    <t>FOR THE MONTH OF  FEBRUARY 2021</t>
  </si>
  <si>
    <t>ZAKARIA PAID LL</t>
  </si>
  <si>
    <t>paid on 9/2</t>
  </si>
  <si>
    <t>RAMBO NO.3 PAID LL</t>
  </si>
  <si>
    <t>STEPHEN NO.18 PAID LL</t>
  </si>
  <si>
    <t>FOR THE MONTH OF  MARCH 2021</t>
  </si>
  <si>
    <t>HESBON OKINDO</t>
  </si>
  <si>
    <t>CRISPUS OSOLO</t>
  </si>
  <si>
    <t>B/F</t>
  </si>
  <si>
    <t>PAID ON 8/3</t>
  </si>
  <si>
    <t>EMMANUEL NO.6 PAIDLL</t>
  </si>
  <si>
    <t>FOR THE MONTH OF  APRIL 2021</t>
  </si>
  <si>
    <t>CRISPUS NO.10 PAID LL</t>
  </si>
  <si>
    <t>EMMANUEL</t>
  </si>
  <si>
    <t>HESBON NO.7</t>
  </si>
  <si>
    <t>KENNEDY</t>
  </si>
  <si>
    <t xml:space="preserve">ARREARS PAID </t>
  </si>
  <si>
    <t>ARREARS PAID(ANN KIKI+KENNEDY)</t>
  </si>
  <si>
    <t>PAID ON 8/4</t>
  </si>
  <si>
    <t>FOR THE MONTH OF  MAY 2021</t>
  </si>
  <si>
    <t>RAMBO PAID LL</t>
  </si>
  <si>
    <t>PAID ON 8/5</t>
  </si>
  <si>
    <t>FOR THE MONTH OF  JUNE 2021</t>
  </si>
  <si>
    <t>PAID ON 23/5</t>
  </si>
  <si>
    <t>PAID ON 9/6</t>
  </si>
  <si>
    <t>PAID ON 11/6</t>
  </si>
  <si>
    <t>LL2500</t>
  </si>
  <si>
    <t>HESBON</t>
  </si>
  <si>
    <t>HESBON+EMMANUEL</t>
  </si>
  <si>
    <t>KETTYKINGSSPAID LL</t>
  </si>
  <si>
    <t>BFNO.7</t>
  </si>
  <si>
    <t>FOR THE MONTH OF  JULY 2021</t>
  </si>
  <si>
    <t>PAID ON 15/7</t>
  </si>
  <si>
    <t>LL300</t>
  </si>
  <si>
    <t>ARREARS PAID</t>
  </si>
  <si>
    <t>PAID ON 27/7</t>
  </si>
  <si>
    <t>FOR THE MONTH OF  AUGUST 2021</t>
  </si>
  <si>
    <t>PAID ON 9/8</t>
  </si>
  <si>
    <t>PAID ON `10/8</t>
  </si>
  <si>
    <t>FOR THE MONTH OF  SEPTEMBER 2021</t>
  </si>
  <si>
    <t>PAID ON2/9</t>
  </si>
  <si>
    <t>PAID ON 9/9</t>
  </si>
  <si>
    <t>FOR THE MONTH OF  OCTOBER  2021</t>
  </si>
  <si>
    <t xml:space="preserve">OCTOBER </t>
  </si>
  <si>
    <t>PAID ON 28/9</t>
  </si>
  <si>
    <t>HESBON NO.7 VACCATED</t>
  </si>
  <si>
    <t>LL4500</t>
  </si>
  <si>
    <t>paid on 11/10</t>
  </si>
  <si>
    <t>FOR THE MONTH OF  NOVEMBER  2021</t>
  </si>
  <si>
    <t>BENARD GITARI</t>
  </si>
  <si>
    <t>DAVE OCHIENG</t>
  </si>
  <si>
    <t>JOSEPHAT CHESES</t>
  </si>
  <si>
    <t>BERNARD GITARI</t>
  </si>
  <si>
    <t>JOSPHAT CHESES</t>
  </si>
  <si>
    <t>EDWARD OTIENO</t>
  </si>
  <si>
    <t xml:space="preserve">  </t>
  </si>
  <si>
    <t>FOR THE MONTH OF  DECEMBER 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</si>
</sst>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;\-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FF0000"/>
      <name val="Arial"/>
      <family val="2"/>
    </font>
    <font>
      <b/>
      <sz val="8"/>
      <name val="Arial"/>
      <family val="2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B0F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8">
    <xf numFmtId="0" fontId="0" fillId="0" borderId="0" xfId="0"/>
    <xf numFmtId="0" fontId="3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0" xfId="0" applyBorder="1"/>
    <xf numFmtId="0" fontId="3" fillId="0" borderId="0" xfId="0" applyFont="1" applyBorder="1"/>
    <xf numFmtId="0" fontId="2" fillId="0" borderId="0" xfId="0" applyFont="1"/>
    <xf numFmtId="49" fontId="4" fillId="0" borderId="0" xfId="1" applyNumberFormat="1" applyFont="1" applyBorder="1" applyAlignment="1">
      <alignment horizontal="right"/>
    </xf>
    <xf numFmtId="49" fontId="5" fillId="0" borderId="0" xfId="0" applyNumberFormat="1" applyFont="1" applyBorder="1" applyAlignment="1">
      <alignment horizontal="right"/>
    </xf>
    <xf numFmtId="4" fontId="3" fillId="0" borderId="0" xfId="0" applyNumberFormat="1" applyFont="1" applyBorder="1"/>
    <xf numFmtId="164" fontId="5" fillId="0" borderId="0" xfId="0" applyNumberFormat="1" applyFont="1" applyBorder="1"/>
    <xf numFmtId="0" fontId="3" fillId="0" borderId="2" xfId="0" applyFont="1" applyBorder="1"/>
    <xf numFmtId="0" fontId="0" fillId="0" borderId="0" xfId="0" applyFont="1"/>
    <xf numFmtId="0" fontId="0" fillId="0" borderId="1" xfId="0" applyFont="1" applyBorder="1"/>
    <xf numFmtId="3" fontId="0" fillId="0" borderId="1" xfId="0" applyNumberFormat="1" applyFont="1" applyBorder="1"/>
    <xf numFmtId="3" fontId="0" fillId="0" borderId="0" xfId="0" applyNumberFormat="1"/>
    <xf numFmtId="9" fontId="0" fillId="0" borderId="1" xfId="0" applyNumberFormat="1" applyFont="1" applyBorder="1"/>
    <xf numFmtId="0" fontId="2" fillId="0" borderId="1" xfId="0" applyFont="1" applyBorder="1"/>
    <xf numFmtId="16" fontId="0" fillId="0" borderId="1" xfId="0" applyNumberFormat="1" applyBorder="1"/>
    <xf numFmtId="14" fontId="0" fillId="0" borderId="1" xfId="0" applyNumberFormat="1" applyBorder="1"/>
    <xf numFmtId="14" fontId="0" fillId="0" borderId="1" xfId="0" applyNumberFormat="1" applyFont="1" applyBorder="1"/>
    <xf numFmtId="14" fontId="0" fillId="0" borderId="1" xfId="0" applyNumberFormat="1" applyFont="1" applyFill="1" applyBorder="1"/>
    <xf numFmtId="0" fontId="0" fillId="0" borderId="1" xfId="0" applyFont="1" applyFill="1" applyBorder="1"/>
    <xf numFmtId="0" fontId="0" fillId="0" borderId="3" xfId="0" applyFill="1" applyBorder="1"/>
    <xf numFmtId="0" fontId="6" fillId="0" borderId="1" xfId="0" applyFont="1" applyBorder="1"/>
    <xf numFmtId="0" fontId="6" fillId="0" borderId="1" xfId="0" applyFont="1" applyBorder="1" applyAlignment="1">
      <alignment horizontal="right"/>
    </xf>
    <xf numFmtId="0" fontId="7" fillId="0" borderId="1" xfId="0" applyFont="1" applyBorder="1"/>
    <xf numFmtId="3" fontId="7" fillId="0" borderId="1" xfId="0" applyNumberFormat="1" applyFont="1" applyBorder="1"/>
    <xf numFmtId="3" fontId="3" fillId="0" borderId="1" xfId="0" applyNumberFormat="1" applyFont="1" applyBorder="1"/>
    <xf numFmtId="0" fontId="8" fillId="0" borderId="1" xfId="0" applyFont="1" applyBorder="1"/>
    <xf numFmtId="0" fontId="9" fillId="0" borderId="1" xfId="0" applyFont="1" applyBorder="1"/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49" fontId="5" fillId="0" borderId="0" xfId="1" applyNumberFormat="1" applyFont="1" applyBorder="1" applyAlignment="1">
      <alignment horizontal="right"/>
    </xf>
    <xf numFmtId="4" fontId="9" fillId="0" borderId="0" xfId="0" applyNumberFormat="1" applyFont="1" applyBorder="1"/>
    <xf numFmtId="0" fontId="9" fillId="0" borderId="0" xfId="0" applyFont="1"/>
    <xf numFmtId="0" fontId="9" fillId="0" borderId="2" xfId="0" applyFont="1" applyBorder="1"/>
    <xf numFmtId="3" fontId="8" fillId="0" borderId="1" xfId="0" applyNumberFormat="1" applyFont="1" applyBorder="1"/>
    <xf numFmtId="9" fontId="8" fillId="0" borderId="1" xfId="0" applyNumberFormat="1" applyFont="1" applyBorder="1"/>
    <xf numFmtId="3" fontId="9" fillId="0" borderId="1" xfId="0" applyNumberFormat="1" applyFont="1" applyBorder="1"/>
    <xf numFmtId="16" fontId="8" fillId="0" borderId="1" xfId="0" applyNumberFormat="1" applyFont="1" applyBorder="1"/>
    <xf numFmtId="14" fontId="8" fillId="0" borderId="1" xfId="0" applyNumberFormat="1" applyFont="1" applyBorder="1"/>
    <xf numFmtId="14" fontId="8" fillId="0" borderId="1" xfId="0" applyNumberFormat="1" applyFont="1" applyFill="1" applyBorder="1"/>
    <xf numFmtId="0" fontId="8" fillId="0" borderId="1" xfId="0" applyFont="1" applyFill="1" applyBorder="1"/>
    <xf numFmtId="0" fontId="0" fillId="0" borderId="1" xfId="0" applyFill="1" applyBorder="1"/>
    <xf numFmtId="4" fontId="9" fillId="0" borderId="4" xfId="0" applyNumberFormat="1" applyFont="1" applyBorder="1"/>
    <xf numFmtId="0" fontId="2" fillId="0" borderId="1" xfId="0" applyFont="1" applyFill="1" applyBorder="1"/>
    <xf numFmtId="3" fontId="8" fillId="0" borderId="0" xfId="0" applyNumberFormat="1" applyFont="1"/>
    <xf numFmtId="0" fontId="9" fillId="0" borderId="0" xfId="0" applyFont="1" applyFill="1" applyBorder="1"/>
    <xf numFmtId="0" fontId="8" fillId="2" borderId="1" xfId="0" applyFont="1" applyFill="1" applyBorder="1"/>
    <xf numFmtId="0" fontId="0" fillId="2" borderId="1" xfId="0" applyFill="1" applyBorder="1"/>
    <xf numFmtId="0" fontId="2" fillId="2" borderId="1" xfId="0" applyFont="1" applyFill="1" applyBorder="1"/>
    <xf numFmtId="0" fontId="0" fillId="2" borderId="1" xfId="0" applyFill="1" applyBorder="1" applyAlignment="1"/>
    <xf numFmtId="0" fontId="0" fillId="0" borderId="1" xfId="0" applyBorder="1" applyAlignment="1"/>
    <xf numFmtId="0" fontId="2" fillId="2" borderId="1" xfId="0" applyFont="1" applyFill="1" applyBorder="1" applyAlignment="1"/>
    <xf numFmtId="0" fontId="8" fillId="3" borderId="1" xfId="0" applyFont="1" applyFill="1" applyBorder="1" applyAlignment="1"/>
    <xf numFmtId="0" fontId="8" fillId="3" borderId="1" xfId="0" applyFont="1" applyFill="1" applyBorder="1"/>
    <xf numFmtId="0" fontId="0" fillId="3" borderId="1" xfId="0" applyFill="1" applyBorder="1"/>
    <xf numFmtId="3" fontId="2" fillId="0" borderId="0" xfId="0" applyNumberFormat="1" applyFont="1"/>
    <xf numFmtId="0" fontId="2" fillId="3" borderId="1" xfId="0" applyFont="1" applyFill="1" applyBorder="1"/>
    <xf numFmtId="4" fontId="0" fillId="0" borderId="1" xfId="0" applyNumberFormat="1" applyBorder="1"/>
    <xf numFmtId="4" fontId="8" fillId="0" borderId="0" xfId="0" applyNumberFormat="1" applyFont="1"/>
    <xf numFmtId="0" fontId="10" fillId="0" borderId="1" xfId="0" applyFont="1" applyBorder="1"/>
    <xf numFmtId="0" fontId="10" fillId="3" borderId="1" xfId="0" applyFont="1" applyFill="1" applyBorder="1" applyAlignment="1"/>
    <xf numFmtId="4" fontId="0" fillId="0" borderId="0" xfId="0" applyNumberFormat="1"/>
    <xf numFmtId="0" fontId="9" fillId="0" borderId="3" xfId="0" applyFont="1" applyFill="1" applyBorder="1"/>
    <xf numFmtId="4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Normal="100" workbookViewId="0">
      <selection activeCell="G38" sqref="G38"/>
    </sheetView>
  </sheetViews>
  <sheetFormatPr defaultRowHeight="15" x14ac:dyDescent="0.25"/>
  <cols>
    <col min="1" max="1" width="4" customWidth="1"/>
    <col min="2" max="2" width="19.85546875" customWidth="1"/>
    <col min="6" max="6" width="11" customWidth="1"/>
  </cols>
  <sheetData>
    <row r="1" spans="1:8" x14ac:dyDescent="0.25">
      <c r="A1" s="1"/>
      <c r="B1" s="1"/>
      <c r="C1" s="1" t="s">
        <v>28</v>
      </c>
      <c r="D1" s="1"/>
      <c r="E1" s="1"/>
      <c r="F1" s="1"/>
      <c r="G1" s="1"/>
      <c r="H1" s="1"/>
    </row>
    <row r="2" spans="1:8" x14ac:dyDescent="0.25">
      <c r="A2" s="1"/>
      <c r="B2" s="1"/>
      <c r="C2" s="1" t="s">
        <v>0</v>
      </c>
      <c r="D2" s="1"/>
      <c r="E2" s="1"/>
      <c r="F2" s="1"/>
      <c r="G2" s="1"/>
      <c r="H2" s="1"/>
    </row>
    <row r="3" spans="1:8" x14ac:dyDescent="0.25">
      <c r="A3" s="1"/>
      <c r="B3" s="1"/>
      <c r="C3" s="1" t="s">
        <v>1</v>
      </c>
      <c r="D3" s="1"/>
      <c r="E3" s="1"/>
      <c r="F3" s="1"/>
      <c r="G3" s="1"/>
      <c r="H3" s="1"/>
    </row>
    <row r="4" spans="1:8" x14ac:dyDescent="0.25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</row>
    <row r="5" spans="1:8" x14ac:dyDescent="0.25">
      <c r="A5" s="3">
        <v>1</v>
      </c>
      <c r="B5" s="3" t="s">
        <v>29</v>
      </c>
      <c r="C5" s="3"/>
      <c r="D5" s="3"/>
      <c r="E5" s="3"/>
      <c r="F5" s="3">
        <f>D5+E5</f>
        <v>0</v>
      </c>
      <c r="G5" s="3"/>
      <c r="H5" s="3">
        <f>F5-G5</f>
        <v>0</v>
      </c>
    </row>
    <row r="6" spans="1:8" x14ac:dyDescent="0.25">
      <c r="A6" s="3">
        <v>2</v>
      </c>
      <c r="B6" s="3" t="s">
        <v>30</v>
      </c>
      <c r="C6" s="3"/>
      <c r="D6" s="3"/>
      <c r="E6" s="3"/>
      <c r="F6" s="3">
        <f t="shared" ref="F6:F18" si="0">D6+E6</f>
        <v>0</v>
      </c>
      <c r="G6" s="3"/>
      <c r="H6" s="3">
        <f t="shared" ref="H6:H18" si="1">F6-G6</f>
        <v>0</v>
      </c>
    </row>
    <row r="7" spans="1:8" x14ac:dyDescent="0.25">
      <c r="A7" s="3">
        <v>3</v>
      </c>
      <c r="B7" s="3" t="s">
        <v>31</v>
      </c>
      <c r="C7" s="3"/>
      <c r="D7" s="3"/>
      <c r="E7" s="3">
        <v>2200</v>
      </c>
      <c r="F7" s="3">
        <f t="shared" si="0"/>
        <v>2200</v>
      </c>
      <c r="G7" s="3">
        <v>2200</v>
      </c>
      <c r="H7" s="3">
        <f t="shared" si="1"/>
        <v>0</v>
      </c>
    </row>
    <row r="8" spans="1:8" x14ac:dyDescent="0.25">
      <c r="A8" s="3">
        <v>4</v>
      </c>
      <c r="B8" s="3" t="s">
        <v>32</v>
      </c>
      <c r="C8" s="3"/>
      <c r="D8" s="3"/>
      <c r="E8" s="3">
        <v>2200</v>
      </c>
      <c r="F8" s="3">
        <f t="shared" si="0"/>
        <v>2200</v>
      </c>
      <c r="G8" s="3">
        <v>2000</v>
      </c>
      <c r="H8" s="3">
        <f t="shared" si="1"/>
        <v>200</v>
      </c>
    </row>
    <row r="9" spans="1:8" x14ac:dyDescent="0.25">
      <c r="A9" s="3">
        <v>5</v>
      </c>
      <c r="B9" s="3" t="s">
        <v>33</v>
      </c>
      <c r="C9" s="3"/>
      <c r="D9" s="3"/>
      <c r="E9" s="3"/>
      <c r="F9" s="3">
        <f t="shared" si="0"/>
        <v>0</v>
      </c>
      <c r="G9" s="3"/>
      <c r="H9" s="3">
        <f t="shared" si="1"/>
        <v>0</v>
      </c>
    </row>
    <row r="10" spans="1:8" x14ac:dyDescent="0.25">
      <c r="A10" s="3">
        <v>6</v>
      </c>
      <c r="B10" s="3" t="s">
        <v>34</v>
      </c>
      <c r="C10" s="3"/>
      <c r="D10" s="3"/>
      <c r="E10" s="3"/>
      <c r="F10" s="3">
        <f t="shared" si="0"/>
        <v>0</v>
      </c>
      <c r="G10" s="3"/>
      <c r="H10" s="3">
        <f t="shared" si="1"/>
        <v>0</v>
      </c>
    </row>
    <row r="11" spans="1:8" x14ac:dyDescent="0.25">
      <c r="A11" s="3" t="s">
        <v>10</v>
      </c>
      <c r="B11" s="3" t="s">
        <v>35</v>
      </c>
      <c r="C11" s="3"/>
      <c r="D11" s="3"/>
      <c r="E11" s="3">
        <v>4000</v>
      </c>
      <c r="F11" s="3">
        <f t="shared" si="0"/>
        <v>4000</v>
      </c>
      <c r="G11" s="3">
        <v>4000</v>
      </c>
      <c r="H11" s="3">
        <f t="shared" si="1"/>
        <v>0</v>
      </c>
    </row>
    <row r="12" spans="1:8" x14ac:dyDescent="0.25">
      <c r="A12" s="3">
        <v>9</v>
      </c>
      <c r="B12" s="3" t="s">
        <v>41</v>
      </c>
      <c r="C12" s="3"/>
      <c r="D12" s="3"/>
      <c r="E12" s="3">
        <v>2200</v>
      </c>
      <c r="F12" s="3">
        <f t="shared" si="0"/>
        <v>2200</v>
      </c>
      <c r="G12" s="3">
        <v>2200</v>
      </c>
      <c r="H12" s="3">
        <f t="shared" si="1"/>
        <v>0</v>
      </c>
    </row>
    <row r="13" spans="1:8" x14ac:dyDescent="0.25">
      <c r="A13" s="3">
        <v>10</v>
      </c>
      <c r="B13" s="3" t="s">
        <v>41</v>
      </c>
      <c r="C13" s="3"/>
      <c r="D13" s="3"/>
      <c r="E13" s="3"/>
      <c r="F13" s="3"/>
      <c r="G13" s="3"/>
      <c r="H13" s="3">
        <f t="shared" si="1"/>
        <v>0</v>
      </c>
    </row>
    <row r="14" spans="1:8" x14ac:dyDescent="0.25">
      <c r="A14" s="3">
        <v>11</v>
      </c>
      <c r="B14" s="23" t="s">
        <v>36</v>
      </c>
      <c r="C14" s="3"/>
      <c r="D14" s="3"/>
      <c r="E14" s="3">
        <v>2200</v>
      </c>
      <c r="F14" s="3">
        <f t="shared" si="0"/>
        <v>2200</v>
      </c>
      <c r="G14" s="3">
        <v>2100</v>
      </c>
      <c r="H14" s="3">
        <f t="shared" si="1"/>
        <v>100</v>
      </c>
    </row>
    <row r="15" spans="1:8" x14ac:dyDescent="0.25">
      <c r="A15" s="3">
        <v>12</v>
      </c>
      <c r="B15" s="3" t="s">
        <v>37</v>
      </c>
      <c r="C15" s="3"/>
      <c r="D15" s="3"/>
      <c r="E15" s="3">
        <v>2200</v>
      </c>
      <c r="F15" s="3">
        <f t="shared" si="0"/>
        <v>2200</v>
      </c>
      <c r="G15" s="3">
        <v>2000</v>
      </c>
      <c r="H15" s="3">
        <f t="shared" si="1"/>
        <v>200</v>
      </c>
    </row>
    <row r="16" spans="1:8" x14ac:dyDescent="0.25">
      <c r="A16" s="3">
        <v>13</v>
      </c>
      <c r="B16" s="3" t="s">
        <v>38</v>
      </c>
      <c r="C16" s="3"/>
      <c r="D16" s="3"/>
      <c r="E16" s="3">
        <v>2200</v>
      </c>
      <c r="F16" s="3">
        <f t="shared" si="0"/>
        <v>2200</v>
      </c>
      <c r="G16" s="3">
        <v>2200</v>
      </c>
      <c r="H16" s="3">
        <f t="shared" si="1"/>
        <v>0</v>
      </c>
    </row>
    <row r="17" spans="1:12" x14ac:dyDescent="0.25">
      <c r="A17" s="3">
        <v>14</v>
      </c>
      <c r="B17" s="3" t="s">
        <v>30</v>
      </c>
      <c r="C17" s="3"/>
      <c r="D17" s="3"/>
      <c r="E17" s="3"/>
      <c r="F17" s="3">
        <f t="shared" si="0"/>
        <v>0</v>
      </c>
      <c r="G17" s="3"/>
      <c r="H17" s="3">
        <f t="shared" si="1"/>
        <v>0</v>
      </c>
    </row>
    <row r="18" spans="1:12" x14ac:dyDescent="0.25">
      <c r="A18" s="3" t="s">
        <v>39</v>
      </c>
      <c r="B18" s="3" t="s">
        <v>40</v>
      </c>
      <c r="C18" s="3"/>
      <c r="D18" s="3"/>
      <c r="E18" s="3">
        <v>2300</v>
      </c>
      <c r="F18" s="3">
        <f t="shared" si="0"/>
        <v>2300</v>
      </c>
      <c r="G18" s="3">
        <v>2300</v>
      </c>
      <c r="H18" s="3">
        <f t="shared" si="1"/>
        <v>0</v>
      </c>
    </row>
    <row r="19" spans="1:12" x14ac:dyDescent="0.25">
      <c r="A19" s="3"/>
      <c r="B19" s="2" t="s">
        <v>11</v>
      </c>
      <c r="C19" s="2">
        <f>SUM(C5:C18)</f>
        <v>0</v>
      </c>
      <c r="D19" s="2"/>
      <c r="E19" s="2">
        <f>SUM(E5:E18)</f>
        <v>19500</v>
      </c>
      <c r="F19" s="2">
        <f>SUM(F5:F18)</f>
        <v>19500</v>
      </c>
      <c r="G19" s="2">
        <f>SUM(G5:G18)</f>
        <v>19000</v>
      </c>
      <c r="H19" s="3">
        <f>SUM(H5:H18)</f>
        <v>500</v>
      </c>
    </row>
    <row r="20" spans="1:12" x14ac:dyDescent="0.25">
      <c r="A20" s="4"/>
      <c r="B20" s="5"/>
      <c r="C20" s="5"/>
      <c r="D20" s="5"/>
      <c r="E20" s="5"/>
      <c r="F20" s="5"/>
      <c r="G20" s="5"/>
      <c r="H20" s="4"/>
    </row>
    <row r="21" spans="1:12" x14ac:dyDescent="0.25">
      <c r="B21" s="6" t="s">
        <v>12</v>
      </c>
      <c r="C21" s="7"/>
      <c r="D21" s="8"/>
      <c r="E21" s="5"/>
      <c r="F21" s="9"/>
      <c r="G21" s="10"/>
      <c r="H21" s="9"/>
    </row>
    <row r="22" spans="1:12" x14ac:dyDescent="0.25">
      <c r="B22" s="1" t="s">
        <v>13</v>
      </c>
      <c r="C22" s="1"/>
      <c r="D22" s="1"/>
      <c r="E22" s="11"/>
      <c r="F22" s="1" t="s">
        <v>14</v>
      </c>
      <c r="G22" s="12"/>
      <c r="H22" s="12"/>
      <c r="I22" s="12"/>
    </row>
    <row r="23" spans="1:12" x14ac:dyDescent="0.25">
      <c r="B23" s="2" t="s">
        <v>15</v>
      </c>
      <c r="C23" s="2" t="s">
        <v>16</v>
      </c>
      <c r="D23" s="2" t="s">
        <v>17</v>
      </c>
      <c r="E23" s="2" t="s">
        <v>18</v>
      </c>
      <c r="F23" s="2" t="s">
        <v>15</v>
      </c>
      <c r="G23" s="2" t="s">
        <v>16</v>
      </c>
      <c r="H23" s="2" t="s">
        <v>17</v>
      </c>
      <c r="I23" s="2" t="s">
        <v>18</v>
      </c>
    </row>
    <row r="24" spans="1:12" x14ac:dyDescent="0.25">
      <c r="B24" s="13" t="s">
        <v>19</v>
      </c>
      <c r="C24" s="14">
        <f>E19</f>
        <v>19500</v>
      </c>
      <c r="D24" s="13"/>
      <c r="E24" s="13"/>
      <c r="F24" s="13" t="s">
        <v>19</v>
      </c>
      <c r="G24" s="14">
        <f>G19</f>
        <v>19000</v>
      </c>
      <c r="H24" s="13"/>
      <c r="I24" s="13"/>
      <c r="L24" s="15"/>
    </row>
    <row r="25" spans="1:12" x14ac:dyDescent="0.25">
      <c r="B25" s="13" t="s">
        <v>5</v>
      </c>
      <c r="C25" s="14"/>
      <c r="D25" s="13"/>
      <c r="E25" s="13"/>
      <c r="F25" s="13" t="s">
        <v>5</v>
      </c>
      <c r="G25" s="14"/>
      <c r="H25" s="13"/>
      <c r="I25" s="13"/>
    </row>
    <row r="26" spans="1:12" x14ac:dyDescent="0.25">
      <c r="B26" s="13" t="s">
        <v>20</v>
      </c>
      <c r="C26" s="16">
        <v>0.1</v>
      </c>
      <c r="D26" s="14">
        <f>C24*C26</f>
        <v>1950</v>
      </c>
      <c r="E26" s="13"/>
      <c r="F26" s="13" t="s">
        <v>20</v>
      </c>
      <c r="G26" s="16">
        <v>0.1</v>
      </c>
      <c r="H26" s="14">
        <f>D26</f>
        <v>1950</v>
      </c>
      <c r="I26" s="13"/>
    </row>
    <row r="27" spans="1:12" x14ac:dyDescent="0.25">
      <c r="B27" s="17" t="s">
        <v>21</v>
      </c>
      <c r="C27" s="13" t="s">
        <v>22</v>
      </c>
      <c r="D27" s="13"/>
      <c r="E27" s="13"/>
      <c r="F27" s="17" t="s">
        <v>21</v>
      </c>
      <c r="G27" s="14"/>
      <c r="H27" s="13"/>
      <c r="I27" s="13"/>
    </row>
    <row r="28" spans="1:12" x14ac:dyDescent="0.25">
      <c r="B28" s="18">
        <v>43354</v>
      </c>
      <c r="C28" s="3"/>
      <c r="D28" s="3">
        <v>6077</v>
      </c>
      <c r="E28" s="3"/>
      <c r="F28" s="18">
        <v>43354</v>
      </c>
      <c r="G28" s="3"/>
      <c r="H28" s="3">
        <v>6077</v>
      </c>
      <c r="I28" s="3"/>
    </row>
    <row r="29" spans="1:12" x14ac:dyDescent="0.25">
      <c r="B29" s="19">
        <v>43358</v>
      </c>
      <c r="C29" s="3"/>
      <c r="D29" s="3">
        <v>10087</v>
      </c>
      <c r="E29" s="3"/>
      <c r="F29" s="19">
        <v>43358</v>
      </c>
      <c r="G29" s="3"/>
      <c r="H29" s="3">
        <v>10087</v>
      </c>
      <c r="I29" s="3"/>
    </row>
    <row r="30" spans="1:12" x14ac:dyDescent="0.25">
      <c r="B30" s="20">
        <v>43360</v>
      </c>
      <c r="C30" s="13"/>
      <c r="D30" s="13">
        <v>1400</v>
      </c>
      <c r="E30" s="13"/>
      <c r="F30" s="20">
        <v>43360</v>
      </c>
      <c r="G30" s="13"/>
      <c r="H30" s="13">
        <v>1400</v>
      </c>
      <c r="I30" s="13"/>
    </row>
    <row r="31" spans="1:12" x14ac:dyDescent="0.25">
      <c r="B31" s="20"/>
      <c r="C31" s="13"/>
      <c r="D31" s="13"/>
      <c r="E31" s="13"/>
      <c r="F31" s="21"/>
      <c r="G31" s="13"/>
      <c r="H31" s="13"/>
      <c r="I31" s="13"/>
    </row>
    <row r="32" spans="1:12" x14ac:dyDescent="0.25">
      <c r="B32" s="21"/>
      <c r="C32" s="13"/>
      <c r="D32" s="13"/>
      <c r="E32" s="13"/>
      <c r="F32" s="19"/>
      <c r="G32" s="3"/>
      <c r="H32" s="22"/>
      <c r="I32" s="13"/>
    </row>
    <row r="33" spans="2:9" x14ac:dyDescent="0.25">
      <c r="B33" s="19"/>
      <c r="C33" s="3"/>
      <c r="D33" s="22"/>
      <c r="E33" s="13"/>
      <c r="F33" s="3"/>
      <c r="G33" s="3"/>
      <c r="H33" s="3"/>
      <c r="I33" s="13"/>
    </row>
    <row r="34" spans="2:9" x14ac:dyDescent="0.25">
      <c r="B34" s="26" t="s">
        <v>11</v>
      </c>
      <c r="C34" s="27">
        <f>C24+C25</f>
        <v>19500</v>
      </c>
      <c r="D34" s="27">
        <f>SUM(D26:D33)</f>
        <v>19514</v>
      </c>
      <c r="E34" s="27">
        <f>C34-D34</f>
        <v>-14</v>
      </c>
      <c r="F34" s="26" t="s">
        <v>11</v>
      </c>
      <c r="G34" s="27">
        <f>G24+G25</f>
        <v>19000</v>
      </c>
      <c r="H34" s="27">
        <f>SUM(H26:H33)</f>
        <v>19514</v>
      </c>
      <c r="I34" s="28">
        <f>G34-H34</f>
        <v>-514</v>
      </c>
    </row>
    <row r="36" spans="2:9" x14ac:dyDescent="0.25">
      <c r="B36" t="s">
        <v>23</v>
      </c>
      <c r="D36" t="s">
        <v>24</v>
      </c>
      <c r="G36" t="s">
        <v>25</v>
      </c>
    </row>
    <row r="38" spans="2:9" x14ac:dyDescent="0.25">
      <c r="B38" t="s">
        <v>26</v>
      </c>
      <c r="D38" t="s">
        <v>27</v>
      </c>
      <c r="G38" t="s">
        <v>46</v>
      </c>
    </row>
  </sheetData>
  <pageMargins left="0.25" right="0.25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K33" sqref="K33"/>
    </sheetView>
  </sheetViews>
  <sheetFormatPr defaultRowHeight="15" x14ac:dyDescent="0.25"/>
  <cols>
    <col min="1" max="1" width="5" customWidth="1"/>
    <col min="2" max="2" width="18.85546875" customWidth="1"/>
    <col min="3" max="3" width="8.85546875" customWidth="1"/>
    <col min="4" max="4" width="9" customWidth="1"/>
    <col min="5" max="5" width="8.85546875" customWidth="1"/>
    <col min="6" max="6" width="10.5703125" customWidth="1"/>
    <col min="7" max="7" width="10.7109375" customWidth="1"/>
  </cols>
  <sheetData>
    <row r="1" spans="1:9" x14ac:dyDescent="0.25">
      <c r="A1" s="1"/>
      <c r="B1" s="1"/>
      <c r="C1" s="1" t="s">
        <v>28</v>
      </c>
      <c r="D1" s="1"/>
      <c r="E1" s="1"/>
      <c r="F1" s="1"/>
      <c r="G1" s="1"/>
      <c r="H1" s="1"/>
    </row>
    <row r="2" spans="1:9" x14ac:dyDescent="0.25">
      <c r="A2" s="1"/>
      <c r="B2" s="1"/>
      <c r="C2" s="1" t="s">
        <v>0</v>
      </c>
      <c r="D2" s="1"/>
      <c r="E2" s="1"/>
      <c r="F2" s="1"/>
      <c r="G2" s="1"/>
      <c r="H2" s="1"/>
    </row>
    <row r="3" spans="1:9" x14ac:dyDescent="0.25">
      <c r="A3" s="1"/>
      <c r="B3" s="1"/>
      <c r="C3" s="1" t="s">
        <v>90</v>
      </c>
      <c r="D3" s="1"/>
      <c r="E3" s="1"/>
      <c r="F3" s="1"/>
      <c r="G3" s="1"/>
      <c r="H3" s="1"/>
    </row>
    <row r="4" spans="1:9" x14ac:dyDescent="0.25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</row>
    <row r="5" spans="1:9" x14ac:dyDescent="0.25">
      <c r="A5" s="25">
        <v>1</v>
      </c>
      <c r="B5" s="3" t="s">
        <v>82</v>
      </c>
      <c r="C5" s="3"/>
      <c r="D5" s="3"/>
      <c r="E5" s="3">
        <v>2200</v>
      </c>
      <c r="F5" s="3">
        <f>D5+E5</f>
        <v>2200</v>
      </c>
      <c r="G5" s="3">
        <v>2200</v>
      </c>
      <c r="H5" s="3">
        <f>F5-G5</f>
        <v>0</v>
      </c>
    </row>
    <row r="6" spans="1:9" x14ac:dyDescent="0.25">
      <c r="A6" s="25">
        <v>2</v>
      </c>
      <c r="B6" s="3"/>
      <c r="C6" s="3"/>
      <c r="D6" s="3"/>
      <c r="E6" s="3"/>
      <c r="F6" s="3">
        <f t="shared" ref="F6:F17" si="0">D6+E6</f>
        <v>0</v>
      </c>
      <c r="G6" s="3"/>
      <c r="H6" s="3">
        <f t="shared" ref="H6:H17" si="1">F6-G6</f>
        <v>0</v>
      </c>
    </row>
    <row r="7" spans="1:9" x14ac:dyDescent="0.25">
      <c r="A7" s="25">
        <v>3</v>
      </c>
      <c r="B7" s="3" t="s">
        <v>31</v>
      </c>
      <c r="C7" s="3"/>
      <c r="D7" s="3">
        <v>50</v>
      </c>
      <c r="E7" s="3">
        <v>2200</v>
      </c>
      <c r="F7" s="3">
        <f t="shared" si="0"/>
        <v>2250</v>
      </c>
      <c r="G7" s="3">
        <v>2200</v>
      </c>
      <c r="H7" s="3">
        <f t="shared" si="1"/>
        <v>50</v>
      </c>
    </row>
    <row r="8" spans="1:9" x14ac:dyDescent="0.25">
      <c r="A8" s="25">
        <v>4</v>
      </c>
      <c r="B8" s="3" t="s">
        <v>71</v>
      </c>
      <c r="C8" s="3"/>
      <c r="D8" s="3"/>
      <c r="E8" s="3">
        <v>2200</v>
      </c>
      <c r="F8" s="3">
        <f t="shared" si="0"/>
        <v>2200</v>
      </c>
      <c r="G8" s="3">
        <v>2200</v>
      </c>
      <c r="H8" s="3">
        <f t="shared" si="1"/>
        <v>0</v>
      </c>
    </row>
    <row r="9" spans="1:9" x14ac:dyDescent="0.25">
      <c r="A9" s="25">
        <v>5</v>
      </c>
      <c r="B9" s="3" t="s">
        <v>47</v>
      </c>
      <c r="C9" s="3"/>
      <c r="D9" s="3"/>
      <c r="E9" s="3">
        <v>2200</v>
      </c>
      <c r="F9" s="3">
        <f t="shared" si="0"/>
        <v>2200</v>
      </c>
      <c r="G9" s="3">
        <v>2200</v>
      </c>
      <c r="H9" s="3">
        <f t="shared" si="1"/>
        <v>0</v>
      </c>
    </row>
    <row r="10" spans="1:9" x14ac:dyDescent="0.25">
      <c r="A10" s="25">
        <v>6</v>
      </c>
      <c r="B10" s="3" t="s">
        <v>34</v>
      </c>
      <c r="C10" s="3"/>
      <c r="D10" s="3">
        <v>1400</v>
      </c>
      <c r="E10" s="3">
        <v>2200</v>
      </c>
      <c r="F10" s="3">
        <f t="shared" si="0"/>
        <v>3600</v>
      </c>
      <c r="G10" s="3"/>
      <c r="H10" s="3">
        <f t="shared" si="1"/>
        <v>3600</v>
      </c>
    </row>
    <row r="11" spans="1:9" x14ac:dyDescent="0.25">
      <c r="A11" s="25" t="s">
        <v>10</v>
      </c>
      <c r="B11" s="3" t="s">
        <v>45</v>
      </c>
      <c r="C11" s="3"/>
      <c r="D11" s="3"/>
      <c r="E11" s="3">
        <v>4400</v>
      </c>
      <c r="F11" s="3">
        <f>D11+E11</f>
        <v>4400</v>
      </c>
      <c r="G11" s="3">
        <v>4400</v>
      </c>
      <c r="H11" s="3">
        <f>F11-G11</f>
        <v>0</v>
      </c>
    </row>
    <row r="12" spans="1:9" x14ac:dyDescent="0.25">
      <c r="A12" s="25">
        <v>9</v>
      </c>
      <c r="B12" s="3" t="s">
        <v>41</v>
      </c>
      <c r="C12" s="3"/>
      <c r="D12" s="3"/>
      <c r="E12" s="3">
        <v>2200</v>
      </c>
      <c r="F12" s="3">
        <f t="shared" si="0"/>
        <v>2200</v>
      </c>
      <c r="G12" s="3">
        <v>2200</v>
      </c>
      <c r="H12" s="3">
        <f t="shared" si="1"/>
        <v>0</v>
      </c>
      <c r="I12" t="s">
        <v>48</v>
      </c>
    </row>
    <row r="13" spans="1:9" x14ac:dyDescent="0.25">
      <c r="A13" s="25">
        <v>10</v>
      </c>
      <c r="B13" s="3" t="s">
        <v>93</v>
      </c>
      <c r="C13" s="3"/>
      <c r="D13" s="3"/>
      <c r="E13" s="3">
        <v>2200</v>
      </c>
      <c r="F13" s="3">
        <f t="shared" si="0"/>
        <v>2200</v>
      </c>
      <c r="G13" s="3">
        <v>2200</v>
      </c>
      <c r="H13" s="3">
        <f t="shared" si="1"/>
        <v>0</v>
      </c>
    </row>
    <row r="14" spans="1:9" x14ac:dyDescent="0.25">
      <c r="A14" s="25">
        <v>11</v>
      </c>
      <c r="B14" s="45" t="s">
        <v>41</v>
      </c>
      <c r="C14" s="3"/>
      <c r="D14" s="3"/>
      <c r="E14" s="3">
        <v>2200</v>
      </c>
      <c r="F14" s="3">
        <f t="shared" si="0"/>
        <v>2200</v>
      </c>
      <c r="G14" s="3">
        <v>2200</v>
      </c>
      <c r="H14" s="3">
        <f t="shared" si="1"/>
        <v>0</v>
      </c>
      <c r="I14" t="s">
        <v>48</v>
      </c>
    </row>
    <row r="15" spans="1:9" x14ac:dyDescent="0.25">
      <c r="A15" s="25">
        <v>12</v>
      </c>
      <c r="B15" s="3" t="s">
        <v>37</v>
      </c>
      <c r="C15" s="3"/>
      <c r="D15" s="3">
        <v>300</v>
      </c>
      <c r="E15" s="3">
        <v>2200</v>
      </c>
      <c r="F15" s="3">
        <f t="shared" si="0"/>
        <v>2500</v>
      </c>
      <c r="G15" s="3">
        <v>2400</v>
      </c>
      <c r="H15" s="3">
        <f t="shared" si="1"/>
        <v>100</v>
      </c>
    </row>
    <row r="16" spans="1:9" x14ac:dyDescent="0.25">
      <c r="A16" s="25">
        <v>13</v>
      </c>
      <c r="B16" s="3" t="s">
        <v>41</v>
      </c>
      <c r="C16" s="3"/>
      <c r="D16" s="3"/>
      <c r="E16" s="3">
        <v>2200</v>
      </c>
      <c r="F16" s="3">
        <f t="shared" si="0"/>
        <v>2200</v>
      </c>
      <c r="G16" s="3">
        <v>2200</v>
      </c>
      <c r="H16" s="3">
        <f t="shared" si="1"/>
        <v>0</v>
      </c>
      <c r="I16" t="s">
        <v>48</v>
      </c>
    </row>
    <row r="17" spans="1:12" x14ac:dyDescent="0.25">
      <c r="A17" s="25">
        <v>14</v>
      </c>
      <c r="B17" s="13" t="s">
        <v>62</v>
      </c>
      <c r="C17" s="13"/>
      <c r="D17" s="13">
        <v>1200</v>
      </c>
      <c r="E17" s="13">
        <v>2200</v>
      </c>
      <c r="F17" s="3">
        <f t="shared" si="0"/>
        <v>3400</v>
      </c>
      <c r="G17" s="13">
        <v>2200</v>
      </c>
      <c r="H17" s="13">
        <f t="shared" si="1"/>
        <v>1200</v>
      </c>
    </row>
    <row r="18" spans="1:12" x14ac:dyDescent="0.25">
      <c r="A18" s="25" t="s">
        <v>39</v>
      </c>
      <c r="B18" s="3" t="s">
        <v>35</v>
      </c>
      <c r="C18" s="3"/>
      <c r="D18" s="3"/>
      <c r="E18" s="3">
        <v>4500</v>
      </c>
      <c r="F18" s="3">
        <f>D18+E18</f>
        <v>4500</v>
      </c>
      <c r="G18" s="3">
        <v>4500</v>
      </c>
      <c r="H18" s="3">
        <f>F18-G18</f>
        <v>0</v>
      </c>
    </row>
    <row r="19" spans="1:12" x14ac:dyDescent="0.25">
      <c r="A19" s="29"/>
      <c r="B19" s="30" t="s">
        <v>64</v>
      </c>
      <c r="C19" s="30">
        <f t="shared" ref="C19:H19" si="2">SUM(C5:C18)</f>
        <v>0</v>
      </c>
      <c r="D19" s="30">
        <f t="shared" si="2"/>
        <v>2950</v>
      </c>
      <c r="E19" s="30">
        <f t="shared" si="2"/>
        <v>33100</v>
      </c>
      <c r="F19" s="30">
        <f t="shared" si="2"/>
        <v>36050</v>
      </c>
      <c r="G19" s="30">
        <f t="shared" si="2"/>
        <v>31100</v>
      </c>
      <c r="H19" s="30">
        <f t="shared" si="2"/>
        <v>4950</v>
      </c>
      <c r="I19" s="31"/>
    </row>
    <row r="20" spans="1:12" x14ac:dyDescent="0.25">
      <c r="A20" s="32"/>
      <c r="B20" s="33"/>
      <c r="C20" s="33"/>
      <c r="D20" s="33"/>
      <c r="E20" s="33"/>
      <c r="F20" s="33"/>
      <c r="G20" s="33"/>
      <c r="H20" s="32"/>
      <c r="I20" s="31"/>
    </row>
    <row r="21" spans="1:12" x14ac:dyDescent="0.25">
      <c r="A21" s="31"/>
      <c r="B21" s="31" t="s">
        <v>12</v>
      </c>
      <c r="C21" s="34"/>
      <c r="D21" s="8"/>
      <c r="E21" s="33"/>
      <c r="F21" s="35"/>
      <c r="G21" s="10"/>
      <c r="H21" s="35"/>
      <c r="I21" s="31"/>
    </row>
    <row r="22" spans="1:12" x14ac:dyDescent="0.25">
      <c r="A22" s="31"/>
      <c r="B22" s="36" t="s">
        <v>13</v>
      </c>
      <c r="C22" s="36"/>
      <c r="D22" s="36"/>
      <c r="E22" s="37"/>
      <c r="F22" s="36" t="s">
        <v>14</v>
      </c>
      <c r="G22" s="31"/>
      <c r="H22" s="31"/>
      <c r="I22" s="31"/>
    </row>
    <row r="23" spans="1:12" x14ac:dyDescent="0.25">
      <c r="A23" s="31"/>
      <c r="B23" s="30" t="s">
        <v>15</v>
      </c>
      <c r="C23" s="30" t="s">
        <v>16</v>
      </c>
      <c r="D23" s="30" t="s">
        <v>17</v>
      </c>
      <c r="E23" s="30" t="s">
        <v>18</v>
      </c>
      <c r="F23" s="30" t="s">
        <v>15</v>
      </c>
      <c r="G23" s="30" t="s">
        <v>16</v>
      </c>
      <c r="H23" s="30" t="s">
        <v>17</v>
      </c>
      <c r="I23" s="30" t="s">
        <v>18</v>
      </c>
    </row>
    <row r="24" spans="1:12" x14ac:dyDescent="0.25">
      <c r="A24" s="31"/>
      <c r="B24" s="29" t="s">
        <v>91</v>
      </c>
      <c r="C24" s="38">
        <f>E19</f>
        <v>33100</v>
      </c>
      <c r="D24" s="29"/>
      <c r="E24" s="29"/>
      <c r="F24" s="29" t="s">
        <v>91</v>
      </c>
      <c r="G24" s="38">
        <f>G19</f>
        <v>31100</v>
      </c>
      <c r="H24" s="29"/>
      <c r="I24" s="29"/>
      <c r="L24" s="15"/>
    </row>
    <row r="25" spans="1:12" x14ac:dyDescent="0.25">
      <c r="A25" s="31"/>
      <c r="B25" s="29" t="s">
        <v>5</v>
      </c>
      <c r="C25" s="38">
        <f>'MAY '!E35</f>
        <v>-514</v>
      </c>
      <c r="D25" s="29"/>
      <c r="E25" s="29"/>
      <c r="F25" s="29" t="s">
        <v>5</v>
      </c>
      <c r="G25" s="38">
        <f>'MAY '!I35</f>
        <v>-3464</v>
      </c>
      <c r="H25" s="29"/>
      <c r="I25" s="29"/>
    </row>
    <row r="26" spans="1:12" x14ac:dyDescent="0.25">
      <c r="A26" s="31"/>
      <c r="B26" s="29" t="s">
        <v>70</v>
      </c>
      <c r="C26" s="38"/>
      <c r="D26" s="29"/>
      <c r="E26" s="29"/>
      <c r="F26" s="29" t="s">
        <v>70</v>
      </c>
      <c r="G26" s="38"/>
      <c r="H26" s="29"/>
      <c r="I26" s="29"/>
    </row>
    <row r="27" spans="1:12" x14ac:dyDescent="0.25">
      <c r="A27" s="31"/>
      <c r="B27" s="29" t="s">
        <v>20</v>
      </c>
      <c r="C27" s="39">
        <v>0.1</v>
      </c>
      <c r="D27" s="38">
        <f>C24*C27</f>
        <v>3310</v>
      </c>
      <c r="E27" s="29"/>
      <c r="F27" s="29" t="s">
        <v>20</v>
      </c>
      <c r="G27" s="39">
        <v>0.1</v>
      </c>
      <c r="H27" s="38">
        <f>D27</f>
        <v>3310</v>
      </c>
      <c r="I27" s="29"/>
    </row>
    <row r="28" spans="1:12" x14ac:dyDescent="0.25">
      <c r="A28" s="31"/>
      <c r="B28" s="30" t="s">
        <v>21</v>
      </c>
      <c r="C28" s="30" t="s">
        <v>22</v>
      </c>
      <c r="D28" s="30"/>
      <c r="E28" s="30"/>
      <c r="F28" s="30" t="s">
        <v>21</v>
      </c>
      <c r="G28" s="40"/>
      <c r="H28" s="30"/>
      <c r="I28" s="30"/>
    </row>
    <row r="29" spans="1:12" x14ac:dyDescent="0.25">
      <c r="A29" s="31"/>
      <c r="B29" s="41" t="s">
        <v>92</v>
      </c>
      <c r="C29" s="29"/>
      <c r="D29" s="29">
        <v>29276</v>
      </c>
      <c r="E29" s="29"/>
      <c r="F29" s="41" t="s">
        <v>92</v>
      </c>
      <c r="G29" s="29"/>
      <c r="H29" s="29">
        <v>29276</v>
      </c>
      <c r="I29" s="29"/>
    </row>
    <row r="30" spans="1:12" x14ac:dyDescent="0.25">
      <c r="A30" s="31"/>
      <c r="B30" s="42" t="s">
        <v>104</v>
      </c>
      <c r="C30" s="29"/>
      <c r="D30" s="31">
        <f>E12+E14+E16</f>
        <v>6600</v>
      </c>
      <c r="E30" s="29"/>
      <c r="F30" s="42" t="s">
        <v>104</v>
      </c>
      <c r="G30" s="29"/>
      <c r="H30" s="31">
        <f>D30</f>
        <v>6600</v>
      </c>
      <c r="I30" s="29"/>
    </row>
    <row r="31" spans="1:12" x14ac:dyDescent="0.25">
      <c r="A31" s="31"/>
      <c r="B31" s="42"/>
      <c r="C31" s="29"/>
      <c r="D31" s="29"/>
      <c r="E31" s="29"/>
      <c r="F31" s="42"/>
      <c r="G31" s="29"/>
      <c r="H31" s="29"/>
      <c r="I31" s="29"/>
    </row>
    <row r="32" spans="1:12" x14ac:dyDescent="0.25">
      <c r="A32" s="31"/>
      <c r="B32" s="42"/>
      <c r="C32" s="29"/>
      <c r="D32" s="29"/>
      <c r="E32" s="29"/>
      <c r="F32" s="42"/>
      <c r="G32" s="29"/>
      <c r="H32" s="29"/>
      <c r="I32" s="29"/>
      <c r="K32" s="15">
        <f>I35+H19</f>
        <v>-6600</v>
      </c>
    </row>
    <row r="33" spans="1:9" x14ac:dyDescent="0.25">
      <c r="A33" s="31"/>
      <c r="B33" s="43"/>
      <c r="C33" s="29"/>
      <c r="D33" s="29"/>
      <c r="E33" s="29"/>
      <c r="F33" s="42"/>
      <c r="G33" s="29"/>
      <c r="H33" s="44"/>
      <c r="I33" s="29"/>
    </row>
    <row r="34" spans="1:9" x14ac:dyDescent="0.25">
      <c r="A34" s="31"/>
      <c r="B34" s="42"/>
      <c r="C34" s="29"/>
      <c r="D34" s="44"/>
      <c r="E34" s="29"/>
      <c r="F34" s="29"/>
      <c r="G34" s="29"/>
      <c r="H34" s="29"/>
      <c r="I34" s="29"/>
    </row>
    <row r="35" spans="1:9" x14ac:dyDescent="0.25">
      <c r="A35" s="31"/>
      <c r="B35" s="30" t="s">
        <v>11</v>
      </c>
      <c r="C35" s="40">
        <f>C24+C25+C26-D27</f>
        <v>29276</v>
      </c>
      <c r="D35" s="40">
        <f>SUM(D29:D34)</f>
        <v>35876</v>
      </c>
      <c r="E35" s="40">
        <f>C35-D35</f>
        <v>-6600</v>
      </c>
      <c r="F35" s="30" t="s">
        <v>11</v>
      </c>
      <c r="G35" s="40">
        <f>G24+G25+G26-H27</f>
        <v>24326</v>
      </c>
      <c r="H35" s="40">
        <f>SUM(H29:H34)</f>
        <v>35876</v>
      </c>
      <c r="I35" s="40">
        <f>G35-H35</f>
        <v>-11550</v>
      </c>
    </row>
    <row r="36" spans="1:9" x14ac:dyDescent="0.25">
      <c r="A36" s="31"/>
      <c r="B36" s="31"/>
      <c r="C36" s="31"/>
      <c r="D36" s="31"/>
      <c r="E36" s="31"/>
      <c r="F36" s="31"/>
      <c r="G36" s="31"/>
      <c r="H36" s="31"/>
      <c r="I36" s="31"/>
    </row>
    <row r="37" spans="1:9" x14ac:dyDescent="0.25">
      <c r="A37" s="31"/>
      <c r="B37" s="31" t="s">
        <v>23</v>
      </c>
      <c r="C37" s="31"/>
      <c r="D37" s="31" t="s">
        <v>24</v>
      </c>
      <c r="E37" s="31"/>
      <c r="F37" s="31"/>
      <c r="G37" s="31" t="s">
        <v>25</v>
      </c>
      <c r="H37" s="31"/>
      <c r="I37" s="31"/>
    </row>
    <row r="38" spans="1:9" x14ac:dyDescent="0.25">
      <c r="A38" s="31"/>
      <c r="B38" s="31"/>
      <c r="C38" s="31"/>
      <c r="D38" s="31"/>
      <c r="E38" s="31"/>
      <c r="F38" s="31"/>
      <c r="G38" s="31"/>
      <c r="H38" s="31"/>
      <c r="I38" s="31"/>
    </row>
    <row r="39" spans="1:9" x14ac:dyDescent="0.25">
      <c r="A39" s="31"/>
      <c r="B39" s="31" t="s">
        <v>26</v>
      </c>
      <c r="C39" s="31"/>
      <c r="D39" s="31" t="s">
        <v>27</v>
      </c>
      <c r="E39" s="31"/>
      <c r="F39" s="31"/>
      <c r="G39" s="31" t="s">
        <v>46</v>
      </c>
      <c r="H39" s="31"/>
      <c r="I39" s="31"/>
    </row>
    <row r="40" spans="1:9" x14ac:dyDescent="0.25">
      <c r="A40" s="31"/>
      <c r="B40" s="31"/>
      <c r="C40" s="31"/>
      <c r="D40" s="31"/>
      <c r="E40" s="31"/>
      <c r="F40" s="31"/>
      <c r="G40" s="31"/>
      <c r="H40" s="31"/>
      <c r="I40" s="3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H17" sqref="H17"/>
    </sheetView>
  </sheetViews>
  <sheetFormatPr defaultRowHeight="15" x14ac:dyDescent="0.25"/>
  <cols>
    <col min="1" max="1" width="5" customWidth="1"/>
    <col min="2" max="2" width="18.85546875" customWidth="1"/>
    <col min="3" max="3" width="8.85546875" customWidth="1"/>
    <col min="4" max="4" width="9" customWidth="1"/>
    <col min="5" max="5" width="8.85546875" customWidth="1"/>
    <col min="6" max="6" width="10.5703125" customWidth="1"/>
    <col min="7" max="7" width="10.7109375" customWidth="1"/>
  </cols>
  <sheetData>
    <row r="1" spans="1:9" x14ac:dyDescent="0.25">
      <c r="A1" s="1"/>
      <c r="B1" s="1"/>
      <c r="C1" s="1" t="s">
        <v>28</v>
      </c>
      <c r="D1" s="1"/>
      <c r="E1" s="1"/>
      <c r="F1" s="1"/>
      <c r="G1" s="1"/>
      <c r="H1" s="1"/>
    </row>
    <row r="2" spans="1:9" x14ac:dyDescent="0.25">
      <c r="A2" s="1"/>
      <c r="B2" s="1"/>
      <c r="C2" s="1" t="s">
        <v>0</v>
      </c>
      <c r="D2" s="1"/>
      <c r="E2" s="1"/>
      <c r="F2" s="1"/>
      <c r="G2" s="1"/>
      <c r="H2" s="1"/>
    </row>
    <row r="3" spans="1:9" x14ac:dyDescent="0.25">
      <c r="A3" s="1"/>
      <c r="B3" s="1"/>
      <c r="C3" s="1" t="s">
        <v>94</v>
      </c>
      <c r="D3" s="1"/>
      <c r="E3" s="1"/>
      <c r="F3" s="1"/>
      <c r="G3" s="1"/>
      <c r="H3" s="1"/>
    </row>
    <row r="4" spans="1:9" x14ac:dyDescent="0.25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</row>
    <row r="5" spans="1:9" x14ac:dyDescent="0.25">
      <c r="A5" s="25">
        <v>1</v>
      </c>
      <c r="B5" s="3" t="s">
        <v>82</v>
      </c>
      <c r="C5" s="3"/>
      <c r="D5" s="3"/>
      <c r="E5" s="3">
        <v>2200</v>
      </c>
      <c r="F5" s="3">
        <f>D5+E5</f>
        <v>2200</v>
      </c>
      <c r="G5" s="3">
        <v>2200</v>
      </c>
      <c r="H5" s="3">
        <f>F5-G5</f>
        <v>0</v>
      </c>
    </row>
    <row r="6" spans="1:9" x14ac:dyDescent="0.25">
      <c r="A6" s="25">
        <v>2</v>
      </c>
      <c r="B6" s="3" t="s">
        <v>100</v>
      </c>
      <c r="C6" s="3"/>
      <c r="D6" s="3"/>
      <c r="E6" s="3">
        <v>2200</v>
      </c>
      <c r="F6" s="3">
        <f t="shared" ref="F6:F17" si="0">D6+E6</f>
        <v>2200</v>
      </c>
      <c r="G6" s="3"/>
      <c r="H6" s="3"/>
      <c r="I6" t="s">
        <v>88</v>
      </c>
    </row>
    <row r="7" spans="1:9" x14ac:dyDescent="0.25">
      <c r="A7" s="25">
        <v>3</v>
      </c>
      <c r="B7" s="3" t="s">
        <v>31</v>
      </c>
      <c r="C7" s="3"/>
      <c r="D7" s="3">
        <v>50</v>
      </c>
      <c r="E7" s="3">
        <v>2200</v>
      </c>
      <c r="F7" s="3">
        <f t="shared" si="0"/>
        <v>2250</v>
      </c>
      <c r="G7" s="3">
        <v>1000</v>
      </c>
      <c r="H7" s="3">
        <f t="shared" ref="H7:H17" si="1">F7-G7</f>
        <v>1250</v>
      </c>
    </row>
    <row r="8" spans="1:9" x14ac:dyDescent="0.25">
      <c r="A8" s="25">
        <v>4</v>
      </c>
      <c r="B8" s="3" t="s">
        <v>71</v>
      </c>
      <c r="C8" s="3"/>
      <c r="D8" s="3"/>
      <c r="E8" s="3">
        <v>2200</v>
      </c>
      <c r="F8" s="3">
        <f t="shared" si="0"/>
        <v>2200</v>
      </c>
      <c r="G8" s="3">
        <v>2200</v>
      </c>
      <c r="H8" s="3">
        <f t="shared" si="1"/>
        <v>0</v>
      </c>
      <c r="I8" t="s">
        <v>88</v>
      </c>
    </row>
    <row r="9" spans="1:9" x14ac:dyDescent="0.25">
      <c r="A9" s="25">
        <v>5</v>
      </c>
      <c r="B9" s="3" t="s">
        <v>47</v>
      </c>
      <c r="C9" s="3"/>
      <c r="D9" s="3"/>
      <c r="E9" s="3">
        <v>2200</v>
      </c>
      <c r="F9" s="3">
        <f t="shared" si="0"/>
        <v>2200</v>
      </c>
      <c r="G9" s="3">
        <v>2200</v>
      </c>
      <c r="H9" s="3">
        <f t="shared" si="1"/>
        <v>0</v>
      </c>
    </row>
    <row r="10" spans="1:9" x14ac:dyDescent="0.25">
      <c r="A10" s="25">
        <v>6</v>
      </c>
      <c r="B10" s="3" t="s">
        <v>34</v>
      </c>
      <c r="C10" s="3"/>
      <c r="D10" s="3">
        <v>3600</v>
      </c>
      <c r="E10" s="3">
        <v>2200</v>
      </c>
      <c r="F10" s="3">
        <f t="shared" si="0"/>
        <v>5800</v>
      </c>
      <c r="G10" s="3">
        <v>4200</v>
      </c>
      <c r="H10" s="3">
        <f t="shared" si="1"/>
        <v>1600</v>
      </c>
    </row>
    <row r="11" spans="1:9" x14ac:dyDescent="0.25">
      <c r="A11" s="25" t="s">
        <v>10</v>
      </c>
      <c r="B11" s="3"/>
      <c r="C11" s="3"/>
      <c r="D11" s="3"/>
      <c r="E11" s="3"/>
      <c r="F11" s="3">
        <f>D11+E11</f>
        <v>0</v>
      </c>
      <c r="G11" s="3"/>
      <c r="H11" s="3">
        <f>F11-G11</f>
        <v>0</v>
      </c>
    </row>
    <row r="12" spans="1:9" x14ac:dyDescent="0.25">
      <c r="A12" s="25">
        <v>9</v>
      </c>
      <c r="B12" s="3" t="s">
        <v>41</v>
      </c>
      <c r="C12" s="3"/>
      <c r="D12" s="3"/>
      <c r="E12" s="3">
        <v>2200</v>
      </c>
      <c r="F12" s="3">
        <f t="shared" si="0"/>
        <v>2200</v>
      </c>
      <c r="G12" s="3">
        <v>2200</v>
      </c>
      <c r="H12" s="3">
        <f t="shared" si="1"/>
        <v>0</v>
      </c>
      <c r="I12" t="s">
        <v>88</v>
      </c>
    </row>
    <row r="13" spans="1:9" x14ac:dyDescent="0.25">
      <c r="A13" s="25">
        <v>10</v>
      </c>
      <c r="B13" s="3" t="s">
        <v>93</v>
      </c>
      <c r="C13" s="3"/>
      <c r="D13" s="3"/>
      <c r="E13" s="3">
        <v>2200</v>
      </c>
      <c r="F13" s="3">
        <f t="shared" si="0"/>
        <v>2200</v>
      </c>
      <c r="G13" s="3">
        <v>2200</v>
      </c>
      <c r="H13" s="3">
        <f t="shared" si="1"/>
        <v>0</v>
      </c>
    </row>
    <row r="14" spans="1:9" x14ac:dyDescent="0.25">
      <c r="A14" s="25">
        <v>11</v>
      </c>
      <c r="B14" s="45" t="s">
        <v>97</v>
      </c>
      <c r="C14" s="3"/>
      <c r="D14" s="3"/>
      <c r="E14" s="3">
        <v>2200</v>
      </c>
      <c r="F14" s="3">
        <f t="shared" si="0"/>
        <v>2200</v>
      </c>
      <c r="G14" s="3">
        <v>4400</v>
      </c>
      <c r="H14" s="3"/>
      <c r="I14" t="s">
        <v>88</v>
      </c>
    </row>
    <row r="15" spans="1:9" x14ac:dyDescent="0.25">
      <c r="A15" s="25">
        <v>12</v>
      </c>
      <c r="B15" s="3" t="s">
        <v>37</v>
      </c>
      <c r="C15" s="3"/>
      <c r="D15" s="3">
        <v>100</v>
      </c>
      <c r="E15" s="3">
        <v>2200</v>
      </c>
      <c r="F15" s="3">
        <f t="shared" si="0"/>
        <v>2300</v>
      </c>
      <c r="G15" s="3">
        <v>2200</v>
      </c>
      <c r="H15" s="3">
        <f t="shared" si="1"/>
        <v>100</v>
      </c>
    </row>
    <row r="16" spans="1:9" x14ac:dyDescent="0.25">
      <c r="A16" s="25">
        <v>13</v>
      </c>
      <c r="B16" s="3" t="s">
        <v>99</v>
      </c>
      <c r="C16" s="3"/>
      <c r="D16" s="3"/>
      <c r="E16" s="3">
        <v>2200</v>
      </c>
      <c r="F16" s="3">
        <f t="shared" si="0"/>
        <v>2200</v>
      </c>
      <c r="G16" s="3">
        <v>2200</v>
      </c>
      <c r="H16" s="3">
        <f t="shared" si="1"/>
        <v>0</v>
      </c>
      <c r="I16" t="s">
        <v>88</v>
      </c>
    </row>
    <row r="17" spans="1:12" x14ac:dyDescent="0.25">
      <c r="A17" s="25">
        <v>14</v>
      </c>
      <c r="B17" s="13" t="s">
        <v>62</v>
      </c>
      <c r="C17" s="13"/>
      <c r="D17" s="13">
        <v>1200</v>
      </c>
      <c r="E17" s="13">
        <v>2200</v>
      </c>
      <c r="F17" s="3">
        <f t="shared" si="0"/>
        <v>3400</v>
      </c>
      <c r="G17" s="13">
        <v>2400</v>
      </c>
      <c r="H17" s="13">
        <f t="shared" si="1"/>
        <v>1000</v>
      </c>
    </row>
    <row r="18" spans="1:12" x14ac:dyDescent="0.25">
      <c r="A18" s="25" t="s">
        <v>39</v>
      </c>
      <c r="B18" s="3" t="s">
        <v>35</v>
      </c>
      <c r="C18" s="3"/>
      <c r="D18" s="3"/>
      <c r="E18" s="3">
        <v>4500</v>
      </c>
      <c r="F18" s="3">
        <f>D18+E18</f>
        <v>4500</v>
      </c>
      <c r="G18" s="3">
        <v>4500</v>
      </c>
      <c r="H18" s="3">
        <f>F18-G18</f>
        <v>0</v>
      </c>
    </row>
    <row r="19" spans="1:12" x14ac:dyDescent="0.25">
      <c r="A19" s="29"/>
      <c r="B19" s="30" t="s">
        <v>64</v>
      </c>
      <c r="C19" s="30">
        <f t="shared" ref="C19:H19" si="2">SUM(C5:C18)</f>
        <v>0</v>
      </c>
      <c r="D19" s="30">
        <f t="shared" si="2"/>
        <v>4950</v>
      </c>
      <c r="E19" s="30">
        <f t="shared" si="2"/>
        <v>30900</v>
      </c>
      <c r="F19" s="30">
        <f t="shared" si="2"/>
        <v>35850</v>
      </c>
      <c r="G19" s="30">
        <f t="shared" si="2"/>
        <v>31900</v>
      </c>
      <c r="H19" s="30">
        <f t="shared" si="2"/>
        <v>3950</v>
      </c>
      <c r="I19" s="31"/>
    </row>
    <row r="20" spans="1:12" x14ac:dyDescent="0.25">
      <c r="A20" s="32"/>
      <c r="B20" s="33"/>
      <c r="C20" s="33"/>
      <c r="D20" s="33"/>
      <c r="E20" s="33"/>
      <c r="F20" s="33"/>
      <c r="G20" s="33"/>
      <c r="H20" s="32"/>
      <c r="I20" s="31"/>
    </row>
    <row r="21" spans="1:12" x14ac:dyDescent="0.25">
      <c r="A21" s="31"/>
      <c r="B21" s="31" t="s">
        <v>12</v>
      </c>
      <c r="C21" s="34"/>
      <c r="D21" s="8"/>
      <c r="E21" s="33"/>
      <c r="F21" s="46"/>
      <c r="G21" s="10"/>
      <c r="H21" s="35"/>
      <c r="I21" s="31"/>
    </row>
    <row r="22" spans="1:12" x14ac:dyDescent="0.25">
      <c r="A22" s="31"/>
      <c r="B22" s="36" t="s">
        <v>13</v>
      </c>
      <c r="C22" s="36"/>
      <c r="D22" s="36"/>
      <c r="E22" s="37"/>
      <c r="F22" s="36" t="s">
        <v>14</v>
      </c>
      <c r="G22" s="31"/>
      <c r="H22" s="31"/>
      <c r="I22" s="31"/>
    </row>
    <row r="23" spans="1:12" x14ac:dyDescent="0.25">
      <c r="A23" s="31"/>
      <c r="B23" s="30" t="s">
        <v>15</v>
      </c>
      <c r="C23" s="30" t="s">
        <v>16</v>
      </c>
      <c r="D23" s="30" t="s">
        <v>17</v>
      </c>
      <c r="E23" s="30" t="s">
        <v>18</v>
      </c>
      <c r="F23" s="30" t="s">
        <v>15</v>
      </c>
      <c r="G23" s="30" t="s">
        <v>16</v>
      </c>
      <c r="H23" s="30" t="s">
        <v>17</v>
      </c>
      <c r="I23" s="30" t="s">
        <v>18</v>
      </c>
    </row>
    <row r="24" spans="1:12" x14ac:dyDescent="0.25">
      <c r="A24" s="31"/>
      <c r="B24" s="29" t="s">
        <v>95</v>
      </c>
      <c r="C24" s="38">
        <f>E19</f>
        <v>30900</v>
      </c>
      <c r="D24" s="29"/>
      <c r="E24" s="29"/>
      <c r="F24" s="29" t="s">
        <v>95</v>
      </c>
      <c r="G24" s="38">
        <f>G19</f>
        <v>31900</v>
      </c>
      <c r="H24" s="29"/>
      <c r="I24" s="29"/>
      <c r="L24" s="15"/>
    </row>
    <row r="25" spans="1:12" x14ac:dyDescent="0.25">
      <c r="A25" s="31"/>
      <c r="B25" s="29" t="s">
        <v>5</v>
      </c>
      <c r="C25" s="38">
        <f>'JUNE '!E35</f>
        <v>-6600</v>
      </c>
      <c r="D25" s="29"/>
      <c r="E25" s="29"/>
      <c r="F25" s="29" t="s">
        <v>5</v>
      </c>
      <c r="G25" s="38">
        <f>'JUNE '!I35</f>
        <v>-11550</v>
      </c>
      <c r="H25" s="29"/>
      <c r="I25" s="29"/>
    </row>
    <row r="26" spans="1:12" x14ac:dyDescent="0.25">
      <c r="A26" s="31"/>
      <c r="B26" s="29" t="s">
        <v>70</v>
      </c>
      <c r="C26" s="38"/>
      <c r="D26" s="29"/>
      <c r="E26" s="29"/>
      <c r="F26" s="29" t="s">
        <v>70</v>
      </c>
      <c r="G26" s="38"/>
      <c r="H26" s="29"/>
      <c r="I26" s="29"/>
    </row>
    <row r="27" spans="1:12" x14ac:dyDescent="0.25">
      <c r="A27" s="31"/>
      <c r="B27" s="29" t="s">
        <v>20</v>
      </c>
      <c r="C27" s="39">
        <v>0.1</v>
      </c>
      <c r="D27" s="38">
        <f>C24*C27</f>
        <v>3090</v>
      </c>
      <c r="E27" s="29"/>
      <c r="F27" s="29" t="s">
        <v>20</v>
      </c>
      <c r="G27" s="39">
        <v>0.1</v>
      </c>
      <c r="H27" s="38">
        <f>D27</f>
        <v>3090</v>
      </c>
      <c r="I27" s="29"/>
    </row>
    <row r="28" spans="1:12" x14ac:dyDescent="0.25">
      <c r="A28" s="31"/>
      <c r="B28" s="30" t="s">
        <v>21</v>
      </c>
      <c r="C28" s="30" t="s">
        <v>22</v>
      </c>
      <c r="D28" s="30"/>
      <c r="E28" s="30"/>
      <c r="F28" s="30" t="s">
        <v>21</v>
      </c>
      <c r="G28" s="40"/>
      <c r="H28" s="30"/>
      <c r="I28" s="30"/>
    </row>
    <row r="29" spans="1:12" x14ac:dyDescent="0.25">
      <c r="A29" s="31"/>
      <c r="B29" s="41" t="s">
        <v>96</v>
      </c>
      <c r="C29" s="29"/>
      <c r="D29" s="29">
        <v>4400</v>
      </c>
      <c r="E29" s="29"/>
      <c r="F29" s="41" t="s">
        <v>96</v>
      </c>
      <c r="G29" s="29"/>
      <c r="H29" s="29">
        <v>4400</v>
      </c>
      <c r="I29" s="29"/>
    </row>
    <row r="30" spans="1:12" x14ac:dyDescent="0.25">
      <c r="A30" s="31"/>
      <c r="B30" s="42" t="s">
        <v>98</v>
      </c>
      <c r="C30" s="29"/>
      <c r="D30" s="31">
        <v>23410</v>
      </c>
      <c r="E30" s="29"/>
      <c r="F30" s="42" t="s">
        <v>98</v>
      </c>
      <c r="G30" s="29"/>
      <c r="H30" s="31">
        <v>23410</v>
      </c>
      <c r="I30" s="29"/>
    </row>
    <row r="31" spans="1:12" x14ac:dyDescent="0.25">
      <c r="A31" s="31"/>
      <c r="B31" s="42" t="s">
        <v>101</v>
      </c>
      <c r="C31" s="29"/>
      <c r="D31" s="29">
        <v>2200</v>
      </c>
      <c r="E31" s="29"/>
      <c r="F31" s="42" t="s">
        <v>101</v>
      </c>
      <c r="G31" s="29"/>
      <c r="H31" s="29">
        <v>2200</v>
      </c>
      <c r="I31" s="29"/>
    </row>
    <row r="32" spans="1:12" x14ac:dyDescent="0.25">
      <c r="A32" s="31"/>
      <c r="B32" s="42"/>
      <c r="C32" s="29"/>
      <c r="D32" s="29"/>
      <c r="E32" s="29"/>
      <c r="F32" s="42"/>
      <c r="G32" s="29"/>
      <c r="H32" s="29"/>
      <c r="I32" s="29"/>
    </row>
    <row r="33" spans="1:10" x14ac:dyDescent="0.25">
      <c r="A33" s="31"/>
      <c r="B33" s="43"/>
      <c r="C33" s="29"/>
      <c r="D33" s="29"/>
      <c r="E33" s="29"/>
      <c r="F33" s="43"/>
      <c r="G33" s="29"/>
      <c r="H33" s="29"/>
      <c r="I33" s="29"/>
    </row>
    <row r="34" spans="1:10" x14ac:dyDescent="0.25">
      <c r="A34" s="31"/>
      <c r="B34" s="42"/>
      <c r="C34" s="29"/>
      <c r="D34" s="44"/>
      <c r="E34" s="29"/>
      <c r="F34" s="29"/>
      <c r="G34" s="29"/>
      <c r="H34" s="29"/>
      <c r="I34" s="29"/>
      <c r="J34" s="15">
        <f>I35+H19</f>
        <v>-8800</v>
      </c>
    </row>
    <row r="35" spans="1:10" x14ac:dyDescent="0.25">
      <c r="A35" s="31"/>
      <c r="B35" s="30" t="s">
        <v>11</v>
      </c>
      <c r="C35" s="40">
        <f>C24+C25+C26-D27</f>
        <v>21210</v>
      </c>
      <c r="D35" s="40">
        <f>SUM(D29:D34)</f>
        <v>30010</v>
      </c>
      <c r="E35" s="40">
        <f>C35-D35</f>
        <v>-8800</v>
      </c>
      <c r="F35" s="30" t="s">
        <v>11</v>
      </c>
      <c r="G35" s="40">
        <f>G24+G25+G26-H27</f>
        <v>17260</v>
      </c>
      <c r="H35" s="40">
        <f>SUM(H29:H34)</f>
        <v>30010</v>
      </c>
      <c r="I35" s="40">
        <f>G35-H35</f>
        <v>-12750</v>
      </c>
    </row>
    <row r="36" spans="1:10" x14ac:dyDescent="0.25">
      <c r="A36" s="31"/>
      <c r="B36" s="31"/>
      <c r="C36" s="31"/>
      <c r="D36" s="31"/>
      <c r="E36" s="31"/>
      <c r="F36" s="31"/>
      <c r="G36" s="31"/>
      <c r="H36" s="31"/>
      <c r="I36" s="31"/>
    </row>
    <row r="37" spans="1:10" x14ac:dyDescent="0.25">
      <c r="A37" s="31"/>
      <c r="B37" s="31" t="s">
        <v>23</v>
      </c>
      <c r="C37" s="31"/>
      <c r="D37" s="31" t="s">
        <v>24</v>
      </c>
      <c r="E37" s="31"/>
      <c r="F37" s="31"/>
      <c r="G37" s="31" t="s">
        <v>25</v>
      </c>
      <c r="H37" s="31"/>
      <c r="I37" s="31"/>
    </row>
    <row r="38" spans="1:10" x14ac:dyDescent="0.25">
      <c r="A38" s="31"/>
      <c r="B38" s="31"/>
      <c r="C38" s="31"/>
      <c r="D38" s="31"/>
      <c r="E38" s="31"/>
      <c r="F38" s="31"/>
      <c r="G38" s="31"/>
      <c r="H38" s="31"/>
      <c r="I38" s="31"/>
    </row>
    <row r="39" spans="1:10" x14ac:dyDescent="0.25">
      <c r="A39" s="31"/>
      <c r="B39" s="31" t="s">
        <v>26</v>
      </c>
      <c r="C39" s="31"/>
      <c r="D39" s="31" t="s">
        <v>27</v>
      </c>
      <c r="E39" s="31"/>
      <c r="F39" s="31"/>
      <c r="G39" s="31" t="s">
        <v>46</v>
      </c>
      <c r="H39" s="31"/>
      <c r="I39" s="31"/>
    </row>
    <row r="40" spans="1:10" x14ac:dyDescent="0.25">
      <c r="A40" s="31"/>
      <c r="B40" s="31"/>
      <c r="C40" s="31"/>
      <c r="D40" s="31"/>
      <c r="E40" s="31"/>
      <c r="F40" s="31"/>
      <c r="G40" s="31"/>
      <c r="H40" s="31"/>
      <c r="I40" s="3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K17" sqref="K17"/>
    </sheetView>
  </sheetViews>
  <sheetFormatPr defaultRowHeight="15" x14ac:dyDescent="0.25"/>
  <cols>
    <col min="2" max="2" width="12.5703125" customWidth="1"/>
  </cols>
  <sheetData>
    <row r="1" spans="1:9" x14ac:dyDescent="0.25">
      <c r="A1" s="1"/>
      <c r="B1" s="1"/>
      <c r="C1" s="1" t="s">
        <v>28</v>
      </c>
      <c r="D1" s="1"/>
      <c r="E1" s="1"/>
      <c r="F1" s="1"/>
      <c r="G1" s="1"/>
      <c r="H1" s="1"/>
    </row>
    <row r="2" spans="1:9" x14ac:dyDescent="0.25">
      <c r="A2" s="1"/>
      <c r="B2" s="1"/>
      <c r="C2" s="1" t="s">
        <v>0</v>
      </c>
      <c r="D2" s="1"/>
      <c r="E2" s="1"/>
      <c r="F2" s="1"/>
      <c r="G2" s="1"/>
      <c r="H2" s="1"/>
    </row>
    <row r="3" spans="1:9" x14ac:dyDescent="0.25">
      <c r="A3" s="1"/>
      <c r="B3" s="1"/>
      <c r="C3" s="1" t="s">
        <v>102</v>
      </c>
      <c r="D3" s="1"/>
      <c r="E3" s="1"/>
      <c r="F3" s="1"/>
      <c r="G3" s="1"/>
      <c r="H3" s="1"/>
    </row>
    <row r="4" spans="1:9" x14ac:dyDescent="0.25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</row>
    <row r="5" spans="1:9" x14ac:dyDescent="0.25">
      <c r="A5" s="25">
        <v>1</v>
      </c>
      <c r="B5" s="3" t="s">
        <v>82</v>
      </c>
      <c r="C5" s="3"/>
      <c r="D5" s="3">
        <f>'JULY '!H5:H19</f>
        <v>0</v>
      </c>
      <c r="E5" s="3">
        <v>2200</v>
      </c>
      <c r="F5" s="3">
        <f>D5+E5</f>
        <v>2200</v>
      </c>
      <c r="G5" s="3">
        <v>2000</v>
      </c>
      <c r="H5" s="3">
        <f>F5-G5</f>
        <v>200</v>
      </c>
    </row>
    <row r="6" spans="1:9" x14ac:dyDescent="0.25">
      <c r="A6" s="25">
        <v>2</v>
      </c>
      <c r="B6" s="3" t="s">
        <v>109</v>
      </c>
      <c r="C6" s="3"/>
      <c r="D6" s="3">
        <f>'JULY '!H6:H20</f>
        <v>0</v>
      </c>
      <c r="E6" s="3">
        <v>2200</v>
      </c>
      <c r="F6" s="3">
        <f t="shared" ref="F6:F18" si="0">D6+E6</f>
        <v>2200</v>
      </c>
      <c r="G6" s="3">
        <v>2200</v>
      </c>
      <c r="H6" s="3">
        <f t="shared" ref="H6:H19" si="1">F6-G6</f>
        <v>0</v>
      </c>
      <c r="I6" t="s">
        <v>48</v>
      </c>
    </row>
    <row r="7" spans="1:9" x14ac:dyDescent="0.25">
      <c r="A7" s="25">
        <v>3</v>
      </c>
      <c r="B7" s="3" t="s">
        <v>31</v>
      </c>
      <c r="C7" s="3"/>
      <c r="D7" s="3">
        <f>'JULY '!H7:H21</f>
        <v>1250</v>
      </c>
      <c r="E7" s="3">
        <v>2200</v>
      </c>
      <c r="F7" s="3">
        <f t="shared" si="0"/>
        <v>3450</v>
      </c>
      <c r="G7" s="3">
        <v>3400</v>
      </c>
      <c r="H7" s="3">
        <f t="shared" si="1"/>
        <v>50</v>
      </c>
    </row>
    <row r="8" spans="1:9" x14ac:dyDescent="0.25">
      <c r="A8" s="25">
        <v>4</v>
      </c>
      <c r="B8" s="3" t="s">
        <v>105</v>
      </c>
      <c r="C8" s="3"/>
      <c r="D8" s="3">
        <f>'JULY '!H8:H22</f>
        <v>0</v>
      </c>
      <c r="E8" s="3">
        <v>2200</v>
      </c>
      <c r="F8" s="3">
        <f t="shared" si="0"/>
        <v>2200</v>
      </c>
      <c r="G8" s="3">
        <v>2200</v>
      </c>
      <c r="H8" s="3">
        <f t="shared" si="1"/>
        <v>0</v>
      </c>
      <c r="I8" t="s">
        <v>48</v>
      </c>
    </row>
    <row r="9" spans="1:9" x14ac:dyDescent="0.25">
      <c r="A9" s="25">
        <v>5</v>
      </c>
      <c r="B9" s="3" t="s">
        <v>47</v>
      </c>
      <c r="C9" s="3"/>
      <c r="D9" s="3">
        <f>'JULY '!H9:H23</f>
        <v>0</v>
      </c>
      <c r="E9" s="3">
        <v>2200</v>
      </c>
      <c r="F9" s="3">
        <f t="shared" si="0"/>
        <v>2200</v>
      </c>
      <c r="G9" s="3">
        <v>2000</v>
      </c>
      <c r="H9" s="3">
        <f t="shared" si="1"/>
        <v>200</v>
      </c>
    </row>
    <row r="10" spans="1:9" x14ac:dyDescent="0.25">
      <c r="A10" s="25">
        <v>6</v>
      </c>
      <c r="B10" s="3" t="s">
        <v>34</v>
      </c>
      <c r="C10" s="3"/>
      <c r="D10" s="3">
        <f>'JULY '!H10:H24</f>
        <v>1600</v>
      </c>
      <c r="E10" s="3">
        <v>2200</v>
      </c>
      <c r="F10" s="3">
        <f t="shared" si="0"/>
        <v>3800</v>
      </c>
      <c r="G10" s="3">
        <v>2000</v>
      </c>
      <c r="H10" s="3">
        <f t="shared" si="1"/>
        <v>1800</v>
      </c>
    </row>
    <row r="11" spans="1:9" x14ac:dyDescent="0.25">
      <c r="A11" s="25" t="s">
        <v>10</v>
      </c>
      <c r="B11" s="3"/>
      <c r="C11" s="3"/>
      <c r="D11" s="3">
        <f>'JULY '!H11:H25</f>
        <v>0</v>
      </c>
      <c r="E11" s="3"/>
      <c r="F11" s="3">
        <f t="shared" si="0"/>
        <v>0</v>
      </c>
      <c r="G11" s="3"/>
      <c r="H11" s="3">
        <f t="shared" si="1"/>
        <v>0</v>
      </c>
    </row>
    <row r="12" spans="1:9" x14ac:dyDescent="0.25">
      <c r="A12" s="25">
        <v>9</v>
      </c>
      <c r="B12" s="3" t="s">
        <v>107</v>
      </c>
      <c r="C12" s="3"/>
      <c r="D12" s="3">
        <f>'JULY '!H12:H26</f>
        <v>0</v>
      </c>
      <c r="E12" s="3">
        <v>2200</v>
      </c>
      <c r="F12" s="3">
        <f t="shared" si="0"/>
        <v>2200</v>
      </c>
      <c r="G12" s="3">
        <v>2000</v>
      </c>
      <c r="H12" s="3">
        <f t="shared" si="1"/>
        <v>200</v>
      </c>
    </row>
    <row r="13" spans="1:9" x14ac:dyDescent="0.25">
      <c r="A13" s="25">
        <v>10</v>
      </c>
      <c r="B13" s="3" t="s">
        <v>93</v>
      </c>
      <c r="C13" s="3"/>
      <c r="D13" s="3">
        <f>'JULY '!H13:H27</f>
        <v>0</v>
      </c>
      <c r="E13" s="3">
        <v>2200</v>
      </c>
      <c r="F13" s="3">
        <f t="shared" si="0"/>
        <v>2200</v>
      </c>
      <c r="G13" s="3">
        <v>2200</v>
      </c>
      <c r="H13" s="3">
        <f t="shared" si="1"/>
        <v>0</v>
      </c>
    </row>
    <row r="14" spans="1:9" x14ac:dyDescent="0.25">
      <c r="A14" s="25">
        <v>11</v>
      </c>
      <c r="B14" s="45" t="s">
        <v>41</v>
      </c>
      <c r="C14" s="3"/>
      <c r="D14" s="3"/>
      <c r="E14" s="3">
        <v>2200</v>
      </c>
      <c r="F14" s="3">
        <f>D14+E14</f>
        <v>2200</v>
      </c>
      <c r="G14" s="3">
        <v>2200</v>
      </c>
      <c r="H14" s="3">
        <f t="shared" si="1"/>
        <v>0</v>
      </c>
      <c r="I14" t="s">
        <v>48</v>
      </c>
    </row>
    <row r="15" spans="1:9" x14ac:dyDescent="0.25">
      <c r="A15" s="25">
        <v>12</v>
      </c>
      <c r="B15" s="3" t="s">
        <v>37</v>
      </c>
      <c r="C15" s="3"/>
      <c r="D15" s="3">
        <f>'JULY '!H15:H29</f>
        <v>100</v>
      </c>
      <c r="E15" s="3">
        <v>2200</v>
      </c>
      <c r="F15" s="3">
        <f t="shared" si="0"/>
        <v>2300</v>
      </c>
      <c r="G15" s="3">
        <f>1000+800</f>
        <v>1800</v>
      </c>
      <c r="H15" s="3">
        <f t="shared" si="1"/>
        <v>500</v>
      </c>
    </row>
    <row r="16" spans="1:9" x14ac:dyDescent="0.25">
      <c r="A16" s="25">
        <v>13</v>
      </c>
      <c r="B16" s="3" t="s">
        <v>99</v>
      </c>
      <c r="C16" s="3"/>
      <c r="D16" s="3">
        <f>'JULY '!H16:H30</f>
        <v>0</v>
      </c>
      <c r="E16" s="3">
        <v>2200</v>
      </c>
      <c r="F16" s="3">
        <f t="shared" si="0"/>
        <v>2200</v>
      </c>
      <c r="G16" s="3">
        <v>2200</v>
      </c>
      <c r="H16" s="3">
        <f t="shared" si="1"/>
        <v>0</v>
      </c>
    </row>
    <row r="17" spans="1:12" x14ac:dyDescent="0.25">
      <c r="A17" s="25">
        <v>14</v>
      </c>
      <c r="B17" s="13" t="s">
        <v>62</v>
      </c>
      <c r="C17" s="13"/>
      <c r="D17" s="3">
        <f>'JULY '!H17:H31</f>
        <v>1000</v>
      </c>
      <c r="E17" s="13">
        <v>2200</v>
      </c>
      <c r="F17" s="3">
        <f t="shared" si="0"/>
        <v>3200</v>
      </c>
      <c r="G17" s="13">
        <v>3200</v>
      </c>
      <c r="H17" s="3">
        <f t="shared" si="1"/>
        <v>0</v>
      </c>
    </row>
    <row r="18" spans="1:12" x14ac:dyDescent="0.25">
      <c r="A18" s="25" t="s">
        <v>39</v>
      </c>
      <c r="B18" s="3" t="s">
        <v>35</v>
      </c>
      <c r="C18" s="3"/>
      <c r="D18" s="3">
        <f>'JULY '!H18:H32</f>
        <v>0</v>
      </c>
      <c r="E18" s="3">
        <v>4500</v>
      </c>
      <c r="F18" s="3">
        <f t="shared" si="0"/>
        <v>4500</v>
      </c>
      <c r="G18" s="3">
        <v>4000</v>
      </c>
      <c r="H18" s="3">
        <f t="shared" si="1"/>
        <v>500</v>
      </c>
    </row>
    <row r="19" spans="1:12" x14ac:dyDescent="0.25">
      <c r="A19" s="29"/>
      <c r="B19" s="30" t="s">
        <v>64</v>
      </c>
      <c r="C19" s="30">
        <f>SUM(C5:C18)</f>
        <v>0</v>
      </c>
      <c r="D19" s="3">
        <f>'JULY '!H19:H33</f>
        <v>3950</v>
      </c>
      <c r="E19" s="30">
        <f>SUM(E5:E18)</f>
        <v>30900</v>
      </c>
      <c r="F19" s="30">
        <f>SUM(F5:F18)</f>
        <v>34850</v>
      </c>
      <c r="G19" s="30">
        <f>SUM(G5:G18)</f>
        <v>31400</v>
      </c>
      <c r="H19" s="3">
        <f t="shared" si="1"/>
        <v>3450</v>
      </c>
      <c r="I19" s="31"/>
    </row>
    <row r="20" spans="1:12" x14ac:dyDescent="0.25">
      <c r="A20" s="32"/>
      <c r="B20" s="33"/>
      <c r="C20" s="33"/>
      <c r="D20" s="33"/>
      <c r="E20" s="33"/>
      <c r="F20" s="33"/>
      <c r="G20" s="33"/>
      <c r="H20" s="32"/>
      <c r="I20" s="31"/>
    </row>
    <row r="21" spans="1:12" x14ac:dyDescent="0.25">
      <c r="A21" s="31"/>
      <c r="B21" s="31" t="s">
        <v>12</v>
      </c>
      <c r="C21" s="34"/>
      <c r="D21" s="8"/>
      <c r="E21" s="33"/>
      <c r="F21" s="46"/>
      <c r="G21" s="10"/>
      <c r="H21" s="35"/>
      <c r="I21" s="31"/>
    </row>
    <row r="22" spans="1:12" x14ac:dyDescent="0.25">
      <c r="A22" s="31"/>
      <c r="B22" s="36" t="s">
        <v>13</v>
      </c>
      <c r="C22" s="36"/>
      <c r="D22" s="36"/>
      <c r="E22" s="37"/>
      <c r="F22" s="36" t="s">
        <v>14</v>
      </c>
      <c r="G22" s="31"/>
      <c r="H22" s="31"/>
      <c r="I22" s="31" t="s">
        <v>48</v>
      </c>
    </row>
    <row r="23" spans="1:12" x14ac:dyDescent="0.25">
      <c r="A23" s="31"/>
      <c r="B23" s="30" t="s">
        <v>15</v>
      </c>
      <c r="C23" s="30" t="s">
        <v>16</v>
      </c>
      <c r="D23" s="30" t="s">
        <v>17</v>
      </c>
      <c r="E23" s="30" t="s">
        <v>18</v>
      </c>
      <c r="F23" s="30" t="s">
        <v>15</v>
      </c>
      <c r="G23" s="30" t="s">
        <v>16</v>
      </c>
      <c r="H23" s="30" t="s">
        <v>17</v>
      </c>
      <c r="I23" s="30" t="s">
        <v>18</v>
      </c>
    </row>
    <row r="24" spans="1:12" x14ac:dyDescent="0.25">
      <c r="A24" s="31"/>
      <c r="B24" s="29" t="s">
        <v>103</v>
      </c>
      <c r="C24" s="38">
        <f>E19</f>
        <v>30900</v>
      </c>
      <c r="D24" s="29"/>
      <c r="E24" s="29"/>
      <c r="F24" s="29" t="s">
        <v>103</v>
      </c>
      <c r="G24" s="38">
        <f>G19</f>
        <v>31400</v>
      </c>
      <c r="H24" s="29"/>
      <c r="I24" s="29"/>
    </row>
    <row r="25" spans="1:12" x14ac:dyDescent="0.25">
      <c r="A25" s="31"/>
      <c r="B25" s="29" t="s">
        <v>5</v>
      </c>
      <c r="C25" s="38">
        <f>-8580</f>
        <v>-8580</v>
      </c>
      <c r="D25" s="29"/>
      <c r="E25" s="29"/>
      <c r="F25" s="29" t="s">
        <v>5</v>
      </c>
      <c r="G25" s="38">
        <f>'JULY '!I35</f>
        <v>-12750</v>
      </c>
      <c r="H25" s="29"/>
      <c r="I25" s="29"/>
      <c r="L25" s="15"/>
    </row>
    <row r="26" spans="1:12" x14ac:dyDescent="0.25">
      <c r="A26" s="31"/>
      <c r="B26" s="29" t="s">
        <v>70</v>
      </c>
      <c r="C26" s="38"/>
      <c r="D26" s="29"/>
      <c r="E26" s="29"/>
      <c r="F26" s="29" t="s">
        <v>70</v>
      </c>
      <c r="G26" s="38"/>
      <c r="H26" s="29"/>
      <c r="I26" s="29"/>
    </row>
    <row r="27" spans="1:12" x14ac:dyDescent="0.25">
      <c r="A27" s="31"/>
      <c r="B27" s="29" t="s">
        <v>20</v>
      </c>
      <c r="C27" s="39">
        <v>0.1</v>
      </c>
      <c r="D27" s="38">
        <f>C24*C27</f>
        <v>3090</v>
      </c>
      <c r="E27" s="29"/>
      <c r="F27" s="29" t="s">
        <v>20</v>
      </c>
      <c r="G27" s="39">
        <v>0.1</v>
      </c>
      <c r="H27" s="38">
        <f>D27</f>
        <v>3090</v>
      </c>
      <c r="I27" s="29"/>
    </row>
    <row r="28" spans="1:12" x14ac:dyDescent="0.25">
      <c r="A28" s="31"/>
      <c r="B28" s="30" t="s">
        <v>21</v>
      </c>
      <c r="C28" s="30" t="s">
        <v>22</v>
      </c>
      <c r="D28" s="30"/>
      <c r="E28" s="30"/>
      <c r="F28" s="30" t="s">
        <v>21</v>
      </c>
      <c r="G28" s="40"/>
      <c r="H28" s="30"/>
      <c r="I28" s="30"/>
    </row>
    <row r="29" spans="1:12" x14ac:dyDescent="0.25">
      <c r="A29" s="31"/>
      <c r="B29" s="41"/>
      <c r="C29" s="29"/>
      <c r="D29" s="29"/>
      <c r="E29" s="29"/>
      <c r="F29" s="41"/>
      <c r="G29" s="29"/>
      <c r="H29" s="29"/>
      <c r="I29" s="29"/>
    </row>
    <row r="30" spans="1:12" x14ac:dyDescent="0.25">
      <c r="A30" s="31"/>
      <c r="B30" s="42" t="s">
        <v>106</v>
      </c>
      <c r="C30" s="29"/>
      <c r="D30" s="31">
        <v>19230</v>
      </c>
      <c r="E30" s="29"/>
      <c r="F30" s="42" t="s">
        <v>106</v>
      </c>
      <c r="G30" s="29"/>
      <c r="H30" s="31">
        <v>19230</v>
      </c>
      <c r="I30" s="29"/>
      <c r="J30" s="15"/>
    </row>
    <row r="31" spans="1:12" x14ac:dyDescent="0.25">
      <c r="A31" s="31"/>
      <c r="B31" s="42" t="s">
        <v>67</v>
      </c>
      <c r="C31" s="29"/>
      <c r="D31" s="29">
        <f>E6+E8</f>
        <v>4400</v>
      </c>
      <c r="E31" s="29"/>
      <c r="F31" s="42" t="s">
        <v>67</v>
      </c>
      <c r="G31" s="29"/>
      <c r="H31" s="29">
        <f>D31</f>
        <v>4400</v>
      </c>
      <c r="I31" s="29"/>
      <c r="J31" s="15"/>
    </row>
    <row r="32" spans="1:12" x14ac:dyDescent="0.25">
      <c r="A32" s="31"/>
      <c r="B32" s="42" t="s">
        <v>111</v>
      </c>
      <c r="C32" s="29"/>
      <c r="D32" s="29">
        <f>E14</f>
        <v>2200</v>
      </c>
      <c r="E32" s="29"/>
      <c r="F32" s="42" t="s">
        <v>111</v>
      </c>
      <c r="G32" s="29"/>
      <c r="H32" s="29">
        <f>D32</f>
        <v>2200</v>
      </c>
      <c r="I32" s="29"/>
      <c r="J32" s="15"/>
    </row>
    <row r="33" spans="1:11" x14ac:dyDescent="0.25">
      <c r="A33" s="31"/>
      <c r="B33" s="43"/>
      <c r="C33" s="29"/>
      <c r="D33" s="29"/>
      <c r="E33" s="29"/>
      <c r="F33" s="42"/>
      <c r="G33" s="29"/>
      <c r="H33" s="44"/>
      <c r="I33" s="29"/>
    </row>
    <row r="34" spans="1:11" x14ac:dyDescent="0.25">
      <c r="A34" s="31"/>
      <c r="B34" s="42"/>
      <c r="C34" s="29"/>
      <c r="D34" s="44"/>
      <c r="E34" s="29"/>
      <c r="F34" s="29"/>
      <c r="G34" s="29"/>
      <c r="H34" s="29"/>
      <c r="I34" s="29"/>
      <c r="K34" s="15"/>
    </row>
    <row r="35" spans="1:11" x14ac:dyDescent="0.25">
      <c r="A35" s="31"/>
      <c r="B35" s="30" t="s">
        <v>11</v>
      </c>
      <c r="C35" s="40">
        <f>C24+C25+C26-D27</f>
        <v>19230</v>
      </c>
      <c r="D35" s="40">
        <f>SUM(D29:D34)</f>
        <v>25830</v>
      </c>
      <c r="E35" s="40">
        <f>C35-D35</f>
        <v>-6600</v>
      </c>
      <c r="F35" s="30" t="s">
        <v>11</v>
      </c>
      <c r="G35" s="40">
        <f>G24+G25+G26-H27</f>
        <v>15560</v>
      </c>
      <c r="H35" s="40">
        <f>SUM(H29:H34)</f>
        <v>25830</v>
      </c>
      <c r="I35" s="40">
        <f>G35-H35</f>
        <v>-10270</v>
      </c>
    </row>
    <row r="36" spans="1:11" x14ac:dyDescent="0.25">
      <c r="A36" s="31"/>
      <c r="B36" s="31"/>
      <c r="C36" s="31"/>
      <c r="D36" s="31"/>
      <c r="E36" s="31"/>
      <c r="F36" s="31"/>
      <c r="G36" s="31"/>
      <c r="H36" s="31"/>
      <c r="I36" s="31"/>
    </row>
    <row r="37" spans="1:11" x14ac:dyDescent="0.25">
      <c r="A37" s="31"/>
      <c r="B37" s="31" t="s">
        <v>23</v>
      </c>
      <c r="C37" s="31"/>
      <c r="D37" s="31" t="s">
        <v>24</v>
      </c>
      <c r="E37" s="31"/>
      <c r="F37" s="31"/>
      <c r="G37" s="31" t="s">
        <v>25</v>
      </c>
      <c r="H37" s="31"/>
      <c r="I37" s="31"/>
    </row>
    <row r="38" spans="1:11" x14ac:dyDescent="0.25">
      <c r="A38" s="31"/>
      <c r="B38" s="31"/>
      <c r="C38" s="31"/>
      <c r="D38" s="31"/>
      <c r="E38" s="31"/>
      <c r="F38" s="31"/>
      <c r="G38" s="31"/>
      <c r="H38" s="31"/>
      <c r="I38" s="31"/>
    </row>
    <row r="39" spans="1:11" x14ac:dyDescent="0.25">
      <c r="A39" s="31"/>
      <c r="B39" s="31" t="s">
        <v>108</v>
      </c>
      <c r="C39" s="31"/>
      <c r="D39" s="31" t="s">
        <v>27</v>
      </c>
      <c r="E39" s="31"/>
      <c r="F39" s="31"/>
      <c r="G39" s="31" t="s">
        <v>46</v>
      </c>
      <c r="H39" s="31"/>
      <c r="I39" s="31"/>
    </row>
    <row r="40" spans="1:11" x14ac:dyDescent="0.25">
      <c r="A40" s="31"/>
      <c r="B40" s="31"/>
      <c r="C40" s="31"/>
      <c r="D40" s="31"/>
      <c r="E40" s="31"/>
      <c r="F40" s="31"/>
      <c r="G40" s="31"/>
      <c r="H40" s="31"/>
      <c r="I40" s="3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>
      <selection activeCell="K24" sqref="K24"/>
    </sheetView>
  </sheetViews>
  <sheetFormatPr defaultRowHeight="15" x14ac:dyDescent="0.25"/>
  <sheetData>
    <row r="1" spans="1:9" x14ac:dyDescent="0.25">
      <c r="B1" s="1"/>
      <c r="C1" s="1" t="s">
        <v>28</v>
      </c>
      <c r="D1" s="1"/>
      <c r="E1" s="1"/>
      <c r="F1" s="1"/>
      <c r="G1" s="1"/>
      <c r="H1" s="1"/>
    </row>
    <row r="2" spans="1:9" x14ac:dyDescent="0.25">
      <c r="B2" s="1"/>
      <c r="C2" s="1" t="s">
        <v>0</v>
      </c>
      <c r="D2" s="1"/>
      <c r="E2" s="1"/>
      <c r="F2" s="1"/>
      <c r="G2" s="1"/>
      <c r="H2" s="1"/>
    </row>
    <row r="3" spans="1:9" x14ac:dyDescent="0.25">
      <c r="B3" s="1"/>
      <c r="C3" s="1" t="s">
        <v>114</v>
      </c>
      <c r="D3" s="1"/>
      <c r="E3" s="1"/>
      <c r="F3" s="1"/>
      <c r="G3" s="1"/>
      <c r="H3" s="1"/>
    </row>
    <row r="4" spans="1:9" x14ac:dyDescent="0.25">
      <c r="A4" t="s">
        <v>110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</row>
    <row r="5" spans="1:9" x14ac:dyDescent="0.25">
      <c r="A5">
        <v>1</v>
      </c>
      <c r="B5" s="3" t="s">
        <v>82</v>
      </c>
      <c r="C5" s="3"/>
      <c r="D5" s="3">
        <f>'AUGUST 19'!H5:H19</f>
        <v>200</v>
      </c>
      <c r="E5" s="3">
        <v>2200</v>
      </c>
      <c r="F5" s="3">
        <f>D5+E5</f>
        <v>2400</v>
      </c>
      <c r="G5" s="3">
        <f>1100+1100</f>
        <v>2200</v>
      </c>
      <c r="H5" s="3">
        <f>F5-G5</f>
        <v>200</v>
      </c>
    </row>
    <row r="6" spans="1:9" x14ac:dyDescent="0.25">
      <c r="A6">
        <v>2</v>
      </c>
      <c r="B6" s="3" t="s">
        <v>109</v>
      </c>
      <c r="C6" s="3"/>
      <c r="D6" s="3">
        <f>'AUGUST 19'!H6:H20</f>
        <v>0</v>
      </c>
      <c r="E6" s="3">
        <v>2200</v>
      </c>
      <c r="F6" s="3">
        <f t="shared" ref="F6:F18" si="0">D6+E6</f>
        <v>2200</v>
      </c>
      <c r="G6" s="3">
        <v>2200</v>
      </c>
      <c r="H6" s="3">
        <f t="shared" ref="H6:H17" si="1">F6-G6</f>
        <v>0</v>
      </c>
    </row>
    <row r="7" spans="1:9" x14ac:dyDescent="0.25">
      <c r="A7">
        <v>3</v>
      </c>
      <c r="B7" s="3" t="s">
        <v>31</v>
      </c>
      <c r="C7" s="3"/>
      <c r="D7" s="3">
        <f>'AUGUST 19'!H7:H21</f>
        <v>50</v>
      </c>
      <c r="E7" s="3">
        <v>2200</v>
      </c>
      <c r="F7" s="3">
        <f t="shared" si="0"/>
        <v>2250</v>
      </c>
      <c r="G7" s="3">
        <v>2200</v>
      </c>
      <c r="H7" s="3">
        <f t="shared" si="1"/>
        <v>50</v>
      </c>
    </row>
    <row r="8" spans="1:9" x14ac:dyDescent="0.25">
      <c r="A8">
        <v>4</v>
      </c>
      <c r="B8" s="3" t="s">
        <v>105</v>
      </c>
      <c r="C8" s="3"/>
      <c r="D8" s="3">
        <f>'AUGUST 19'!H8:H22</f>
        <v>0</v>
      </c>
      <c r="E8" s="3">
        <v>2200</v>
      </c>
      <c r="F8" s="3">
        <f t="shared" si="0"/>
        <v>2200</v>
      </c>
      <c r="G8" s="3">
        <v>2200</v>
      </c>
      <c r="H8" s="3">
        <f t="shared" si="1"/>
        <v>0</v>
      </c>
    </row>
    <row r="9" spans="1:9" x14ac:dyDescent="0.25">
      <c r="A9">
        <v>5</v>
      </c>
      <c r="B9" s="3" t="s">
        <v>47</v>
      </c>
      <c r="C9" s="3"/>
      <c r="D9" s="3">
        <f>'AUGUST 19'!H9:H23</f>
        <v>200</v>
      </c>
      <c r="E9" s="3">
        <v>2200</v>
      </c>
      <c r="F9" s="3">
        <f t="shared" si="0"/>
        <v>2400</v>
      </c>
      <c r="G9" s="3">
        <v>2200</v>
      </c>
      <c r="H9" s="3">
        <f t="shared" si="1"/>
        <v>200</v>
      </c>
    </row>
    <row r="10" spans="1:9" x14ac:dyDescent="0.25">
      <c r="A10">
        <v>6</v>
      </c>
      <c r="B10" s="3" t="s">
        <v>34</v>
      </c>
      <c r="C10" s="3"/>
      <c r="D10" s="3">
        <f>'AUGUST 19'!H10:H24</f>
        <v>1800</v>
      </c>
      <c r="E10" s="3">
        <v>2200</v>
      </c>
      <c r="F10" s="3">
        <f t="shared" si="0"/>
        <v>4000</v>
      </c>
      <c r="G10" s="3">
        <f>1200+1000</f>
        <v>2200</v>
      </c>
      <c r="H10" s="3">
        <f t="shared" si="1"/>
        <v>1800</v>
      </c>
    </row>
    <row r="11" spans="1:9" x14ac:dyDescent="0.25">
      <c r="A11" t="s">
        <v>10</v>
      </c>
      <c r="B11" s="3"/>
      <c r="C11" s="3"/>
      <c r="D11" s="3">
        <f>'AUGUST 19'!H11:H25</f>
        <v>0</v>
      </c>
      <c r="E11" s="3"/>
      <c r="F11" s="3">
        <f t="shared" si="0"/>
        <v>0</v>
      </c>
      <c r="G11" s="3"/>
      <c r="H11" s="3">
        <f>F11-G11</f>
        <v>0</v>
      </c>
    </row>
    <row r="12" spans="1:9" x14ac:dyDescent="0.25">
      <c r="A12">
        <v>9</v>
      </c>
      <c r="B12" s="3" t="s">
        <v>107</v>
      </c>
      <c r="C12" s="3"/>
      <c r="D12" s="3">
        <f>'AUGUST 19'!H12:H26</f>
        <v>200</v>
      </c>
      <c r="E12" s="3">
        <v>2200</v>
      </c>
      <c r="F12" s="3">
        <f t="shared" si="0"/>
        <v>2400</v>
      </c>
      <c r="G12" s="3">
        <v>2200</v>
      </c>
      <c r="H12" s="3">
        <f t="shared" si="1"/>
        <v>200</v>
      </c>
    </row>
    <row r="13" spans="1:9" x14ac:dyDescent="0.25">
      <c r="A13">
        <v>10</v>
      </c>
      <c r="B13" s="3" t="s">
        <v>93</v>
      </c>
      <c r="C13" s="3"/>
      <c r="D13" s="3">
        <f>'AUGUST 19'!H13:H27</f>
        <v>0</v>
      </c>
      <c r="E13" s="3">
        <v>2200</v>
      </c>
      <c r="F13" s="3">
        <f t="shared" si="0"/>
        <v>2200</v>
      </c>
      <c r="G13" s="3">
        <v>2200</v>
      </c>
      <c r="H13" s="3">
        <f t="shared" si="1"/>
        <v>0</v>
      </c>
    </row>
    <row r="14" spans="1:9" x14ac:dyDescent="0.25">
      <c r="A14">
        <v>11</v>
      </c>
      <c r="B14" s="45" t="s">
        <v>41</v>
      </c>
      <c r="C14" s="3"/>
      <c r="D14" s="3">
        <f>'AUGUST 19'!H14:H28</f>
        <v>0</v>
      </c>
      <c r="E14" s="3">
        <v>2200</v>
      </c>
      <c r="F14" s="3">
        <f t="shared" si="0"/>
        <v>2200</v>
      </c>
      <c r="G14" s="3">
        <v>2200</v>
      </c>
      <c r="H14" s="3">
        <f t="shared" si="1"/>
        <v>0</v>
      </c>
      <c r="I14" t="s">
        <v>48</v>
      </c>
    </row>
    <row r="15" spans="1:9" x14ac:dyDescent="0.25">
      <c r="A15">
        <v>12</v>
      </c>
      <c r="B15" s="3" t="s">
        <v>37</v>
      </c>
      <c r="C15" s="3"/>
      <c r="D15" s="3">
        <f>'AUGUST 19'!H15:H29</f>
        <v>500</v>
      </c>
      <c r="E15" s="3">
        <v>2200</v>
      </c>
      <c r="F15" s="3">
        <f t="shared" si="0"/>
        <v>2700</v>
      </c>
      <c r="G15" s="3">
        <v>2500</v>
      </c>
      <c r="H15" s="3">
        <f>F15-G15</f>
        <v>200</v>
      </c>
    </row>
    <row r="16" spans="1:9" x14ac:dyDescent="0.25">
      <c r="A16">
        <v>13</v>
      </c>
      <c r="B16" s="3" t="s">
        <v>99</v>
      </c>
      <c r="C16" s="3"/>
      <c r="D16" s="3">
        <f>'AUGUST 19'!H16:H30</f>
        <v>0</v>
      </c>
      <c r="E16" s="3">
        <v>2200</v>
      </c>
      <c r="F16" s="3">
        <f t="shared" si="0"/>
        <v>2200</v>
      </c>
      <c r="G16" s="3">
        <v>2200</v>
      </c>
      <c r="H16" s="3">
        <f t="shared" si="1"/>
        <v>0</v>
      </c>
    </row>
    <row r="17" spans="1:12" x14ac:dyDescent="0.25">
      <c r="A17">
        <v>14</v>
      </c>
      <c r="B17" s="13" t="s">
        <v>62</v>
      </c>
      <c r="C17" s="13"/>
      <c r="D17" s="3">
        <f>'AUGUST 19'!H17:H31</f>
        <v>0</v>
      </c>
      <c r="E17" s="13">
        <v>2200</v>
      </c>
      <c r="F17" s="3">
        <f t="shared" si="0"/>
        <v>2200</v>
      </c>
      <c r="G17" s="13">
        <v>2200</v>
      </c>
      <c r="H17" s="13">
        <f t="shared" si="1"/>
        <v>0</v>
      </c>
    </row>
    <row r="18" spans="1:12" x14ac:dyDescent="0.25">
      <c r="A18">
        <v>15</v>
      </c>
      <c r="B18" s="3" t="s">
        <v>35</v>
      </c>
      <c r="C18" s="3"/>
      <c r="D18" s="3">
        <f>'AUGUST 19'!H18:H32</f>
        <v>500</v>
      </c>
      <c r="E18" s="3">
        <v>4500</v>
      </c>
      <c r="F18" s="3">
        <f t="shared" si="0"/>
        <v>5000</v>
      </c>
      <c r="G18" s="3">
        <v>4500</v>
      </c>
      <c r="H18" s="3">
        <f>F18-G18</f>
        <v>500</v>
      </c>
    </row>
    <row r="19" spans="1:12" x14ac:dyDescent="0.25">
      <c r="B19" s="30" t="s">
        <v>64</v>
      </c>
      <c r="C19" s="30">
        <f>SUM(C5:C18)</f>
        <v>0</v>
      </c>
      <c r="D19" s="3">
        <f>'AUGUST 19'!H19:H33</f>
        <v>3450</v>
      </c>
      <c r="E19" s="30">
        <f>SUM(E5:E18)</f>
        <v>30900</v>
      </c>
      <c r="F19" s="30">
        <f>SUM(F5:F18)</f>
        <v>34350</v>
      </c>
      <c r="G19" s="30">
        <f>SUM(G5:G18)</f>
        <v>31200</v>
      </c>
      <c r="H19" s="30">
        <f>SUM(H5:H18)</f>
        <v>3150</v>
      </c>
      <c r="I19" s="31"/>
      <c r="L19" s="15">
        <f>C24-D27</f>
        <v>27810</v>
      </c>
    </row>
    <row r="20" spans="1:12" x14ac:dyDescent="0.25">
      <c r="B20" s="33"/>
      <c r="C20" s="33"/>
      <c r="D20" s="33"/>
      <c r="E20" s="33"/>
      <c r="F20" s="33"/>
      <c r="G20" s="33"/>
      <c r="H20" s="32"/>
      <c r="I20" s="31"/>
      <c r="L20" s="15">
        <f>L19-6600</f>
        <v>21210</v>
      </c>
    </row>
    <row r="21" spans="1:12" x14ac:dyDescent="0.25">
      <c r="B21" s="31" t="s">
        <v>12</v>
      </c>
      <c r="C21" s="34"/>
      <c r="D21" s="8"/>
      <c r="E21" s="33"/>
      <c r="F21" s="46"/>
      <c r="G21" s="10"/>
      <c r="H21" s="35"/>
      <c r="I21" s="31"/>
    </row>
    <row r="22" spans="1:12" x14ac:dyDescent="0.25">
      <c r="B22" s="36" t="s">
        <v>13</v>
      </c>
      <c r="C22" s="36"/>
      <c r="D22" s="36"/>
      <c r="E22" s="37"/>
      <c r="F22" s="36" t="s">
        <v>14</v>
      </c>
      <c r="G22" s="31"/>
      <c r="H22" s="31"/>
      <c r="I22" s="31" t="s">
        <v>48</v>
      </c>
    </row>
    <row r="23" spans="1:12" x14ac:dyDescent="0.25">
      <c r="B23" s="30" t="s">
        <v>15</v>
      </c>
      <c r="C23" s="30" t="s">
        <v>16</v>
      </c>
      <c r="D23" s="30" t="s">
        <v>17</v>
      </c>
      <c r="E23" s="30" t="s">
        <v>18</v>
      </c>
      <c r="F23" s="30" t="s">
        <v>15</v>
      </c>
      <c r="G23" s="30" t="s">
        <v>16</v>
      </c>
      <c r="H23" s="30" t="s">
        <v>17</v>
      </c>
      <c r="I23" s="30" t="s">
        <v>18</v>
      </c>
    </row>
    <row r="24" spans="1:12" x14ac:dyDescent="0.25">
      <c r="B24" s="29" t="s">
        <v>113</v>
      </c>
      <c r="C24" s="38">
        <f>E19</f>
        <v>30900</v>
      </c>
      <c r="D24" s="29"/>
      <c r="E24" s="29"/>
      <c r="F24" s="29" t="s">
        <v>113</v>
      </c>
      <c r="G24" s="38">
        <f>G19</f>
        <v>31200</v>
      </c>
      <c r="H24" s="29"/>
      <c r="I24" s="29"/>
    </row>
    <row r="25" spans="1:12" x14ac:dyDescent="0.25">
      <c r="B25" s="29" t="s">
        <v>5</v>
      </c>
      <c r="C25" s="38">
        <f>'AUGUST 19'!E35</f>
        <v>-6600</v>
      </c>
      <c r="D25" s="29"/>
      <c r="E25" s="29"/>
      <c r="F25" s="29" t="s">
        <v>5</v>
      </c>
      <c r="G25" s="38">
        <f>'AUGUST 19'!I35</f>
        <v>-10270</v>
      </c>
      <c r="H25" s="29"/>
      <c r="I25" s="29"/>
      <c r="L25" s="15"/>
    </row>
    <row r="26" spans="1:12" x14ac:dyDescent="0.25">
      <c r="B26" s="29" t="s">
        <v>70</v>
      </c>
      <c r="C26" s="38"/>
      <c r="D26" s="29"/>
      <c r="E26" s="29"/>
      <c r="F26" s="29" t="s">
        <v>70</v>
      </c>
      <c r="G26" s="38"/>
      <c r="H26" s="29"/>
      <c r="I26" s="29"/>
    </row>
    <row r="27" spans="1:12" x14ac:dyDescent="0.25">
      <c r="B27" s="29" t="s">
        <v>20</v>
      </c>
      <c r="C27" s="39">
        <v>0.1</v>
      </c>
      <c r="D27" s="38">
        <f>C24*C27</f>
        <v>3090</v>
      </c>
      <c r="E27" s="29"/>
      <c r="F27" s="29" t="s">
        <v>20</v>
      </c>
      <c r="G27" s="39">
        <v>0.1</v>
      </c>
      <c r="H27" s="38">
        <f>D27</f>
        <v>3090</v>
      </c>
      <c r="I27" s="29"/>
    </row>
    <row r="28" spans="1:12" x14ac:dyDescent="0.25">
      <c r="B28" s="30" t="s">
        <v>21</v>
      </c>
      <c r="C28" s="30" t="s">
        <v>22</v>
      </c>
      <c r="D28" s="30"/>
      <c r="E28" s="30"/>
      <c r="F28" s="30" t="s">
        <v>21</v>
      </c>
      <c r="G28" s="40"/>
      <c r="H28" s="30"/>
      <c r="I28" s="30"/>
    </row>
    <row r="29" spans="1:12" x14ac:dyDescent="0.25">
      <c r="B29" s="41" t="s">
        <v>112</v>
      </c>
      <c r="C29" s="29"/>
      <c r="D29" s="29">
        <v>21210</v>
      </c>
      <c r="E29" s="29"/>
      <c r="F29" s="41" t="s">
        <v>112</v>
      </c>
      <c r="G29" s="29"/>
      <c r="H29" s="29">
        <v>21210</v>
      </c>
      <c r="I29" s="29"/>
    </row>
    <row r="30" spans="1:12" x14ac:dyDescent="0.25">
      <c r="B30" s="42" t="s">
        <v>41</v>
      </c>
      <c r="C30" s="29"/>
      <c r="D30" s="31">
        <f>E14</f>
        <v>2200</v>
      </c>
      <c r="E30" s="29"/>
      <c r="F30" s="42" t="s">
        <v>41</v>
      </c>
      <c r="G30" s="29"/>
      <c r="H30" s="31">
        <f>D30</f>
        <v>2200</v>
      </c>
      <c r="I30" s="29"/>
      <c r="J30" s="15"/>
    </row>
    <row r="31" spans="1:12" x14ac:dyDescent="0.25">
      <c r="B31" s="42"/>
      <c r="C31" s="29"/>
      <c r="D31" s="29"/>
      <c r="E31" s="29"/>
      <c r="F31" s="42"/>
      <c r="G31" s="29"/>
      <c r="H31" s="29"/>
      <c r="I31" s="29"/>
    </row>
    <row r="32" spans="1:12" x14ac:dyDescent="0.25">
      <c r="B32" s="42"/>
      <c r="C32" s="29"/>
      <c r="D32" s="29"/>
      <c r="E32" s="29"/>
      <c r="F32" s="42"/>
      <c r="G32" s="29"/>
      <c r="H32" s="29"/>
      <c r="I32" s="29"/>
    </row>
    <row r="33" spans="2:9" x14ac:dyDescent="0.25">
      <c r="B33" s="43"/>
      <c r="C33" s="29"/>
      <c r="D33" s="29"/>
      <c r="E33" s="29"/>
      <c r="F33" s="42"/>
      <c r="G33" s="29"/>
      <c r="H33" s="44"/>
      <c r="I33" s="29"/>
    </row>
    <row r="34" spans="2:9" x14ac:dyDescent="0.25">
      <c r="B34" s="42"/>
      <c r="C34" s="29"/>
      <c r="D34" s="44"/>
      <c r="E34" s="29"/>
      <c r="F34" s="29"/>
      <c r="G34" s="29"/>
      <c r="H34" s="29"/>
      <c r="I34" s="29"/>
    </row>
    <row r="35" spans="2:9" x14ac:dyDescent="0.25">
      <c r="B35" s="30" t="s">
        <v>11</v>
      </c>
      <c r="C35" s="40">
        <f>C24+C25+C26-D27</f>
        <v>21210</v>
      </c>
      <c r="D35" s="40">
        <f>SUM(D29:D34)</f>
        <v>23410</v>
      </c>
      <c r="E35" s="40">
        <f>C35-D35</f>
        <v>-2200</v>
      </c>
      <c r="F35" s="30" t="s">
        <v>11</v>
      </c>
      <c r="G35" s="40">
        <f>G24+G25+G26-H27</f>
        <v>17840</v>
      </c>
      <c r="H35" s="40">
        <f>SUM(H29:H34)</f>
        <v>23410</v>
      </c>
      <c r="I35" s="40">
        <f>G35-H35</f>
        <v>-5570</v>
      </c>
    </row>
    <row r="36" spans="2:9" x14ac:dyDescent="0.25">
      <c r="B36" s="31"/>
      <c r="C36" s="31"/>
      <c r="D36" s="31"/>
      <c r="E36" s="31"/>
      <c r="F36" s="31"/>
      <c r="G36" s="31"/>
      <c r="H36" s="31"/>
      <c r="I36" s="31"/>
    </row>
    <row r="37" spans="2:9" x14ac:dyDescent="0.25">
      <c r="B37" s="31" t="s">
        <v>23</v>
      </c>
      <c r="C37" s="31"/>
      <c r="D37" s="31" t="s">
        <v>24</v>
      </c>
      <c r="E37" s="31"/>
      <c r="F37" s="31"/>
      <c r="G37" s="31" t="s">
        <v>25</v>
      </c>
      <c r="H37" s="31"/>
      <c r="I37" s="31"/>
    </row>
    <row r="38" spans="2:9" x14ac:dyDescent="0.25">
      <c r="B38" s="31"/>
      <c r="C38" s="31"/>
      <c r="D38" s="31"/>
      <c r="E38" s="31"/>
      <c r="F38" s="31"/>
      <c r="G38" s="31"/>
      <c r="H38" s="31"/>
      <c r="I38" s="31"/>
    </row>
    <row r="39" spans="2:9" x14ac:dyDescent="0.25">
      <c r="B39" s="31" t="s">
        <v>108</v>
      </c>
      <c r="C39" s="31"/>
      <c r="D39" s="31" t="s">
        <v>27</v>
      </c>
      <c r="E39" s="31"/>
      <c r="F39" s="31"/>
      <c r="G39" s="31" t="s">
        <v>46</v>
      </c>
      <c r="H39" s="31"/>
      <c r="I39" s="3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M32" sqref="M32"/>
    </sheetView>
  </sheetViews>
  <sheetFormatPr defaultRowHeight="15" x14ac:dyDescent="0.25"/>
  <cols>
    <col min="2" max="2" width="9.140625" customWidth="1"/>
  </cols>
  <sheetData>
    <row r="1" spans="1:9" x14ac:dyDescent="0.25">
      <c r="B1" s="1"/>
      <c r="C1" s="1" t="s">
        <v>28</v>
      </c>
      <c r="D1" s="1"/>
      <c r="E1" s="1"/>
      <c r="F1" s="1"/>
      <c r="G1" s="1"/>
      <c r="H1" s="1"/>
    </row>
    <row r="2" spans="1:9" x14ac:dyDescent="0.25">
      <c r="B2" s="1"/>
      <c r="C2" s="1" t="s">
        <v>0</v>
      </c>
      <c r="D2" s="1"/>
      <c r="E2" s="1"/>
      <c r="F2" s="1"/>
      <c r="G2" s="1"/>
      <c r="H2" s="1"/>
    </row>
    <row r="3" spans="1:9" x14ac:dyDescent="0.25">
      <c r="B3" s="1"/>
      <c r="C3" s="1" t="s">
        <v>115</v>
      </c>
      <c r="D3" s="1"/>
      <c r="E3" s="1"/>
      <c r="F3" s="1"/>
      <c r="G3" s="1"/>
      <c r="H3" s="1"/>
    </row>
    <row r="4" spans="1:9" x14ac:dyDescent="0.25">
      <c r="A4" t="s">
        <v>110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</row>
    <row r="5" spans="1:9" x14ac:dyDescent="0.25">
      <c r="A5">
        <v>1</v>
      </c>
      <c r="B5" s="3" t="s">
        <v>82</v>
      </c>
      <c r="C5" s="3"/>
      <c r="D5" s="3">
        <f>'SEPTEMBER 19'!H5:H18</f>
        <v>200</v>
      </c>
      <c r="E5" s="3">
        <v>2200</v>
      </c>
      <c r="F5" s="3">
        <f>D5+E5</f>
        <v>2400</v>
      </c>
      <c r="G5" s="3">
        <v>2200</v>
      </c>
      <c r="H5" s="3">
        <f>F5-G5</f>
        <v>200</v>
      </c>
    </row>
    <row r="6" spans="1:9" x14ac:dyDescent="0.25">
      <c r="A6">
        <v>2</v>
      </c>
      <c r="B6" s="3" t="s">
        <v>109</v>
      </c>
      <c r="C6" s="3"/>
      <c r="D6" s="3">
        <f>'SEPTEMBER 19'!H6:H19</f>
        <v>0</v>
      </c>
      <c r="E6" s="3">
        <v>2300</v>
      </c>
      <c r="F6" s="3">
        <f t="shared" ref="F6:F19" si="0">D6+E6</f>
        <v>2300</v>
      </c>
      <c r="G6" s="3">
        <v>2300</v>
      </c>
      <c r="H6" s="3">
        <f t="shared" ref="H6:H18" si="1">F6-G6</f>
        <v>0</v>
      </c>
    </row>
    <row r="7" spans="1:9" x14ac:dyDescent="0.25">
      <c r="A7">
        <v>3</v>
      </c>
      <c r="B7" s="3" t="s">
        <v>31</v>
      </c>
      <c r="C7" s="3"/>
      <c r="D7" s="3">
        <f>'SEPTEMBER 19'!H7:H20</f>
        <v>50</v>
      </c>
      <c r="E7" s="3">
        <v>2200</v>
      </c>
      <c r="F7" s="3">
        <f t="shared" si="0"/>
        <v>2250</v>
      </c>
      <c r="G7" s="3">
        <f>1100+900+200</f>
        <v>2200</v>
      </c>
      <c r="H7" s="3">
        <f t="shared" si="1"/>
        <v>50</v>
      </c>
    </row>
    <row r="8" spans="1:9" x14ac:dyDescent="0.25">
      <c r="A8">
        <v>4</v>
      </c>
      <c r="B8" s="3" t="s">
        <v>105</v>
      </c>
      <c r="C8" s="3"/>
      <c r="D8" s="3">
        <f>'SEPTEMBER 19'!H8:H21</f>
        <v>0</v>
      </c>
      <c r="E8" s="3">
        <v>2200</v>
      </c>
      <c r="F8" s="3">
        <f t="shared" si="0"/>
        <v>2200</v>
      </c>
      <c r="G8" s="3">
        <v>2200</v>
      </c>
      <c r="H8" s="3">
        <f t="shared" si="1"/>
        <v>0</v>
      </c>
      <c r="I8" t="s">
        <v>120</v>
      </c>
    </row>
    <row r="9" spans="1:9" x14ac:dyDescent="0.25">
      <c r="A9">
        <v>5</v>
      </c>
      <c r="B9" s="3" t="s">
        <v>47</v>
      </c>
      <c r="C9" s="3"/>
      <c r="D9" s="3">
        <f>'SEPTEMBER 19'!H9:H22</f>
        <v>200</v>
      </c>
      <c r="E9" s="3">
        <v>2200</v>
      </c>
      <c r="F9" s="3">
        <f t="shared" si="0"/>
        <v>2400</v>
      </c>
      <c r="G9" s="3">
        <v>2200</v>
      </c>
      <c r="H9" s="3">
        <f t="shared" si="1"/>
        <v>200</v>
      </c>
    </row>
    <row r="10" spans="1:9" x14ac:dyDescent="0.25">
      <c r="A10">
        <v>6</v>
      </c>
      <c r="B10" s="3" t="s">
        <v>123</v>
      </c>
      <c r="C10" s="3"/>
      <c r="D10" s="3">
        <f>'SEPTEMBER 19'!H10:H23</f>
        <v>1800</v>
      </c>
      <c r="E10" s="3">
        <v>2200</v>
      </c>
      <c r="F10" s="3">
        <f t="shared" si="0"/>
        <v>4000</v>
      </c>
      <c r="G10" s="3">
        <f>1200+1000</f>
        <v>2200</v>
      </c>
      <c r="H10" s="3">
        <f t="shared" si="1"/>
        <v>1800</v>
      </c>
    </row>
    <row r="11" spans="1:9" x14ac:dyDescent="0.25">
      <c r="A11">
        <v>7</v>
      </c>
      <c r="B11" s="3" t="s">
        <v>117</v>
      </c>
      <c r="C11" s="3"/>
      <c r="D11" s="3">
        <f>'SEPTEMBER 19'!H11:H24</f>
        <v>0</v>
      </c>
      <c r="E11" s="3">
        <v>2200</v>
      </c>
      <c r="F11" s="3">
        <f t="shared" si="0"/>
        <v>2200</v>
      </c>
      <c r="G11" s="3">
        <v>2200</v>
      </c>
      <c r="H11" s="3"/>
      <c r="I11" t="s">
        <v>119</v>
      </c>
    </row>
    <row r="12" spans="1:9" x14ac:dyDescent="0.25">
      <c r="A12">
        <v>8</v>
      </c>
      <c r="B12" s="3" t="s">
        <v>122</v>
      </c>
      <c r="C12" s="3"/>
      <c r="D12" s="3">
        <v>0</v>
      </c>
      <c r="E12" s="3">
        <v>2300</v>
      </c>
      <c r="F12" s="3">
        <f t="shared" si="0"/>
        <v>2300</v>
      </c>
      <c r="G12" s="3">
        <v>2300</v>
      </c>
      <c r="H12" s="3">
        <f>F12-G12</f>
        <v>0</v>
      </c>
    </row>
    <row r="13" spans="1:9" x14ac:dyDescent="0.25">
      <c r="A13">
        <v>9</v>
      </c>
      <c r="B13" s="3" t="s">
        <v>107</v>
      </c>
      <c r="C13" s="3"/>
      <c r="D13" s="3">
        <f>'SEPTEMBER 19'!H12</f>
        <v>200</v>
      </c>
      <c r="E13" s="3">
        <v>2200</v>
      </c>
      <c r="F13" s="3">
        <f t="shared" si="0"/>
        <v>2400</v>
      </c>
      <c r="G13" s="3">
        <v>2200</v>
      </c>
      <c r="H13" s="3">
        <f t="shared" si="1"/>
        <v>200</v>
      </c>
    </row>
    <row r="14" spans="1:9" x14ac:dyDescent="0.25">
      <c r="A14">
        <v>10</v>
      </c>
      <c r="B14" s="3" t="s">
        <v>93</v>
      </c>
      <c r="C14" s="3"/>
      <c r="D14" s="3">
        <f>'SEPTEMBER 19'!H14:H27</f>
        <v>0</v>
      </c>
      <c r="E14" s="3">
        <v>2300</v>
      </c>
      <c r="F14" s="3">
        <f t="shared" si="0"/>
        <v>2300</v>
      </c>
      <c r="G14" s="3">
        <f>1000+1000+300</f>
        <v>2300</v>
      </c>
      <c r="H14" s="3">
        <f t="shared" si="1"/>
        <v>0</v>
      </c>
    </row>
    <row r="15" spans="1:9" x14ac:dyDescent="0.25">
      <c r="A15">
        <v>11</v>
      </c>
      <c r="B15" s="45" t="s">
        <v>121</v>
      </c>
      <c r="C15" s="3"/>
      <c r="D15" s="3"/>
      <c r="E15" s="3">
        <v>2200</v>
      </c>
      <c r="F15" s="3">
        <f t="shared" si="0"/>
        <v>2200</v>
      </c>
      <c r="G15" s="3">
        <f>700+1500</f>
        <v>2200</v>
      </c>
      <c r="H15" s="3">
        <f t="shared" si="1"/>
        <v>0</v>
      </c>
      <c r="I15" t="s">
        <v>127</v>
      </c>
    </row>
    <row r="16" spans="1:9" x14ac:dyDescent="0.25">
      <c r="A16">
        <v>12</v>
      </c>
      <c r="B16" s="3" t="s">
        <v>37</v>
      </c>
      <c r="C16" s="3"/>
      <c r="D16" s="3">
        <f>'SEPTEMBER 19'!H15</f>
        <v>200</v>
      </c>
      <c r="E16" s="3">
        <v>2200</v>
      </c>
      <c r="F16" s="3">
        <f t="shared" si="0"/>
        <v>2400</v>
      </c>
      <c r="G16" s="3">
        <v>1700</v>
      </c>
      <c r="H16" s="3">
        <f t="shared" si="1"/>
        <v>700</v>
      </c>
    </row>
    <row r="17" spans="1:12" x14ac:dyDescent="0.25">
      <c r="A17">
        <v>13</v>
      </c>
      <c r="B17" s="3" t="s">
        <v>99</v>
      </c>
      <c r="C17" s="3"/>
      <c r="D17" s="3">
        <f>'SEPTEMBER 19'!H17:H30</f>
        <v>0</v>
      </c>
      <c r="E17" s="3">
        <v>2200</v>
      </c>
      <c r="F17" s="3">
        <f t="shared" si="0"/>
        <v>2200</v>
      </c>
      <c r="G17" s="3">
        <v>2200</v>
      </c>
      <c r="H17" s="3">
        <f t="shared" si="1"/>
        <v>0</v>
      </c>
    </row>
    <row r="18" spans="1:12" x14ac:dyDescent="0.25">
      <c r="A18">
        <v>14</v>
      </c>
      <c r="B18" s="13" t="s">
        <v>62</v>
      </c>
      <c r="C18" s="13"/>
      <c r="D18" s="3">
        <f>'SEPTEMBER 19'!D17</f>
        <v>0</v>
      </c>
      <c r="E18" s="13">
        <v>2200</v>
      </c>
      <c r="F18" s="3">
        <f t="shared" si="0"/>
        <v>2200</v>
      </c>
      <c r="G18" s="13">
        <v>2200</v>
      </c>
      <c r="H18" s="13">
        <f t="shared" si="1"/>
        <v>0</v>
      </c>
    </row>
    <row r="19" spans="1:12" x14ac:dyDescent="0.25">
      <c r="A19">
        <v>15</v>
      </c>
      <c r="B19" s="3" t="s">
        <v>35</v>
      </c>
      <c r="C19" s="3"/>
      <c r="D19" s="3">
        <f>'SEPTEMBER 19'!D18</f>
        <v>500</v>
      </c>
      <c r="E19" s="3">
        <v>4500</v>
      </c>
      <c r="F19" s="3">
        <f t="shared" si="0"/>
        <v>5000</v>
      </c>
      <c r="G19" s="3">
        <v>4500</v>
      </c>
      <c r="H19" s="3">
        <f>F19-G19</f>
        <v>500</v>
      </c>
    </row>
    <row r="20" spans="1:12" x14ac:dyDescent="0.25">
      <c r="B20" s="30" t="s">
        <v>64</v>
      </c>
      <c r="C20" s="30">
        <f t="shared" ref="C20:H20" si="2">SUM(C5:C19)</f>
        <v>0</v>
      </c>
      <c r="D20" s="3">
        <f t="shared" si="2"/>
        <v>3150</v>
      </c>
      <c r="E20" s="30">
        <f t="shared" si="2"/>
        <v>35600</v>
      </c>
      <c r="F20" s="30">
        <f t="shared" si="2"/>
        <v>38750</v>
      </c>
      <c r="G20" s="30">
        <f t="shared" si="2"/>
        <v>35100</v>
      </c>
      <c r="H20" s="30">
        <f t="shared" si="2"/>
        <v>3650</v>
      </c>
      <c r="I20" s="31"/>
      <c r="L20" s="15"/>
    </row>
    <row r="21" spans="1:12" x14ac:dyDescent="0.25">
      <c r="B21" s="33"/>
      <c r="C21" s="33"/>
      <c r="D21" s="33"/>
      <c r="E21" s="33"/>
      <c r="F21" s="33"/>
      <c r="G21" s="33"/>
      <c r="H21" s="32"/>
      <c r="I21" s="31"/>
      <c r="L21" s="15"/>
    </row>
    <row r="22" spans="1:12" x14ac:dyDescent="0.25">
      <c r="B22" s="31" t="s">
        <v>12</v>
      </c>
      <c r="C22" s="34"/>
      <c r="D22" s="8"/>
      <c r="E22" s="33"/>
      <c r="F22" s="46"/>
      <c r="G22" s="10"/>
      <c r="H22" s="35"/>
      <c r="I22" s="31"/>
    </row>
    <row r="23" spans="1:12" x14ac:dyDescent="0.25">
      <c r="B23" s="36" t="s">
        <v>13</v>
      </c>
      <c r="C23" s="36"/>
      <c r="D23" s="36"/>
      <c r="E23" s="37"/>
      <c r="F23" s="36" t="s">
        <v>14</v>
      </c>
      <c r="G23" s="31"/>
      <c r="H23" s="31"/>
      <c r="I23" s="31" t="s">
        <v>48</v>
      </c>
    </row>
    <row r="24" spans="1:12" x14ac:dyDescent="0.25">
      <c r="B24" s="30" t="s">
        <v>15</v>
      </c>
      <c r="C24" s="30" t="s">
        <v>16</v>
      </c>
      <c r="D24" s="30" t="s">
        <v>17</v>
      </c>
      <c r="E24" s="30" t="s">
        <v>18</v>
      </c>
      <c r="F24" s="30" t="s">
        <v>15</v>
      </c>
      <c r="G24" s="30" t="s">
        <v>16</v>
      </c>
      <c r="H24" s="30" t="s">
        <v>17</v>
      </c>
      <c r="I24" s="30" t="s">
        <v>18</v>
      </c>
    </row>
    <row r="25" spans="1:12" x14ac:dyDescent="0.25">
      <c r="B25" s="29" t="s">
        <v>116</v>
      </c>
      <c r="C25" s="38">
        <f>E20</f>
        <v>35600</v>
      </c>
      <c r="D25" s="29"/>
      <c r="E25" s="29"/>
      <c r="F25" s="29" t="s">
        <v>116</v>
      </c>
      <c r="G25" s="38">
        <f>G20</f>
        <v>35100</v>
      </c>
      <c r="H25" s="29"/>
      <c r="I25" s="29"/>
    </row>
    <row r="26" spans="1:12" x14ac:dyDescent="0.25">
      <c r="B26" s="29" t="s">
        <v>5</v>
      </c>
      <c r="C26" s="38">
        <f>'SEPTEMBER 19'!E35</f>
        <v>-2200</v>
      </c>
      <c r="D26" s="29"/>
      <c r="E26" s="29"/>
      <c r="F26" s="29" t="s">
        <v>5</v>
      </c>
      <c r="G26" s="38">
        <f>'SEPTEMBER 19'!I35</f>
        <v>-5570</v>
      </c>
      <c r="H26" s="29"/>
      <c r="I26" s="29"/>
      <c r="L26" s="15"/>
    </row>
    <row r="27" spans="1:12" x14ac:dyDescent="0.25">
      <c r="B27" s="29" t="s">
        <v>70</v>
      </c>
      <c r="C27" s="38"/>
      <c r="D27" s="29"/>
      <c r="E27" s="29"/>
      <c r="F27" s="29" t="s">
        <v>70</v>
      </c>
      <c r="G27" s="38"/>
      <c r="H27" s="29"/>
      <c r="I27" s="29"/>
    </row>
    <row r="28" spans="1:12" x14ac:dyDescent="0.25">
      <c r="B28" s="29" t="s">
        <v>20</v>
      </c>
      <c r="C28" s="39">
        <v>0.1</v>
      </c>
      <c r="D28" s="38">
        <f>C25*C28</f>
        <v>3560</v>
      </c>
      <c r="E28" s="29"/>
      <c r="F28" s="29" t="s">
        <v>20</v>
      </c>
      <c r="G28" s="39">
        <v>0.1</v>
      </c>
      <c r="H28" s="38">
        <f>D28</f>
        <v>3560</v>
      </c>
      <c r="I28" s="29"/>
    </row>
    <row r="29" spans="1:12" x14ac:dyDescent="0.25">
      <c r="B29" s="30" t="s">
        <v>21</v>
      </c>
      <c r="C29" s="30" t="s">
        <v>22</v>
      </c>
      <c r="D29" s="30"/>
      <c r="E29" s="30"/>
      <c r="F29" s="30" t="s">
        <v>21</v>
      </c>
      <c r="G29" s="40"/>
      <c r="H29" s="30"/>
      <c r="I29" s="30"/>
    </row>
    <row r="30" spans="1:12" x14ac:dyDescent="0.25">
      <c r="B30" s="41"/>
      <c r="C30" s="29"/>
      <c r="D30" s="29"/>
      <c r="E30" s="29"/>
      <c r="F30" s="41"/>
      <c r="G30" s="29"/>
      <c r="H30" s="29"/>
      <c r="I30" s="29"/>
    </row>
    <row r="31" spans="1:12" x14ac:dyDescent="0.25">
      <c r="B31" s="42" t="s">
        <v>118</v>
      </c>
      <c r="C31" s="29"/>
      <c r="D31" s="31">
        <v>29905</v>
      </c>
      <c r="E31" s="29"/>
      <c r="F31" s="42" t="s">
        <v>118</v>
      </c>
      <c r="G31" s="29"/>
      <c r="H31" s="31">
        <v>29905</v>
      </c>
      <c r="I31" s="29"/>
    </row>
    <row r="32" spans="1:12" x14ac:dyDescent="0.25">
      <c r="B32" s="42" t="s">
        <v>124</v>
      </c>
      <c r="C32" s="29"/>
      <c r="D32" s="29">
        <f>2200</f>
        <v>2200</v>
      </c>
      <c r="E32" s="29"/>
      <c r="F32" s="42" t="s">
        <v>124</v>
      </c>
      <c r="G32" s="29"/>
      <c r="H32" s="29">
        <f>E11</f>
        <v>2200</v>
      </c>
      <c r="I32" s="29"/>
    </row>
    <row r="33" spans="2:9" x14ac:dyDescent="0.25">
      <c r="B33" s="42"/>
      <c r="C33" s="29"/>
      <c r="D33" s="29"/>
      <c r="E33" s="29"/>
      <c r="F33" s="42"/>
      <c r="G33" s="29"/>
      <c r="H33" s="29"/>
      <c r="I33" s="29"/>
    </row>
    <row r="34" spans="2:9" x14ac:dyDescent="0.25">
      <c r="B34" s="43" t="s">
        <v>128</v>
      </c>
      <c r="C34" s="29"/>
      <c r="D34" s="29">
        <v>1500</v>
      </c>
      <c r="E34" s="29"/>
      <c r="F34" s="43" t="s">
        <v>128</v>
      </c>
      <c r="G34" s="29"/>
      <c r="H34" s="29">
        <v>1500</v>
      </c>
      <c r="I34" s="29"/>
    </row>
    <row r="35" spans="2:9" x14ac:dyDescent="0.25">
      <c r="B35" s="42"/>
      <c r="C35" s="29"/>
      <c r="D35" s="44"/>
      <c r="E35" s="29"/>
      <c r="F35" s="29"/>
      <c r="G35" s="29"/>
      <c r="H35" s="29"/>
      <c r="I35" s="29"/>
    </row>
    <row r="36" spans="2:9" x14ac:dyDescent="0.25">
      <c r="B36" s="30" t="s">
        <v>11</v>
      </c>
      <c r="C36" s="40">
        <f>C25+C26+C27-D28</f>
        <v>29840</v>
      </c>
      <c r="D36" s="40">
        <f>SUM(D30:D35)</f>
        <v>33605</v>
      </c>
      <c r="E36" s="40">
        <f>C36-D36</f>
        <v>-3765</v>
      </c>
      <c r="F36" s="30" t="s">
        <v>11</v>
      </c>
      <c r="G36" s="40">
        <f>G25+G26+G27-H28</f>
        <v>25970</v>
      </c>
      <c r="H36" s="40">
        <f>SUM(H30:H35)</f>
        <v>33605</v>
      </c>
      <c r="I36" s="40">
        <f>G36-H36</f>
        <v>-7635</v>
      </c>
    </row>
    <row r="37" spans="2:9" x14ac:dyDescent="0.25">
      <c r="B37" s="31"/>
      <c r="C37" s="31"/>
      <c r="D37" s="31"/>
      <c r="E37" s="31"/>
      <c r="F37" s="31"/>
      <c r="G37" s="31"/>
      <c r="H37" s="31"/>
      <c r="I37" s="31"/>
    </row>
    <row r="38" spans="2:9" x14ac:dyDescent="0.25">
      <c r="B38" s="31" t="s">
        <v>23</v>
      </c>
      <c r="C38" s="31"/>
      <c r="D38" s="31" t="s">
        <v>24</v>
      </c>
      <c r="E38" s="31"/>
      <c r="F38" s="31"/>
      <c r="G38" s="31" t="s">
        <v>25</v>
      </c>
      <c r="H38" s="31"/>
      <c r="I38" s="31"/>
    </row>
    <row r="39" spans="2:9" x14ac:dyDescent="0.25">
      <c r="B39" s="31"/>
      <c r="C39" s="31"/>
      <c r="D39" s="31"/>
      <c r="E39" s="31"/>
      <c r="F39" s="31"/>
      <c r="G39" s="31"/>
      <c r="H39" s="31"/>
      <c r="I39" s="31"/>
    </row>
    <row r="40" spans="2:9" x14ac:dyDescent="0.25">
      <c r="B40" s="31" t="s">
        <v>108</v>
      </c>
      <c r="C40" s="31"/>
      <c r="D40" s="31" t="s">
        <v>27</v>
      </c>
      <c r="E40" s="31"/>
      <c r="F40" s="31"/>
      <c r="G40" s="31" t="s">
        <v>46</v>
      </c>
      <c r="H40" s="31"/>
      <c r="I40" s="3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K34" sqref="K34"/>
    </sheetView>
  </sheetViews>
  <sheetFormatPr defaultRowHeight="15" x14ac:dyDescent="0.25"/>
  <sheetData>
    <row r="1" spans="1:9" x14ac:dyDescent="0.25">
      <c r="C1" s="1" t="s">
        <v>28</v>
      </c>
      <c r="D1" s="1"/>
      <c r="E1" s="1"/>
      <c r="F1" s="1"/>
      <c r="G1" s="1"/>
      <c r="H1" s="1"/>
    </row>
    <row r="2" spans="1:9" x14ac:dyDescent="0.25">
      <c r="B2" s="1"/>
      <c r="C2" s="1" t="s">
        <v>0</v>
      </c>
      <c r="D2" s="1"/>
      <c r="E2" s="1"/>
      <c r="F2" s="1"/>
      <c r="G2" s="1"/>
      <c r="H2" s="1"/>
    </row>
    <row r="3" spans="1:9" x14ac:dyDescent="0.25">
      <c r="B3" s="1"/>
      <c r="C3" s="1" t="s">
        <v>126</v>
      </c>
      <c r="D3" s="1"/>
      <c r="E3" s="1"/>
      <c r="F3" s="1"/>
      <c r="G3" s="1"/>
      <c r="H3" s="1"/>
    </row>
    <row r="4" spans="1:9" x14ac:dyDescent="0.25">
      <c r="A4" t="s">
        <v>110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</row>
    <row r="5" spans="1:9" x14ac:dyDescent="0.25">
      <c r="A5">
        <v>1</v>
      </c>
      <c r="B5" s="3" t="s">
        <v>82</v>
      </c>
      <c r="C5" s="3"/>
      <c r="D5" s="3">
        <f>'OCTOBER 19'!H5:H19</f>
        <v>200</v>
      </c>
      <c r="E5" s="3">
        <v>2200</v>
      </c>
      <c r="F5" s="3">
        <f>D5+E5</f>
        <v>2400</v>
      </c>
      <c r="G5" s="3">
        <v>2200</v>
      </c>
      <c r="H5" s="3">
        <f>F5-G5</f>
        <v>200</v>
      </c>
    </row>
    <row r="6" spans="1:9" x14ac:dyDescent="0.25">
      <c r="A6">
        <v>2</v>
      </c>
      <c r="B6" s="3" t="s">
        <v>30</v>
      </c>
      <c r="C6" s="3"/>
      <c r="D6" s="3">
        <f>'OCTOBER 19'!H6:H20</f>
        <v>0</v>
      </c>
      <c r="E6" s="3"/>
      <c r="F6" s="3">
        <f t="shared" ref="F6:F19" si="0">D6+E6</f>
        <v>0</v>
      </c>
      <c r="G6" s="3"/>
      <c r="H6" s="3">
        <f t="shared" ref="H6:H18" si="1">F6-G6</f>
        <v>0</v>
      </c>
    </row>
    <row r="7" spans="1:9" x14ac:dyDescent="0.25">
      <c r="A7">
        <v>3</v>
      </c>
      <c r="B7" s="3" t="s">
        <v>31</v>
      </c>
      <c r="C7" s="3"/>
      <c r="D7" s="3">
        <f>'OCTOBER 19'!H7:H21</f>
        <v>50</v>
      </c>
      <c r="E7" s="3">
        <v>2200</v>
      </c>
      <c r="F7" s="3">
        <f t="shared" si="0"/>
        <v>2250</v>
      </c>
      <c r="G7" s="3">
        <v>2200</v>
      </c>
      <c r="H7" s="3">
        <f t="shared" si="1"/>
        <v>50</v>
      </c>
    </row>
    <row r="8" spans="1:9" x14ac:dyDescent="0.25">
      <c r="A8">
        <v>4</v>
      </c>
      <c r="B8" s="3" t="s">
        <v>105</v>
      </c>
      <c r="C8" s="3"/>
      <c r="D8" s="3">
        <f>'OCTOBER 19'!H8:H22</f>
        <v>0</v>
      </c>
      <c r="E8" s="3">
        <v>2200</v>
      </c>
      <c r="F8" s="3">
        <f t="shared" si="0"/>
        <v>2200</v>
      </c>
      <c r="G8" s="3">
        <v>2200</v>
      </c>
      <c r="H8" s="3">
        <f t="shared" si="1"/>
        <v>0</v>
      </c>
      <c r="I8" t="s">
        <v>120</v>
      </c>
    </row>
    <row r="9" spans="1:9" x14ac:dyDescent="0.25">
      <c r="A9">
        <v>5</v>
      </c>
      <c r="B9" s="3" t="s">
        <v>47</v>
      </c>
      <c r="C9" s="3"/>
      <c r="D9" s="3">
        <f>'OCTOBER 19'!H9:H23</f>
        <v>200</v>
      </c>
      <c r="E9" s="3">
        <v>2200</v>
      </c>
      <c r="F9" s="3">
        <f t="shared" si="0"/>
        <v>2400</v>
      </c>
      <c r="G9" s="3">
        <v>2200</v>
      </c>
      <c r="H9" s="3">
        <f t="shared" si="1"/>
        <v>200</v>
      </c>
    </row>
    <row r="10" spans="1:9" x14ac:dyDescent="0.25">
      <c r="A10">
        <v>6</v>
      </c>
      <c r="B10" s="3" t="s">
        <v>123</v>
      </c>
      <c r="C10" s="3"/>
      <c r="D10" s="3">
        <f>'OCTOBER 19'!H10:H24</f>
        <v>1800</v>
      </c>
      <c r="E10" s="3">
        <v>2200</v>
      </c>
      <c r="F10" s="3">
        <f t="shared" si="0"/>
        <v>4000</v>
      </c>
      <c r="G10" s="3">
        <f>500+1200+500</f>
        <v>2200</v>
      </c>
      <c r="H10" s="3">
        <f t="shared" si="1"/>
        <v>1800</v>
      </c>
    </row>
    <row r="11" spans="1:9" x14ac:dyDescent="0.25">
      <c r="A11">
        <v>7</v>
      </c>
      <c r="B11" s="29" t="s">
        <v>109</v>
      </c>
      <c r="C11" s="3"/>
      <c r="D11" s="3">
        <f>'OCTOBER 19'!H11:H25</f>
        <v>0</v>
      </c>
      <c r="E11" s="3">
        <v>2300</v>
      </c>
      <c r="F11" s="3">
        <f t="shared" si="0"/>
        <v>2300</v>
      </c>
      <c r="G11" s="3">
        <v>2300</v>
      </c>
      <c r="H11" s="3">
        <f t="shared" si="1"/>
        <v>0</v>
      </c>
    </row>
    <row r="12" spans="1:9" x14ac:dyDescent="0.25">
      <c r="A12">
        <v>8</v>
      </c>
      <c r="B12" s="3" t="s">
        <v>122</v>
      </c>
      <c r="C12" s="3"/>
      <c r="D12" s="3">
        <f>'OCTOBER 19'!H12:H26</f>
        <v>0</v>
      </c>
      <c r="E12" s="3">
        <v>2300</v>
      </c>
      <c r="F12" s="3">
        <f t="shared" si="0"/>
        <v>2300</v>
      </c>
      <c r="G12" s="3">
        <v>2300</v>
      </c>
      <c r="H12" s="3">
        <f>F12-G12</f>
        <v>0</v>
      </c>
    </row>
    <row r="13" spans="1:9" x14ac:dyDescent="0.25">
      <c r="A13">
        <v>9</v>
      </c>
      <c r="B13" s="3" t="s">
        <v>107</v>
      </c>
      <c r="C13" s="3"/>
      <c r="D13" s="3">
        <f>'OCTOBER 19'!H13:H27</f>
        <v>200</v>
      </c>
      <c r="E13" s="3">
        <v>2200</v>
      </c>
      <c r="F13" s="3">
        <f t="shared" si="0"/>
        <v>2400</v>
      </c>
      <c r="G13" s="3">
        <v>2100</v>
      </c>
      <c r="H13" s="3">
        <f t="shared" si="1"/>
        <v>300</v>
      </c>
    </row>
    <row r="14" spans="1:9" x14ac:dyDescent="0.25">
      <c r="A14">
        <v>10</v>
      </c>
      <c r="B14" s="3" t="s">
        <v>93</v>
      </c>
      <c r="C14" s="3"/>
      <c r="D14" s="3">
        <f>'OCTOBER 19'!H14:H28</f>
        <v>0</v>
      </c>
      <c r="E14" s="3">
        <v>2300</v>
      </c>
      <c r="F14" s="3">
        <f t="shared" si="0"/>
        <v>2300</v>
      </c>
      <c r="G14" s="3">
        <f>1500+800</f>
        <v>2300</v>
      </c>
      <c r="H14" s="3">
        <f t="shared" si="1"/>
        <v>0</v>
      </c>
    </row>
    <row r="15" spans="1:9" x14ac:dyDescent="0.25">
      <c r="A15">
        <v>11</v>
      </c>
      <c r="B15" s="47" t="s">
        <v>30</v>
      </c>
      <c r="C15" s="3"/>
      <c r="D15" s="3">
        <f>'OCTOBER 19'!H15:H29</f>
        <v>0</v>
      </c>
      <c r="E15" s="3"/>
      <c r="F15" s="3">
        <f t="shared" si="0"/>
        <v>0</v>
      </c>
      <c r="G15" s="3"/>
      <c r="H15" s="3">
        <f t="shared" si="1"/>
        <v>0</v>
      </c>
    </row>
    <row r="16" spans="1:9" x14ac:dyDescent="0.25">
      <c r="A16">
        <v>12</v>
      </c>
      <c r="B16" s="3" t="s">
        <v>37</v>
      </c>
      <c r="C16" s="3"/>
      <c r="D16" s="3">
        <f>'OCTOBER 19'!H16:H30</f>
        <v>700</v>
      </c>
      <c r="E16" s="3">
        <v>2200</v>
      </c>
      <c r="F16" s="3">
        <f t="shared" si="0"/>
        <v>2900</v>
      </c>
      <c r="G16" s="3">
        <f>2300+400</f>
        <v>2700</v>
      </c>
      <c r="H16" s="3">
        <f t="shared" si="1"/>
        <v>200</v>
      </c>
    </row>
    <row r="17" spans="1:9" x14ac:dyDescent="0.25">
      <c r="A17">
        <v>13</v>
      </c>
      <c r="B17" s="3" t="s">
        <v>99</v>
      </c>
      <c r="C17" s="3"/>
      <c r="D17" s="3">
        <f>'OCTOBER 19'!H17:H31</f>
        <v>0</v>
      </c>
      <c r="E17" s="3">
        <v>2200</v>
      </c>
      <c r="F17" s="3">
        <f t="shared" si="0"/>
        <v>2200</v>
      </c>
      <c r="G17" s="3">
        <v>2200</v>
      </c>
      <c r="H17" s="3">
        <f t="shared" si="1"/>
        <v>0</v>
      </c>
    </row>
    <row r="18" spans="1:9" x14ac:dyDescent="0.25">
      <c r="A18">
        <v>14</v>
      </c>
      <c r="B18" s="13" t="s">
        <v>62</v>
      </c>
      <c r="C18" s="13"/>
      <c r="D18" s="3">
        <f>'OCTOBER 19'!H18:H32</f>
        <v>0</v>
      </c>
      <c r="E18" s="13">
        <v>2200</v>
      </c>
      <c r="F18" s="3">
        <f t="shared" si="0"/>
        <v>2200</v>
      </c>
      <c r="G18" s="13">
        <v>1500</v>
      </c>
      <c r="H18" s="13">
        <f t="shared" si="1"/>
        <v>700</v>
      </c>
    </row>
    <row r="19" spans="1:9" x14ac:dyDescent="0.25">
      <c r="A19">
        <v>15</v>
      </c>
      <c r="B19" s="3" t="s">
        <v>35</v>
      </c>
      <c r="C19" s="3"/>
      <c r="D19" s="3">
        <f>'OCTOBER 19'!H19:H33</f>
        <v>500</v>
      </c>
      <c r="E19" s="3">
        <v>4500</v>
      </c>
      <c r="F19" s="3">
        <f t="shared" si="0"/>
        <v>5000</v>
      </c>
      <c r="G19" s="3">
        <v>4500</v>
      </c>
      <c r="H19" s="3">
        <f>F19-G19</f>
        <v>500</v>
      </c>
    </row>
    <row r="20" spans="1:9" x14ac:dyDescent="0.25">
      <c r="B20" s="30" t="s">
        <v>64</v>
      </c>
      <c r="C20" s="30">
        <f t="shared" ref="C20:H20" si="2">SUM(C5:C19)</f>
        <v>0</v>
      </c>
      <c r="D20" s="3">
        <f t="shared" si="2"/>
        <v>3650</v>
      </c>
      <c r="E20" s="30">
        <f t="shared" si="2"/>
        <v>31200</v>
      </c>
      <c r="F20" s="30">
        <f t="shared" si="2"/>
        <v>34850</v>
      </c>
      <c r="G20" s="30">
        <f t="shared" si="2"/>
        <v>30900</v>
      </c>
      <c r="H20" s="30">
        <f t="shared" si="2"/>
        <v>3950</v>
      </c>
      <c r="I20" s="31"/>
    </row>
    <row r="21" spans="1:9" x14ac:dyDescent="0.25">
      <c r="B21" s="33"/>
      <c r="C21" s="33"/>
      <c r="D21" s="33"/>
      <c r="E21" s="33"/>
      <c r="F21" s="33"/>
      <c r="G21" s="33"/>
      <c r="H21" s="32"/>
      <c r="I21" s="31"/>
    </row>
    <row r="22" spans="1:9" x14ac:dyDescent="0.25">
      <c r="B22" s="31" t="s">
        <v>12</v>
      </c>
      <c r="C22" s="34"/>
      <c r="D22" s="8"/>
      <c r="E22" s="33"/>
      <c r="F22" s="46"/>
      <c r="G22" s="10"/>
      <c r="H22" s="35"/>
      <c r="I22" s="31"/>
    </row>
    <row r="23" spans="1:9" x14ac:dyDescent="0.25">
      <c r="B23" s="36" t="s">
        <v>13</v>
      </c>
      <c r="C23" s="36"/>
      <c r="D23" s="36"/>
      <c r="E23" s="37"/>
      <c r="F23" s="36" t="s">
        <v>14</v>
      </c>
      <c r="G23" s="31"/>
      <c r="H23" s="31"/>
      <c r="I23" s="31" t="s">
        <v>48</v>
      </c>
    </row>
    <row r="24" spans="1:9" x14ac:dyDescent="0.25">
      <c r="B24" s="30" t="s">
        <v>15</v>
      </c>
      <c r="C24" s="30" t="s">
        <v>16</v>
      </c>
      <c r="D24" s="30" t="s">
        <v>17</v>
      </c>
      <c r="E24" s="30" t="s">
        <v>18</v>
      </c>
      <c r="F24" s="30" t="s">
        <v>15</v>
      </c>
      <c r="G24" s="30" t="s">
        <v>16</v>
      </c>
      <c r="H24" s="30" t="s">
        <v>17</v>
      </c>
      <c r="I24" s="30" t="s">
        <v>18</v>
      </c>
    </row>
    <row r="25" spans="1:9" x14ac:dyDescent="0.25">
      <c r="B25" s="29" t="s">
        <v>125</v>
      </c>
      <c r="C25" s="38">
        <f>E20</f>
        <v>31200</v>
      </c>
      <c r="D25" s="29"/>
      <c r="E25" s="29"/>
      <c r="F25" s="29" t="s">
        <v>125</v>
      </c>
      <c r="G25" s="38">
        <f>G20</f>
        <v>30900</v>
      </c>
      <c r="H25" s="29"/>
      <c r="I25" s="29"/>
    </row>
    <row r="26" spans="1:9" x14ac:dyDescent="0.25">
      <c r="B26" s="29" t="s">
        <v>5</v>
      </c>
      <c r="C26" s="38">
        <f>'OCTOBER 19'!E36</f>
        <v>-3765</v>
      </c>
      <c r="D26" s="29"/>
      <c r="E26" s="29"/>
      <c r="F26" s="29" t="s">
        <v>5</v>
      </c>
      <c r="G26" s="38">
        <f>'OCTOBER 19'!I36</f>
        <v>-7635</v>
      </c>
      <c r="H26" s="29"/>
      <c r="I26" s="29"/>
    </row>
    <row r="27" spans="1:9" x14ac:dyDescent="0.25">
      <c r="B27" s="29" t="s">
        <v>70</v>
      </c>
      <c r="C27" s="38"/>
      <c r="D27" s="29"/>
      <c r="E27" s="29"/>
      <c r="F27" s="29" t="s">
        <v>70</v>
      </c>
      <c r="G27" s="38"/>
      <c r="H27" s="29"/>
      <c r="I27" s="29"/>
    </row>
    <row r="28" spans="1:9" x14ac:dyDescent="0.25">
      <c r="B28" s="29" t="s">
        <v>20</v>
      </c>
      <c r="C28" s="39">
        <v>0.1</v>
      </c>
      <c r="D28" s="38">
        <f>C25*C28</f>
        <v>3120</v>
      </c>
      <c r="E28" s="29"/>
      <c r="F28" s="29" t="s">
        <v>20</v>
      </c>
      <c r="G28" s="39">
        <v>0.1</v>
      </c>
      <c r="H28" s="38">
        <f>D28</f>
        <v>3120</v>
      </c>
      <c r="I28" s="29"/>
    </row>
    <row r="29" spans="1:9" x14ac:dyDescent="0.25">
      <c r="B29" s="30" t="s">
        <v>21</v>
      </c>
      <c r="C29" s="30" t="s">
        <v>22</v>
      </c>
      <c r="D29" s="30"/>
      <c r="E29" s="30"/>
      <c r="F29" s="30" t="s">
        <v>21</v>
      </c>
      <c r="G29" s="40"/>
      <c r="H29" s="30"/>
      <c r="I29" s="30"/>
    </row>
    <row r="30" spans="1:9" x14ac:dyDescent="0.25">
      <c r="B30" s="41" t="s">
        <v>129</v>
      </c>
      <c r="C30" s="29"/>
      <c r="D30" s="29">
        <v>24300</v>
      </c>
      <c r="E30" s="29"/>
      <c r="F30" s="41" t="s">
        <v>129</v>
      </c>
      <c r="G30" s="29"/>
      <c r="H30" s="29">
        <v>24300</v>
      </c>
      <c r="I30" s="29"/>
    </row>
    <row r="31" spans="1:9" x14ac:dyDescent="0.25">
      <c r="B31" s="42"/>
      <c r="C31" s="29"/>
      <c r="D31" s="31"/>
      <c r="E31" s="29"/>
      <c r="F31" s="42"/>
      <c r="G31" s="29"/>
      <c r="H31" s="31"/>
      <c r="I31" s="29"/>
    </row>
    <row r="32" spans="1:9" x14ac:dyDescent="0.25">
      <c r="B32" s="42"/>
      <c r="C32" s="29"/>
      <c r="D32" s="29"/>
      <c r="E32" s="29"/>
      <c r="F32" s="42"/>
      <c r="G32" s="29"/>
      <c r="H32" s="29"/>
      <c r="I32" s="29"/>
    </row>
    <row r="33" spans="2:9" x14ac:dyDescent="0.25">
      <c r="B33" s="42"/>
      <c r="C33" s="29"/>
      <c r="D33" s="29"/>
      <c r="E33" s="29"/>
      <c r="F33" s="42"/>
      <c r="G33" s="29"/>
      <c r="H33" s="29"/>
      <c r="I33" s="29"/>
    </row>
    <row r="34" spans="2:9" x14ac:dyDescent="0.25">
      <c r="B34" s="43"/>
      <c r="C34" s="29"/>
      <c r="D34" s="29"/>
      <c r="E34" s="29"/>
      <c r="F34" s="42"/>
      <c r="G34" s="29"/>
      <c r="H34" s="44"/>
      <c r="I34" s="29"/>
    </row>
    <row r="35" spans="2:9" x14ac:dyDescent="0.25">
      <c r="B35" s="42"/>
      <c r="C35" s="29"/>
      <c r="D35" s="44"/>
      <c r="E35" s="29"/>
      <c r="F35" s="29"/>
      <c r="G35" s="29"/>
      <c r="H35" s="29"/>
      <c r="I35" s="29"/>
    </row>
    <row r="36" spans="2:9" x14ac:dyDescent="0.25">
      <c r="B36" s="30" t="s">
        <v>11</v>
      </c>
      <c r="C36" s="40">
        <f>C25+C26+C27-D28</f>
        <v>24315</v>
      </c>
      <c r="D36" s="40">
        <f>SUM(D30:D35)</f>
        <v>24300</v>
      </c>
      <c r="E36" s="40">
        <f>C36-D36</f>
        <v>15</v>
      </c>
      <c r="F36" s="30" t="s">
        <v>11</v>
      </c>
      <c r="G36" s="40">
        <f>G25+G26+G27-H28</f>
        <v>20145</v>
      </c>
      <c r="H36" s="40">
        <f>SUM(H30:H35)</f>
        <v>24300</v>
      </c>
      <c r="I36" s="40">
        <f>G36-H36</f>
        <v>-4155</v>
      </c>
    </row>
    <row r="37" spans="2:9" x14ac:dyDescent="0.25">
      <c r="B37" s="31"/>
      <c r="C37" s="31"/>
      <c r="D37" s="31"/>
      <c r="E37" s="31"/>
      <c r="F37" s="31"/>
      <c r="G37" s="31"/>
      <c r="H37" s="31"/>
      <c r="I37" s="31"/>
    </row>
    <row r="38" spans="2:9" x14ac:dyDescent="0.25">
      <c r="B38" s="31" t="s">
        <v>23</v>
      </c>
      <c r="C38" s="31"/>
      <c r="D38" s="31" t="s">
        <v>24</v>
      </c>
      <c r="E38" s="31"/>
      <c r="F38" s="31"/>
      <c r="G38" s="31" t="s">
        <v>25</v>
      </c>
      <c r="H38" s="31"/>
      <c r="I38" s="31"/>
    </row>
    <row r="39" spans="2:9" x14ac:dyDescent="0.25">
      <c r="B39" s="31"/>
      <c r="C39" s="31"/>
      <c r="D39" s="31"/>
      <c r="E39" s="31"/>
      <c r="F39" s="31"/>
      <c r="G39" s="31"/>
      <c r="H39" s="31"/>
      <c r="I39" s="31"/>
    </row>
    <row r="40" spans="2:9" x14ac:dyDescent="0.25">
      <c r="B40" s="31" t="s">
        <v>108</v>
      </c>
      <c r="C40" s="31"/>
      <c r="D40" s="31" t="s">
        <v>27</v>
      </c>
      <c r="E40" s="31"/>
      <c r="F40" s="31"/>
      <c r="G40" s="31" t="s">
        <v>46</v>
      </c>
      <c r="H40" s="31"/>
      <c r="I40" s="31"/>
    </row>
  </sheetData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A10" workbookViewId="0">
      <selection activeCell="C42" sqref="C42"/>
    </sheetView>
  </sheetViews>
  <sheetFormatPr defaultRowHeight="15" x14ac:dyDescent="0.25"/>
  <sheetData>
    <row r="1" spans="1:9" x14ac:dyDescent="0.25">
      <c r="C1" s="1" t="s">
        <v>28</v>
      </c>
      <c r="D1" s="1"/>
      <c r="E1" s="1"/>
      <c r="F1" s="1"/>
      <c r="G1" s="1"/>
      <c r="H1" s="1"/>
    </row>
    <row r="2" spans="1:9" x14ac:dyDescent="0.25">
      <c r="B2" s="1"/>
      <c r="C2" s="1" t="s">
        <v>0</v>
      </c>
      <c r="D2" s="1"/>
      <c r="E2" s="1"/>
      <c r="F2" s="1"/>
      <c r="G2" s="1"/>
      <c r="H2" s="1"/>
    </row>
    <row r="3" spans="1:9" x14ac:dyDescent="0.25">
      <c r="B3" s="1"/>
      <c r="C3" s="1" t="s">
        <v>130</v>
      </c>
      <c r="D3" s="1"/>
      <c r="E3" s="1"/>
      <c r="F3" s="1"/>
      <c r="G3" s="1"/>
      <c r="H3" s="1"/>
    </row>
    <row r="4" spans="1:9" x14ac:dyDescent="0.25">
      <c r="A4" t="s">
        <v>110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</row>
    <row r="5" spans="1:9" x14ac:dyDescent="0.25">
      <c r="A5">
        <v>1</v>
      </c>
      <c r="B5" s="3" t="s">
        <v>82</v>
      </c>
      <c r="C5" s="3"/>
      <c r="D5" s="3">
        <f>'NOVEMBER 19'!H5:H19</f>
        <v>200</v>
      </c>
      <c r="E5" s="3">
        <v>2200</v>
      </c>
      <c r="F5" s="3">
        <f>D5+E5</f>
        <v>2400</v>
      </c>
      <c r="G5" s="3">
        <f>1500+700</f>
        <v>2200</v>
      </c>
      <c r="H5" s="3">
        <f>F5-G5</f>
        <v>200</v>
      </c>
    </row>
    <row r="6" spans="1:9" x14ac:dyDescent="0.25">
      <c r="A6">
        <v>2</v>
      </c>
      <c r="B6" s="17" t="s">
        <v>41</v>
      </c>
      <c r="C6" s="3"/>
      <c r="D6" s="3">
        <f>'NOVEMBER 19'!H6:H20</f>
        <v>0</v>
      </c>
      <c r="E6" s="3">
        <v>2200</v>
      </c>
      <c r="F6" s="3">
        <f t="shared" ref="F6:F19" si="0">D6+E6</f>
        <v>2200</v>
      </c>
      <c r="G6" s="3">
        <v>2200</v>
      </c>
      <c r="H6" s="3">
        <f t="shared" ref="H6:H18" si="1">F6-G6</f>
        <v>0</v>
      </c>
      <c r="I6" t="s">
        <v>48</v>
      </c>
    </row>
    <row r="7" spans="1:9" x14ac:dyDescent="0.25">
      <c r="A7">
        <v>3</v>
      </c>
      <c r="B7" s="3" t="s">
        <v>31</v>
      </c>
      <c r="C7" s="3"/>
      <c r="D7" s="3">
        <f>'NOVEMBER 19'!H7:H21</f>
        <v>50</v>
      </c>
      <c r="E7" s="3">
        <v>2200</v>
      </c>
      <c r="F7" s="3">
        <f t="shared" si="0"/>
        <v>2250</v>
      </c>
      <c r="G7" s="3">
        <v>2200</v>
      </c>
      <c r="H7" s="3">
        <f t="shared" si="1"/>
        <v>50</v>
      </c>
      <c r="I7" t="s">
        <v>119</v>
      </c>
    </row>
    <row r="8" spans="1:9" x14ac:dyDescent="0.25">
      <c r="A8">
        <v>4</v>
      </c>
      <c r="B8" s="3" t="s">
        <v>105</v>
      </c>
      <c r="C8" s="3"/>
      <c r="D8" s="3">
        <f>'NOVEMBER 19'!H8:H22</f>
        <v>0</v>
      </c>
      <c r="E8" s="3">
        <v>2200</v>
      </c>
      <c r="F8" s="3">
        <f t="shared" si="0"/>
        <v>2200</v>
      </c>
      <c r="G8" s="3">
        <v>2200</v>
      </c>
      <c r="H8" s="3">
        <f t="shared" si="1"/>
        <v>0</v>
      </c>
      <c r="I8" t="s">
        <v>120</v>
      </c>
    </row>
    <row r="9" spans="1:9" x14ac:dyDescent="0.25">
      <c r="A9">
        <v>5</v>
      </c>
      <c r="B9" s="3" t="s">
        <v>47</v>
      </c>
      <c r="C9" s="3"/>
      <c r="D9" s="3">
        <f>'NOVEMBER 19'!H9:H23</f>
        <v>200</v>
      </c>
      <c r="E9" s="3">
        <v>2200</v>
      </c>
      <c r="F9" s="3">
        <f t="shared" si="0"/>
        <v>2400</v>
      </c>
      <c r="G9" s="3">
        <v>2200</v>
      </c>
      <c r="H9" s="3">
        <f t="shared" si="1"/>
        <v>200</v>
      </c>
    </row>
    <row r="10" spans="1:9" x14ac:dyDescent="0.25">
      <c r="A10">
        <v>6</v>
      </c>
      <c r="B10" s="3" t="s">
        <v>123</v>
      </c>
      <c r="C10" s="3"/>
      <c r="D10" s="3">
        <f>'NOVEMBER 19'!H10:H24</f>
        <v>1800</v>
      </c>
      <c r="E10" s="3">
        <v>2200</v>
      </c>
      <c r="F10" s="3">
        <f t="shared" si="0"/>
        <v>4000</v>
      </c>
      <c r="G10" s="3">
        <f>1000+500+500+100+100</f>
        <v>2200</v>
      </c>
      <c r="H10" s="3">
        <f t="shared" si="1"/>
        <v>1800</v>
      </c>
    </row>
    <row r="11" spans="1:9" x14ac:dyDescent="0.25">
      <c r="A11">
        <v>7</v>
      </c>
      <c r="B11" s="29" t="s">
        <v>109</v>
      </c>
      <c r="C11" s="3"/>
      <c r="D11" s="3">
        <f>'NOVEMBER 19'!H11:H25</f>
        <v>0</v>
      </c>
      <c r="E11" s="3">
        <v>2300</v>
      </c>
      <c r="F11" s="3">
        <f t="shared" si="0"/>
        <v>2300</v>
      </c>
      <c r="G11" s="3">
        <v>2300</v>
      </c>
      <c r="H11" s="3">
        <f t="shared" si="1"/>
        <v>0</v>
      </c>
    </row>
    <row r="12" spans="1:9" x14ac:dyDescent="0.25">
      <c r="A12">
        <v>8</v>
      </c>
      <c r="B12" s="3" t="s">
        <v>122</v>
      </c>
      <c r="C12" s="3"/>
      <c r="D12" s="3">
        <f>'NOVEMBER 19'!H12:H26</f>
        <v>0</v>
      </c>
      <c r="E12" s="3">
        <v>2300</v>
      </c>
      <c r="F12" s="3">
        <f t="shared" si="0"/>
        <v>2300</v>
      </c>
      <c r="G12" s="3">
        <v>2300</v>
      </c>
      <c r="H12" s="3">
        <f>F12-G12</f>
        <v>0</v>
      </c>
      <c r="I12" t="s">
        <v>119</v>
      </c>
    </row>
    <row r="13" spans="1:9" x14ac:dyDescent="0.25">
      <c r="A13">
        <v>9</v>
      </c>
      <c r="B13" s="3" t="s">
        <v>107</v>
      </c>
      <c r="C13" s="3"/>
      <c r="D13" s="3">
        <f>'NOVEMBER 19'!H13:H27</f>
        <v>300</v>
      </c>
      <c r="E13" s="3">
        <v>2200</v>
      </c>
      <c r="F13" s="3">
        <f t="shared" si="0"/>
        <v>2500</v>
      </c>
      <c r="G13" s="3"/>
      <c r="H13" s="3">
        <f t="shared" si="1"/>
        <v>2500</v>
      </c>
    </row>
    <row r="14" spans="1:9" x14ac:dyDescent="0.25">
      <c r="A14">
        <v>10</v>
      </c>
      <c r="B14" s="3" t="s">
        <v>93</v>
      </c>
      <c r="C14" s="3"/>
      <c r="D14" s="3">
        <f>'NOVEMBER 19'!H14:H28</f>
        <v>0</v>
      </c>
      <c r="E14" s="3">
        <v>2300</v>
      </c>
      <c r="F14" s="3">
        <f t="shared" si="0"/>
        <v>2300</v>
      </c>
      <c r="G14" s="3">
        <v>2000</v>
      </c>
      <c r="H14" s="3">
        <f t="shared" si="1"/>
        <v>300</v>
      </c>
    </row>
    <row r="15" spans="1:9" x14ac:dyDescent="0.25">
      <c r="A15">
        <v>11</v>
      </c>
      <c r="B15" s="47" t="s">
        <v>30</v>
      </c>
      <c r="C15" s="3"/>
      <c r="D15" s="3">
        <f>'NOVEMBER 19'!H15:H29</f>
        <v>0</v>
      </c>
      <c r="E15" s="3"/>
      <c r="F15" s="3">
        <f t="shared" si="0"/>
        <v>0</v>
      </c>
      <c r="G15" s="3"/>
      <c r="H15" s="3">
        <f t="shared" si="1"/>
        <v>0</v>
      </c>
    </row>
    <row r="16" spans="1:9" x14ac:dyDescent="0.25">
      <c r="A16">
        <v>12</v>
      </c>
      <c r="B16" s="3" t="s">
        <v>37</v>
      </c>
      <c r="C16" s="3"/>
      <c r="D16" s="3">
        <f>'NOVEMBER 19'!H16:H30</f>
        <v>200</v>
      </c>
      <c r="E16" s="3">
        <v>2200</v>
      </c>
      <c r="F16" s="3">
        <f t="shared" si="0"/>
        <v>2400</v>
      </c>
      <c r="G16" s="3">
        <v>2200</v>
      </c>
      <c r="H16" s="3">
        <f t="shared" si="1"/>
        <v>200</v>
      </c>
    </row>
    <row r="17" spans="1:12" x14ac:dyDescent="0.25">
      <c r="A17">
        <v>13</v>
      </c>
      <c r="B17" s="3" t="s">
        <v>99</v>
      </c>
      <c r="C17" s="3"/>
      <c r="D17" s="3">
        <f>'NOVEMBER 19'!H17:H31</f>
        <v>0</v>
      </c>
      <c r="E17" s="3">
        <v>2200</v>
      </c>
      <c r="F17" s="3">
        <f t="shared" si="0"/>
        <v>2200</v>
      </c>
      <c r="G17" s="3">
        <v>2200</v>
      </c>
      <c r="H17" s="3">
        <f t="shared" si="1"/>
        <v>0</v>
      </c>
    </row>
    <row r="18" spans="1:12" x14ac:dyDescent="0.25">
      <c r="A18">
        <v>14</v>
      </c>
      <c r="B18" s="13" t="s">
        <v>62</v>
      </c>
      <c r="C18" s="13"/>
      <c r="D18" s="3">
        <f>'NOVEMBER 19'!H18:H32</f>
        <v>700</v>
      </c>
      <c r="E18" s="13">
        <v>2200</v>
      </c>
      <c r="F18" s="3">
        <f t="shared" si="0"/>
        <v>2900</v>
      </c>
      <c r="G18" s="13">
        <v>2200</v>
      </c>
      <c r="H18" s="13">
        <f t="shared" si="1"/>
        <v>700</v>
      </c>
    </row>
    <row r="19" spans="1:12" x14ac:dyDescent="0.25">
      <c r="A19">
        <v>15</v>
      </c>
      <c r="B19" s="3" t="s">
        <v>35</v>
      </c>
      <c r="C19" s="3"/>
      <c r="D19" s="3">
        <f>'NOVEMBER 19'!H19:H33</f>
        <v>500</v>
      </c>
      <c r="E19" s="3">
        <v>4500</v>
      </c>
      <c r="F19" s="3">
        <f t="shared" si="0"/>
        <v>5000</v>
      </c>
      <c r="G19" s="3">
        <v>4500</v>
      </c>
      <c r="H19" s="3">
        <f>F19-G19</f>
        <v>500</v>
      </c>
    </row>
    <row r="20" spans="1:12" x14ac:dyDescent="0.25">
      <c r="B20" s="30" t="s">
        <v>64</v>
      </c>
      <c r="C20" s="30">
        <f t="shared" ref="C20:H20" si="2">SUM(C5:C19)</f>
        <v>0</v>
      </c>
      <c r="D20" s="3">
        <f t="shared" si="2"/>
        <v>3950</v>
      </c>
      <c r="E20" s="30">
        <f t="shared" si="2"/>
        <v>33400</v>
      </c>
      <c r="F20" s="30">
        <f t="shared" si="2"/>
        <v>37350</v>
      </c>
      <c r="G20" s="30">
        <f t="shared" si="2"/>
        <v>30900</v>
      </c>
      <c r="H20" s="30">
        <f t="shared" si="2"/>
        <v>6450</v>
      </c>
      <c r="I20" s="31"/>
    </row>
    <row r="21" spans="1:12" x14ac:dyDescent="0.25">
      <c r="B21" s="33"/>
      <c r="C21" s="33"/>
      <c r="D21" s="33"/>
      <c r="E21" s="33"/>
      <c r="F21" s="33"/>
      <c r="G21" s="33"/>
      <c r="H21" s="32"/>
      <c r="I21" s="31"/>
    </row>
    <row r="22" spans="1:12" x14ac:dyDescent="0.25">
      <c r="B22" s="31" t="s">
        <v>12</v>
      </c>
      <c r="C22" s="34"/>
      <c r="D22" s="8"/>
      <c r="E22" s="33"/>
      <c r="F22" s="46"/>
      <c r="G22" s="10"/>
      <c r="H22" s="35"/>
      <c r="I22" s="31"/>
    </row>
    <row r="23" spans="1:12" x14ac:dyDescent="0.25">
      <c r="B23" s="36" t="s">
        <v>13</v>
      </c>
      <c r="C23" s="36"/>
      <c r="D23" s="36"/>
      <c r="E23" s="37"/>
      <c r="F23" s="36" t="s">
        <v>14</v>
      </c>
      <c r="G23" s="31"/>
      <c r="H23" s="31"/>
      <c r="I23" s="31" t="s">
        <v>48</v>
      </c>
    </row>
    <row r="24" spans="1:12" x14ac:dyDescent="0.25">
      <c r="B24" s="30" t="s">
        <v>15</v>
      </c>
      <c r="C24" s="30" t="s">
        <v>16</v>
      </c>
      <c r="D24" s="30" t="s">
        <v>17</v>
      </c>
      <c r="E24" s="30" t="s">
        <v>18</v>
      </c>
      <c r="F24" s="30" t="s">
        <v>15</v>
      </c>
      <c r="G24" s="30" t="s">
        <v>16</v>
      </c>
      <c r="H24" s="30" t="s">
        <v>17</v>
      </c>
      <c r="I24" s="30" t="s">
        <v>18</v>
      </c>
    </row>
    <row r="25" spans="1:12" x14ac:dyDescent="0.25">
      <c r="B25" s="29" t="s">
        <v>131</v>
      </c>
      <c r="C25" s="38">
        <f>E20</f>
        <v>33400</v>
      </c>
      <c r="D25" s="29"/>
      <c r="E25" s="29"/>
      <c r="F25" s="29" t="s">
        <v>131</v>
      </c>
      <c r="G25" s="38">
        <f>G20</f>
        <v>30900</v>
      </c>
      <c r="H25" s="29"/>
      <c r="I25" s="29"/>
    </row>
    <row r="26" spans="1:12" x14ac:dyDescent="0.25">
      <c r="B26" s="29" t="s">
        <v>5</v>
      </c>
      <c r="C26" s="38">
        <f>'NOVEMBER 19'!E36</f>
        <v>15</v>
      </c>
      <c r="D26" s="29"/>
      <c r="E26" s="29"/>
      <c r="F26" s="29" t="s">
        <v>5</v>
      </c>
      <c r="G26" s="38">
        <f>'NOVEMBER 19'!I36</f>
        <v>-4155</v>
      </c>
      <c r="H26" s="29"/>
      <c r="I26" s="29"/>
    </row>
    <row r="27" spans="1:12" x14ac:dyDescent="0.25">
      <c r="B27" s="29" t="s">
        <v>70</v>
      </c>
      <c r="C27" s="38"/>
      <c r="D27" s="29"/>
      <c r="E27" s="29"/>
      <c r="F27" s="29" t="s">
        <v>70</v>
      </c>
      <c r="G27" s="38"/>
      <c r="H27" s="29"/>
      <c r="I27" s="29"/>
    </row>
    <row r="28" spans="1:12" x14ac:dyDescent="0.25">
      <c r="B28" s="29" t="s">
        <v>20</v>
      </c>
      <c r="C28" s="39">
        <v>0.1</v>
      </c>
      <c r="D28" s="38">
        <f>C25*C28</f>
        <v>3340</v>
      </c>
      <c r="E28" s="29"/>
      <c r="F28" s="29" t="s">
        <v>20</v>
      </c>
      <c r="G28" s="39">
        <v>0.1</v>
      </c>
      <c r="H28" s="38">
        <f>D28</f>
        <v>3340</v>
      </c>
      <c r="I28" s="29"/>
      <c r="L28" s="15"/>
    </row>
    <row r="29" spans="1:12" x14ac:dyDescent="0.25">
      <c r="B29" s="30" t="s">
        <v>21</v>
      </c>
      <c r="C29" s="30" t="s">
        <v>22</v>
      </c>
      <c r="D29" s="30"/>
      <c r="E29" s="30"/>
      <c r="F29" s="30" t="s">
        <v>21</v>
      </c>
      <c r="G29" s="40"/>
      <c r="H29" s="30"/>
      <c r="I29" s="30"/>
    </row>
    <row r="30" spans="1:12" x14ac:dyDescent="0.25">
      <c r="B30" s="41" t="s">
        <v>132</v>
      </c>
      <c r="C30" s="29"/>
      <c r="D30" s="29">
        <v>2071</v>
      </c>
      <c r="E30" s="29"/>
      <c r="F30" s="41" t="s">
        <v>132</v>
      </c>
      <c r="G30" s="29"/>
      <c r="H30" s="29">
        <v>2071</v>
      </c>
      <c r="I30" s="29"/>
    </row>
    <row r="31" spans="1:12" x14ac:dyDescent="0.25">
      <c r="B31" s="42" t="s">
        <v>133</v>
      </c>
      <c r="C31" s="29"/>
      <c r="D31" s="31">
        <v>28000</v>
      </c>
      <c r="E31" s="29"/>
      <c r="F31" s="42" t="s">
        <v>133</v>
      </c>
      <c r="G31" s="29"/>
      <c r="H31" s="31">
        <v>28000</v>
      </c>
      <c r="I31" s="29"/>
    </row>
    <row r="32" spans="1:12" x14ac:dyDescent="0.25">
      <c r="B32" s="42" t="s">
        <v>179</v>
      </c>
      <c r="C32" s="29"/>
      <c r="D32" s="29">
        <f>E12</f>
        <v>2300</v>
      </c>
      <c r="E32" s="29"/>
      <c r="F32" s="42" t="s">
        <v>181</v>
      </c>
      <c r="G32" s="29"/>
      <c r="H32" s="29">
        <f>E12</f>
        <v>2300</v>
      </c>
      <c r="I32" s="29"/>
    </row>
    <row r="33" spans="2:11" x14ac:dyDescent="0.25">
      <c r="B33" s="42" t="s">
        <v>180</v>
      </c>
      <c r="C33" s="29"/>
      <c r="D33" s="29">
        <f>E6 +E7</f>
        <v>4400</v>
      </c>
      <c r="E33" s="29"/>
      <c r="F33" s="42" t="s">
        <v>180</v>
      </c>
      <c r="G33" s="29"/>
      <c r="H33" s="29">
        <f>D33</f>
        <v>4400</v>
      </c>
      <c r="I33" s="29"/>
    </row>
    <row r="34" spans="2:11" x14ac:dyDescent="0.25">
      <c r="B34" s="43"/>
      <c r="D34" s="29"/>
      <c r="E34" s="29"/>
      <c r="F34" s="42"/>
      <c r="G34" s="29"/>
      <c r="H34" s="44"/>
      <c r="I34" s="29"/>
    </row>
    <row r="35" spans="2:11" x14ac:dyDescent="0.25">
      <c r="B35" s="42"/>
      <c r="C35" s="29"/>
      <c r="D35" s="44"/>
      <c r="E35" s="29"/>
      <c r="F35" s="29"/>
      <c r="G35" s="29"/>
      <c r="H35" s="29"/>
      <c r="I35" s="29"/>
    </row>
    <row r="36" spans="2:11" x14ac:dyDescent="0.25">
      <c r="B36" s="30" t="s">
        <v>11</v>
      </c>
      <c r="C36" s="40">
        <f>C25+C26+C27-D28</f>
        <v>30075</v>
      </c>
      <c r="D36" s="40">
        <f>SUM(D30:D35)</f>
        <v>36771</v>
      </c>
      <c r="E36" s="40">
        <f>C36-D36</f>
        <v>-6696</v>
      </c>
      <c r="F36" s="30" t="s">
        <v>11</v>
      </c>
      <c r="G36" s="40">
        <f>G25+G26+G27-H28</f>
        <v>23405</v>
      </c>
      <c r="H36" s="40">
        <f>SUM(H30:H35)</f>
        <v>36771</v>
      </c>
      <c r="I36" s="40">
        <f>G36-H36</f>
        <v>-13366</v>
      </c>
      <c r="K36" s="15"/>
    </row>
    <row r="37" spans="2:11" x14ac:dyDescent="0.25">
      <c r="B37" s="31"/>
      <c r="C37" s="31"/>
      <c r="D37" s="31"/>
      <c r="E37" s="31"/>
      <c r="F37" s="31"/>
      <c r="G37" s="31"/>
      <c r="H37" s="31"/>
      <c r="I37" s="31"/>
    </row>
    <row r="38" spans="2:11" x14ac:dyDescent="0.25">
      <c r="B38" s="31" t="s">
        <v>23</v>
      </c>
      <c r="C38" s="31"/>
      <c r="D38" s="31" t="s">
        <v>24</v>
      </c>
      <c r="E38" s="31"/>
      <c r="F38" s="31"/>
      <c r="G38" s="31" t="s">
        <v>25</v>
      </c>
      <c r="H38" s="31"/>
      <c r="I38" s="31"/>
    </row>
    <row r="39" spans="2:11" x14ac:dyDescent="0.25">
      <c r="B39" s="31"/>
      <c r="C39" s="31"/>
      <c r="D39" s="31"/>
      <c r="E39" s="31"/>
      <c r="F39" s="31"/>
      <c r="G39" s="31"/>
      <c r="H39" s="31"/>
      <c r="I39" s="31"/>
    </row>
    <row r="40" spans="2:11" x14ac:dyDescent="0.25">
      <c r="B40" s="31" t="s">
        <v>108</v>
      </c>
      <c r="C40" s="31"/>
      <c r="D40" s="31" t="s">
        <v>27</v>
      </c>
      <c r="E40" s="31"/>
      <c r="F40" s="31"/>
      <c r="G40" s="31" t="s">
        <v>46</v>
      </c>
      <c r="H40" s="31"/>
      <c r="I40" s="31"/>
    </row>
  </sheetData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H9" sqref="H9"/>
    </sheetView>
  </sheetViews>
  <sheetFormatPr defaultRowHeight="15" x14ac:dyDescent="0.25"/>
  <sheetData>
    <row r="1" spans="1:9" x14ac:dyDescent="0.25">
      <c r="C1" s="1" t="s">
        <v>28</v>
      </c>
      <c r="D1" s="1"/>
      <c r="E1" s="1"/>
      <c r="F1" s="1"/>
      <c r="G1" s="1"/>
      <c r="H1" s="1"/>
    </row>
    <row r="2" spans="1:9" x14ac:dyDescent="0.25">
      <c r="B2" s="1"/>
      <c r="C2" s="1" t="s">
        <v>0</v>
      </c>
      <c r="D2" s="1"/>
      <c r="E2" s="1"/>
      <c r="F2" s="1"/>
      <c r="G2" s="1"/>
      <c r="H2" s="1"/>
    </row>
    <row r="3" spans="1:9" x14ac:dyDescent="0.25">
      <c r="B3" s="1"/>
      <c r="C3" s="1" t="s">
        <v>135</v>
      </c>
      <c r="D3" s="1"/>
      <c r="E3" s="1"/>
      <c r="F3" s="1"/>
      <c r="G3" s="1"/>
      <c r="H3" s="1"/>
    </row>
    <row r="4" spans="1:9" x14ac:dyDescent="0.25">
      <c r="A4" t="s">
        <v>110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</row>
    <row r="5" spans="1:9" x14ac:dyDescent="0.25">
      <c r="A5">
        <v>1</v>
      </c>
      <c r="B5" s="3" t="s">
        <v>82</v>
      </c>
      <c r="C5" s="3"/>
      <c r="D5" s="3">
        <f>'DECEMBER 19'!H5:H19</f>
        <v>200</v>
      </c>
      <c r="E5" s="3">
        <v>2500</v>
      </c>
      <c r="F5" s="3">
        <f>D5+E5</f>
        <v>2700</v>
      </c>
      <c r="G5" s="3">
        <v>2300</v>
      </c>
      <c r="H5" s="3">
        <f>F5-G5</f>
        <v>400</v>
      </c>
    </row>
    <row r="6" spans="1:9" x14ac:dyDescent="0.25">
      <c r="A6">
        <v>2</v>
      </c>
      <c r="B6" s="17" t="s">
        <v>41</v>
      </c>
      <c r="C6" s="3"/>
      <c r="D6" s="3">
        <f>'DECEMBER 19'!H6:H20</f>
        <v>0</v>
      </c>
      <c r="E6" s="3">
        <v>2500</v>
      </c>
      <c r="F6" s="3">
        <f t="shared" ref="F6:F19" si="0">D6+E6</f>
        <v>2500</v>
      </c>
      <c r="G6" s="3">
        <v>2500</v>
      </c>
      <c r="H6" s="3">
        <f t="shared" ref="H6:H18" si="1">F6-G6</f>
        <v>0</v>
      </c>
      <c r="I6" t="s">
        <v>176</v>
      </c>
    </row>
    <row r="7" spans="1:9" x14ac:dyDescent="0.25">
      <c r="A7">
        <v>3</v>
      </c>
      <c r="B7" s="3"/>
      <c r="C7" s="3"/>
      <c r="D7" s="3">
        <f>'DECEMBER 19'!H7:H21</f>
        <v>50</v>
      </c>
      <c r="E7" s="3"/>
      <c r="F7" s="3">
        <f t="shared" si="0"/>
        <v>50</v>
      </c>
      <c r="G7" s="3"/>
      <c r="H7" s="3">
        <f t="shared" si="1"/>
        <v>50</v>
      </c>
    </row>
    <row r="8" spans="1:9" x14ac:dyDescent="0.25">
      <c r="A8">
        <v>4</v>
      </c>
      <c r="B8" s="3" t="s">
        <v>105</v>
      </c>
      <c r="C8" s="3"/>
      <c r="D8" s="3">
        <f>'DECEMBER 19'!H8:H22</f>
        <v>0</v>
      </c>
      <c r="E8" s="3">
        <v>2500</v>
      </c>
      <c r="F8" s="3">
        <f t="shared" si="0"/>
        <v>2500</v>
      </c>
      <c r="G8" s="3">
        <v>2200</v>
      </c>
      <c r="H8" s="3">
        <f t="shared" si="1"/>
        <v>300</v>
      </c>
    </row>
    <row r="9" spans="1:9" x14ac:dyDescent="0.25">
      <c r="A9">
        <v>5</v>
      </c>
      <c r="B9" s="3" t="s">
        <v>47</v>
      </c>
      <c r="C9" s="3"/>
      <c r="D9" s="3">
        <f>'DECEMBER 19'!H9:H23</f>
        <v>200</v>
      </c>
      <c r="E9" s="3">
        <v>2500</v>
      </c>
      <c r="F9" s="3">
        <f t="shared" si="0"/>
        <v>2700</v>
      </c>
      <c r="G9" s="3">
        <v>2200</v>
      </c>
      <c r="H9" s="3">
        <f t="shared" si="1"/>
        <v>500</v>
      </c>
    </row>
    <row r="10" spans="1:9" x14ac:dyDescent="0.25">
      <c r="A10">
        <v>6</v>
      </c>
      <c r="B10" s="3" t="s">
        <v>123</v>
      </c>
      <c r="C10" s="3"/>
      <c r="D10" s="3">
        <f>'DECEMBER 19'!H10:H24</f>
        <v>1800</v>
      </c>
      <c r="E10" s="3">
        <v>2500</v>
      </c>
      <c r="F10" s="3">
        <f t="shared" si="0"/>
        <v>4300</v>
      </c>
      <c r="G10" s="3">
        <f>1000+500+500+200+300</f>
        <v>2500</v>
      </c>
      <c r="H10" s="3">
        <f t="shared" si="1"/>
        <v>1800</v>
      </c>
    </row>
    <row r="11" spans="1:9" x14ac:dyDescent="0.25">
      <c r="A11">
        <v>7</v>
      </c>
      <c r="B11" s="29" t="s">
        <v>109</v>
      </c>
      <c r="C11" s="3"/>
      <c r="D11" s="3">
        <f>'DECEMBER 19'!H11:H25</f>
        <v>0</v>
      </c>
      <c r="E11" s="3">
        <v>2500</v>
      </c>
      <c r="F11" s="3">
        <f t="shared" si="0"/>
        <v>2500</v>
      </c>
      <c r="G11" s="3">
        <v>2500</v>
      </c>
      <c r="H11" s="3">
        <f t="shared" si="1"/>
        <v>0</v>
      </c>
    </row>
    <row r="12" spans="1:9" x14ac:dyDescent="0.25">
      <c r="A12">
        <v>8</v>
      </c>
      <c r="B12" s="3"/>
      <c r="C12" s="3"/>
      <c r="D12" s="3">
        <f>'DECEMBER 19'!H12:H26</f>
        <v>0</v>
      </c>
      <c r="E12" s="3"/>
      <c r="F12" s="3">
        <f t="shared" si="0"/>
        <v>0</v>
      </c>
      <c r="G12" s="3"/>
      <c r="H12" s="3">
        <f>F12-G12</f>
        <v>0</v>
      </c>
    </row>
    <row r="13" spans="1:9" x14ac:dyDescent="0.25">
      <c r="A13">
        <v>9</v>
      </c>
      <c r="B13" s="3" t="s">
        <v>107</v>
      </c>
      <c r="C13" s="3"/>
      <c r="D13" s="3">
        <f>'DECEMBER 19'!H13:H27</f>
        <v>2500</v>
      </c>
      <c r="E13" s="3">
        <v>2500</v>
      </c>
      <c r="F13" s="3">
        <f t="shared" si="0"/>
        <v>5000</v>
      </c>
      <c r="G13" s="3">
        <f>2000+2700</f>
        <v>4700</v>
      </c>
      <c r="H13" s="3">
        <f t="shared" si="1"/>
        <v>300</v>
      </c>
      <c r="I13" t="s">
        <v>175</v>
      </c>
    </row>
    <row r="14" spans="1:9" x14ac:dyDescent="0.25">
      <c r="A14">
        <v>10</v>
      </c>
      <c r="B14" s="3" t="s">
        <v>93</v>
      </c>
      <c r="C14" s="3"/>
      <c r="D14" s="3">
        <f>'DECEMBER 19'!H14:H28</f>
        <v>300</v>
      </c>
      <c r="E14" s="3">
        <v>2500</v>
      </c>
      <c r="F14" s="3">
        <f t="shared" si="0"/>
        <v>2800</v>
      </c>
      <c r="G14" s="3">
        <f>2000+500</f>
        <v>2500</v>
      </c>
      <c r="H14" s="3">
        <f t="shared" si="1"/>
        <v>300</v>
      </c>
    </row>
    <row r="15" spans="1:9" x14ac:dyDescent="0.25">
      <c r="A15">
        <v>11</v>
      </c>
      <c r="B15" s="47" t="s">
        <v>30</v>
      </c>
      <c r="C15" s="3"/>
      <c r="D15" s="3">
        <f>'DECEMBER 19'!H15:H29</f>
        <v>0</v>
      </c>
      <c r="E15" s="3"/>
      <c r="F15" s="3">
        <f t="shared" si="0"/>
        <v>0</v>
      </c>
      <c r="G15" s="3"/>
      <c r="H15" s="3">
        <f t="shared" si="1"/>
        <v>0</v>
      </c>
    </row>
    <row r="16" spans="1:9" x14ac:dyDescent="0.25">
      <c r="A16">
        <v>12</v>
      </c>
      <c r="B16" s="3" t="s">
        <v>37</v>
      </c>
      <c r="C16" s="3"/>
      <c r="D16" s="3">
        <f>'DECEMBER 19'!H16:H30</f>
        <v>200</v>
      </c>
      <c r="E16" s="3">
        <v>2500</v>
      </c>
      <c r="F16" s="3">
        <f t="shared" si="0"/>
        <v>2700</v>
      </c>
      <c r="G16" s="3">
        <v>2000</v>
      </c>
      <c r="H16" s="3">
        <f t="shared" si="1"/>
        <v>700</v>
      </c>
    </row>
    <row r="17" spans="1:12" x14ac:dyDescent="0.25">
      <c r="A17">
        <v>13</v>
      </c>
      <c r="B17" s="3" t="s">
        <v>99</v>
      </c>
      <c r="C17" s="3"/>
      <c r="D17" s="3">
        <f>'DECEMBER 19'!H17:H31</f>
        <v>0</v>
      </c>
      <c r="E17" s="3">
        <v>2500</v>
      </c>
      <c r="F17" s="3">
        <f t="shared" si="0"/>
        <v>2500</v>
      </c>
      <c r="G17" s="3">
        <v>2500</v>
      </c>
      <c r="H17" s="3">
        <f t="shared" si="1"/>
        <v>0</v>
      </c>
    </row>
    <row r="18" spans="1:12" x14ac:dyDescent="0.25">
      <c r="A18">
        <v>14</v>
      </c>
      <c r="B18" s="13" t="s">
        <v>62</v>
      </c>
      <c r="C18" s="13"/>
      <c r="D18" s="3">
        <f>'DECEMBER 19'!H18:H32</f>
        <v>700</v>
      </c>
      <c r="E18" s="13">
        <v>2500</v>
      </c>
      <c r="F18" s="3">
        <f t="shared" si="0"/>
        <v>3200</v>
      </c>
      <c r="G18" s="13">
        <v>2500</v>
      </c>
      <c r="H18" s="13">
        <f t="shared" si="1"/>
        <v>700</v>
      </c>
    </row>
    <row r="19" spans="1:12" x14ac:dyDescent="0.25">
      <c r="A19">
        <v>15</v>
      </c>
      <c r="B19" s="3" t="s">
        <v>35</v>
      </c>
      <c r="C19" s="3"/>
      <c r="D19" s="3">
        <f>'DECEMBER 19'!H19:H33</f>
        <v>500</v>
      </c>
      <c r="E19" s="3">
        <v>4500</v>
      </c>
      <c r="F19" s="3">
        <f t="shared" si="0"/>
        <v>5000</v>
      </c>
      <c r="G19" s="3"/>
      <c r="H19" s="3">
        <f>F19-G19</f>
        <v>5000</v>
      </c>
    </row>
    <row r="20" spans="1:12" x14ac:dyDescent="0.25">
      <c r="B20" s="30" t="s">
        <v>64</v>
      </c>
      <c r="C20" s="30">
        <f t="shared" ref="C20:H20" si="2">SUM(C5:C19)</f>
        <v>0</v>
      </c>
      <c r="D20" s="3">
        <f t="shared" si="2"/>
        <v>6450</v>
      </c>
      <c r="E20" s="30">
        <f t="shared" si="2"/>
        <v>32000</v>
      </c>
      <c r="F20" s="30">
        <f t="shared" si="2"/>
        <v>38450</v>
      </c>
      <c r="G20" s="30">
        <f t="shared" si="2"/>
        <v>28400</v>
      </c>
      <c r="H20" s="30">
        <f t="shared" si="2"/>
        <v>10050</v>
      </c>
      <c r="I20" s="31"/>
    </row>
    <row r="21" spans="1:12" x14ac:dyDescent="0.25">
      <c r="B21" s="33"/>
      <c r="C21" s="33"/>
      <c r="D21" s="33"/>
      <c r="E21" s="33"/>
      <c r="F21" s="33"/>
      <c r="G21" s="33"/>
      <c r="H21" s="32"/>
      <c r="I21" s="31"/>
    </row>
    <row r="22" spans="1:12" x14ac:dyDescent="0.25">
      <c r="B22" s="31" t="s">
        <v>12</v>
      </c>
      <c r="C22" s="34"/>
      <c r="D22" s="8"/>
      <c r="E22" s="33"/>
      <c r="F22" s="46"/>
      <c r="G22" s="10"/>
      <c r="H22" s="35"/>
      <c r="I22" s="31"/>
    </row>
    <row r="23" spans="1:12" x14ac:dyDescent="0.25">
      <c r="B23" s="36" t="s">
        <v>13</v>
      </c>
      <c r="C23" s="36"/>
      <c r="D23" s="36"/>
      <c r="E23" s="37"/>
      <c r="F23" s="36" t="s">
        <v>14</v>
      </c>
      <c r="G23" s="31"/>
      <c r="H23" s="31"/>
      <c r="I23" s="31" t="s">
        <v>48</v>
      </c>
    </row>
    <row r="24" spans="1:12" x14ac:dyDescent="0.25">
      <c r="B24" s="30" t="s">
        <v>15</v>
      </c>
      <c r="C24" s="30" t="s">
        <v>16</v>
      </c>
      <c r="D24" s="30" t="s">
        <v>17</v>
      </c>
      <c r="E24" s="30" t="s">
        <v>18</v>
      </c>
      <c r="F24" s="30" t="s">
        <v>15</v>
      </c>
      <c r="G24" s="30" t="s">
        <v>16</v>
      </c>
      <c r="H24" s="30" t="s">
        <v>17</v>
      </c>
      <c r="I24" s="30" t="s">
        <v>18</v>
      </c>
    </row>
    <row r="25" spans="1:12" x14ac:dyDescent="0.25">
      <c r="B25" s="29" t="s">
        <v>134</v>
      </c>
      <c r="C25" s="38">
        <f>E20</f>
        <v>32000</v>
      </c>
      <c r="D25" s="29"/>
      <c r="E25" s="29"/>
      <c r="F25" s="29" t="s">
        <v>134</v>
      </c>
      <c r="G25" s="38">
        <f>G20</f>
        <v>28400</v>
      </c>
      <c r="H25" s="29"/>
      <c r="I25" s="29"/>
    </row>
    <row r="26" spans="1:12" x14ac:dyDescent="0.25">
      <c r="B26" s="29" t="s">
        <v>5</v>
      </c>
      <c r="C26" s="38">
        <f>'DECEMBER 19'!E36</f>
        <v>-6696</v>
      </c>
      <c r="D26" s="29"/>
      <c r="E26" s="29"/>
      <c r="F26" s="29" t="s">
        <v>5</v>
      </c>
      <c r="G26" s="38">
        <f>'DECEMBER 19'!I36</f>
        <v>-13366</v>
      </c>
      <c r="H26" s="29"/>
      <c r="I26" s="29"/>
    </row>
    <row r="27" spans="1:12" x14ac:dyDescent="0.25">
      <c r="B27" s="29" t="s">
        <v>70</v>
      </c>
      <c r="C27" s="38"/>
      <c r="D27" s="29"/>
      <c r="E27" s="29"/>
      <c r="F27" s="29" t="s">
        <v>70</v>
      </c>
      <c r="G27" s="38"/>
      <c r="H27" s="29"/>
      <c r="I27" s="29"/>
    </row>
    <row r="28" spans="1:12" x14ac:dyDescent="0.25">
      <c r="B28" s="29" t="s">
        <v>20</v>
      </c>
      <c r="C28" s="39">
        <v>0.1</v>
      </c>
      <c r="D28" s="38">
        <f>C25*C28</f>
        <v>3200</v>
      </c>
      <c r="E28" s="29"/>
      <c r="F28" s="29" t="s">
        <v>20</v>
      </c>
      <c r="G28" s="39">
        <v>0.1</v>
      </c>
      <c r="H28" s="38">
        <f>D28</f>
        <v>3200</v>
      </c>
      <c r="I28" s="29"/>
      <c r="L28" s="15"/>
    </row>
    <row r="29" spans="1:12" x14ac:dyDescent="0.25">
      <c r="B29" s="30" t="s">
        <v>21</v>
      </c>
      <c r="C29" s="30" t="s">
        <v>22</v>
      </c>
      <c r="D29" s="30"/>
      <c r="E29" s="30"/>
      <c r="F29" s="30" t="s">
        <v>21</v>
      </c>
      <c r="G29" s="40"/>
      <c r="H29" s="30"/>
      <c r="I29" s="30"/>
    </row>
    <row r="30" spans="1:12" x14ac:dyDescent="0.25">
      <c r="B30" s="41" t="s">
        <v>174</v>
      </c>
      <c r="C30" s="29"/>
      <c r="D30" s="29">
        <v>2500</v>
      </c>
      <c r="E30" s="29"/>
      <c r="F30" s="41" t="s">
        <v>174</v>
      </c>
      <c r="G30" s="29"/>
      <c r="H30" s="29">
        <v>2500</v>
      </c>
      <c r="I30" s="29"/>
    </row>
    <row r="31" spans="1:12" x14ac:dyDescent="0.25">
      <c r="B31" s="42" t="s">
        <v>136</v>
      </c>
      <c r="C31" s="29"/>
      <c r="D31" s="31">
        <v>19600</v>
      </c>
      <c r="E31" s="29"/>
      <c r="F31" s="42" t="s">
        <v>136</v>
      </c>
      <c r="G31" s="29"/>
      <c r="H31" s="31">
        <v>19600</v>
      </c>
      <c r="I31" s="29"/>
    </row>
    <row r="32" spans="1:12" x14ac:dyDescent="0.25">
      <c r="B32" s="42" t="s">
        <v>172</v>
      </c>
      <c r="C32" s="29"/>
      <c r="D32" s="29">
        <v>2000</v>
      </c>
      <c r="E32" s="29"/>
      <c r="F32" s="42" t="s">
        <v>172</v>
      </c>
      <c r="G32" s="29"/>
      <c r="H32" s="29">
        <v>2000</v>
      </c>
      <c r="I32" s="29"/>
      <c r="K32" s="15"/>
    </row>
    <row r="33" spans="2:11" x14ac:dyDescent="0.25">
      <c r="B33" s="42" t="s">
        <v>139</v>
      </c>
      <c r="C33" s="29"/>
      <c r="D33" s="29">
        <v>3056</v>
      </c>
      <c r="E33" s="29"/>
      <c r="F33" s="42" t="s">
        <v>139</v>
      </c>
      <c r="G33" s="29"/>
      <c r="H33" s="29">
        <v>3056</v>
      </c>
      <c r="I33" s="29"/>
      <c r="K33" s="15"/>
    </row>
    <row r="34" spans="2:11" x14ac:dyDescent="0.25">
      <c r="B34" s="43"/>
      <c r="C34" s="29"/>
      <c r="D34" s="29"/>
      <c r="E34" s="29"/>
      <c r="F34" s="42"/>
      <c r="G34" s="29"/>
      <c r="H34" s="44"/>
      <c r="I34" s="29"/>
    </row>
    <row r="35" spans="2:11" x14ac:dyDescent="0.25">
      <c r="B35" s="42"/>
      <c r="C35" s="29"/>
      <c r="D35" s="44"/>
      <c r="E35" s="29"/>
      <c r="F35" s="29"/>
      <c r="G35" s="29"/>
      <c r="H35" s="29"/>
      <c r="I35" s="29"/>
    </row>
    <row r="36" spans="2:11" x14ac:dyDescent="0.25">
      <c r="B36" s="30" t="s">
        <v>11</v>
      </c>
      <c r="C36" s="40">
        <f>C25+C26+C27-D28</f>
        <v>22104</v>
      </c>
      <c r="D36" s="40">
        <f>SUM(D30:D35)</f>
        <v>27156</v>
      </c>
      <c r="E36" s="40">
        <f>C36-D36</f>
        <v>-5052</v>
      </c>
      <c r="F36" s="30" t="s">
        <v>11</v>
      </c>
      <c r="G36" s="40">
        <f>G25+G26+G27-H28</f>
        <v>11834</v>
      </c>
      <c r="H36" s="40">
        <f>SUM(H30:H35)</f>
        <v>27156</v>
      </c>
      <c r="I36" s="40">
        <f>G36-H36</f>
        <v>-15322</v>
      </c>
    </row>
    <row r="37" spans="2:11" x14ac:dyDescent="0.25">
      <c r="B37" s="31"/>
      <c r="C37" s="31"/>
      <c r="D37" s="31"/>
      <c r="E37" s="31"/>
      <c r="F37" s="31"/>
      <c r="G37" s="31"/>
      <c r="H37" s="31"/>
      <c r="I37" s="31"/>
    </row>
    <row r="38" spans="2:11" x14ac:dyDescent="0.25">
      <c r="B38" s="31" t="s">
        <v>23</v>
      </c>
      <c r="C38" s="31"/>
      <c r="D38" s="31" t="s">
        <v>24</v>
      </c>
      <c r="E38" s="31"/>
      <c r="F38" s="31"/>
      <c r="G38" s="31" t="s">
        <v>25</v>
      </c>
      <c r="H38" s="31"/>
      <c r="I38" s="31"/>
    </row>
    <row r="39" spans="2:11" x14ac:dyDescent="0.25">
      <c r="B39" s="31"/>
      <c r="C39" s="31"/>
      <c r="D39" s="31"/>
      <c r="E39" s="31"/>
      <c r="F39" s="31"/>
      <c r="G39" s="31"/>
      <c r="H39" s="31"/>
      <c r="I39" s="31"/>
    </row>
    <row r="40" spans="2:11" x14ac:dyDescent="0.25">
      <c r="B40" s="31" t="s">
        <v>108</v>
      </c>
      <c r="C40" s="31"/>
      <c r="D40" s="31" t="s">
        <v>27</v>
      </c>
      <c r="E40" s="31"/>
      <c r="F40" s="31"/>
      <c r="G40" s="31" t="s">
        <v>46</v>
      </c>
      <c r="H40" s="31"/>
      <c r="I40" s="3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opLeftCell="A4" workbookViewId="0">
      <selection activeCell="D9" sqref="D9"/>
    </sheetView>
  </sheetViews>
  <sheetFormatPr defaultRowHeight="15" x14ac:dyDescent="0.25"/>
  <cols>
    <col min="3" max="3" width="12.140625" customWidth="1"/>
    <col min="7" max="7" width="9.85546875" customWidth="1"/>
  </cols>
  <sheetData>
    <row r="1" spans="1:9" x14ac:dyDescent="0.25">
      <c r="C1" s="1" t="s">
        <v>28</v>
      </c>
      <c r="D1" s="1"/>
      <c r="E1" s="1"/>
      <c r="F1" s="1"/>
      <c r="G1" s="1"/>
      <c r="H1" s="1"/>
    </row>
    <row r="2" spans="1:9" x14ac:dyDescent="0.25">
      <c r="B2" s="1"/>
      <c r="C2" s="1" t="s">
        <v>0</v>
      </c>
      <c r="D2" s="1"/>
      <c r="E2" s="1"/>
      <c r="F2" s="1"/>
      <c r="G2" s="1"/>
      <c r="H2" s="1"/>
    </row>
    <row r="3" spans="1:9" x14ac:dyDescent="0.25">
      <c r="B3" s="1"/>
      <c r="C3" s="1" t="s">
        <v>138</v>
      </c>
      <c r="D3" s="1"/>
      <c r="E3" s="1"/>
      <c r="F3" s="1"/>
      <c r="G3" s="1"/>
      <c r="H3" s="1"/>
    </row>
    <row r="4" spans="1:9" x14ac:dyDescent="0.25">
      <c r="A4" t="s">
        <v>110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</row>
    <row r="5" spans="1:9" x14ac:dyDescent="0.25">
      <c r="A5">
        <v>1</v>
      </c>
      <c r="B5" s="3" t="s">
        <v>82</v>
      </c>
      <c r="C5" s="3"/>
      <c r="D5" s="3">
        <f>'JANUARY 20'!H5:H19</f>
        <v>400</v>
      </c>
      <c r="E5" s="3">
        <v>2500</v>
      </c>
      <c r="F5" s="3">
        <f>D5+E5</f>
        <v>2900</v>
      </c>
      <c r="G5" s="3">
        <v>2700</v>
      </c>
      <c r="H5" s="3">
        <f>F5-G5</f>
        <v>200</v>
      </c>
    </row>
    <row r="6" spans="1:9" x14ac:dyDescent="0.25">
      <c r="A6">
        <v>2</v>
      </c>
      <c r="B6" s="17"/>
      <c r="C6" s="3"/>
      <c r="D6" s="3"/>
      <c r="E6" s="3"/>
      <c r="F6" s="3">
        <f t="shared" ref="F6:F19" si="0">D6+E6</f>
        <v>0</v>
      </c>
      <c r="G6" s="3"/>
      <c r="H6" s="3">
        <f t="shared" ref="H6:H18" si="1">F6-G6</f>
        <v>0</v>
      </c>
    </row>
    <row r="7" spans="1:9" x14ac:dyDescent="0.25">
      <c r="A7">
        <v>3</v>
      </c>
      <c r="B7" s="3"/>
      <c r="C7" s="3"/>
      <c r="D7" s="3">
        <f>'JANUARY 20'!H7:H21</f>
        <v>50</v>
      </c>
      <c r="E7" s="3"/>
      <c r="F7" s="3">
        <f t="shared" si="0"/>
        <v>50</v>
      </c>
      <c r="G7" s="3"/>
      <c r="H7" s="3">
        <f t="shared" si="1"/>
        <v>50</v>
      </c>
    </row>
    <row r="8" spans="1:9" x14ac:dyDescent="0.25">
      <c r="A8">
        <v>4</v>
      </c>
      <c r="B8" s="3" t="s">
        <v>105</v>
      </c>
      <c r="C8" s="3"/>
      <c r="D8" s="3">
        <f>'JANUARY 20'!H8:H22</f>
        <v>300</v>
      </c>
      <c r="E8" s="3">
        <v>2500</v>
      </c>
      <c r="F8" s="3">
        <f t="shared" si="0"/>
        <v>2800</v>
      </c>
      <c r="G8" s="3">
        <v>1300</v>
      </c>
      <c r="H8" s="3">
        <f t="shared" si="1"/>
        <v>1500</v>
      </c>
    </row>
    <row r="9" spans="1:9" x14ac:dyDescent="0.25">
      <c r="A9">
        <v>5</v>
      </c>
      <c r="B9" s="3" t="s">
        <v>47</v>
      </c>
      <c r="C9" s="3"/>
      <c r="D9" s="3">
        <f>'JANUARY 20'!H9:H23</f>
        <v>500</v>
      </c>
      <c r="E9" s="3">
        <v>2500</v>
      </c>
      <c r="F9" s="3">
        <f t="shared" si="0"/>
        <v>3000</v>
      </c>
      <c r="G9" s="3">
        <v>2500</v>
      </c>
      <c r="H9" s="3">
        <f t="shared" si="1"/>
        <v>500</v>
      </c>
    </row>
    <row r="10" spans="1:9" x14ac:dyDescent="0.25">
      <c r="A10">
        <v>6</v>
      </c>
      <c r="B10" s="3" t="s">
        <v>123</v>
      </c>
      <c r="C10" s="3"/>
      <c r="D10" s="3">
        <f>'JANUARY 20'!H10:H24</f>
        <v>1800</v>
      </c>
      <c r="E10" s="3">
        <v>2500</v>
      </c>
      <c r="F10" s="3">
        <f t="shared" si="0"/>
        <v>4300</v>
      </c>
      <c r="G10" s="3">
        <f>1000+1500</f>
        <v>2500</v>
      </c>
      <c r="H10" s="3">
        <f t="shared" si="1"/>
        <v>1800</v>
      </c>
    </row>
    <row r="11" spans="1:9" x14ac:dyDescent="0.25">
      <c r="A11">
        <v>7</v>
      </c>
      <c r="B11" s="29" t="s">
        <v>109</v>
      </c>
      <c r="C11" s="3"/>
      <c r="D11" s="3">
        <f>'JANUARY 20'!H11:H25</f>
        <v>0</v>
      </c>
      <c r="E11" s="3">
        <v>2500</v>
      </c>
      <c r="F11" s="3">
        <f t="shared" si="0"/>
        <v>2500</v>
      </c>
      <c r="G11" s="3">
        <v>2500</v>
      </c>
      <c r="H11" s="3">
        <f t="shared" si="1"/>
        <v>0</v>
      </c>
      <c r="I11" t="s">
        <v>119</v>
      </c>
    </row>
    <row r="12" spans="1:9" x14ac:dyDescent="0.25">
      <c r="A12">
        <v>8</v>
      </c>
      <c r="B12" s="3"/>
      <c r="C12" s="3"/>
      <c r="D12" s="3">
        <f>'JANUARY 20'!H12:H26</f>
        <v>0</v>
      </c>
      <c r="E12" s="3"/>
      <c r="F12" s="3">
        <f t="shared" si="0"/>
        <v>0</v>
      </c>
      <c r="G12" s="3"/>
      <c r="H12" s="3">
        <f>F12-G12</f>
        <v>0</v>
      </c>
    </row>
    <row r="13" spans="1:9" x14ac:dyDescent="0.25">
      <c r="A13">
        <v>9</v>
      </c>
      <c r="B13" s="3" t="s">
        <v>107</v>
      </c>
      <c r="C13" s="3"/>
      <c r="D13" s="3">
        <f>'JANUARY 20'!H13:H27</f>
        <v>300</v>
      </c>
      <c r="E13" s="3">
        <v>2500</v>
      </c>
      <c r="F13" s="3">
        <f t="shared" si="0"/>
        <v>2800</v>
      </c>
      <c r="G13" s="3">
        <f>2500+300</f>
        <v>2800</v>
      </c>
      <c r="H13" s="3">
        <f t="shared" si="1"/>
        <v>0</v>
      </c>
    </row>
    <row r="14" spans="1:9" x14ac:dyDescent="0.25">
      <c r="A14">
        <v>10</v>
      </c>
      <c r="B14" s="3" t="s">
        <v>41</v>
      </c>
      <c r="C14" s="3"/>
      <c r="D14" s="3">
        <f>'JANUARY 20'!H14:H28</f>
        <v>300</v>
      </c>
      <c r="E14" s="3">
        <v>2500</v>
      </c>
      <c r="F14" s="3">
        <f t="shared" si="0"/>
        <v>2800</v>
      </c>
      <c r="G14" s="3">
        <f>300+2500</f>
        <v>2800</v>
      </c>
      <c r="H14" s="3">
        <f t="shared" si="1"/>
        <v>0</v>
      </c>
    </row>
    <row r="15" spans="1:9" x14ac:dyDescent="0.25">
      <c r="A15">
        <v>11</v>
      </c>
      <c r="B15" s="47" t="s">
        <v>140</v>
      </c>
      <c r="C15" s="3"/>
      <c r="D15" s="3">
        <f>'JANUARY 20'!H15:H29</f>
        <v>0</v>
      </c>
      <c r="E15" s="3">
        <v>2500</v>
      </c>
      <c r="F15" s="3">
        <f t="shared" si="0"/>
        <v>2500</v>
      </c>
      <c r="G15" s="3">
        <v>2500</v>
      </c>
      <c r="H15" s="3">
        <f t="shared" si="1"/>
        <v>0</v>
      </c>
    </row>
    <row r="16" spans="1:9" x14ac:dyDescent="0.25">
      <c r="A16">
        <v>12</v>
      </c>
      <c r="B16" s="3" t="s">
        <v>37</v>
      </c>
      <c r="C16" s="3"/>
      <c r="D16" s="3">
        <f>'JANUARY 20'!H16:H30</f>
        <v>700</v>
      </c>
      <c r="E16" s="3">
        <v>2500</v>
      </c>
      <c r="F16" s="3">
        <f t="shared" si="0"/>
        <v>3200</v>
      </c>
      <c r="G16" s="3">
        <f>500+1500</f>
        <v>2000</v>
      </c>
      <c r="H16" s="3">
        <f t="shared" si="1"/>
        <v>1200</v>
      </c>
    </row>
    <row r="17" spans="1:9" x14ac:dyDescent="0.25">
      <c r="A17">
        <v>13</v>
      </c>
      <c r="B17" s="3" t="s">
        <v>99</v>
      </c>
      <c r="C17" s="3"/>
      <c r="D17" s="3">
        <f>'JANUARY 20'!H17:H31</f>
        <v>0</v>
      </c>
      <c r="E17" s="3">
        <v>2500</v>
      </c>
      <c r="F17" s="3">
        <f t="shared" si="0"/>
        <v>2500</v>
      </c>
      <c r="G17" s="3">
        <v>2500</v>
      </c>
      <c r="H17" s="3">
        <f t="shared" si="1"/>
        <v>0</v>
      </c>
    </row>
    <row r="18" spans="1:9" x14ac:dyDescent="0.25">
      <c r="A18">
        <v>14</v>
      </c>
      <c r="B18" s="13" t="s">
        <v>62</v>
      </c>
      <c r="C18" s="13"/>
      <c r="D18" s="3">
        <f>'JANUARY 20'!H18:H32</f>
        <v>700</v>
      </c>
      <c r="E18" s="13">
        <v>2500</v>
      </c>
      <c r="F18" s="3">
        <f t="shared" si="0"/>
        <v>3200</v>
      </c>
      <c r="G18" s="13">
        <v>2500</v>
      </c>
      <c r="H18" s="13">
        <f t="shared" si="1"/>
        <v>700</v>
      </c>
    </row>
    <row r="19" spans="1:9" x14ac:dyDescent="0.25">
      <c r="A19">
        <v>15</v>
      </c>
      <c r="B19" s="3" t="s">
        <v>35</v>
      </c>
      <c r="C19" s="3"/>
      <c r="D19" s="3">
        <f>'JANUARY 20'!H19:H33</f>
        <v>5000</v>
      </c>
      <c r="E19" s="3">
        <v>4500</v>
      </c>
      <c r="F19" s="3">
        <f t="shared" si="0"/>
        <v>9500</v>
      </c>
      <c r="G19" s="3">
        <f>4500+4500</f>
        <v>9000</v>
      </c>
      <c r="H19" s="3">
        <f>F19-G19</f>
        <v>500</v>
      </c>
    </row>
    <row r="20" spans="1:9" x14ac:dyDescent="0.25">
      <c r="B20" s="30" t="s">
        <v>64</v>
      </c>
      <c r="C20" s="30">
        <f t="shared" ref="C20:H20" si="2">SUM(C5:C19)</f>
        <v>0</v>
      </c>
      <c r="D20" s="3">
        <f t="shared" si="2"/>
        <v>10050</v>
      </c>
      <c r="E20" s="30">
        <f t="shared" si="2"/>
        <v>32000</v>
      </c>
      <c r="F20" s="30">
        <f t="shared" si="2"/>
        <v>42050</v>
      </c>
      <c r="G20" s="30">
        <f t="shared" si="2"/>
        <v>35600</v>
      </c>
      <c r="H20" s="30">
        <f t="shared" si="2"/>
        <v>6450</v>
      </c>
      <c r="I20" s="31"/>
    </row>
    <row r="21" spans="1:9" x14ac:dyDescent="0.25">
      <c r="B21" s="33"/>
      <c r="C21" s="33"/>
      <c r="D21" s="33"/>
      <c r="E21" s="33"/>
      <c r="F21" s="33"/>
      <c r="G21" s="33"/>
      <c r="H21" s="32"/>
      <c r="I21" s="31"/>
    </row>
    <row r="22" spans="1:9" x14ac:dyDescent="0.25">
      <c r="B22" s="31" t="s">
        <v>12</v>
      </c>
      <c r="C22" s="34"/>
      <c r="D22" s="8"/>
      <c r="E22" s="33"/>
      <c r="F22" s="46"/>
      <c r="G22" s="10"/>
      <c r="H22" s="35"/>
      <c r="I22" s="31"/>
    </row>
    <row r="23" spans="1:9" x14ac:dyDescent="0.25">
      <c r="B23" s="36" t="s">
        <v>13</v>
      </c>
      <c r="C23" s="36"/>
      <c r="D23" s="36"/>
      <c r="E23" s="37"/>
      <c r="F23" s="36" t="s">
        <v>14</v>
      </c>
      <c r="G23" s="31"/>
      <c r="H23" s="31"/>
      <c r="I23" s="31" t="s">
        <v>48</v>
      </c>
    </row>
    <row r="24" spans="1:9" x14ac:dyDescent="0.25">
      <c r="B24" s="30" t="s">
        <v>15</v>
      </c>
      <c r="C24" s="30" t="s">
        <v>16</v>
      </c>
      <c r="D24" s="30" t="s">
        <v>17</v>
      </c>
      <c r="E24" s="30" t="s">
        <v>18</v>
      </c>
      <c r="F24" s="30" t="s">
        <v>15</v>
      </c>
      <c r="G24" s="30" t="s">
        <v>16</v>
      </c>
      <c r="H24" s="30" t="s">
        <v>17</v>
      </c>
      <c r="I24" s="30" t="s">
        <v>18</v>
      </c>
    </row>
    <row r="25" spans="1:9" x14ac:dyDescent="0.25">
      <c r="B25" s="29" t="s">
        <v>137</v>
      </c>
      <c r="C25" s="38">
        <f>E20</f>
        <v>32000</v>
      </c>
      <c r="D25" s="29"/>
      <c r="E25" s="29"/>
      <c r="F25" s="29" t="s">
        <v>137</v>
      </c>
      <c r="G25" s="38">
        <f>G20</f>
        <v>35600</v>
      </c>
      <c r="H25" s="29"/>
      <c r="I25" s="29"/>
    </row>
    <row r="26" spans="1:9" x14ac:dyDescent="0.25">
      <c r="B26" s="29" t="s">
        <v>5</v>
      </c>
      <c r="C26" s="38">
        <f>'JANUARY 20'!E36</f>
        <v>-5052</v>
      </c>
      <c r="D26" s="29"/>
      <c r="E26" s="29"/>
      <c r="F26" s="29" t="s">
        <v>5</v>
      </c>
      <c r="G26" s="38">
        <f>'JANUARY 20'!I36</f>
        <v>-15322</v>
      </c>
      <c r="H26" s="29"/>
      <c r="I26" s="29"/>
    </row>
    <row r="27" spans="1:9" x14ac:dyDescent="0.25">
      <c r="B27" s="29" t="s">
        <v>70</v>
      </c>
      <c r="C27" s="38"/>
      <c r="D27" s="29"/>
      <c r="E27" s="29"/>
      <c r="F27" s="29" t="s">
        <v>70</v>
      </c>
      <c r="G27" s="38"/>
      <c r="H27" s="29"/>
      <c r="I27" s="29"/>
    </row>
    <row r="28" spans="1:9" x14ac:dyDescent="0.25">
      <c r="B28" s="29" t="s">
        <v>20</v>
      </c>
      <c r="C28" s="39">
        <v>0.1</v>
      </c>
      <c r="D28" s="38">
        <f>C25*C28</f>
        <v>3200</v>
      </c>
      <c r="E28" s="29"/>
      <c r="F28" s="29" t="s">
        <v>20</v>
      </c>
      <c r="G28" s="39">
        <v>0.1</v>
      </c>
      <c r="H28" s="38">
        <f>D28</f>
        <v>3200</v>
      </c>
      <c r="I28" s="29"/>
    </row>
    <row r="29" spans="1:9" x14ac:dyDescent="0.25">
      <c r="B29" s="30" t="s">
        <v>21</v>
      </c>
      <c r="C29" s="30" t="s">
        <v>22</v>
      </c>
      <c r="D29" s="30"/>
      <c r="E29" s="30"/>
      <c r="F29" s="30" t="s">
        <v>21</v>
      </c>
      <c r="G29" s="40"/>
      <c r="H29" s="30"/>
      <c r="I29" s="30"/>
    </row>
    <row r="30" spans="1:9" x14ac:dyDescent="0.25">
      <c r="B30" s="41" t="s">
        <v>144</v>
      </c>
      <c r="C30" s="29"/>
      <c r="D30" s="29">
        <v>21450</v>
      </c>
      <c r="E30" s="29"/>
      <c r="F30" s="41" t="s">
        <v>144</v>
      </c>
      <c r="G30" s="29"/>
      <c r="H30" s="29">
        <v>21450</v>
      </c>
      <c r="I30" s="29"/>
    </row>
    <row r="31" spans="1:9" x14ac:dyDescent="0.25">
      <c r="B31" s="42" t="s">
        <v>142</v>
      </c>
      <c r="C31" s="29" t="s">
        <v>166</v>
      </c>
      <c r="D31" s="31">
        <f>E14+300</f>
        <v>2800</v>
      </c>
      <c r="E31" s="29"/>
      <c r="F31" s="42" t="s">
        <v>173</v>
      </c>
      <c r="G31" s="29"/>
      <c r="H31" s="31">
        <f>300+E14</f>
        <v>2800</v>
      </c>
      <c r="I31" s="29"/>
    </row>
    <row r="32" spans="1:9" x14ac:dyDescent="0.25">
      <c r="B32" s="42" t="s">
        <v>172</v>
      </c>
      <c r="C32" s="29"/>
      <c r="D32" s="29">
        <v>300</v>
      </c>
      <c r="E32" s="29"/>
      <c r="F32" s="42" t="s">
        <v>107</v>
      </c>
      <c r="G32" s="29"/>
      <c r="H32" s="29">
        <v>300</v>
      </c>
      <c r="I32" s="29"/>
    </row>
    <row r="33" spans="2:9" x14ac:dyDescent="0.25">
      <c r="B33" s="42" t="s">
        <v>145</v>
      </c>
      <c r="C33" s="29" t="s">
        <v>177</v>
      </c>
      <c r="D33" s="29">
        <f>E11</f>
        <v>2500</v>
      </c>
      <c r="E33" s="29"/>
      <c r="F33" s="42" t="s">
        <v>141</v>
      </c>
      <c r="G33" s="29" t="s">
        <v>177</v>
      </c>
      <c r="H33" s="29">
        <f>E11</f>
        <v>2500</v>
      </c>
      <c r="I33" s="29"/>
    </row>
    <row r="34" spans="2:9" x14ac:dyDescent="0.25">
      <c r="B34" s="43" t="s">
        <v>178</v>
      </c>
      <c r="C34" s="29"/>
      <c r="D34" s="29">
        <v>30</v>
      </c>
      <c r="E34" s="29"/>
      <c r="F34" s="43" t="s">
        <v>178</v>
      </c>
      <c r="G34" s="29"/>
      <c r="H34" s="29">
        <v>30</v>
      </c>
      <c r="I34" s="29"/>
    </row>
    <row r="35" spans="2:9" x14ac:dyDescent="0.25">
      <c r="B35" s="42"/>
      <c r="C35" s="29"/>
      <c r="D35" s="44"/>
      <c r="E35" s="29"/>
      <c r="F35" s="29"/>
      <c r="G35" s="29"/>
      <c r="H35" s="29"/>
      <c r="I35" s="29"/>
    </row>
    <row r="36" spans="2:9" x14ac:dyDescent="0.25">
      <c r="B36" s="30" t="s">
        <v>11</v>
      </c>
      <c r="C36" s="40">
        <f>C25+C26+C27-D28</f>
        <v>23748</v>
      </c>
      <c r="D36" s="40">
        <f>SUM(D30:D35)</f>
        <v>27080</v>
      </c>
      <c r="E36" s="40">
        <f>C36-D36</f>
        <v>-3332</v>
      </c>
      <c r="F36" s="30" t="s">
        <v>11</v>
      </c>
      <c r="G36" s="40">
        <f>G25+G26+G27-H28</f>
        <v>17078</v>
      </c>
      <c r="H36" s="40">
        <f>SUM(H30:H35)</f>
        <v>27080</v>
      </c>
      <c r="I36" s="40">
        <f>G36-H36</f>
        <v>-10002</v>
      </c>
    </row>
    <row r="37" spans="2:9" x14ac:dyDescent="0.25">
      <c r="B37" s="31"/>
      <c r="C37" s="31"/>
      <c r="D37" s="31"/>
      <c r="E37" s="31"/>
      <c r="F37" s="31"/>
      <c r="G37" s="31"/>
      <c r="H37" s="31"/>
      <c r="I37" s="31"/>
    </row>
    <row r="38" spans="2:9" x14ac:dyDescent="0.25">
      <c r="B38" s="31" t="s">
        <v>23</v>
      </c>
      <c r="C38" s="31"/>
      <c r="D38" s="31" t="s">
        <v>24</v>
      </c>
      <c r="E38" s="31"/>
      <c r="F38" s="31"/>
      <c r="G38" s="31" t="s">
        <v>25</v>
      </c>
      <c r="H38" s="31"/>
      <c r="I38" s="31"/>
    </row>
    <row r="39" spans="2:9" x14ac:dyDescent="0.25">
      <c r="B39" s="31"/>
      <c r="C39" s="31"/>
      <c r="D39" s="31"/>
      <c r="E39" s="31"/>
      <c r="F39" s="31"/>
      <c r="G39" s="31"/>
      <c r="H39" s="31"/>
      <c r="I39" s="31"/>
    </row>
    <row r="40" spans="2:9" x14ac:dyDescent="0.25">
      <c r="B40" s="31" t="s">
        <v>108</v>
      </c>
      <c r="C40" s="31"/>
      <c r="D40" s="31" t="s">
        <v>27</v>
      </c>
      <c r="E40" s="31"/>
      <c r="F40" s="31"/>
      <c r="G40" s="31" t="s">
        <v>46</v>
      </c>
      <c r="H40" s="31"/>
      <c r="I40" s="3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4" workbookViewId="0">
      <selection activeCell="E7" sqref="E7"/>
    </sheetView>
  </sheetViews>
  <sheetFormatPr defaultRowHeight="15" x14ac:dyDescent="0.25"/>
  <cols>
    <col min="2" max="2" width="19.140625" customWidth="1"/>
    <col min="6" max="6" width="11.140625" customWidth="1"/>
    <col min="9" max="9" width="12" customWidth="1"/>
  </cols>
  <sheetData>
    <row r="1" spans="1:10" x14ac:dyDescent="0.25">
      <c r="C1" s="1" t="s">
        <v>28</v>
      </c>
      <c r="D1" s="1"/>
      <c r="E1" s="1"/>
      <c r="F1" s="1"/>
      <c r="G1" s="1"/>
      <c r="H1" s="1"/>
    </row>
    <row r="2" spans="1:10" x14ac:dyDescent="0.25">
      <c r="B2" s="1"/>
      <c r="C2" s="1" t="s">
        <v>0</v>
      </c>
      <c r="D2" s="1"/>
      <c r="E2" s="1"/>
      <c r="F2" s="1"/>
      <c r="G2" s="1"/>
      <c r="H2" s="1"/>
    </row>
    <row r="3" spans="1:10" x14ac:dyDescent="0.25">
      <c r="B3" s="1"/>
      <c r="C3" s="1" t="s">
        <v>143</v>
      </c>
      <c r="D3" s="1"/>
      <c r="E3" s="1"/>
      <c r="F3" s="1"/>
      <c r="G3" s="1"/>
      <c r="H3" s="1"/>
    </row>
    <row r="4" spans="1:10" x14ac:dyDescent="0.25">
      <c r="A4" t="s">
        <v>110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</row>
    <row r="5" spans="1:10" x14ac:dyDescent="0.25">
      <c r="A5">
        <v>1</v>
      </c>
      <c r="B5" s="3" t="s">
        <v>82</v>
      </c>
      <c r="C5" s="3"/>
      <c r="D5" s="3">
        <f>'FEBRUARY 20'!H5:H19</f>
        <v>200</v>
      </c>
      <c r="E5" s="3">
        <v>2500</v>
      </c>
      <c r="F5" s="3">
        <f>D5+E5</f>
        <v>2700</v>
      </c>
      <c r="G5" s="3">
        <f>1000</f>
        <v>1000</v>
      </c>
      <c r="H5" s="3">
        <f>F5-G5</f>
        <v>1700</v>
      </c>
    </row>
    <row r="6" spans="1:10" x14ac:dyDescent="0.25">
      <c r="A6">
        <v>2</v>
      </c>
      <c r="B6" s="29"/>
      <c r="C6" s="3"/>
      <c r="D6" s="3">
        <f>'FEBRUARY 20'!H6:H20</f>
        <v>0</v>
      </c>
      <c r="E6" s="3"/>
      <c r="F6" s="3">
        <f t="shared" ref="F6:F19" si="0">D6+E6</f>
        <v>0</v>
      </c>
      <c r="G6" s="3"/>
      <c r="H6" s="3">
        <f t="shared" ref="H6:H18" si="1">F6-G6</f>
        <v>0</v>
      </c>
    </row>
    <row r="7" spans="1:10" x14ac:dyDescent="0.25">
      <c r="A7">
        <v>3</v>
      </c>
      <c r="B7" s="3" t="s">
        <v>147</v>
      </c>
      <c r="C7" s="3"/>
      <c r="D7" s="3"/>
      <c r="E7" s="3">
        <v>2500</v>
      </c>
      <c r="F7" s="3">
        <f t="shared" si="0"/>
        <v>2500</v>
      </c>
      <c r="G7" s="3">
        <v>2500</v>
      </c>
      <c r="H7" s="3">
        <f t="shared" si="1"/>
        <v>0</v>
      </c>
      <c r="I7" t="s">
        <v>48</v>
      </c>
    </row>
    <row r="8" spans="1:10" x14ac:dyDescent="0.25">
      <c r="A8">
        <v>4</v>
      </c>
      <c r="B8" s="3" t="s">
        <v>105</v>
      </c>
      <c r="C8" s="3"/>
      <c r="D8" s="3">
        <f>'FEBRUARY 20'!H8:H22</f>
        <v>1500</v>
      </c>
      <c r="E8" s="3">
        <v>2500</v>
      </c>
      <c r="F8" s="3">
        <f t="shared" si="0"/>
        <v>4000</v>
      </c>
      <c r="G8" s="3">
        <v>3700</v>
      </c>
      <c r="H8" s="3">
        <f t="shared" si="1"/>
        <v>300</v>
      </c>
    </row>
    <row r="9" spans="1:10" x14ac:dyDescent="0.25">
      <c r="A9">
        <v>5</v>
      </c>
      <c r="B9" s="3" t="s">
        <v>47</v>
      </c>
      <c r="C9" s="3"/>
      <c r="D9" s="3">
        <f>'FEBRUARY 20'!H9:H23</f>
        <v>500</v>
      </c>
      <c r="E9" s="3">
        <v>2500</v>
      </c>
      <c r="F9" s="3">
        <f t="shared" si="0"/>
        <v>3000</v>
      </c>
      <c r="G9" s="3"/>
      <c r="H9" s="3">
        <f t="shared" si="1"/>
        <v>3000</v>
      </c>
    </row>
    <row r="10" spans="1:10" x14ac:dyDescent="0.25">
      <c r="A10">
        <v>6</v>
      </c>
      <c r="B10" s="3" t="s">
        <v>123</v>
      </c>
      <c r="C10" s="3"/>
      <c r="D10" s="3">
        <f>'FEBRUARY 20'!H10:H24</f>
        <v>1800</v>
      </c>
      <c r="E10" s="3">
        <v>2500</v>
      </c>
      <c r="F10" s="3">
        <f t="shared" si="0"/>
        <v>4300</v>
      </c>
      <c r="G10" s="3">
        <v>2500</v>
      </c>
      <c r="H10" s="3">
        <f t="shared" si="1"/>
        <v>1800</v>
      </c>
    </row>
    <row r="11" spans="1:10" x14ac:dyDescent="0.25">
      <c r="A11">
        <v>7</v>
      </c>
      <c r="B11" s="29"/>
      <c r="C11" s="3"/>
      <c r="D11" s="3">
        <f>'FEBRUARY 20'!H11:H25</f>
        <v>0</v>
      </c>
      <c r="E11" s="3"/>
      <c r="F11" s="3">
        <f t="shared" si="0"/>
        <v>0</v>
      </c>
      <c r="G11" s="3"/>
      <c r="H11" s="3">
        <f t="shared" si="1"/>
        <v>0</v>
      </c>
      <c r="J11">
        <f>E20</f>
        <v>34500</v>
      </c>
    </row>
    <row r="12" spans="1:10" x14ac:dyDescent="0.25">
      <c r="A12">
        <v>8</v>
      </c>
      <c r="B12" s="3" t="s">
        <v>41</v>
      </c>
      <c r="C12" s="3"/>
      <c r="D12" s="3">
        <f>'FEBRUARY 20'!H12:H26</f>
        <v>0</v>
      </c>
      <c r="E12" s="3">
        <v>2500</v>
      </c>
      <c r="F12" s="3">
        <f t="shared" si="0"/>
        <v>2500</v>
      </c>
      <c r="G12" s="3">
        <v>2500</v>
      </c>
      <c r="H12" s="3">
        <f>F12-G12</f>
        <v>0</v>
      </c>
      <c r="I12" t="s">
        <v>48</v>
      </c>
      <c r="J12" s="15">
        <f>J11+C26</f>
        <v>31168</v>
      </c>
    </row>
    <row r="13" spans="1:10" x14ac:dyDescent="0.25">
      <c r="A13">
        <v>9</v>
      </c>
      <c r="B13" s="3" t="s">
        <v>107</v>
      </c>
      <c r="C13" s="3"/>
      <c r="D13" s="3">
        <f>'FEBRUARY 20'!H13:H27</f>
        <v>0</v>
      </c>
      <c r="E13" s="3">
        <v>2500</v>
      </c>
      <c r="F13" s="3">
        <f t="shared" si="0"/>
        <v>2500</v>
      </c>
      <c r="G13" s="3">
        <v>2500</v>
      </c>
      <c r="H13" s="3">
        <f t="shared" si="1"/>
        <v>0</v>
      </c>
      <c r="J13" s="15">
        <f>J12-D28</f>
        <v>27718</v>
      </c>
    </row>
    <row r="14" spans="1:10" x14ac:dyDescent="0.25">
      <c r="A14">
        <v>10</v>
      </c>
      <c r="B14" s="3" t="s">
        <v>149</v>
      </c>
      <c r="C14" s="3"/>
      <c r="D14" s="3">
        <f>'FEBRUARY 20'!H14:H28</f>
        <v>0</v>
      </c>
      <c r="E14" s="3">
        <v>2500</v>
      </c>
      <c r="F14" s="3">
        <f t="shared" si="0"/>
        <v>2500</v>
      </c>
      <c r="G14" s="3">
        <v>2500</v>
      </c>
      <c r="H14" s="3">
        <f t="shared" si="1"/>
        <v>0</v>
      </c>
      <c r="I14" t="s">
        <v>48</v>
      </c>
      <c r="J14" s="15">
        <f>J13-D30</f>
        <v>17718</v>
      </c>
    </row>
    <row r="15" spans="1:10" x14ac:dyDescent="0.25">
      <c r="A15">
        <v>11</v>
      </c>
      <c r="B15" s="44" t="s">
        <v>148</v>
      </c>
      <c r="C15" s="3"/>
      <c r="D15" s="3">
        <f>'FEBRUARY 20'!H15:H29</f>
        <v>0</v>
      </c>
      <c r="E15" s="3">
        <v>2500</v>
      </c>
      <c r="F15" s="3">
        <f t="shared" si="0"/>
        <v>2500</v>
      </c>
      <c r="G15" s="3">
        <v>2500</v>
      </c>
      <c r="H15" s="3">
        <f t="shared" si="1"/>
        <v>0</v>
      </c>
      <c r="J15" s="15">
        <f>J14-D31</f>
        <v>15218</v>
      </c>
    </row>
    <row r="16" spans="1:10" x14ac:dyDescent="0.25">
      <c r="A16">
        <v>12</v>
      </c>
      <c r="B16" s="3" t="s">
        <v>37</v>
      </c>
      <c r="C16" s="3"/>
      <c r="D16" s="3">
        <f>'FEBRUARY 20'!H16:H30</f>
        <v>1200</v>
      </c>
      <c r="E16" s="3">
        <v>2500</v>
      </c>
      <c r="F16" s="3">
        <f t="shared" si="0"/>
        <v>3700</v>
      </c>
      <c r="G16" s="3">
        <f>1400+1000+1100</f>
        <v>3500</v>
      </c>
      <c r="H16" s="3">
        <f t="shared" si="1"/>
        <v>200</v>
      </c>
      <c r="I16" t="s">
        <v>150</v>
      </c>
      <c r="J16">
        <v>15200</v>
      </c>
    </row>
    <row r="17" spans="1:9" x14ac:dyDescent="0.25">
      <c r="A17">
        <v>13</v>
      </c>
      <c r="B17" s="3" t="s">
        <v>99</v>
      </c>
      <c r="C17" s="3"/>
      <c r="D17" s="3">
        <f>'FEBRUARY 20'!H17:H31</f>
        <v>0</v>
      </c>
      <c r="E17" s="3">
        <v>2500</v>
      </c>
      <c r="F17" s="3">
        <f t="shared" si="0"/>
        <v>2500</v>
      </c>
      <c r="G17" s="3">
        <v>2500</v>
      </c>
      <c r="H17" s="3">
        <f t="shared" si="1"/>
        <v>0</v>
      </c>
    </row>
    <row r="18" spans="1:9" x14ac:dyDescent="0.25">
      <c r="A18">
        <v>14</v>
      </c>
      <c r="B18" s="13" t="s">
        <v>62</v>
      </c>
      <c r="C18" s="13"/>
      <c r="D18" s="3">
        <f>'FEBRUARY 20'!H18:H32</f>
        <v>700</v>
      </c>
      <c r="E18" s="13">
        <v>2500</v>
      </c>
      <c r="F18" s="3">
        <f t="shared" si="0"/>
        <v>3200</v>
      </c>
      <c r="G18" s="13">
        <v>2500</v>
      </c>
      <c r="H18" s="13">
        <f t="shared" si="1"/>
        <v>700</v>
      </c>
    </row>
    <row r="19" spans="1:9" x14ac:dyDescent="0.25">
      <c r="A19">
        <v>15</v>
      </c>
      <c r="B19" s="3" t="s">
        <v>35</v>
      </c>
      <c r="C19" s="3"/>
      <c r="D19" s="3">
        <f>'FEBRUARY 20'!H19:H33</f>
        <v>500</v>
      </c>
      <c r="E19" s="3">
        <v>4500</v>
      </c>
      <c r="F19" s="3">
        <f t="shared" si="0"/>
        <v>5000</v>
      </c>
      <c r="G19" s="3">
        <v>4500</v>
      </c>
      <c r="H19" s="3">
        <f>F19-G19</f>
        <v>500</v>
      </c>
    </row>
    <row r="20" spans="1:9" x14ac:dyDescent="0.25">
      <c r="B20" s="30" t="s">
        <v>64</v>
      </c>
      <c r="C20" s="30">
        <f t="shared" ref="C20:H20" si="2">SUM(C5:C19)</f>
        <v>0</v>
      </c>
      <c r="D20" s="3">
        <f>SUM(D5:D19)</f>
        <v>6400</v>
      </c>
      <c r="E20" s="30">
        <f t="shared" si="2"/>
        <v>34500</v>
      </c>
      <c r="F20" s="30">
        <f t="shared" si="2"/>
        <v>40900</v>
      </c>
      <c r="G20" s="30">
        <f t="shared" si="2"/>
        <v>32700</v>
      </c>
      <c r="H20" s="30">
        <f t="shared" si="2"/>
        <v>8200</v>
      </c>
      <c r="I20" s="31"/>
    </row>
    <row r="21" spans="1:9" x14ac:dyDescent="0.25">
      <c r="B21" s="33"/>
      <c r="C21" s="33"/>
      <c r="D21" s="33"/>
      <c r="E21" s="33"/>
      <c r="F21" s="33"/>
      <c r="G21" s="33"/>
      <c r="H21" s="32"/>
      <c r="I21" s="31"/>
    </row>
    <row r="22" spans="1:9" x14ac:dyDescent="0.25">
      <c r="B22" s="31" t="s">
        <v>12</v>
      </c>
      <c r="C22" s="34"/>
      <c r="D22" s="8"/>
      <c r="E22" s="33"/>
      <c r="F22" s="46"/>
      <c r="G22" s="10"/>
      <c r="H22" s="35"/>
      <c r="I22" s="31"/>
    </row>
    <row r="23" spans="1:9" x14ac:dyDescent="0.25">
      <c r="B23" s="36" t="s">
        <v>13</v>
      </c>
      <c r="C23" s="36"/>
      <c r="D23" s="36"/>
      <c r="E23" s="37"/>
      <c r="F23" s="36" t="s">
        <v>14</v>
      </c>
      <c r="G23" s="31"/>
      <c r="H23" s="31"/>
      <c r="I23" s="31" t="s">
        <v>48</v>
      </c>
    </row>
    <row r="24" spans="1:9" x14ac:dyDescent="0.25">
      <c r="B24" s="30" t="s">
        <v>15</v>
      </c>
      <c r="C24" s="30" t="s">
        <v>16</v>
      </c>
      <c r="D24" s="30" t="s">
        <v>17</v>
      </c>
      <c r="E24" s="30" t="s">
        <v>18</v>
      </c>
      <c r="F24" s="30" t="s">
        <v>15</v>
      </c>
      <c r="G24" s="30" t="s">
        <v>16</v>
      </c>
      <c r="H24" s="30" t="s">
        <v>17</v>
      </c>
      <c r="I24" s="30" t="s">
        <v>18</v>
      </c>
    </row>
    <row r="25" spans="1:9" x14ac:dyDescent="0.25">
      <c r="B25" s="29" t="s">
        <v>74</v>
      </c>
      <c r="C25" s="38">
        <f>E20</f>
        <v>34500</v>
      </c>
      <c r="D25" s="29"/>
      <c r="E25" s="29"/>
      <c r="F25" s="29" t="s">
        <v>74</v>
      </c>
      <c r="G25" s="38">
        <f>G20</f>
        <v>32700</v>
      </c>
      <c r="H25" s="29"/>
      <c r="I25" s="29"/>
    </row>
    <row r="26" spans="1:9" x14ac:dyDescent="0.25">
      <c r="B26" s="29" t="s">
        <v>5</v>
      </c>
      <c r="C26" s="38">
        <f>'FEBRUARY 20'!E36</f>
        <v>-3332</v>
      </c>
      <c r="D26" s="29"/>
      <c r="E26" s="29"/>
      <c r="F26" s="29" t="s">
        <v>5</v>
      </c>
      <c r="G26" s="38">
        <f>'FEBRUARY 20'!I36</f>
        <v>-10002</v>
      </c>
      <c r="H26" s="29"/>
      <c r="I26" s="29"/>
    </row>
    <row r="27" spans="1:9" x14ac:dyDescent="0.25">
      <c r="B27" s="29" t="s">
        <v>70</v>
      </c>
      <c r="C27" s="38"/>
      <c r="D27" s="29"/>
      <c r="E27" s="29"/>
      <c r="F27" s="29" t="s">
        <v>70</v>
      </c>
      <c r="G27" s="38"/>
      <c r="H27" s="29"/>
      <c r="I27" s="29"/>
    </row>
    <row r="28" spans="1:9" x14ac:dyDescent="0.25">
      <c r="B28" s="29" t="s">
        <v>20</v>
      </c>
      <c r="C28" s="39">
        <v>0.1</v>
      </c>
      <c r="D28" s="38">
        <f>C28*C25</f>
        <v>3450</v>
      </c>
      <c r="E28" s="29"/>
      <c r="F28" s="29" t="s">
        <v>20</v>
      </c>
      <c r="G28" s="39">
        <v>0.1</v>
      </c>
      <c r="H28" s="38">
        <f>D28</f>
        <v>3450</v>
      </c>
      <c r="I28" s="29"/>
    </row>
    <row r="29" spans="1:9" x14ac:dyDescent="0.25">
      <c r="B29" s="30" t="s">
        <v>21</v>
      </c>
      <c r="C29" s="30" t="s">
        <v>22</v>
      </c>
      <c r="D29" s="30"/>
      <c r="E29" s="30"/>
      <c r="F29" s="30" t="s">
        <v>21</v>
      </c>
      <c r="G29" s="40"/>
      <c r="H29" s="30"/>
      <c r="I29" s="30"/>
    </row>
    <row r="30" spans="1:9" x14ac:dyDescent="0.25">
      <c r="B30" s="41" t="s">
        <v>146</v>
      </c>
      <c r="C30" s="29"/>
      <c r="D30" s="29">
        <v>10000</v>
      </c>
      <c r="E30" s="29"/>
      <c r="F30" s="41" t="s">
        <v>146</v>
      </c>
      <c r="G30" s="29"/>
      <c r="H30" s="29">
        <v>10000</v>
      </c>
      <c r="I30" s="29"/>
    </row>
    <row r="31" spans="1:9" x14ac:dyDescent="0.25">
      <c r="B31" s="42" t="s">
        <v>169</v>
      </c>
      <c r="C31" s="29"/>
      <c r="D31" s="31">
        <v>2500</v>
      </c>
      <c r="E31" s="29"/>
      <c r="F31" s="42" t="s">
        <v>169</v>
      </c>
      <c r="G31" s="29"/>
      <c r="H31" s="31">
        <v>2500</v>
      </c>
      <c r="I31" s="29"/>
    </row>
    <row r="32" spans="1:9" x14ac:dyDescent="0.25">
      <c r="B32" s="42" t="s">
        <v>150</v>
      </c>
      <c r="C32" s="29"/>
      <c r="D32" s="29">
        <v>15200</v>
      </c>
      <c r="E32" s="29"/>
      <c r="F32" s="42" t="s">
        <v>150</v>
      </c>
      <c r="G32" s="29"/>
      <c r="H32" s="29">
        <v>15200</v>
      </c>
      <c r="I32" s="29"/>
    </row>
    <row r="33" spans="2:9" x14ac:dyDescent="0.25">
      <c r="B33" s="42" t="s">
        <v>150</v>
      </c>
      <c r="C33" s="29"/>
      <c r="D33" s="29">
        <v>350</v>
      </c>
      <c r="E33" s="29"/>
      <c r="F33" s="42" t="s">
        <v>150</v>
      </c>
      <c r="G33" s="29"/>
      <c r="H33" s="29">
        <v>350</v>
      </c>
      <c r="I33" s="29"/>
    </row>
    <row r="34" spans="2:9" x14ac:dyDescent="0.25">
      <c r="B34" s="43" t="s">
        <v>167</v>
      </c>
      <c r="C34" s="29"/>
      <c r="D34" s="29">
        <v>2500</v>
      </c>
      <c r="E34" s="29"/>
      <c r="F34" s="43" t="s">
        <v>167</v>
      </c>
      <c r="G34" s="29"/>
      <c r="H34" s="29">
        <v>2500</v>
      </c>
      <c r="I34" s="29"/>
    </row>
    <row r="35" spans="2:9" x14ac:dyDescent="0.25">
      <c r="B35" s="42" t="s">
        <v>168</v>
      </c>
      <c r="C35" s="29"/>
      <c r="D35" s="44">
        <v>2500</v>
      </c>
      <c r="E35" s="29"/>
      <c r="F35" s="42" t="s">
        <v>168</v>
      </c>
      <c r="G35" s="29"/>
      <c r="H35" s="44">
        <v>2500</v>
      </c>
      <c r="I35" s="29"/>
    </row>
    <row r="36" spans="2:9" x14ac:dyDescent="0.25">
      <c r="B36" s="42"/>
      <c r="C36" s="29"/>
      <c r="D36" s="44"/>
      <c r="E36" s="29"/>
      <c r="F36" s="42"/>
      <c r="G36" s="29"/>
      <c r="H36" s="44"/>
      <c r="I36" s="29"/>
    </row>
    <row r="37" spans="2:9" x14ac:dyDescent="0.25">
      <c r="B37" s="30" t="s">
        <v>11</v>
      </c>
      <c r="C37" s="40">
        <f>C25+C26+C27-D28</f>
        <v>27718</v>
      </c>
      <c r="D37" s="40">
        <f>SUM(D30:D36)</f>
        <v>33050</v>
      </c>
      <c r="E37" s="40">
        <f>C37-D37</f>
        <v>-5332</v>
      </c>
      <c r="F37" s="30" t="s">
        <v>11</v>
      </c>
      <c r="G37" s="40">
        <f>G25+G26+G27-H28</f>
        <v>19248</v>
      </c>
      <c r="H37" s="40">
        <f>SUM(H30:H36)</f>
        <v>33050</v>
      </c>
      <c r="I37" s="40">
        <f>G37-H37</f>
        <v>-13802</v>
      </c>
    </row>
    <row r="38" spans="2:9" x14ac:dyDescent="0.25">
      <c r="B38" s="31"/>
      <c r="C38" s="31"/>
      <c r="D38" s="31"/>
      <c r="E38" s="31"/>
      <c r="F38" s="31"/>
      <c r="G38" s="31"/>
      <c r="H38" s="31"/>
      <c r="I38" s="31"/>
    </row>
    <row r="39" spans="2:9" x14ac:dyDescent="0.25">
      <c r="B39" s="31" t="s">
        <v>23</v>
      </c>
      <c r="C39" s="31"/>
      <c r="D39" s="31" t="s">
        <v>24</v>
      </c>
      <c r="E39" s="31"/>
      <c r="F39" s="31"/>
      <c r="G39" s="31" t="s">
        <v>25</v>
      </c>
      <c r="H39" s="31"/>
      <c r="I39" s="48">
        <f>I37-E37</f>
        <v>-8470</v>
      </c>
    </row>
    <row r="40" spans="2:9" x14ac:dyDescent="0.25">
      <c r="B40" s="31"/>
      <c r="C40" s="31"/>
      <c r="D40" s="31"/>
      <c r="E40" s="31"/>
      <c r="F40" s="31"/>
      <c r="G40" s="31"/>
      <c r="H40" s="31"/>
      <c r="I40" s="31"/>
    </row>
    <row r="41" spans="2:9" x14ac:dyDescent="0.25">
      <c r="B41" s="31" t="s">
        <v>108</v>
      </c>
      <c r="C41" s="31"/>
      <c r="D41" s="31" t="s">
        <v>27</v>
      </c>
      <c r="E41" s="31"/>
      <c r="F41" s="31"/>
      <c r="G41" s="31" t="s">
        <v>46</v>
      </c>
      <c r="H41" s="31"/>
      <c r="I41" s="3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Normal="100" workbookViewId="0">
      <selection activeCell="G38" sqref="G38"/>
    </sheetView>
  </sheetViews>
  <sheetFormatPr defaultRowHeight="15" x14ac:dyDescent="0.25"/>
  <cols>
    <col min="1" max="1" width="5" customWidth="1"/>
    <col min="2" max="2" width="19.85546875" customWidth="1"/>
    <col min="6" max="6" width="10.5703125" customWidth="1"/>
  </cols>
  <sheetData>
    <row r="1" spans="1:9" x14ac:dyDescent="0.25">
      <c r="A1" s="1"/>
      <c r="B1" s="1"/>
      <c r="C1" s="1" t="s">
        <v>28</v>
      </c>
      <c r="D1" s="1"/>
      <c r="E1" s="1"/>
      <c r="F1" s="1"/>
      <c r="G1" s="1"/>
      <c r="H1" s="1"/>
    </row>
    <row r="2" spans="1:9" x14ac:dyDescent="0.25">
      <c r="A2" s="1"/>
      <c r="B2" s="1"/>
      <c r="C2" s="1" t="s">
        <v>0</v>
      </c>
      <c r="D2" s="1"/>
      <c r="E2" s="1"/>
      <c r="F2" s="1"/>
      <c r="G2" s="1"/>
      <c r="H2" s="1"/>
    </row>
    <row r="3" spans="1:9" x14ac:dyDescent="0.25">
      <c r="A3" s="1"/>
      <c r="B3" s="1"/>
      <c r="C3" s="1" t="s">
        <v>42</v>
      </c>
      <c r="D3" s="1"/>
      <c r="E3" s="1"/>
      <c r="F3" s="1"/>
      <c r="G3" s="1"/>
      <c r="H3" s="1"/>
    </row>
    <row r="4" spans="1:9" x14ac:dyDescent="0.25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</row>
    <row r="5" spans="1:9" x14ac:dyDescent="0.25">
      <c r="A5" s="24">
        <v>1</v>
      </c>
      <c r="B5" s="3" t="s">
        <v>29</v>
      </c>
      <c r="C5" s="3"/>
      <c r="D5" s="3"/>
      <c r="E5" s="3"/>
      <c r="F5" s="3">
        <f>D5+E5</f>
        <v>0</v>
      </c>
      <c r="G5" s="3"/>
      <c r="H5" s="3">
        <f>F5-G5</f>
        <v>0</v>
      </c>
    </row>
    <row r="6" spans="1:9" x14ac:dyDescent="0.25">
      <c r="A6" s="24">
        <v>2</v>
      </c>
      <c r="B6" s="3" t="s">
        <v>44</v>
      </c>
      <c r="C6" s="3"/>
      <c r="D6" s="3"/>
      <c r="E6" s="3">
        <v>2200</v>
      </c>
      <c r="F6" s="3">
        <f t="shared" ref="F6:F18" si="0">D6+E6</f>
        <v>2200</v>
      </c>
      <c r="G6" s="3">
        <v>2200</v>
      </c>
      <c r="H6" s="3">
        <f t="shared" ref="H6:H18" si="1">F6-G6</f>
        <v>0</v>
      </c>
    </row>
    <row r="7" spans="1:9" x14ac:dyDescent="0.25">
      <c r="A7" s="24">
        <v>3</v>
      </c>
      <c r="B7" s="3" t="s">
        <v>31</v>
      </c>
      <c r="C7" s="3"/>
      <c r="D7" s="3"/>
      <c r="E7" s="3">
        <v>2200</v>
      </c>
      <c r="F7" s="3">
        <f t="shared" si="0"/>
        <v>2200</v>
      </c>
      <c r="G7" s="3">
        <v>2150</v>
      </c>
      <c r="H7" s="3">
        <f t="shared" si="1"/>
        <v>50</v>
      </c>
    </row>
    <row r="8" spans="1:9" x14ac:dyDescent="0.25">
      <c r="A8" s="24">
        <v>4</v>
      </c>
      <c r="B8" s="3" t="s">
        <v>32</v>
      </c>
      <c r="C8" s="3"/>
      <c r="D8" s="3">
        <v>200</v>
      </c>
      <c r="E8" s="3">
        <v>2200</v>
      </c>
      <c r="F8" s="3">
        <f t="shared" si="0"/>
        <v>2400</v>
      </c>
      <c r="G8" s="3">
        <v>2400</v>
      </c>
      <c r="H8" s="3">
        <f t="shared" si="1"/>
        <v>0</v>
      </c>
    </row>
    <row r="9" spans="1:9" x14ac:dyDescent="0.25">
      <c r="A9" s="24">
        <v>5</v>
      </c>
      <c r="B9" s="3" t="s">
        <v>47</v>
      </c>
      <c r="C9" s="3"/>
      <c r="D9" s="3"/>
      <c r="E9" s="3">
        <v>2200</v>
      </c>
      <c r="F9" s="3">
        <f t="shared" si="0"/>
        <v>2200</v>
      </c>
      <c r="G9" s="3">
        <v>2200</v>
      </c>
      <c r="H9" s="3">
        <f t="shared" si="1"/>
        <v>0</v>
      </c>
    </row>
    <row r="10" spans="1:9" x14ac:dyDescent="0.25">
      <c r="A10" s="24">
        <v>6</v>
      </c>
      <c r="B10" s="3" t="s">
        <v>34</v>
      </c>
      <c r="C10" s="3"/>
      <c r="D10" s="3"/>
      <c r="E10" s="3">
        <v>2200</v>
      </c>
      <c r="F10" s="3">
        <f t="shared" si="0"/>
        <v>2200</v>
      </c>
      <c r="G10" s="3">
        <v>2000</v>
      </c>
      <c r="H10" s="3">
        <f t="shared" si="1"/>
        <v>200</v>
      </c>
    </row>
    <row r="11" spans="1:9" x14ac:dyDescent="0.25">
      <c r="A11" s="24" t="s">
        <v>10</v>
      </c>
      <c r="B11" s="3" t="s">
        <v>35</v>
      </c>
      <c r="C11" s="3"/>
      <c r="D11" s="3"/>
      <c r="E11" s="3"/>
      <c r="F11" s="3">
        <f t="shared" si="0"/>
        <v>0</v>
      </c>
      <c r="G11" s="3"/>
      <c r="H11" s="3">
        <f t="shared" si="1"/>
        <v>0</v>
      </c>
    </row>
    <row r="12" spans="1:9" x14ac:dyDescent="0.25">
      <c r="A12" s="24">
        <v>9</v>
      </c>
      <c r="B12" s="3" t="s">
        <v>41</v>
      </c>
      <c r="C12" s="3"/>
      <c r="D12" s="3"/>
      <c r="E12" s="3">
        <v>2200</v>
      </c>
      <c r="F12" s="3">
        <f t="shared" si="0"/>
        <v>2200</v>
      </c>
      <c r="G12" s="3">
        <v>2200</v>
      </c>
      <c r="H12" s="3">
        <f t="shared" si="1"/>
        <v>0</v>
      </c>
    </row>
    <row r="13" spans="1:9" x14ac:dyDescent="0.25">
      <c r="A13" s="24">
        <v>10</v>
      </c>
      <c r="B13" s="3" t="s">
        <v>45</v>
      </c>
      <c r="C13" s="3"/>
      <c r="D13" s="3"/>
      <c r="E13" s="3">
        <v>2200</v>
      </c>
      <c r="F13" s="3">
        <f t="shared" si="0"/>
        <v>2200</v>
      </c>
      <c r="G13" s="3">
        <v>2200</v>
      </c>
      <c r="H13" s="3">
        <f t="shared" si="1"/>
        <v>0</v>
      </c>
      <c r="I13" t="s">
        <v>48</v>
      </c>
    </row>
    <row r="14" spans="1:9" x14ac:dyDescent="0.25">
      <c r="A14" s="24">
        <v>11</v>
      </c>
      <c r="B14" s="23" t="s">
        <v>36</v>
      </c>
      <c r="C14" s="3"/>
      <c r="D14" s="3">
        <v>100</v>
      </c>
      <c r="E14" s="3">
        <v>2200</v>
      </c>
      <c r="F14" s="3">
        <f t="shared" si="0"/>
        <v>2300</v>
      </c>
      <c r="G14" s="3">
        <v>2200</v>
      </c>
      <c r="H14" s="3">
        <f t="shared" si="1"/>
        <v>100</v>
      </c>
    </row>
    <row r="15" spans="1:9" x14ac:dyDescent="0.25">
      <c r="A15" s="24">
        <v>12</v>
      </c>
      <c r="B15" s="3" t="s">
        <v>37</v>
      </c>
      <c r="C15" s="3"/>
      <c r="D15" s="3">
        <v>200</v>
      </c>
      <c r="E15" s="3">
        <v>2200</v>
      </c>
      <c r="F15" s="3">
        <f t="shared" si="0"/>
        <v>2400</v>
      </c>
      <c r="G15" s="3">
        <v>2200</v>
      </c>
      <c r="H15" s="3">
        <f t="shared" si="1"/>
        <v>200</v>
      </c>
    </row>
    <row r="16" spans="1:9" x14ac:dyDescent="0.25">
      <c r="A16" s="24">
        <v>13</v>
      </c>
      <c r="B16" s="3" t="s">
        <v>38</v>
      </c>
      <c r="C16" s="3"/>
      <c r="D16" s="3"/>
      <c r="E16" s="3">
        <v>2200</v>
      </c>
      <c r="F16" s="3">
        <f t="shared" si="0"/>
        <v>2200</v>
      </c>
      <c r="G16" s="3">
        <v>2200</v>
      </c>
      <c r="H16" s="3">
        <f t="shared" si="1"/>
        <v>0</v>
      </c>
    </row>
    <row r="17" spans="1:12" x14ac:dyDescent="0.25">
      <c r="A17" s="24">
        <v>14</v>
      </c>
      <c r="B17" s="3" t="s">
        <v>50</v>
      </c>
      <c r="C17" s="3"/>
      <c r="D17" s="3"/>
      <c r="E17" s="3">
        <v>2200</v>
      </c>
      <c r="F17" s="3">
        <f t="shared" si="0"/>
        <v>2200</v>
      </c>
      <c r="G17" s="3"/>
      <c r="H17" s="3">
        <f t="shared" si="1"/>
        <v>2200</v>
      </c>
    </row>
    <row r="18" spans="1:12" x14ac:dyDescent="0.25">
      <c r="A18" s="24" t="s">
        <v>39</v>
      </c>
      <c r="B18" s="3" t="s">
        <v>40</v>
      </c>
      <c r="C18" s="3"/>
      <c r="D18" s="3"/>
      <c r="E18" s="3">
        <v>4000</v>
      </c>
      <c r="F18" s="3">
        <f t="shared" si="0"/>
        <v>4000</v>
      </c>
      <c r="G18" s="3">
        <v>4000</v>
      </c>
      <c r="H18" s="3">
        <f t="shared" si="1"/>
        <v>0</v>
      </c>
    </row>
    <row r="19" spans="1:12" x14ac:dyDescent="0.25">
      <c r="A19" s="3"/>
      <c r="B19" s="2" t="s">
        <v>49</v>
      </c>
      <c r="C19" s="2">
        <f t="shared" ref="C19:H19" si="2">SUM(C5:C18)</f>
        <v>0</v>
      </c>
      <c r="D19" s="2">
        <f t="shared" si="2"/>
        <v>500</v>
      </c>
      <c r="E19" s="2">
        <f>SUM(E5:E18)</f>
        <v>28200</v>
      </c>
      <c r="F19" s="2">
        <f>SUM(F5:F18)</f>
        <v>28700</v>
      </c>
      <c r="G19" s="2">
        <f t="shared" si="2"/>
        <v>25950</v>
      </c>
      <c r="H19" s="3">
        <f t="shared" si="2"/>
        <v>2750</v>
      </c>
    </row>
    <row r="20" spans="1:12" x14ac:dyDescent="0.25">
      <c r="A20" s="4"/>
      <c r="B20" s="5"/>
      <c r="C20" s="5"/>
      <c r="D20" s="5"/>
      <c r="E20" s="5"/>
      <c r="F20" s="5"/>
      <c r="G20" s="5"/>
      <c r="H20" s="4"/>
    </row>
    <row r="21" spans="1:12" x14ac:dyDescent="0.25">
      <c r="B21" s="6" t="s">
        <v>12</v>
      </c>
      <c r="C21" s="7"/>
      <c r="D21" s="8"/>
      <c r="E21" s="5"/>
      <c r="F21" s="9"/>
      <c r="G21" s="10"/>
      <c r="H21" s="9"/>
    </row>
    <row r="22" spans="1:12" x14ac:dyDescent="0.25">
      <c r="B22" s="1" t="s">
        <v>13</v>
      </c>
      <c r="C22" s="1"/>
      <c r="D22" s="1"/>
      <c r="E22" s="11"/>
      <c r="F22" s="1" t="s">
        <v>14</v>
      </c>
      <c r="G22" s="12"/>
      <c r="H22" s="12"/>
      <c r="I22" s="12"/>
    </row>
    <row r="23" spans="1:12" x14ac:dyDescent="0.25">
      <c r="B23" s="2" t="s">
        <v>15</v>
      </c>
      <c r="C23" s="2" t="s">
        <v>16</v>
      </c>
      <c r="D23" s="2" t="s">
        <v>17</v>
      </c>
      <c r="E23" s="2" t="s">
        <v>18</v>
      </c>
      <c r="F23" s="2" t="s">
        <v>15</v>
      </c>
      <c r="G23" s="2" t="s">
        <v>16</v>
      </c>
      <c r="H23" s="2" t="s">
        <v>17</v>
      </c>
      <c r="I23" s="2" t="s">
        <v>18</v>
      </c>
    </row>
    <row r="24" spans="1:12" x14ac:dyDescent="0.25">
      <c r="B24" s="13" t="s">
        <v>43</v>
      </c>
      <c r="C24" s="14">
        <f>E19</f>
        <v>28200</v>
      </c>
      <c r="D24" s="13"/>
      <c r="E24" s="13"/>
      <c r="F24" s="13" t="s">
        <v>43</v>
      </c>
      <c r="G24" s="14">
        <f>G19</f>
        <v>25950</v>
      </c>
      <c r="H24" s="13"/>
      <c r="I24" s="13"/>
      <c r="L24" s="15"/>
    </row>
    <row r="25" spans="1:12" x14ac:dyDescent="0.25">
      <c r="B25" s="13" t="s">
        <v>5</v>
      </c>
      <c r="C25" s="14">
        <f>SEPTEMBER!E34</f>
        <v>-14</v>
      </c>
      <c r="D25" s="13"/>
      <c r="E25" s="13"/>
      <c r="F25" s="13" t="s">
        <v>5</v>
      </c>
      <c r="G25" s="14">
        <f>SEPTEMBER!I34</f>
        <v>-514</v>
      </c>
      <c r="H25" s="13"/>
      <c r="I25" s="13"/>
    </row>
    <row r="26" spans="1:12" x14ac:dyDescent="0.25">
      <c r="B26" s="13" t="s">
        <v>20</v>
      </c>
      <c r="C26" s="16">
        <v>0.1</v>
      </c>
      <c r="D26" s="14">
        <f>C24*C26</f>
        <v>2820</v>
      </c>
      <c r="E26" s="13"/>
      <c r="F26" s="13" t="s">
        <v>20</v>
      </c>
      <c r="G26" s="16">
        <v>0.1</v>
      </c>
      <c r="H26" s="14">
        <f>D26</f>
        <v>2820</v>
      </c>
      <c r="I26" s="13"/>
    </row>
    <row r="27" spans="1:12" x14ac:dyDescent="0.25">
      <c r="B27" s="17" t="s">
        <v>21</v>
      </c>
      <c r="C27" s="13" t="s">
        <v>22</v>
      </c>
      <c r="D27" s="13"/>
      <c r="E27" s="13"/>
      <c r="F27" s="17" t="s">
        <v>21</v>
      </c>
      <c r="G27" s="14"/>
      <c r="H27" s="13"/>
      <c r="I27" s="13"/>
    </row>
    <row r="28" spans="1:12" x14ac:dyDescent="0.25">
      <c r="B28" s="18">
        <v>43380</v>
      </c>
      <c r="C28" s="3"/>
      <c r="D28" s="3">
        <v>511</v>
      </c>
      <c r="E28" s="3"/>
      <c r="F28" s="18">
        <v>43380</v>
      </c>
      <c r="G28" s="3"/>
      <c r="H28" s="3">
        <v>511</v>
      </c>
      <c r="I28" s="3"/>
    </row>
    <row r="29" spans="1:12" x14ac:dyDescent="0.25">
      <c r="B29" s="19">
        <v>43382</v>
      </c>
      <c r="C29" s="3"/>
      <c r="D29">
        <v>21255</v>
      </c>
      <c r="E29" s="3"/>
      <c r="F29" s="19">
        <v>43382</v>
      </c>
      <c r="G29" s="3"/>
      <c r="H29" s="3">
        <v>21255</v>
      </c>
      <c r="I29" s="3"/>
    </row>
    <row r="30" spans="1:12" x14ac:dyDescent="0.25">
      <c r="B30" s="20" t="s">
        <v>46</v>
      </c>
      <c r="C30" s="13"/>
      <c r="D30" s="13">
        <v>2200</v>
      </c>
      <c r="E30" s="13"/>
      <c r="F30" s="20" t="s">
        <v>46</v>
      </c>
      <c r="G30" s="13"/>
      <c r="H30" s="13">
        <v>2200</v>
      </c>
      <c r="I30" s="13"/>
    </row>
    <row r="31" spans="1:12" x14ac:dyDescent="0.25">
      <c r="B31" s="20">
        <v>43383</v>
      </c>
      <c r="C31" s="13"/>
      <c r="D31" s="13">
        <v>1400</v>
      </c>
      <c r="E31" s="13"/>
      <c r="F31" s="20">
        <v>43383</v>
      </c>
      <c r="G31" s="13"/>
      <c r="H31" s="13">
        <v>1400</v>
      </c>
      <c r="I31" s="13"/>
    </row>
    <row r="32" spans="1:12" x14ac:dyDescent="0.25">
      <c r="B32" s="21"/>
      <c r="C32" s="13"/>
      <c r="D32" s="13"/>
      <c r="E32" s="13"/>
      <c r="F32" s="19"/>
      <c r="G32" s="3"/>
      <c r="H32" s="22"/>
      <c r="I32" s="13"/>
    </row>
    <row r="33" spans="2:9" x14ac:dyDescent="0.25">
      <c r="B33" s="19"/>
      <c r="C33" s="3"/>
      <c r="D33" s="22"/>
      <c r="E33" s="13"/>
      <c r="F33" s="3"/>
      <c r="G33" s="3"/>
      <c r="H33" s="3"/>
      <c r="I33" s="13"/>
    </row>
    <row r="34" spans="2:9" x14ac:dyDescent="0.25">
      <c r="B34" s="26" t="s">
        <v>11</v>
      </c>
      <c r="C34" s="27">
        <f>C24+C25</f>
        <v>28186</v>
      </c>
      <c r="D34" s="27">
        <f>SUM(D26:D33)</f>
        <v>28186</v>
      </c>
      <c r="E34" s="27">
        <f>C34-D34</f>
        <v>0</v>
      </c>
      <c r="F34" s="26" t="s">
        <v>11</v>
      </c>
      <c r="G34" s="27">
        <f>G24+G25</f>
        <v>25436</v>
      </c>
      <c r="H34" s="27">
        <f>SUM(H26:H33)</f>
        <v>28186</v>
      </c>
      <c r="I34" s="28">
        <f>G34-H34</f>
        <v>-2750</v>
      </c>
    </row>
    <row r="36" spans="2:9" x14ac:dyDescent="0.25">
      <c r="B36" t="s">
        <v>23</v>
      </c>
      <c r="D36" t="s">
        <v>24</v>
      </c>
      <c r="G36" t="s">
        <v>25</v>
      </c>
    </row>
    <row r="38" spans="2:9" x14ac:dyDescent="0.25">
      <c r="B38" t="s">
        <v>26</v>
      </c>
      <c r="D38" t="s">
        <v>27</v>
      </c>
      <c r="G38" t="s">
        <v>46</v>
      </c>
    </row>
  </sheetData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workbookViewId="0">
      <selection activeCell="N8" sqref="N8"/>
    </sheetView>
  </sheetViews>
  <sheetFormatPr defaultRowHeight="15" x14ac:dyDescent="0.25"/>
  <cols>
    <col min="2" max="2" width="19.28515625" customWidth="1"/>
  </cols>
  <sheetData>
    <row r="1" spans="1:17" x14ac:dyDescent="0.25">
      <c r="C1" s="1" t="s">
        <v>28</v>
      </c>
      <c r="D1" s="1"/>
      <c r="E1" s="1"/>
      <c r="F1" s="1"/>
      <c r="G1" s="1"/>
      <c r="H1" s="1"/>
    </row>
    <row r="2" spans="1:17" x14ac:dyDescent="0.25">
      <c r="B2" s="1"/>
      <c r="C2" s="1" t="s">
        <v>0</v>
      </c>
      <c r="D2" s="1"/>
      <c r="E2" s="1"/>
      <c r="F2" s="1"/>
      <c r="G2" s="1"/>
      <c r="H2" s="1"/>
    </row>
    <row r="3" spans="1:17" x14ac:dyDescent="0.25">
      <c r="B3" s="1"/>
      <c r="C3" s="1" t="s">
        <v>151</v>
      </c>
      <c r="D3" s="1"/>
      <c r="E3" s="1"/>
      <c r="F3" s="1"/>
      <c r="G3" s="1"/>
      <c r="H3" s="1"/>
    </row>
    <row r="4" spans="1:17" x14ac:dyDescent="0.25">
      <c r="A4" t="s">
        <v>110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</row>
    <row r="5" spans="1:17" x14ac:dyDescent="0.25">
      <c r="A5">
        <v>1</v>
      </c>
      <c r="B5" s="3" t="s">
        <v>82</v>
      </c>
      <c r="C5" s="3"/>
      <c r="D5" s="3">
        <f>'MARCH 20'!H5:H19</f>
        <v>1700</v>
      </c>
      <c r="E5" s="3">
        <v>2500</v>
      </c>
      <c r="F5" s="3">
        <f>D5+E5</f>
        <v>4200</v>
      </c>
      <c r="G5" s="3">
        <f>2000</f>
        <v>2000</v>
      </c>
      <c r="H5" s="3">
        <f>F5-G5</f>
        <v>2200</v>
      </c>
      <c r="I5" t="s">
        <v>154</v>
      </c>
      <c r="J5">
        <f>1700+2500+2500+2500+2500</f>
        <v>11700</v>
      </c>
    </row>
    <row r="6" spans="1:17" x14ac:dyDescent="0.25">
      <c r="A6">
        <v>2</v>
      </c>
      <c r="B6" s="29"/>
      <c r="C6" s="3"/>
      <c r="D6" s="3">
        <f>'MARCH 20'!H6:H20</f>
        <v>0</v>
      </c>
      <c r="E6" s="3"/>
      <c r="F6" s="3">
        <f t="shared" ref="F6:F19" si="0">D6+E6</f>
        <v>0</v>
      </c>
      <c r="G6" s="3"/>
      <c r="H6" s="3">
        <f t="shared" ref="H6:H18" si="1">F6-G6</f>
        <v>0</v>
      </c>
    </row>
    <row r="7" spans="1:17" x14ac:dyDescent="0.25">
      <c r="A7">
        <v>3</v>
      </c>
      <c r="B7" s="3" t="s">
        <v>147</v>
      </c>
      <c r="C7" s="3"/>
      <c r="D7" s="3">
        <f>'MARCH 20'!H7:H21</f>
        <v>0</v>
      </c>
      <c r="E7" s="3">
        <v>2500</v>
      </c>
      <c r="F7" s="3">
        <f t="shared" si="0"/>
        <v>2500</v>
      </c>
      <c r="G7" s="3"/>
      <c r="H7" s="3">
        <f t="shared" si="1"/>
        <v>2500</v>
      </c>
      <c r="I7" t="s">
        <v>156</v>
      </c>
    </row>
    <row r="8" spans="1:17" x14ac:dyDescent="0.25">
      <c r="A8">
        <v>4</v>
      </c>
      <c r="B8" s="3" t="s">
        <v>105</v>
      </c>
      <c r="C8" s="3"/>
      <c r="D8" s="3">
        <f>'MARCH 20'!H8:H22</f>
        <v>300</v>
      </c>
      <c r="E8" s="3">
        <v>2500</v>
      </c>
      <c r="F8" s="3">
        <f t="shared" si="0"/>
        <v>2800</v>
      </c>
      <c r="G8" s="17">
        <v>2500</v>
      </c>
      <c r="H8" s="3">
        <f t="shared" si="1"/>
        <v>300</v>
      </c>
      <c r="K8">
        <f>G8+G10+G15+G17+G18+2100</f>
        <v>13400</v>
      </c>
    </row>
    <row r="9" spans="1:17" x14ac:dyDescent="0.25">
      <c r="A9">
        <v>5</v>
      </c>
      <c r="B9" s="3" t="s">
        <v>47</v>
      </c>
      <c r="C9" s="3"/>
      <c r="D9" s="3">
        <f>'MARCH 20'!H9:H23</f>
        <v>3000</v>
      </c>
      <c r="E9" s="3">
        <v>2500</v>
      </c>
      <c r="F9" s="3">
        <f t="shared" si="0"/>
        <v>5500</v>
      </c>
      <c r="G9" s="3">
        <v>5500</v>
      </c>
      <c r="H9" s="3">
        <f t="shared" si="1"/>
        <v>0</v>
      </c>
      <c r="I9" t="s">
        <v>119</v>
      </c>
    </row>
    <row r="10" spans="1:17" x14ac:dyDescent="0.25">
      <c r="A10">
        <v>6</v>
      </c>
      <c r="B10" s="3" t="s">
        <v>123</v>
      </c>
      <c r="C10" s="3"/>
      <c r="D10" s="3">
        <f>'MARCH 20'!H10:H24</f>
        <v>1800</v>
      </c>
      <c r="E10" s="3">
        <v>2500</v>
      </c>
      <c r="F10" s="3">
        <f t="shared" si="0"/>
        <v>4300</v>
      </c>
      <c r="G10" s="17">
        <f>1000+500+500+500</f>
        <v>2500</v>
      </c>
      <c r="H10" s="3">
        <f t="shared" si="1"/>
        <v>1800</v>
      </c>
    </row>
    <row r="11" spans="1:17" x14ac:dyDescent="0.25">
      <c r="A11">
        <v>7</v>
      </c>
      <c r="B11" s="29"/>
      <c r="C11" s="3"/>
      <c r="D11" s="3">
        <f>'MARCH 20'!H11:H25</f>
        <v>0</v>
      </c>
      <c r="E11" s="3"/>
      <c r="F11" s="3">
        <f t="shared" si="0"/>
        <v>0</v>
      </c>
      <c r="G11" s="3"/>
      <c r="H11" s="3">
        <f t="shared" si="1"/>
        <v>0</v>
      </c>
    </row>
    <row r="12" spans="1:17" x14ac:dyDescent="0.25">
      <c r="A12">
        <v>8</v>
      </c>
      <c r="B12" s="3"/>
      <c r="C12" s="3"/>
      <c r="D12" s="3">
        <f>'MARCH 20'!H12:H26</f>
        <v>0</v>
      </c>
      <c r="E12" s="3"/>
      <c r="F12" s="3">
        <f t="shared" si="0"/>
        <v>0</v>
      </c>
      <c r="G12" s="3"/>
      <c r="H12" s="3">
        <f>F12-G12</f>
        <v>0</v>
      </c>
    </row>
    <row r="13" spans="1:17" x14ac:dyDescent="0.25">
      <c r="A13">
        <v>9</v>
      </c>
      <c r="B13" s="3" t="s">
        <v>107</v>
      </c>
      <c r="C13" s="3"/>
      <c r="D13" s="3">
        <f>'MARCH 20'!H13:H27</f>
        <v>0</v>
      </c>
      <c r="E13" s="3">
        <v>2500</v>
      </c>
      <c r="F13" s="3">
        <f t="shared" si="0"/>
        <v>2500</v>
      </c>
      <c r="G13" s="3">
        <v>2500</v>
      </c>
      <c r="H13" s="3">
        <f t="shared" si="1"/>
        <v>0</v>
      </c>
      <c r="I13" t="s">
        <v>48</v>
      </c>
      <c r="M13" t="s">
        <v>206</v>
      </c>
      <c r="P13">
        <f>G8+G10+G15+G16+G17+G18</f>
        <v>13400</v>
      </c>
    </row>
    <row r="14" spans="1:17" x14ac:dyDescent="0.25">
      <c r="A14">
        <v>10</v>
      </c>
      <c r="B14" s="3" t="s">
        <v>149</v>
      </c>
      <c r="C14" s="3"/>
      <c r="D14" s="3">
        <f>'MARCH 20'!H14:H28</f>
        <v>0</v>
      </c>
      <c r="E14" s="3">
        <v>2500</v>
      </c>
      <c r="F14" s="3">
        <f t="shared" si="0"/>
        <v>2500</v>
      </c>
      <c r="G14" s="3"/>
      <c r="H14" s="3">
        <f t="shared" si="1"/>
        <v>2500</v>
      </c>
      <c r="I14" t="s">
        <v>189</v>
      </c>
      <c r="M14" t="s">
        <v>208</v>
      </c>
      <c r="Q14">
        <v>2500</v>
      </c>
    </row>
    <row r="15" spans="1:17" x14ac:dyDescent="0.25">
      <c r="A15">
        <v>11</v>
      </c>
      <c r="B15" s="44" t="s">
        <v>148</v>
      </c>
      <c r="C15" s="3"/>
      <c r="D15" s="3">
        <f>'MARCH 20'!H15:H29</f>
        <v>0</v>
      </c>
      <c r="E15" s="3">
        <v>2500</v>
      </c>
      <c r="F15" s="3">
        <f t="shared" si="0"/>
        <v>2500</v>
      </c>
      <c r="G15" s="17">
        <v>1300</v>
      </c>
      <c r="H15" s="3">
        <f t="shared" si="1"/>
        <v>1200</v>
      </c>
      <c r="M15" t="s">
        <v>74</v>
      </c>
      <c r="N15" t="s">
        <v>207</v>
      </c>
      <c r="Q15">
        <v>2500</v>
      </c>
    </row>
    <row r="16" spans="1:17" x14ac:dyDescent="0.25">
      <c r="A16">
        <v>12</v>
      </c>
      <c r="B16" s="3" t="s">
        <v>37</v>
      </c>
      <c r="C16" s="3"/>
      <c r="D16" s="3">
        <f>'MARCH 20'!H16:H30</f>
        <v>200</v>
      </c>
      <c r="E16" s="3">
        <v>2500</v>
      </c>
      <c r="F16" s="3">
        <f t="shared" si="0"/>
        <v>2700</v>
      </c>
      <c r="G16" s="17">
        <v>2100</v>
      </c>
      <c r="H16" s="3">
        <f t="shared" si="1"/>
        <v>600</v>
      </c>
      <c r="M16" t="s">
        <v>223</v>
      </c>
      <c r="Q16">
        <v>350</v>
      </c>
    </row>
    <row r="17" spans="1:17" x14ac:dyDescent="0.25">
      <c r="A17">
        <v>13</v>
      </c>
      <c r="B17" s="3" t="s">
        <v>99</v>
      </c>
      <c r="C17" s="3"/>
      <c r="D17" s="3">
        <f>'MARCH 20'!H17:H31</f>
        <v>0</v>
      </c>
      <c r="E17" s="3">
        <v>2500</v>
      </c>
      <c r="F17" s="3">
        <f t="shared" si="0"/>
        <v>2500</v>
      </c>
      <c r="G17" s="17">
        <v>2500</v>
      </c>
      <c r="H17" s="3">
        <f t="shared" si="1"/>
        <v>0</v>
      </c>
      <c r="O17" t="s">
        <v>209</v>
      </c>
      <c r="P17" s="6">
        <f>P13-Q14-Q15-Q16</f>
        <v>8050</v>
      </c>
    </row>
    <row r="18" spans="1:17" x14ac:dyDescent="0.25">
      <c r="A18">
        <v>14</v>
      </c>
      <c r="B18" s="13" t="s">
        <v>62</v>
      </c>
      <c r="C18" s="13"/>
      <c r="D18" s="3">
        <f>'MARCH 20'!H18:H32</f>
        <v>700</v>
      </c>
      <c r="E18" s="13">
        <v>2500</v>
      </c>
      <c r="F18" s="3">
        <f t="shared" si="0"/>
        <v>3200</v>
      </c>
      <c r="G18" s="17">
        <v>2500</v>
      </c>
      <c r="H18" s="13">
        <f t="shared" si="1"/>
        <v>700</v>
      </c>
      <c r="N18" t="s">
        <v>210</v>
      </c>
      <c r="Q18">
        <v>3200</v>
      </c>
    </row>
    <row r="19" spans="1:17" x14ac:dyDescent="0.25">
      <c r="A19">
        <v>15</v>
      </c>
      <c r="B19" s="3" t="s">
        <v>35</v>
      </c>
      <c r="C19" s="3"/>
      <c r="D19" s="3">
        <f>'MARCH 20'!H19:H33</f>
        <v>500</v>
      </c>
      <c r="E19" s="3">
        <v>4500</v>
      </c>
      <c r="F19" s="3">
        <f t="shared" si="0"/>
        <v>5000</v>
      </c>
      <c r="G19" s="3"/>
      <c r="H19" s="3">
        <f>F19-G19</f>
        <v>5000</v>
      </c>
      <c r="I19" t="s">
        <v>157</v>
      </c>
      <c r="N19" t="s">
        <v>211</v>
      </c>
      <c r="P19" s="6">
        <f>P17-Q18</f>
        <v>4850</v>
      </c>
    </row>
    <row r="20" spans="1:17" x14ac:dyDescent="0.25">
      <c r="B20" s="30" t="s">
        <v>64</v>
      </c>
      <c r="C20" s="30">
        <f t="shared" ref="C20:H20" si="2">SUM(C5:C19)</f>
        <v>0</v>
      </c>
      <c r="D20" s="3">
        <f>SUM(D5:D19)</f>
        <v>8200</v>
      </c>
      <c r="E20" s="30">
        <f t="shared" si="2"/>
        <v>32000</v>
      </c>
      <c r="F20" s="30">
        <f t="shared" si="2"/>
        <v>40200</v>
      </c>
      <c r="G20" s="30">
        <f t="shared" si="2"/>
        <v>23400</v>
      </c>
      <c r="H20" s="30">
        <f t="shared" si="2"/>
        <v>16800</v>
      </c>
      <c r="I20" s="31"/>
      <c r="M20" t="s">
        <v>212</v>
      </c>
      <c r="Q20">
        <f>3000+2030</f>
        <v>5030</v>
      </c>
    </row>
    <row r="21" spans="1:17" x14ac:dyDescent="0.25">
      <c r="B21" s="33"/>
      <c r="C21" s="33"/>
      <c r="D21" s="33"/>
      <c r="E21" s="33"/>
      <c r="F21" s="33"/>
      <c r="G21" s="33"/>
      <c r="H21" s="32"/>
      <c r="I21" s="31"/>
      <c r="N21" t="s">
        <v>213</v>
      </c>
      <c r="P21">
        <f>P19-Q20</f>
        <v>-180</v>
      </c>
    </row>
    <row r="22" spans="1:17" x14ac:dyDescent="0.25">
      <c r="B22" s="31" t="s">
        <v>12</v>
      </c>
      <c r="C22" s="34"/>
      <c r="D22" s="8"/>
      <c r="E22" s="33"/>
      <c r="F22" s="46"/>
      <c r="G22" s="10">
        <f>G17+G18+G15+G10+G8+1000</f>
        <v>12300</v>
      </c>
      <c r="H22" s="35">
        <f>G20-G22</f>
        <v>11100</v>
      </c>
      <c r="I22" s="31"/>
      <c r="L22" t="s">
        <v>224</v>
      </c>
      <c r="Q22">
        <v>3000</v>
      </c>
    </row>
    <row r="23" spans="1:17" x14ac:dyDescent="0.25">
      <c r="B23" s="36" t="s">
        <v>13</v>
      </c>
      <c r="C23" s="36"/>
      <c r="D23" s="36"/>
      <c r="E23" s="37"/>
      <c r="F23" s="36" t="s">
        <v>14</v>
      </c>
      <c r="G23" s="31"/>
      <c r="H23" s="31"/>
      <c r="I23" s="31"/>
      <c r="L23" t="s">
        <v>218</v>
      </c>
      <c r="Q23">
        <v>1700</v>
      </c>
    </row>
    <row r="24" spans="1:17" x14ac:dyDescent="0.25">
      <c r="B24" s="30" t="s">
        <v>15</v>
      </c>
      <c r="C24" s="30" t="s">
        <v>16</v>
      </c>
      <c r="D24" s="30" t="s">
        <v>17</v>
      </c>
      <c r="E24" s="30" t="s">
        <v>18</v>
      </c>
      <c r="F24" s="30" t="s">
        <v>15</v>
      </c>
      <c r="G24" s="30" t="s">
        <v>16</v>
      </c>
      <c r="H24" s="30" t="s">
        <v>17</v>
      </c>
      <c r="I24" s="30" t="s">
        <v>18</v>
      </c>
      <c r="M24" t="s">
        <v>214</v>
      </c>
      <c r="P24" s="6">
        <f>P21-Q22-Q23</f>
        <v>-4880</v>
      </c>
    </row>
    <row r="25" spans="1:17" x14ac:dyDescent="0.25">
      <c r="B25" s="29" t="s">
        <v>77</v>
      </c>
      <c r="C25" s="38">
        <f>E20</f>
        <v>32000</v>
      </c>
      <c r="D25" s="29"/>
      <c r="E25" s="29"/>
      <c r="F25" s="29" t="s">
        <v>77</v>
      </c>
      <c r="G25" s="38">
        <f>G20</f>
        <v>23400</v>
      </c>
      <c r="H25" s="29"/>
      <c r="I25" s="29"/>
    </row>
    <row r="26" spans="1:17" x14ac:dyDescent="0.25">
      <c r="B26" s="29" t="s">
        <v>5</v>
      </c>
      <c r="C26" s="38">
        <f>'MARCH 20'!E37</f>
        <v>-5332</v>
      </c>
      <c r="D26" s="29"/>
      <c r="E26" s="29"/>
      <c r="F26" s="29" t="s">
        <v>5</v>
      </c>
      <c r="G26" s="38">
        <f>'MARCH 20'!I37</f>
        <v>-13802</v>
      </c>
      <c r="H26" s="29"/>
      <c r="I26" s="29"/>
      <c r="K26" s="15">
        <f>G25-H32-H33</f>
        <v>13400</v>
      </c>
      <c r="L26" s="15">
        <f>K26-5030</f>
        <v>8370</v>
      </c>
    </row>
    <row r="27" spans="1:17" x14ac:dyDescent="0.25">
      <c r="B27" s="29" t="s">
        <v>70</v>
      </c>
      <c r="C27" s="38"/>
      <c r="D27" s="29"/>
      <c r="E27" s="29"/>
      <c r="F27" s="29" t="s">
        <v>70</v>
      </c>
      <c r="G27" s="38"/>
      <c r="H27" s="29"/>
      <c r="I27" s="29"/>
      <c r="K27" s="15">
        <f>K26-H28</f>
        <v>10200</v>
      </c>
      <c r="L27" s="15">
        <f>L26-H28</f>
        <v>5170</v>
      </c>
    </row>
    <row r="28" spans="1:17" x14ac:dyDescent="0.25">
      <c r="B28" s="29" t="s">
        <v>20</v>
      </c>
      <c r="C28" s="39">
        <v>0.1</v>
      </c>
      <c r="D28" s="38">
        <f>C28*C25</f>
        <v>3200</v>
      </c>
      <c r="E28" s="29"/>
      <c r="F28" s="29" t="s">
        <v>20</v>
      </c>
      <c r="G28" s="39">
        <v>0.1</v>
      </c>
      <c r="H28" s="38">
        <f>G28*C25</f>
        <v>3200</v>
      </c>
      <c r="I28" s="29"/>
      <c r="K28" s="15"/>
      <c r="L28" s="15">
        <f>L27-5350</f>
        <v>-180</v>
      </c>
    </row>
    <row r="29" spans="1:17" x14ac:dyDescent="0.25">
      <c r="B29" s="30" t="s">
        <v>21</v>
      </c>
      <c r="C29" s="30" t="s">
        <v>22</v>
      </c>
      <c r="D29" s="30"/>
      <c r="E29" s="30"/>
      <c r="F29" s="30" t="s">
        <v>21</v>
      </c>
      <c r="G29" s="40"/>
      <c r="H29" s="30"/>
      <c r="I29" s="30"/>
    </row>
    <row r="30" spans="1:17" x14ac:dyDescent="0.25">
      <c r="B30" s="41" t="s">
        <v>152</v>
      </c>
      <c r="C30" s="29"/>
      <c r="D30" s="29">
        <v>3000</v>
      </c>
      <c r="E30" s="29"/>
      <c r="F30" s="41" t="s">
        <v>152</v>
      </c>
      <c r="G30" s="29"/>
      <c r="H30" s="29">
        <v>3000</v>
      </c>
      <c r="I30" s="29"/>
      <c r="K30" s="15"/>
    </row>
    <row r="31" spans="1:17" x14ac:dyDescent="0.25">
      <c r="B31" s="42" t="s">
        <v>152</v>
      </c>
      <c r="C31" s="29"/>
      <c r="D31" s="31">
        <v>2030</v>
      </c>
      <c r="E31" s="29"/>
      <c r="F31" s="42" t="s">
        <v>152</v>
      </c>
      <c r="G31" s="29"/>
      <c r="H31" s="31">
        <v>2030</v>
      </c>
      <c r="I31" s="29"/>
      <c r="K31" s="15"/>
    </row>
    <row r="32" spans="1:17" x14ac:dyDescent="0.25">
      <c r="B32" s="42" t="s">
        <v>165</v>
      </c>
      <c r="C32" s="29"/>
      <c r="D32" s="29">
        <f>E13+2000</f>
        <v>4500</v>
      </c>
      <c r="E32" s="29"/>
      <c r="F32" s="42" t="s">
        <v>155</v>
      </c>
      <c r="G32" s="29" t="s">
        <v>166</v>
      </c>
      <c r="H32" s="29">
        <f>E13+2000</f>
        <v>4500</v>
      </c>
      <c r="I32" s="29"/>
      <c r="J32" s="15"/>
    </row>
    <row r="33" spans="2:12" x14ac:dyDescent="0.25">
      <c r="B33" s="42" t="s">
        <v>205</v>
      </c>
      <c r="C33" s="29"/>
      <c r="D33" s="29">
        <f>5500</f>
        <v>5500</v>
      </c>
      <c r="E33" s="29"/>
      <c r="F33" s="42" t="s">
        <v>205</v>
      </c>
      <c r="G33" s="29"/>
      <c r="H33" s="29">
        <v>5500</v>
      </c>
      <c r="I33" s="29"/>
      <c r="J33" s="15"/>
    </row>
    <row r="34" spans="2:12" x14ac:dyDescent="0.25">
      <c r="B34" s="43"/>
      <c r="C34" s="29"/>
      <c r="D34" s="29"/>
      <c r="E34" s="29"/>
      <c r="F34" s="43"/>
      <c r="G34" s="29"/>
      <c r="H34" s="29"/>
      <c r="I34" s="29"/>
      <c r="J34" s="15"/>
    </row>
    <row r="35" spans="2:12" x14ac:dyDescent="0.25">
      <c r="B35" s="42"/>
      <c r="C35" s="29"/>
      <c r="D35" s="44"/>
      <c r="E35" s="29"/>
      <c r="F35" s="29"/>
      <c r="G35" s="29"/>
      <c r="H35" s="29"/>
      <c r="I35" s="29"/>
    </row>
    <row r="36" spans="2:12" x14ac:dyDescent="0.25">
      <c r="B36" s="30" t="s">
        <v>11</v>
      </c>
      <c r="C36" s="40">
        <f>C25+C26+C27-D28</f>
        <v>23468</v>
      </c>
      <c r="D36" s="40">
        <f>SUM(D30:D35)</f>
        <v>15030</v>
      </c>
      <c r="E36" s="40">
        <f>C36-D36</f>
        <v>8438</v>
      </c>
      <c r="F36" s="30" t="s">
        <v>11</v>
      </c>
      <c r="G36" s="40">
        <f>G25+G26+G27-H28</f>
        <v>6398</v>
      </c>
      <c r="H36" s="40">
        <f>SUM(H30:H35)</f>
        <v>15030</v>
      </c>
      <c r="I36" s="40">
        <f>G36-H36</f>
        <v>-8632</v>
      </c>
      <c r="L36" s="15"/>
    </row>
    <row r="37" spans="2:12" x14ac:dyDescent="0.25">
      <c r="B37" s="31"/>
      <c r="C37" s="31"/>
      <c r="D37" s="31"/>
      <c r="E37" s="31"/>
      <c r="F37" s="31"/>
      <c r="G37" s="31"/>
      <c r="H37" s="31"/>
      <c r="I37" s="31"/>
      <c r="L37" s="15"/>
    </row>
    <row r="38" spans="2:12" x14ac:dyDescent="0.25">
      <c r="B38" s="31" t="s">
        <v>23</v>
      </c>
      <c r="C38" s="31"/>
      <c r="D38" s="31" t="s">
        <v>24</v>
      </c>
      <c r="E38" s="31"/>
      <c r="F38" s="31"/>
      <c r="G38" s="31" t="s">
        <v>25</v>
      </c>
      <c r="H38" s="31"/>
      <c r="I38" s="31"/>
    </row>
    <row r="39" spans="2:12" x14ac:dyDescent="0.25">
      <c r="B39" s="31"/>
      <c r="C39" s="31"/>
      <c r="D39" s="31"/>
      <c r="E39" s="31"/>
      <c r="F39" s="31"/>
      <c r="G39" s="31"/>
      <c r="H39" s="31"/>
      <c r="I39" s="31"/>
    </row>
    <row r="40" spans="2:12" x14ac:dyDescent="0.25">
      <c r="B40" s="31" t="s">
        <v>108</v>
      </c>
      <c r="C40" s="31"/>
      <c r="D40" s="31" t="s">
        <v>27</v>
      </c>
      <c r="E40" s="31"/>
      <c r="F40" s="31"/>
      <c r="G40" s="31" t="s">
        <v>46</v>
      </c>
      <c r="H40" s="31"/>
      <c r="I40" s="31"/>
    </row>
  </sheetData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opLeftCell="B1" workbookViewId="0">
      <selection activeCell="D8" sqref="D8"/>
    </sheetView>
  </sheetViews>
  <sheetFormatPr defaultRowHeight="15" x14ac:dyDescent="0.25"/>
  <cols>
    <col min="1" max="1" width="4.28515625" customWidth="1"/>
    <col min="2" max="2" width="19.28515625" bestFit="1" customWidth="1"/>
    <col min="6" max="6" width="10.42578125" customWidth="1"/>
  </cols>
  <sheetData>
    <row r="1" spans="1:9" x14ac:dyDescent="0.25">
      <c r="C1" s="1" t="s">
        <v>28</v>
      </c>
      <c r="D1" s="1"/>
      <c r="E1" s="1"/>
      <c r="F1" s="1"/>
      <c r="G1" s="1"/>
      <c r="H1" s="1"/>
    </row>
    <row r="2" spans="1:9" x14ac:dyDescent="0.25">
      <c r="B2" s="1"/>
      <c r="C2" s="1" t="s">
        <v>0</v>
      </c>
      <c r="D2" s="1"/>
      <c r="E2" s="1"/>
      <c r="F2" s="1"/>
      <c r="G2" s="1"/>
      <c r="H2" s="1"/>
    </row>
    <row r="3" spans="1:9" x14ac:dyDescent="0.25">
      <c r="B3" s="1"/>
      <c r="C3" s="1" t="s">
        <v>153</v>
      </c>
      <c r="D3" s="1"/>
      <c r="E3" s="1"/>
      <c r="F3" s="1"/>
      <c r="G3" s="1"/>
      <c r="H3" s="1"/>
    </row>
    <row r="4" spans="1:9" x14ac:dyDescent="0.25">
      <c r="A4" t="s">
        <v>110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</row>
    <row r="5" spans="1:9" x14ac:dyDescent="0.25">
      <c r="A5">
        <v>1</v>
      </c>
      <c r="B5" s="3" t="s">
        <v>82</v>
      </c>
      <c r="C5" s="3"/>
      <c r="D5" s="3">
        <f>'APRIL 20'!H5:H19</f>
        <v>2200</v>
      </c>
      <c r="E5" s="3">
        <v>2500</v>
      </c>
      <c r="F5" s="3">
        <f>D5+E5</f>
        <v>4700</v>
      </c>
      <c r="G5" s="3">
        <f>1000+2000</f>
        <v>3000</v>
      </c>
      <c r="H5" s="3">
        <f>F5-G5</f>
        <v>1700</v>
      </c>
      <c r="I5" t="s">
        <v>160</v>
      </c>
    </row>
    <row r="6" spans="1:9" x14ac:dyDescent="0.25">
      <c r="A6">
        <v>2</v>
      </c>
      <c r="B6" s="29"/>
      <c r="C6" s="3"/>
      <c r="D6" s="3">
        <f>'APRIL 20'!H6:H20</f>
        <v>0</v>
      </c>
      <c r="E6" s="3"/>
      <c r="F6" s="3">
        <f t="shared" ref="F6:F19" si="0">D6+E6</f>
        <v>0</v>
      </c>
      <c r="G6" s="3"/>
      <c r="H6" s="3">
        <f t="shared" ref="H6:H18" si="1">F6-G6</f>
        <v>0</v>
      </c>
    </row>
    <row r="7" spans="1:9" x14ac:dyDescent="0.25">
      <c r="A7">
        <v>3</v>
      </c>
      <c r="B7" s="3" t="s">
        <v>147</v>
      </c>
      <c r="C7" s="3"/>
      <c r="D7" s="3">
        <f>'APRIL 20'!H7:H21</f>
        <v>2500</v>
      </c>
      <c r="E7" s="3">
        <v>2500</v>
      </c>
      <c r="F7" s="3">
        <f t="shared" si="0"/>
        <v>5000</v>
      </c>
      <c r="G7" s="3"/>
      <c r="H7" s="3">
        <f t="shared" si="1"/>
        <v>5000</v>
      </c>
      <c r="I7" t="s">
        <v>164</v>
      </c>
    </row>
    <row r="8" spans="1:9" x14ac:dyDescent="0.25">
      <c r="A8">
        <v>4</v>
      </c>
      <c r="B8" s="3" t="s">
        <v>105</v>
      </c>
      <c r="C8" s="3"/>
      <c r="D8" s="3">
        <f>'APRIL 20'!H8:H22</f>
        <v>300</v>
      </c>
      <c r="E8" s="3">
        <v>2500</v>
      </c>
      <c r="F8" s="3">
        <f t="shared" si="0"/>
        <v>2800</v>
      </c>
      <c r="G8" s="17">
        <v>2500</v>
      </c>
      <c r="H8" s="3">
        <f t="shared" si="1"/>
        <v>300</v>
      </c>
    </row>
    <row r="9" spans="1:9" x14ac:dyDescent="0.25">
      <c r="A9">
        <v>5</v>
      </c>
      <c r="B9" s="3" t="s">
        <v>47</v>
      </c>
      <c r="C9" s="3"/>
      <c r="D9" s="3">
        <f>'APRIL 20'!H9:H23</f>
        <v>0</v>
      </c>
      <c r="E9" s="3"/>
      <c r="F9" s="3">
        <f t="shared" si="0"/>
        <v>0</v>
      </c>
      <c r="G9" s="3"/>
      <c r="H9" s="3">
        <f t="shared" si="1"/>
        <v>0</v>
      </c>
    </row>
    <row r="10" spans="1:9" x14ac:dyDescent="0.25">
      <c r="A10">
        <v>6</v>
      </c>
      <c r="B10" s="3" t="s">
        <v>123</v>
      </c>
      <c r="C10" s="3"/>
      <c r="D10" s="3">
        <f>'APRIL 20'!H10:H24</f>
        <v>1800</v>
      </c>
      <c r="E10" s="3">
        <v>2500</v>
      </c>
      <c r="F10" s="3">
        <f t="shared" si="0"/>
        <v>4300</v>
      </c>
      <c r="G10" s="17">
        <f>1000+500+500+500</f>
        <v>2500</v>
      </c>
      <c r="H10" s="3">
        <f t="shared" si="1"/>
        <v>1800</v>
      </c>
    </row>
    <row r="11" spans="1:9" x14ac:dyDescent="0.25">
      <c r="A11">
        <v>7</v>
      </c>
      <c r="B11" s="29"/>
      <c r="C11" s="3"/>
      <c r="D11" s="3">
        <f>'APRIL 20'!H11:H25</f>
        <v>0</v>
      </c>
      <c r="E11" s="3"/>
      <c r="F11" s="3">
        <f t="shared" si="0"/>
        <v>0</v>
      </c>
      <c r="G11" s="3"/>
      <c r="H11" s="3">
        <f t="shared" si="1"/>
        <v>0</v>
      </c>
    </row>
    <row r="12" spans="1:9" x14ac:dyDescent="0.25">
      <c r="A12">
        <v>8</v>
      </c>
      <c r="B12" s="3" t="s">
        <v>41</v>
      </c>
      <c r="C12" s="3"/>
      <c r="D12" s="3">
        <f>'APRIL 20'!H12:H26</f>
        <v>0</v>
      </c>
      <c r="E12" s="3"/>
      <c r="F12" s="3">
        <f t="shared" si="0"/>
        <v>0</v>
      </c>
      <c r="G12" s="3"/>
      <c r="H12" s="3">
        <f>F12-G12</f>
        <v>0</v>
      </c>
    </row>
    <row r="13" spans="1:9" x14ac:dyDescent="0.25">
      <c r="A13">
        <v>9</v>
      </c>
      <c r="B13" s="3" t="s">
        <v>107</v>
      </c>
      <c r="C13" s="3"/>
      <c r="D13" s="3">
        <f>'APRIL 20'!H13:H27</f>
        <v>0</v>
      </c>
      <c r="E13" s="3">
        <v>2500</v>
      </c>
      <c r="F13" s="3">
        <f t="shared" si="0"/>
        <v>2500</v>
      </c>
      <c r="G13" s="3"/>
      <c r="H13" s="3">
        <f t="shared" si="1"/>
        <v>2500</v>
      </c>
    </row>
    <row r="14" spans="1:9" x14ac:dyDescent="0.25">
      <c r="A14">
        <v>10</v>
      </c>
      <c r="B14" s="3" t="s">
        <v>149</v>
      </c>
      <c r="C14" s="3"/>
      <c r="D14" s="3">
        <f>'APRIL 20'!H14:H28</f>
        <v>2500</v>
      </c>
      <c r="E14" s="3">
        <v>2500</v>
      </c>
      <c r="F14" s="3">
        <f t="shared" si="0"/>
        <v>5000</v>
      </c>
      <c r="G14" s="3"/>
      <c r="H14" s="3">
        <f t="shared" si="1"/>
        <v>5000</v>
      </c>
    </row>
    <row r="15" spans="1:9" x14ac:dyDescent="0.25">
      <c r="A15">
        <v>11</v>
      </c>
      <c r="B15" s="44" t="s">
        <v>148</v>
      </c>
      <c r="C15" s="3"/>
      <c r="D15" s="3">
        <f>'APRIL 20'!H15:H29</f>
        <v>1200</v>
      </c>
      <c r="E15" s="3">
        <v>2500</v>
      </c>
      <c r="F15" s="3">
        <f t="shared" si="0"/>
        <v>3700</v>
      </c>
      <c r="G15" s="3"/>
      <c r="H15" s="3">
        <f t="shared" si="1"/>
        <v>3700</v>
      </c>
    </row>
    <row r="16" spans="1:9" x14ac:dyDescent="0.25">
      <c r="A16">
        <v>12</v>
      </c>
      <c r="B16" s="3" t="s">
        <v>37</v>
      </c>
      <c r="C16" s="3"/>
      <c r="D16" s="3">
        <f>'APRIL 20'!H16:H30</f>
        <v>600</v>
      </c>
      <c r="E16" s="3">
        <v>2500</v>
      </c>
      <c r="F16" s="3">
        <f t="shared" si="0"/>
        <v>3100</v>
      </c>
      <c r="G16" s="3"/>
      <c r="H16" s="3">
        <f t="shared" si="1"/>
        <v>3100</v>
      </c>
    </row>
    <row r="17" spans="1:16" x14ac:dyDescent="0.25">
      <c r="A17">
        <v>13</v>
      </c>
      <c r="B17" s="3" t="s">
        <v>99</v>
      </c>
      <c r="C17" s="3"/>
      <c r="D17" s="3">
        <f>'APRIL 20'!H17:H31</f>
        <v>0</v>
      </c>
      <c r="E17" s="3">
        <v>2500</v>
      </c>
      <c r="F17" s="3">
        <f t="shared" si="0"/>
        <v>2500</v>
      </c>
      <c r="G17" s="3">
        <v>2500</v>
      </c>
      <c r="H17" s="3">
        <f t="shared" si="1"/>
        <v>0</v>
      </c>
      <c r="I17" t="s">
        <v>48</v>
      </c>
    </row>
    <row r="18" spans="1:16" x14ac:dyDescent="0.25">
      <c r="A18">
        <v>14</v>
      </c>
      <c r="B18" s="13" t="s">
        <v>62</v>
      </c>
      <c r="C18" s="13"/>
      <c r="D18" s="3">
        <f>'APRIL 20'!H18:H32</f>
        <v>700</v>
      </c>
      <c r="E18" s="13">
        <v>2500</v>
      </c>
      <c r="F18" s="3">
        <f t="shared" si="0"/>
        <v>3200</v>
      </c>
      <c r="G18" s="17">
        <f>2500</f>
        <v>2500</v>
      </c>
      <c r="H18" s="13">
        <f t="shared" si="1"/>
        <v>700</v>
      </c>
    </row>
    <row r="19" spans="1:16" x14ac:dyDescent="0.25">
      <c r="A19">
        <v>15</v>
      </c>
      <c r="B19" s="3" t="s">
        <v>35</v>
      </c>
      <c r="C19" s="3"/>
      <c r="D19" s="3">
        <f>'APRIL 20'!H19:H33</f>
        <v>5000</v>
      </c>
      <c r="E19" s="3">
        <v>4500</v>
      </c>
      <c r="F19" s="3">
        <f t="shared" si="0"/>
        <v>9500</v>
      </c>
      <c r="G19" s="3">
        <f>9000</f>
        <v>9000</v>
      </c>
      <c r="H19" s="3">
        <f>F19-G19</f>
        <v>500</v>
      </c>
      <c r="I19" t="s">
        <v>159</v>
      </c>
      <c r="L19" t="s">
        <v>206</v>
      </c>
      <c r="O19">
        <f>G8+G10+G18</f>
        <v>7500</v>
      </c>
    </row>
    <row r="20" spans="1:16" x14ac:dyDescent="0.25">
      <c r="B20" s="30" t="s">
        <v>64</v>
      </c>
      <c r="C20" s="30">
        <f t="shared" ref="C20:H20" si="2">SUM(C5:C19)</f>
        <v>0</v>
      </c>
      <c r="D20" s="3">
        <f>SUM(D5:D19)</f>
        <v>16800</v>
      </c>
      <c r="E20" s="30">
        <f t="shared" si="2"/>
        <v>29500</v>
      </c>
      <c r="F20" s="30">
        <f t="shared" si="2"/>
        <v>46300</v>
      </c>
      <c r="G20" s="30">
        <f>SUM(G5:G19)</f>
        <v>22000</v>
      </c>
      <c r="H20" s="30">
        <f t="shared" si="2"/>
        <v>24300</v>
      </c>
      <c r="I20" s="31"/>
      <c r="L20" t="s">
        <v>215</v>
      </c>
      <c r="P20">
        <f>'APRIL 20'!P24</f>
        <v>-4880</v>
      </c>
    </row>
    <row r="21" spans="1:16" x14ac:dyDescent="0.25">
      <c r="B21" s="33"/>
      <c r="C21" s="33"/>
      <c r="D21" s="33"/>
      <c r="E21" s="33"/>
      <c r="F21" s="33"/>
      <c r="G21" s="33"/>
      <c r="H21" s="32"/>
      <c r="I21" s="31"/>
      <c r="M21" t="s">
        <v>209</v>
      </c>
      <c r="O21" s="6">
        <f>O19+P20</f>
        <v>2620</v>
      </c>
    </row>
    <row r="22" spans="1:16" x14ac:dyDescent="0.25">
      <c r="B22" s="31" t="s">
        <v>12</v>
      </c>
      <c r="C22" s="34"/>
      <c r="D22" s="8"/>
      <c r="E22" s="33"/>
      <c r="F22" s="46"/>
      <c r="G22" s="10"/>
      <c r="H22" s="35"/>
      <c r="I22" s="31"/>
      <c r="J22" s="15"/>
      <c r="L22" t="s">
        <v>216</v>
      </c>
      <c r="P22">
        <v>4338</v>
      </c>
    </row>
    <row r="23" spans="1:16" x14ac:dyDescent="0.25">
      <c r="B23" s="36" t="s">
        <v>13</v>
      </c>
      <c r="C23" s="36"/>
      <c r="D23" s="36"/>
      <c r="E23" s="37"/>
      <c r="F23" s="36" t="s">
        <v>14</v>
      </c>
      <c r="G23" s="31"/>
      <c r="H23" s="31"/>
      <c r="I23" s="31"/>
      <c r="J23" s="15"/>
      <c r="M23" s="6" t="s">
        <v>9</v>
      </c>
      <c r="O23" s="6">
        <f>O21-P22</f>
        <v>-1718</v>
      </c>
    </row>
    <row r="24" spans="1:16" x14ac:dyDescent="0.25">
      <c r="B24" s="30" t="s">
        <v>15</v>
      </c>
      <c r="C24" s="30" t="s">
        <v>16</v>
      </c>
      <c r="D24" s="30" t="s">
        <v>17</v>
      </c>
      <c r="E24" s="30" t="s">
        <v>18</v>
      </c>
      <c r="F24" s="30" t="s">
        <v>15</v>
      </c>
      <c r="G24" s="30" t="s">
        <v>16</v>
      </c>
      <c r="H24" s="30" t="s">
        <v>17</v>
      </c>
      <c r="I24" s="30" t="s">
        <v>18</v>
      </c>
      <c r="J24" s="15"/>
      <c r="L24" s="49" t="s">
        <v>20</v>
      </c>
      <c r="P24">
        <v>2950</v>
      </c>
    </row>
    <row r="25" spans="1:16" x14ac:dyDescent="0.25">
      <c r="B25" s="29" t="s">
        <v>84</v>
      </c>
      <c r="C25" s="38">
        <f>E20</f>
        <v>29500</v>
      </c>
      <c r="D25" s="29"/>
      <c r="E25" s="29"/>
      <c r="F25" s="29" t="s">
        <v>84</v>
      </c>
      <c r="G25" s="38">
        <f>G20</f>
        <v>22000</v>
      </c>
      <c r="H25" s="29"/>
      <c r="I25" s="29"/>
      <c r="M25" t="s">
        <v>9</v>
      </c>
      <c r="O25" s="6">
        <f>O23-P24</f>
        <v>-4668</v>
      </c>
    </row>
    <row r="26" spans="1:16" x14ac:dyDescent="0.25">
      <c r="B26" s="29" t="s">
        <v>5</v>
      </c>
      <c r="C26" s="38">
        <f>'APRIL 20'!E36</f>
        <v>8438</v>
      </c>
      <c r="D26" s="29"/>
      <c r="E26" s="29"/>
      <c r="F26" s="29" t="s">
        <v>5</v>
      </c>
      <c r="G26" s="38">
        <f>'APRIL 20'!I36</f>
        <v>-8632</v>
      </c>
      <c r="H26" s="29"/>
      <c r="I26" s="29"/>
      <c r="L26" t="s">
        <v>163</v>
      </c>
      <c r="P26">
        <v>5061</v>
      </c>
    </row>
    <row r="27" spans="1:16" x14ac:dyDescent="0.25">
      <c r="B27" s="29" t="s">
        <v>70</v>
      </c>
      <c r="C27" s="38"/>
      <c r="D27" s="29"/>
      <c r="E27" s="29"/>
      <c r="F27" s="29" t="s">
        <v>70</v>
      </c>
      <c r="G27" s="38"/>
      <c r="H27" s="29"/>
      <c r="I27" s="29"/>
      <c r="L27" t="s">
        <v>11</v>
      </c>
      <c r="M27" t="s">
        <v>217</v>
      </c>
      <c r="O27" s="6">
        <f>O25-P26</f>
        <v>-9729</v>
      </c>
    </row>
    <row r="28" spans="1:16" x14ac:dyDescent="0.25">
      <c r="B28" s="29" t="s">
        <v>20</v>
      </c>
      <c r="C28" s="39">
        <v>0.1</v>
      </c>
      <c r="D28" s="38">
        <f>C28*C25</f>
        <v>2950</v>
      </c>
      <c r="E28" s="29"/>
      <c r="F28" s="29" t="s">
        <v>20</v>
      </c>
      <c r="G28" s="39">
        <v>0.1</v>
      </c>
      <c r="H28" s="38">
        <f>D28</f>
        <v>2950</v>
      </c>
      <c r="I28" s="29"/>
    </row>
    <row r="29" spans="1:16" x14ac:dyDescent="0.25">
      <c r="B29" s="30" t="s">
        <v>21</v>
      </c>
      <c r="C29" s="30" t="s">
        <v>22</v>
      </c>
      <c r="D29" s="30"/>
      <c r="E29" s="30"/>
      <c r="F29" s="30" t="s">
        <v>21</v>
      </c>
      <c r="G29" s="40"/>
      <c r="H29" s="30"/>
      <c r="I29" s="30"/>
      <c r="J29" s="15"/>
    </row>
    <row r="30" spans="1:16" x14ac:dyDescent="0.25">
      <c r="B30" s="41" t="s">
        <v>158</v>
      </c>
      <c r="C30" s="29"/>
      <c r="D30" s="29">
        <v>4338</v>
      </c>
      <c r="E30" s="29"/>
      <c r="F30" s="41" t="s">
        <v>158</v>
      </c>
      <c r="G30" s="29"/>
      <c r="H30" s="29">
        <v>4338</v>
      </c>
      <c r="I30" s="29"/>
    </row>
    <row r="31" spans="1:16" x14ac:dyDescent="0.25">
      <c r="B31" s="42" t="s">
        <v>170</v>
      </c>
      <c r="C31" s="29"/>
      <c r="D31" s="31">
        <v>9000</v>
      </c>
      <c r="E31" s="29"/>
      <c r="F31" s="42" t="s">
        <v>170</v>
      </c>
      <c r="G31" s="29"/>
      <c r="H31" s="31">
        <v>9000</v>
      </c>
      <c r="I31" s="29"/>
    </row>
    <row r="32" spans="1:16" x14ac:dyDescent="0.25">
      <c r="B32" s="42" t="s">
        <v>171</v>
      </c>
      <c r="C32" s="29"/>
      <c r="D32" s="29">
        <f>2000</f>
        <v>2000</v>
      </c>
      <c r="E32" s="29"/>
      <c r="F32" s="42" t="s">
        <v>161</v>
      </c>
      <c r="G32" s="29" t="s">
        <v>166</v>
      </c>
      <c r="H32" s="29">
        <f>2000</f>
        <v>2000</v>
      </c>
      <c r="I32" s="29"/>
    </row>
    <row r="33" spans="2:11" x14ac:dyDescent="0.25">
      <c r="B33" s="42" t="s">
        <v>163</v>
      </c>
      <c r="C33" s="29"/>
      <c r="D33" s="29">
        <v>5061</v>
      </c>
      <c r="E33" s="29"/>
      <c r="F33" s="42" t="s">
        <v>163</v>
      </c>
      <c r="G33" s="29"/>
      <c r="H33" s="29">
        <v>5061</v>
      </c>
      <c r="I33" s="29"/>
    </row>
    <row r="34" spans="2:11" x14ac:dyDescent="0.25">
      <c r="B34" s="43"/>
      <c r="C34" s="29"/>
      <c r="D34" s="29"/>
      <c r="E34" s="29"/>
      <c r="F34" s="43"/>
      <c r="G34" s="29"/>
      <c r="H34" s="29"/>
      <c r="I34" s="29"/>
    </row>
    <row r="35" spans="2:11" x14ac:dyDescent="0.25">
      <c r="B35" s="42" t="s">
        <v>182</v>
      </c>
      <c r="C35" s="29"/>
      <c r="D35" s="44">
        <f>E17</f>
        <v>2500</v>
      </c>
      <c r="E35" s="29"/>
      <c r="F35" s="42" t="s">
        <v>182</v>
      </c>
      <c r="G35" s="29"/>
      <c r="H35" s="44">
        <f>D35</f>
        <v>2500</v>
      </c>
      <c r="I35" s="29"/>
    </row>
    <row r="36" spans="2:11" x14ac:dyDescent="0.25">
      <c r="B36" s="30" t="s">
        <v>11</v>
      </c>
      <c r="C36" s="40">
        <f>C25+C26+C27-D28</f>
        <v>34988</v>
      </c>
      <c r="D36" s="40">
        <f>SUM(D30:D35)</f>
        <v>22899</v>
      </c>
      <c r="E36" s="40">
        <f>C36-D36</f>
        <v>12089</v>
      </c>
      <c r="F36" s="30" t="s">
        <v>11</v>
      </c>
      <c r="G36" s="40">
        <f>G25+G26+G27-H28</f>
        <v>10418</v>
      </c>
      <c r="H36" s="40">
        <f>SUM(H30:H35)</f>
        <v>22899</v>
      </c>
      <c r="I36" s="40">
        <f>G36-H36</f>
        <v>-12481</v>
      </c>
    </row>
    <row r="37" spans="2:11" x14ac:dyDescent="0.25">
      <c r="B37" s="31"/>
      <c r="C37" s="31"/>
      <c r="D37" s="31"/>
      <c r="E37" s="31"/>
      <c r="F37" s="31"/>
      <c r="G37" s="31"/>
      <c r="H37" s="31"/>
      <c r="I37" s="31"/>
      <c r="K37" s="15"/>
    </row>
    <row r="38" spans="2:11" x14ac:dyDescent="0.25">
      <c r="B38" s="31" t="s">
        <v>23</v>
      </c>
      <c r="C38" s="31"/>
      <c r="D38" s="31" t="s">
        <v>24</v>
      </c>
      <c r="E38" s="31"/>
      <c r="F38" s="31"/>
      <c r="G38" s="31" t="s">
        <v>25</v>
      </c>
      <c r="H38" s="31"/>
      <c r="I38" s="31"/>
    </row>
    <row r="39" spans="2:11" x14ac:dyDescent="0.25">
      <c r="B39" s="31"/>
      <c r="C39" s="31"/>
      <c r="D39" s="31"/>
      <c r="E39" s="31"/>
      <c r="F39" s="31"/>
      <c r="G39" s="31"/>
      <c r="H39" s="31"/>
      <c r="I39" s="31"/>
    </row>
    <row r="40" spans="2:11" x14ac:dyDescent="0.25">
      <c r="B40" s="31" t="s">
        <v>108</v>
      </c>
      <c r="C40" s="31"/>
      <c r="D40" s="31" t="s">
        <v>27</v>
      </c>
      <c r="E40" s="31"/>
      <c r="F40" s="31"/>
      <c r="G40" s="31" t="s">
        <v>46</v>
      </c>
      <c r="H40" s="31"/>
      <c r="I40" s="3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>
      <selection activeCell="D8" sqref="D8"/>
    </sheetView>
  </sheetViews>
  <sheetFormatPr defaultRowHeight="15" x14ac:dyDescent="0.25"/>
  <cols>
    <col min="2" max="2" width="18.5703125" customWidth="1"/>
    <col min="3" max="3" width="12" customWidth="1"/>
    <col min="4" max="5" width="10.28515625" customWidth="1"/>
  </cols>
  <sheetData>
    <row r="1" spans="1:9" x14ac:dyDescent="0.25">
      <c r="C1" s="1" t="s">
        <v>28</v>
      </c>
      <c r="D1" s="1"/>
      <c r="E1" s="1"/>
      <c r="F1" s="1"/>
      <c r="G1" s="1"/>
      <c r="H1" s="1"/>
    </row>
    <row r="2" spans="1:9" x14ac:dyDescent="0.25">
      <c r="B2" s="1"/>
      <c r="C2" s="1" t="s">
        <v>0</v>
      </c>
      <c r="D2" s="1"/>
      <c r="E2" s="1"/>
      <c r="F2" s="1"/>
      <c r="G2" s="1"/>
      <c r="H2" s="1"/>
    </row>
    <row r="3" spans="1:9" x14ac:dyDescent="0.25">
      <c r="B3" s="1"/>
      <c r="C3" s="1" t="s">
        <v>162</v>
      </c>
      <c r="D3" s="1"/>
      <c r="E3" s="1"/>
      <c r="F3" s="1"/>
      <c r="G3" s="1"/>
      <c r="H3" s="1"/>
    </row>
    <row r="4" spans="1:9" x14ac:dyDescent="0.25">
      <c r="A4" t="s">
        <v>110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</row>
    <row r="5" spans="1:9" x14ac:dyDescent="0.25">
      <c r="A5">
        <v>1</v>
      </c>
      <c r="B5" s="3" t="s">
        <v>82</v>
      </c>
      <c r="C5" s="3"/>
      <c r="D5" s="3">
        <f>'MAY 20'!H5:H19</f>
        <v>1700</v>
      </c>
      <c r="E5" s="3">
        <v>2500</v>
      </c>
      <c r="F5" s="3">
        <f>D5+E5</f>
        <v>4200</v>
      </c>
      <c r="G5" s="3">
        <v>1500</v>
      </c>
      <c r="H5" s="3">
        <f>F5-G5</f>
        <v>2700</v>
      </c>
      <c r="I5" t="s">
        <v>183</v>
      </c>
    </row>
    <row r="6" spans="1:9" x14ac:dyDescent="0.25">
      <c r="A6">
        <v>2</v>
      </c>
      <c r="B6" s="29"/>
      <c r="C6" s="3"/>
      <c r="D6" s="3">
        <f>'MAY 20'!H6:H20</f>
        <v>0</v>
      </c>
      <c r="E6" s="3"/>
      <c r="F6" s="3">
        <f t="shared" ref="F6:F19" si="0">D6+E6</f>
        <v>0</v>
      </c>
      <c r="G6" s="3"/>
      <c r="H6" s="3">
        <f t="shared" ref="H6:H18" si="1">F6-G6</f>
        <v>0</v>
      </c>
    </row>
    <row r="7" spans="1:9" x14ac:dyDescent="0.25">
      <c r="A7">
        <v>3</v>
      </c>
      <c r="B7" s="3" t="s">
        <v>147</v>
      </c>
      <c r="C7" s="3"/>
      <c r="D7" s="3">
        <f>'MAY 20'!H7:H21</f>
        <v>5000</v>
      </c>
      <c r="E7" s="3">
        <v>2500</v>
      </c>
      <c r="F7" s="3">
        <f t="shared" si="0"/>
        <v>7500</v>
      </c>
      <c r="G7" s="3"/>
      <c r="H7" s="3">
        <f t="shared" si="1"/>
        <v>7500</v>
      </c>
    </row>
    <row r="8" spans="1:9" x14ac:dyDescent="0.25">
      <c r="A8">
        <v>4</v>
      </c>
      <c r="B8" s="3" t="s">
        <v>105</v>
      </c>
      <c r="C8" s="3"/>
      <c r="D8" s="3">
        <f>'MAY 20'!H8:H22</f>
        <v>300</v>
      </c>
      <c r="E8" s="3">
        <v>2500</v>
      </c>
      <c r="F8" s="3">
        <f t="shared" si="0"/>
        <v>2800</v>
      </c>
      <c r="G8" s="3"/>
      <c r="H8" s="3">
        <f t="shared" si="1"/>
        <v>2800</v>
      </c>
    </row>
    <row r="9" spans="1:9" x14ac:dyDescent="0.25">
      <c r="A9">
        <v>5</v>
      </c>
      <c r="B9" s="3" t="s">
        <v>47</v>
      </c>
      <c r="C9" s="3"/>
      <c r="D9" s="3">
        <f>'MAY 20'!H9:H23</f>
        <v>0</v>
      </c>
      <c r="E9" s="3"/>
      <c r="F9" s="3">
        <f t="shared" si="0"/>
        <v>0</v>
      </c>
      <c r="G9" s="3"/>
      <c r="H9" s="3">
        <f t="shared" si="1"/>
        <v>0</v>
      </c>
    </row>
    <row r="10" spans="1:9" x14ac:dyDescent="0.25">
      <c r="A10">
        <v>6</v>
      </c>
      <c r="B10" s="3" t="s">
        <v>123</v>
      </c>
      <c r="C10" s="3"/>
      <c r="D10" s="3">
        <f>'MAY 20'!H10:H24</f>
        <v>1800</v>
      </c>
      <c r="E10" s="3">
        <v>2500</v>
      </c>
      <c r="F10" s="3">
        <f t="shared" si="0"/>
        <v>4300</v>
      </c>
      <c r="G10" s="17">
        <f>1000+800+400+300</f>
        <v>2500</v>
      </c>
      <c r="H10" s="3">
        <f t="shared" si="1"/>
        <v>1800</v>
      </c>
    </row>
    <row r="11" spans="1:9" x14ac:dyDescent="0.25">
      <c r="A11">
        <v>7</v>
      </c>
      <c r="B11" s="29"/>
      <c r="C11" s="3"/>
      <c r="D11" s="3">
        <f>'MAY 20'!H11:H25</f>
        <v>0</v>
      </c>
      <c r="E11" s="3"/>
      <c r="F11" s="3">
        <f t="shared" si="0"/>
        <v>0</v>
      </c>
      <c r="G11" s="3"/>
      <c r="H11" s="3">
        <f t="shared" si="1"/>
        <v>0</v>
      </c>
    </row>
    <row r="12" spans="1:9" x14ac:dyDescent="0.25">
      <c r="A12">
        <v>8</v>
      </c>
      <c r="B12" s="3" t="s">
        <v>41</v>
      </c>
      <c r="C12" s="3"/>
      <c r="D12" s="3">
        <f>'MAY 20'!H12:H26</f>
        <v>0</v>
      </c>
      <c r="E12" s="3"/>
      <c r="F12" s="3">
        <f t="shared" si="0"/>
        <v>0</v>
      </c>
      <c r="G12" s="3"/>
      <c r="H12" s="3">
        <f>F12-G12</f>
        <v>0</v>
      </c>
    </row>
    <row r="13" spans="1:9" x14ac:dyDescent="0.25">
      <c r="A13">
        <v>9</v>
      </c>
      <c r="B13" s="3" t="s">
        <v>107</v>
      </c>
      <c r="C13" s="3"/>
      <c r="D13" s="3">
        <f>'MAY 20'!H13:H27</f>
        <v>2500</v>
      </c>
      <c r="E13" s="3">
        <v>2500</v>
      </c>
      <c r="F13" s="3">
        <f t="shared" si="0"/>
        <v>5000</v>
      </c>
      <c r="G13" s="17">
        <f>1000+1000</f>
        <v>2000</v>
      </c>
      <c r="H13" s="3">
        <f t="shared" si="1"/>
        <v>3000</v>
      </c>
    </row>
    <row r="14" spans="1:9" x14ac:dyDescent="0.25">
      <c r="A14">
        <v>10</v>
      </c>
      <c r="B14" s="3" t="s">
        <v>149</v>
      </c>
      <c r="C14" s="3"/>
      <c r="D14" s="3">
        <f>'MAY 20'!H14:H28</f>
        <v>5000</v>
      </c>
      <c r="E14" s="3">
        <v>2500</v>
      </c>
      <c r="F14" s="3">
        <f t="shared" si="0"/>
        <v>7500</v>
      </c>
      <c r="G14" s="3">
        <v>7500</v>
      </c>
      <c r="H14" s="3">
        <f t="shared" si="1"/>
        <v>0</v>
      </c>
      <c r="I14" t="s">
        <v>119</v>
      </c>
    </row>
    <row r="15" spans="1:9" x14ac:dyDescent="0.25">
      <c r="A15">
        <v>11</v>
      </c>
      <c r="B15" s="44" t="s">
        <v>148</v>
      </c>
      <c r="C15" s="3"/>
      <c r="D15" s="3">
        <f>'MAY 20'!H15:H29</f>
        <v>3700</v>
      </c>
      <c r="E15" s="3">
        <v>2500</v>
      </c>
      <c r="F15" s="3">
        <f t="shared" si="0"/>
        <v>6200</v>
      </c>
      <c r="G15" s="3"/>
      <c r="H15" s="3">
        <f t="shared" si="1"/>
        <v>6200</v>
      </c>
    </row>
    <row r="16" spans="1:9" x14ac:dyDescent="0.25">
      <c r="A16">
        <v>12</v>
      </c>
      <c r="B16" s="3" t="s">
        <v>37</v>
      </c>
      <c r="C16" s="3"/>
      <c r="D16" s="3">
        <f>'MAY 20'!H16:H30</f>
        <v>3100</v>
      </c>
      <c r="E16" s="3">
        <v>2500</v>
      </c>
      <c r="F16" s="3">
        <f t="shared" si="0"/>
        <v>5600</v>
      </c>
      <c r="G16" s="3"/>
      <c r="H16" s="3">
        <f t="shared" si="1"/>
        <v>5600</v>
      </c>
    </row>
    <row r="17" spans="1:16" x14ac:dyDescent="0.25">
      <c r="A17">
        <v>13</v>
      </c>
      <c r="B17" s="3" t="s">
        <v>99</v>
      </c>
      <c r="C17" s="3"/>
      <c r="D17" s="3">
        <f>'MAY 20'!H17:H31</f>
        <v>0</v>
      </c>
      <c r="E17" s="3">
        <v>2500</v>
      </c>
      <c r="F17" s="3">
        <f t="shared" si="0"/>
        <v>2500</v>
      </c>
      <c r="G17" s="3"/>
      <c r="H17" s="3">
        <f t="shared" si="1"/>
        <v>2500</v>
      </c>
      <c r="I17" t="s">
        <v>186</v>
      </c>
    </row>
    <row r="18" spans="1:16" x14ac:dyDescent="0.25">
      <c r="A18">
        <v>14</v>
      </c>
      <c r="B18" s="13" t="s">
        <v>62</v>
      </c>
      <c r="C18" s="13"/>
      <c r="D18" s="3">
        <f>'MAY 20'!H18:H32</f>
        <v>700</v>
      </c>
      <c r="E18" s="13">
        <v>2500</v>
      </c>
      <c r="F18" s="3">
        <f t="shared" si="0"/>
        <v>3200</v>
      </c>
      <c r="G18" s="17">
        <f>2500</f>
        <v>2500</v>
      </c>
      <c r="H18" s="13">
        <f t="shared" si="1"/>
        <v>700</v>
      </c>
      <c r="L18" t="s">
        <v>206</v>
      </c>
      <c r="O18">
        <f>G10+G13+G18</f>
        <v>7000</v>
      </c>
    </row>
    <row r="19" spans="1:16" x14ac:dyDescent="0.25">
      <c r="A19">
        <v>15</v>
      </c>
      <c r="B19" s="3" t="s">
        <v>35</v>
      </c>
      <c r="C19" s="3"/>
      <c r="D19" s="3">
        <f>'MAY 20'!H19:H33</f>
        <v>500</v>
      </c>
      <c r="E19" s="3">
        <v>4500</v>
      </c>
      <c r="F19" s="3">
        <f t="shared" si="0"/>
        <v>5000</v>
      </c>
      <c r="G19" s="3"/>
      <c r="H19" s="3">
        <f>F19-G19</f>
        <v>5000</v>
      </c>
      <c r="L19" t="s">
        <v>219</v>
      </c>
      <c r="P19">
        <f>'MAY 20'!O27</f>
        <v>-9729</v>
      </c>
    </row>
    <row r="20" spans="1:16" x14ac:dyDescent="0.25">
      <c r="B20" s="30" t="s">
        <v>64</v>
      </c>
      <c r="C20" s="30">
        <f t="shared" ref="C20:H20" si="2">SUM(C5:C19)</f>
        <v>0</v>
      </c>
      <c r="D20" s="3">
        <f>SUM(D5:D19)</f>
        <v>24300</v>
      </c>
      <c r="E20" s="30">
        <f t="shared" si="2"/>
        <v>29500</v>
      </c>
      <c r="F20" s="30">
        <f t="shared" si="2"/>
        <v>53800</v>
      </c>
      <c r="G20" s="30">
        <f t="shared" si="2"/>
        <v>16000</v>
      </c>
      <c r="H20" s="30">
        <f t="shared" si="2"/>
        <v>37800</v>
      </c>
      <c r="I20" s="31"/>
      <c r="M20" t="s">
        <v>9</v>
      </c>
      <c r="O20">
        <f>O18+P19</f>
        <v>-2729</v>
      </c>
    </row>
    <row r="21" spans="1:16" x14ac:dyDescent="0.25">
      <c r="B21" s="33"/>
      <c r="C21" s="33"/>
      <c r="D21" s="33"/>
      <c r="E21" s="33"/>
      <c r="F21" s="33"/>
      <c r="G21" s="33"/>
      <c r="H21" s="32"/>
      <c r="I21" s="31"/>
      <c r="L21" t="s">
        <v>20</v>
      </c>
      <c r="P21">
        <v>2950</v>
      </c>
    </row>
    <row r="22" spans="1:16" x14ac:dyDescent="0.25">
      <c r="C22" s="34"/>
      <c r="D22" s="36" t="s">
        <v>12</v>
      </c>
      <c r="E22" s="33"/>
      <c r="F22" s="46"/>
      <c r="G22" s="10"/>
      <c r="H22" s="35"/>
      <c r="I22" s="31"/>
      <c r="J22" s="15"/>
      <c r="M22" t="s">
        <v>9</v>
      </c>
      <c r="O22">
        <f>O20-P21</f>
        <v>-5679</v>
      </c>
    </row>
    <row r="23" spans="1:16" x14ac:dyDescent="0.25">
      <c r="B23" s="36" t="s">
        <v>13</v>
      </c>
      <c r="C23" s="36"/>
      <c r="D23" s="36"/>
      <c r="E23" s="37"/>
      <c r="F23" s="36" t="s">
        <v>14</v>
      </c>
      <c r="G23" s="31"/>
      <c r="H23" s="31"/>
      <c r="I23" s="31"/>
      <c r="J23" s="15"/>
      <c r="L23" t="s">
        <v>225</v>
      </c>
      <c r="P23">
        <v>541</v>
      </c>
    </row>
    <row r="24" spans="1:16" x14ac:dyDescent="0.25">
      <c r="B24" s="30" t="s">
        <v>15</v>
      </c>
      <c r="C24" s="30" t="s">
        <v>16</v>
      </c>
      <c r="D24" s="30" t="s">
        <v>17</v>
      </c>
      <c r="E24" s="30" t="s">
        <v>18</v>
      </c>
      <c r="F24" s="30" t="s">
        <v>15</v>
      </c>
      <c r="G24" s="30" t="s">
        <v>16</v>
      </c>
      <c r="H24" s="30" t="s">
        <v>17</v>
      </c>
      <c r="I24" s="30" t="s">
        <v>18</v>
      </c>
      <c r="L24" s="49" t="s">
        <v>226</v>
      </c>
      <c r="P24">
        <v>1056</v>
      </c>
    </row>
    <row r="25" spans="1:16" x14ac:dyDescent="0.25">
      <c r="B25" s="29" t="s">
        <v>91</v>
      </c>
      <c r="C25" s="38">
        <f>E20</f>
        <v>29500</v>
      </c>
      <c r="D25" s="29"/>
      <c r="E25" s="29"/>
      <c r="F25" s="29" t="s">
        <v>91</v>
      </c>
      <c r="G25" s="38">
        <f>G20</f>
        <v>16000</v>
      </c>
      <c r="H25" s="29"/>
      <c r="I25" s="29"/>
      <c r="J25" s="15"/>
      <c r="M25" t="s">
        <v>220</v>
      </c>
      <c r="O25">
        <f>O22-P23-P24</f>
        <v>-7276</v>
      </c>
    </row>
    <row r="26" spans="1:16" x14ac:dyDescent="0.25">
      <c r="B26" s="29" t="s">
        <v>5</v>
      </c>
      <c r="C26" s="38">
        <f>'MAY 20'!E36</f>
        <v>12089</v>
      </c>
      <c r="D26" s="29"/>
      <c r="E26" s="29"/>
      <c r="F26" s="29" t="s">
        <v>5</v>
      </c>
      <c r="G26" s="38">
        <f>'MAY 20'!I36</f>
        <v>-12481</v>
      </c>
      <c r="H26" s="29"/>
      <c r="I26" s="29"/>
    </row>
    <row r="27" spans="1:16" x14ac:dyDescent="0.25">
      <c r="B27" s="29" t="s">
        <v>70</v>
      </c>
      <c r="C27" s="38"/>
      <c r="D27" s="29"/>
      <c r="E27" s="29"/>
      <c r="F27" s="29" t="s">
        <v>70</v>
      </c>
      <c r="G27" s="38"/>
      <c r="H27" s="29"/>
      <c r="I27" s="29"/>
      <c r="J27" s="15"/>
    </row>
    <row r="28" spans="1:16" x14ac:dyDescent="0.25">
      <c r="B28" s="29" t="s">
        <v>20</v>
      </c>
      <c r="C28" s="39">
        <v>0.1</v>
      </c>
      <c r="D28" s="38">
        <f>C28*C25</f>
        <v>2950</v>
      </c>
      <c r="E28" s="29"/>
      <c r="F28" s="29" t="s">
        <v>20</v>
      </c>
      <c r="G28" s="39">
        <v>0.1</v>
      </c>
      <c r="H28" s="38">
        <f>G28*C25</f>
        <v>2950</v>
      </c>
      <c r="I28" s="29"/>
    </row>
    <row r="29" spans="1:16" x14ac:dyDescent="0.25">
      <c r="B29" s="30" t="s">
        <v>21</v>
      </c>
      <c r="C29" s="30" t="s">
        <v>22</v>
      </c>
      <c r="D29" s="30"/>
      <c r="E29" s="30"/>
      <c r="F29" s="30" t="s">
        <v>21</v>
      </c>
      <c r="G29" s="40"/>
      <c r="H29" s="30"/>
      <c r="I29" s="30"/>
    </row>
    <row r="30" spans="1:16" x14ac:dyDescent="0.25">
      <c r="B30" s="41" t="s">
        <v>184</v>
      </c>
      <c r="C30" s="29"/>
      <c r="D30" s="29">
        <v>1500</v>
      </c>
      <c r="E30" s="29"/>
      <c r="F30" s="41" t="s">
        <v>184</v>
      </c>
      <c r="G30" s="29"/>
      <c r="H30" s="29">
        <v>1500</v>
      </c>
      <c r="I30" s="29"/>
    </row>
    <row r="31" spans="1:16" x14ac:dyDescent="0.25">
      <c r="B31" s="42" t="s">
        <v>227</v>
      </c>
      <c r="C31" s="29"/>
      <c r="D31" s="31">
        <v>541</v>
      </c>
      <c r="E31" s="29"/>
      <c r="F31" s="42" t="s">
        <v>227</v>
      </c>
      <c r="G31" s="29"/>
      <c r="H31" s="31">
        <v>541</v>
      </c>
      <c r="I31" s="29"/>
    </row>
    <row r="32" spans="1:16" x14ac:dyDescent="0.25">
      <c r="B32" s="42" t="s">
        <v>228</v>
      </c>
      <c r="C32" s="29"/>
      <c r="D32" s="31">
        <v>1056</v>
      </c>
      <c r="E32" s="29"/>
      <c r="F32" s="42" t="s">
        <v>228</v>
      </c>
      <c r="G32" s="29"/>
      <c r="H32" s="31">
        <v>1056</v>
      </c>
      <c r="I32" s="29"/>
    </row>
    <row r="33" spans="2:9" x14ac:dyDescent="0.25">
      <c r="B33" s="42" t="s">
        <v>190</v>
      </c>
      <c r="C33" s="29"/>
      <c r="D33" s="29">
        <v>7500</v>
      </c>
      <c r="E33" s="29"/>
      <c r="F33" s="42" t="s">
        <v>190</v>
      </c>
      <c r="G33" s="29"/>
      <c r="H33" s="29">
        <v>7500</v>
      </c>
      <c r="I33" s="29"/>
    </row>
    <row r="34" spans="2:9" x14ac:dyDescent="0.25">
      <c r="B34" s="43"/>
      <c r="C34" s="29"/>
      <c r="D34" s="29"/>
      <c r="E34" s="29"/>
      <c r="F34" s="43"/>
      <c r="G34" s="29"/>
      <c r="H34" s="29"/>
      <c r="I34" s="29"/>
    </row>
    <row r="35" spans="2:9" x14ac:dyDescent="0.25">
      <c r="B35" s="42"/>
      <c r="C35" s="29"/>
      <c r="D35" s="44"/>
      <c r="E35" s="29"/>
      <c r="F35" s="29"/>
      <c r="G35" s="29"/>
      <c r="H35" s="29"/>
      <c r="I35" s="29"/>
    </row>
    <row r="36" spans="2:9" x14ac:dyDescent="0.25">
      <c r="B36" s="30" t="s">
        <v>11</v>
      </c>
      <c r="C36" s="40">
        <f>C25+C26+C27-D28</f>
        <v>38639</v>
      </c>
      <c r="D36" s="40">
        <f>SUM(D30:D35)</f>
        <v>10597</v>
      </c>
      <c r="E36" s="40">
        <f>C36-D36</f>
        <v>28042</v>
      </c>
      <c r="F36" s="30" t="s">
        <v>11</v>
      </c>
      <c r="G36" s="40">
        <f>G25+G26+G27-H28</f>
        <v>569</v>
      </c>
      <c r="H36" s="40">
        <f>SUM(H30:H35)</f>
        <v>10597</v>
      </c>
      <c r="I36" s="40">
        <f>G36-H36</f>
        <v>-10028</v>
      </c>
    </row>
    <row r="37" spans="2:9" x14ac:dyDescent="0.25">
      <c r="B37" s="31"/>
      <c r="C37" s="31"/>
      <c r="D37" s="31"/>
      <c r="E37" s="31"/>
      <c r="F37" s="31"/>
      <c r="G37" s="31"/>
      <c r="H37" s="31"/>
      <c r="I37" s="31"/>
    </row>
    <row r="38" spans="2:9" x14ac:dyDescent="0.25">
      <c r="B38" s="31" t="s">
        <v>23</v>
      </c>
      <c r="C38" s="31"/>
      <c r="D38" s="31" t="s">
        <v>24</v>
      </c>
      <c r="E38" s="31"/>
      <c r="F38" s="31"/>
      <c r="G38" s="31" t="s">
        <v>25</v>
      </c>
      <c r="H38" s="31"/>
      <c r="I38" s="31"/>
    </row>
    <row r="39" spans="2:9" x14ac:dyDescent="0.25">
      <c r="B39" s="31"/>
      <c r="C39" s="31"/>
      <c r="D39" s="31"/>
      <c r="E39" s="31"/>
      <c r="F39" s="31"/>
      <c r="G39" s="31"/>
      <c r="H39" s="31"/>
      <c r="I39" s="31"/>
    </row>
    <row r="40" spans="2:9" x14ac:dyDescent="0.25">
      <c r="B40" s="31" t="s">
        <v>108</v>
      </c>
      <c r="C40" s="31"/>
      <c r="D40" s="31" t="s">
        <v>27</v>
      </c>
      <c r="E40" s="31"/>
      <c r="F40" s="31"/>
      <c r="G40" s="31" t="s">
        <v>46</v>
      </c>
      <c r="H40" s="31"/>
      <c r="I40" s="31"/>
    </row>
  </sheetData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opLeftCell="A10" workbookViewId="0">
      <selection activeCell="K45" sqref="K45"/>
    </sheetView>
  </sheetViews>
  <sheetFormatPr defaultRowHeight="15" x14ac:dyDescent="0.25"/>
  <cols>
    <col min="1" max="1" width="5.28515625" customWidth="1"/>
  </cols>
  <sheetData>
    <row r="1" spans="1:16" x14ac:dyDescent="0.25">
      <c r="C1" s="1" t="s">
        <v>28</v>
      </c>
      <c r="D1" s="1"/>
      <c r="E1" s="1"/>
      <c r="F1" s="1"/>
      <c r="G1" s="1"/>
      <c r="H1" s="1"/>
    </row>
    <row r="2" spans="1:16" x14ac:dyDescent="0.25">
      <c r="B2" s="1"/>
      <c r="C2" s="1" t="s">
        <v>0</v>
      </c>
      <c r="D2" s="1"/>
      <c r="E2" s="1"/>
      <c r="F2" s="1"/>
      <c r="G2" s="1"/>
      <c r="H2" s="1"/>
    </row>
    <row r="3" spans="1:16" x14ac:dyDescent="0.25">
      <c r="B3" s="1"/>
      <c r="C3" s="1" t="s">
        <v>185</v>
      </c>
      <c r="D3" s="1"/>
      <c r="E3" s="1"/>
      <c r="F3" s="1"/>
      <c r="G3" s="1"/>
      <c r="H3" s="1"/>
    </row>
    <row r="4" spans="1:16" x14ac:dyDescent="0.25">
      <c r="A4" t="s">
        <v>110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</row>
    <row r="5" spans="1:16" x14ac:dyDescent="0.25">
      <c r="A5">
        <v>1</v>
      </c>
      <c r="B5" s="3" t="s">
        <v>82</v>
      </c>
      <c r="C5" s="3"/>
      <c r="D5" s="3">
        <f>'JUNE 20'!H5:H19</f>
        <v>2700</v>
      </c>
      <c r="E5" s="3">
        <v>2500</v>
      </c>
      <c r="F5" s="3">
        <f>D5+E5</f>
        <v>5200</v>
      </c>
      <c r="G5" s="3">
        <v>5200</v>
      </c>
      <c r="H5" s="3">
        <f>F5-G5</f>
        <v>0</v>
      </c>
      <c r="I5" t="s">
        <v>186</v>
      </c>
    </row>
    <row r="6" spans="1:16" x14ac:dyDescent="0.25">
      <c r="A6">
        <v>2</v>
      </c>
      <c r="B6" s="29"/>
      <c r="C6" s="3"/>
      <c r="D6" s="3">
        <f>'JUNE 20'!H6:H20</f>
        <v>0</v>
      </c>
      <c r="E6" s="3"/>
      <c r="F6" s="3">
        <f t="shared" ref="F6:F19" si="0">D6+E6</f>
        <v>0</v>
      </c>
      <c r="G6" s="3"/>
      <c r="H6" s="3">
        <f t="shared" ref="H6:H18" si="1">F6-G6</f>
        <v>0</v>
      </c>
    </row>
    <row r="7" spans="1:16" x14ac:dyDescent="0.25">
      <c r="A7">
        <v>3</v>
      </c>
      <c r="B7" s="3" t="s">
        <v>147</v>
      </c>
      <c r="C7" s="3"/>
      <c r="D7" s="3">
        <f>'JUNE 20'!H7:H21</f>
        <v>7500</v>
      </c>
      <c r="E7" s="3">
        <v>2500</v>
      </c>
      <c r="F7" s="3">
        <f t="shared" si="0"/>
        <v>10000</v>
      </c>
      <c r="G7" s="3">
        <v>3000</v>
      </c>
      <c r="H7" s="3">
        <f t="shared" si="1"/>
        <v>7000</v>
      </c>
      <c r="I7" t="s">
        <v>195</v>
      </c>
    </row>
    <row r="8" spans="1:16" x14ac:dyDescent="0.25">
      <c r="A8">
        <v>4</v>
      </c>
      <c r="B8" s="3" t="s">
        <v>105</v>
      </c>
      <c r="C8" s="3"/>
      <c r="D8" s="3">
        <f>'JUNE 20'!H8:H22</f>
        <v>2800</v>
      </c>
      <c r="E8" s="3">
        <v>2500</v>
      </c>
      <c r="F8" s="3">
        <f t="shared" si="0"/>
        <v>5300</v>
      </c>
      <c r="G8" s="3">
        <v>5000</v>
      </c>
      <c r="H8" s="3">
        <f t="shared" si="1"/>
        <v>300</v>
      </c>
      <c r="I8" t="s">
        <v>187</v>
      </c>
    </row>
    <row r="9" spans="1:16" x14ac:dyDescent="0.25">
      <c r="A9">
        <v>5</v>
      </c>
      <c r="B9" s="3"/>
      <c r="C9" s="3"/>
      <c r="D9" s="3">
        <f>'JUNE 20'!H9:H23</f>
        <v>0</v>
      </c>
      <c r="E9" s="3"/>
      <c r="F9" s="3">
        <f t="shared" si="0"/>
        <v>0</v>
      </c>
      <c r="G9" s="3"/>
      <c r="H9" s="3">
        <f t="shared" si="1"/>
        <v>0</v>
      </c>
      <c r="I9" t="s">
        <v>119</v>
      </c>
    </row>
    <row r="10" spans="1:16" x14ac:dyDescent="0.25">
      <c r="A10">
        <v>6</v>
      </c>
      <c r="B10" s="3" t="s">
        <v>123</v>
      </c>
      <c r="C10" s="3"/>
      <c r="D10" s="3">
        <f>'JUNE 20'!H10:H24</f>
        <v>1800</v>
      </c>
      <c r="E10" s="3">
        <v>2500</v>
      </c>
      <c r="F10" s="3">
        <f t="shared" si="0"/>
        <v>4300</v>
      </c>
      <c r="G10" s="17">
        <f>1000+500+500+500</f>
        <v>2500</v>
      </c>
      <c r="H10" s="3">
        <f t="shared" si="1"/>
        <v>1800</v>
      </c>
    </row>
    <row r="11" spans="1:16" x14ac:dyDescent="0.25">
      <c r="A11">
        <v>7</v>
      </c>
      <c r="B11" s="29"/>
      <c r="C11" s="3"/>
      <c r="D11" s="3">
        <f>'JUNE 20'!H11:H25</f>
        <v>0</v>
      </c>
      <c r="E11" s="3"/>
      <c r="F11" s="3">
        <f t="shared" si="0"/>
        <v>0</v>
      </c>
      <c r="G11" s="3"/>
      <c r="H11" s="3">
        <f t="shared" si="1"/>
        <v>0</v>
      </c>
    </row>
    <row r="12" spans="1:16" x14ac:dyDescent="0.25">
      <c r="A12">
        <v>8</v>
      </c>
      <c r="B12" s="3"/>
      <c r="C12" s="3"/>
      <c r="D12" s="3">
        <f>'JUNE 20'!H12:H26</f>
        <v>0</v>
      </c>
      <c r="E12" s="3"/>
      <c r="F12" s="3">
        <f t="shared" si="0"/>
        <v>0</v>
      </c>
      <c r="G12" s="3"/>
      <c r="H12" s="3">
        <f>F12-G12</f>
        <v>0</v>
      </c>
    </row>
    <row r="13" spans="1:16" x14ac:dyDescent="0.25">
      <c r="A13">
        <v>9</v>
      </c>
      <c r="B13" s="3" t="s">
        <v>107</v>
      </c>
      <c r="C13" s="3"/>
      <c r="D13" s="3">
        <f>'JUNE 20'!H13:H27</f>
        <v>3000</v>
      </c>
      <c r="E13" s="3">
        <v>2500</v>
      </c>
      <c r="F13" s="3">
        <f t="shared" si="0"/>
        <v>5500</v>
      </c>
      <c r="G13" s="3">
        <v>5500</v>
      </c>
      <c r="H13" s="3">
        <f t="shared" si="1"/>
        <v>0</v>
      </c>
      <c r="I13" t="s">
        <v>188</v>
      </c>
      <c r="L13" t="s">
        <v>206</v>
      </c>
      <c r="O13">
        <f>G10</f>
        <v>2500</v>
      </c>
    </row>
    <row r="14" spans="1:16" x14ac:dyDescent="0.25">
      <c r="A14">
        <v>10</v>
      </c>
      <c r="B14" s="3" t="s">
        <v>41</v>
      </c>
      <c r="C14" s="3"/>
      <c r="D14" s="3"/>
      <c r="E14" s="3">
        <v>2500</v>
      </c>
      <c r="F14" s="3">
        <f t="shared" si="0"/>
        <v>2500</v>
      </c>
      <c r="G14" s="3">
        <v>2500</v>
      </c>
      <c r="H14" s="3">
        <f t="shared" si="1"/>
        <v>0</v>
      </c>
      <c r="I14" t="s">
        <v>48</v>
      </c>
    </row>
    <row r="15" spans="1:16" x14ac:dyDescent="0.25">
      <c r="A15">
        <v>11</v>
      </c>
      <c r="B15" s="44" t="s">
        <v>148</v>
      </c>
      <c r="C15" s="3"/>
      <c r="D15" s="3">
        <f>'JUNE 20'!H15:H29</f>
        <v>6200</v>
      </c>
      <c r="E15" s="3">
        <v>2500</v>
      </c>
      <c r="F15" s="3">
        <f t="shared" si="0"/>
        <v>8700</v>
      </c>
      <c r="G15" s="3"/>
      <c r="H15" s="3">
        <f t="shared" si="1"/>
        <v>8700</v>
      </c>
      <c r="I15" t="s">
        <v>191</v>
      </c>
      <c r="L15" t="s">
        <v>221</v>
      </c>
      <c r="P15">
        <f>'JUNE 20'!O25</f>
        <v>-7276</v>
      </c>
    </row>
    <row r="16" spans="1:16" x14ac:dyDescent="0.25">
      <c r="A16">
        <v>12</v>
      </c>
      <c r="B16" s="3" t="s">
        <v>37</v>
      </c>
      <c r="C16" s="3"/>
      <c r="D16" s="3">
        <f>'JUNE 20'!H16:H30</f>
        <v>5600</v>
      </c>
      <c r="E16" s="3">
        <v>2500</v>
      </c>
      <c r="F16" s="3">
        <f t="shared" si="0"/>
        <v>8100</v>
      </c>
      <c r="G16" s="3">
        <f>7000+600</f>
        <v>7600</v>
      </c>
      <c r="H16" s="3">
        <f t="shared" si="1"/>
        <v>500</v>
      </c>
      <c r="I16" t="s">
        <v>192</v>
      </c>
      <c r="M16" t="s">
        <v>9</v>
      </c>
      <c r="O16">
        <f>O13+P15</f>
        <v>-4776</v>
      </c>
    </row>
    <row r="17" spans="1:16" x14ac:dyDescent="0.25">
      <c r="A17">
        <v>13</v>
      </c>
      <c r="B17" s="3" t="s">
        <v>99</v>
      </c>
      <c r="C17" s="3"/>
      <c r="D17" s="3">
        <f>'JUNE 20'!H17:H31</f>
        <v>2500</v>
      </c>
      <c r="E17" s="3">
        <v>2500</v>
      </c>
      <c r="F17" s="3">
        <f t="shared" si="0"/>
        <v>5000</v>
      </c>
      <c r="G17" s="3">
        <v>1800</v>
      </c>
      <c r="H17" s="3">
        <f t="shared" si="1"/>
        <v>3200</v>
      </c>
      <c r="I17" t="s">
        <v>193</v>
      </c>
      <c r="L17" t="s">
        <v>20</v>
      </c>
      <c r="P17">
        <v>2950</v>
      </c>
    </row>
    <row r="18" spans="1:16" x14ac:dyDescent="0.25">
      <c r="A18">
        <v>14</v>
      </c>
      <c r="B18" s="13" t="s">
        <v>62</v>
      </c>
      <c r="C18" s="13"/>
      <c r="D18" s="3">
        <f>'JUNE 20'!H18:H32</f>
        <v>700</v>
      </c>
      <c r="E18" s="13">
        <v>2500</v>
      </c>
      <c r="F18" s="3">
        <f t="shared" si="0"/>
        <v>3200</v>
      </c>
      <c r="G18" s="13">
        <v>2500</v>
      </c>
      <c r="H18" s="13">
        <f t="shared" si="1"/>
        <v>700</v>
      </c>
      <c r="I18" t="s">
        <v>194</v>
      </c>
      <c r="M18" t="s">
        <v>9</v>
      </c>
      <c r="O18">
        <f>O16-P17</f>
        <v>-7726</v>
      </c>
    </row>
    <row r="19" spans="1:16" x14ac:dyDescent="0.25">
      <c r="A19">
        <v>15</v>
      </c>
      <c r="B19" s="3" t="s">
        <v>35</v>
      </c>
      <c r="C19" s="3"/>
      <c r="D19" s="3">
        <f>'JUNE 20'!H19:H33</f>
        <v>5000</v>
      </c>
      <c r="E19" s="3">
        <v>4500</v>
      </c>
      <c r="F19" s="3">
        <f t="shared" si="0"/>
        <v>9500</v>
      </c>
      <c r="G19" s="3">
        <v>9500</v>
      </c>
      <c r="H19" s="3">
        <f>F19-G19</f>
        <v>0</v>
      </c>
      <c r="I19" t="s">
        <v>186</v>
      </c>
    </row>
    <row r="20" spans="1:16" x14ac:dyDescent="0.25">
      <c r="B20" s="30" t="s">
        <v>64</v>
      </c>
      <c r="C20" s="30">
        <f t="shared" ref="C20:H20" si="2">SUM(C5:C19)</f>
        <v>0</v>
      </c>
      <c r="D20" s="3">
        <f>SUM(D5:D19)</f>
        <v>37800</v>
      </c>
      <c r="E20" s="30">
        <f t="shared" si="2"/>
        <v>29500</v>
      </c>
      <c r="F20" s="30">
        <f t="shared" si="2"/>
        <v>67300</v>
      </c>
      <c r="G20" s="30">
        <f t="shared" si="2"/>
        <v>45100</v>
      </c>
      <c r="H20" s="30">
        <f t="shared" si="2"/>
        <v>22200</v>
      </c>
      <c r="I20" s="31"/>
      <c r="M20" t="s">
        <v>222</v>
      </c>
      <c r="O20" s="6">
        <f>O18-P19</f>
        <v>-7726</v>
      </c>
    </row>
    <row r="21" spans="1:16" x14ac:dyDescent="0.25">
      <c r="B21" s="33"/>
      <c r="C21" s="33"/>
      <c r="D21" s="33"/>
      <c r="E21" s="33"/>
      <c r="F21" s="33"/>
      <c r="G21" s="33"/>
      <c r="H21" s="32"/>
      <c r="I21" s="31"/>
    </row>
    <row r="22" spans="1:16" x14ac:dyDescent="0.25">
      <c r="C22" s="34"/>
      <c r="D22" s="36" t="s">
        <v>12</v>
      </c>
      <c r="E22" s="33"/>
      <c r="F22" s="46"/>
      <c r="G22" s="10"/>
      <c r="H22" s="35"/>
      <c r="I22" s="31"/>
      <c r="J22" s="15"/>
    </row>
    <row r="23" spans="1:16" x14ac:dyDescent="0.25">
      <c r="B23" s="36" t="s">
        <v>13</v>
      </c>
      <c r="C23" s="36"/>
      <c r="D23" s="36"/>
      <c r="E23" s="37"/>
      <c r="F23" s="36" t="s">
        <v>14</v>
      </c>
      <c r="G23" s="31"/>
      <c r="H23" s="31"/>
      <c r="I23" s="31"/>
      <c r="J23" s="15">
        <f>H10+H18+H8</f>
        <v>2800</v>
      </c>
    </row>
    <row r="24" spans="1:16" x14ac:dyDescent="0.25">
      <c r="B24" s="30" t="s">
        <v>15</v>
      </c>
      <c r="C24" s="30" t="s">
        <v>16</v>
      </c>
      <c r="D24" s="30" t="s">
        <v>17</v>
      </c>
      <c r="E24" s="30" t="s">
        <v>18</v>
      </c>
      <c r="F24" s="30" t="s">
        <v>15</v>
      </c>
      <c r="G24" s="30" t="s">
        <v>16</v>
      </c>
      <c r="H24" s="30" t="s">
        <v>17</v>
      </c>
      <c r="I24" s="30" t="s">
        <v>18</v>
      </c>
    </row>
    <row r="25" spans="1:16" x14ac:dyDescent="0.25">
      <c r="B25" s="29" t="s">
        <v>95</v>
      </c>
      <c r="C25" s="38">
        <f>E20</f>
        <v>29500</v>
      </c>
      <c r="D25" s="29"/>
      <c r="E25" s="29"/>
      <c r="F25" s="29" t="s">
        <v>95</v>
      </c>
      <c r="G25" s="38">
        <f>G20</f>
        <v>45100</v>
      </c>
      <c r="H25" s="29"/>
      <c r="I25" s="29"/>
      <c r="J25" s="15"/>
      <c r="K25" s="15">
        <f>O20-J23</f>
        <v>-10526</v>
      </c>
    </row>
    <row r="26" spans="1:16" x14ac:dyDescent="0.25">
      <c r="B26" s="29" t="s">
        <v>5</v>
      </c>
      <c r="C26" s="38">
        <f>'JUNE 20'!E36</f>
        <v>28042</v>
      </c>
      <c r="D26" s="29"/>
      <c r="E26" s="29"/>
      <c r="F26" s="29" t="s">
        <v>5</v>
      </c>
      <c r="G26" s="38">
        <f>'JUNE 20'!I36</f>
        <v>-10028</v>
      </c>
      <c r="H26" s="29"/>
      <c r="I26" s="29"/>
    </row>
    <row r="27" spans="1:16" x14ac:dyDescent="0.25">
      <c r="B27" s="29" t="s">
        <v>70</v>
      </c>
      <c r="C27" s="38"/>
      <c r="D27" s="29"/>
      <c r="E27" s="29"/>
      <c r="F27" s="29" t="s">
        <v>70</v>
      </c>
      <c r="G27" s="38"/>
      <c r="H27" s="29"/>
      <c r="I27" s="29"/>
      <c r="J27" s="15"/>
    </row>
    <row r="28" spans="1:16" x14ac:dyDescent="0.25">
      <c r="B28" s="29" t="s">
        <v>20</v>
      </c>
      <c r="C28" s="39">
        <v>0.1</v>
      </c>
      <c r="D28" s="38">
        <f>C28*C25</f>
        <v>2950</v>
      </c>
      <c r="E28" s="29"/>
      <c r="F28" s="29" t="s">
        <v>20</v>
      </c>
      <c r="G28" s="39">
        <v>0.1</v>
      </c>
      <c r="H28" s="38">
        <f>G28*C25</f>
        <v>2950</v>
      </c>
      <c r="I28" s="29"/>
    </row>
    <row r="29" spans="1:16" x14ac:dyDescent="0.25">
      <c r="B29" s="30" t="s">
        <v>21</v>
      </c>
      <c r="C29" s="30" t="s">
        <v>22</v>
      </c>
      <c r="D29" s="30"/>
      <c r="E29" s="30"/>
      <c r="F29" s="30" t="s">
        <v>21</v>
      </c>
      <c r="G29" s="40"/>
      <c r="H29" s="30"/>
      <c r="I29" s="30"/>
      <c r="K29" s="15"/>
    </row>
    <row r="30" spans="1:16" x14ac:dyDescent="0.25">
      <c r="B30" s="30" t="s">
        <v>202</v>
      </c>
      <c r="C30" s="30"/>
      <c r="D30" s="30">
        <v>5200</v>
      </c>
      <c r="E30" s="30"/>
      <c r="F30" s="30" t="s">
        <v>202</v>
      </c>
      <c r="G30" s="30"/>
      <c r="H30" s="30">
        <v>5200</v>
      </c>
      <c r="I30" s="30"/>
    </row>
    <row r="31" spans="1:16" x14ac:dyDescent="0.25">
      <c r="B31" s="30" t="s">
        <v>203</v>
      </c>
      <c r="C31" s="30"/>
      <c r="D31" s="30">
        <v>3000</v>
      </c>
      <c r="E31" s="30"/>
      <c r="F31" s="30" t="s">
        <v>203</v>
      </c>
      <c r="G31" s="30"/>
      <c r="H31" s="30">
        <v>3000</v>
      </c>
      <c r="I31" s="30"/>
    </row>
    <row r="32" spans="1:16" x14ac:dyDescent="0.25">
      <c r="B32" s="30" t="s">
        <v>204</v>
      </c>
      <c r="C32" s="30"/>
      <c r="D32" s="30">
        <v>5000</v>
      </c>
      <c r="E32" s="30"/>
      <c r="F32" s="30" t="s">
        <v>204</v>
      </c>
      <c r="G32" s="30"/>
      <c r="H32" s="30">
        <v>5000</v>
      </c>
      <c r="I32" s="30"/>
    </row>
    <row r="33" spans="2:11" x14ac:dyDescent="0.25">
      <c r="B33" s="41"/>
      <c r="C33" s="29"/>
      <c r="D33" s="29"/>
      <c r="E33" s="29"/>
      <c r="F33" s="41"/>
      <c r="G33" s="29"/>
      <c r="H33" s="29"/>
      <c r="I33" s="29"/>
    </row>
    <row r="34" spans="2:11" x14ac:dyDescent="0.25">
      <c r="B34" s="42" t="s">
        <v>196</v>
      </c>
      <c r="C34" s="29"/>
      <c r="D34" s="31">
        <v>5500</v>
      </c>
      <c r="E34" s="29"/>
      <c r="F34" s="42" t="s">
        <v>196</v>
      </c>
      <c r="G34" s="29"/>
      <c r="H34" s="31">
        <v>5500</v>
      </c>
      <c r="I34" s="29"/>
    </row>
    <row r="35" spans="2:11" x14ac:dyDescent="0.25">
      <c r="B35" s="42" t="s">
        <v>197</v>
      </c>
      <c r="C35" s="29"/>
      <c r="D35" s="29">
        <v>2500</v>
      </c>
      <c r="E35" s="29"/>
      <c r="F35" s="42" t="s">
        <v>197</v>
      </c>
      <c r="G35" s="29"/>
      <c r="H35" s="29">
        <v>2500</v>
      </c>
      <c r="I35" s="29"/>
    </row>
    <row r="36" spans="2:11" x14ac:dyDescent="0.25">
      <c r="B36" s="42"/>
      <c r="C36" s="29"/>
      <c r="D36" s="29"/>
      <c r="E36" s="29"/>
      <c r="F36" s="42"/>
      <c r="G36" s="29"/>
      <c r="H36" s="29"/>
      <c r="I36" s="29"/>
    </row>
    <row r="37" spans="2:11" x14ac:dyDescent="0.25">
      <c r="B37" s="43" t="s">
        <v>198</v>
      </c>
      <c r="C37" s="29"/>
      <c r="D37" s="29">
        <v>7000</v>
      </c>
      <c r="E37" s="29"/>
      <c r="F37" s="43" t="s">
        <v>198</v>
      </c>
      <c r="G37" s="29"/>
      <c r="H37" s="29">
        <v>7000</v>
      </c>
      <c r="I37" s="29"/>
    </row>
    <row r="38" spans="2:11" x14ac:dyDescent="0.25">
      <c r="B38" s="43" t="s">
        <v>199</v>
      </c>
      <c r="C38" s="29"/>
      <c r="D38" s="29">
        <v>1800</v>
      </c>
      <c r="E38" s="29"/>
      <c r="F38" s="43" t="s">
        <v>199</v>
      </c>
      <c r="G38" s="29"/>
      <c r="H38" s="29">
        <v>1800</v>
      </c>
      <c r="I38" s="29"/>
    </row>
    <row r="39" spans="2:11" x14ac:dyDescent="0.25">
      <c r="B39" s="43" t="s">
        <v>200</v>
      </c>
      <c r="C39" s="29"/>
      <c r="D39" s="29">
        <v>2500</v>
      </c>
      <c r="E39" s="29"/>
      <c r="F39" s="43" t="s">
        <v>200</v>
      </c>
      <c r="G39" s="29"/>
      <c r="H39" s="29">
        <v>2500</v>
      </c>
      <c r="I39" s="29"/>
    </row>
    <row r="40" spans="2:11" x14ac:dyDescent="0.25">
      <c r="B40" s="43" t="s">
        <v>201</v>
      </c>
      <c r="C40" s="29"/>
      <c r="D40" s="29">
        <v>9500</v>
      </c>
      <c r="E40" s="29"/>
      <c r="F40" s="43" t="s">
        <v>201</v>
      </c>
      <c r="G40" s="29"/>
      <c r="H40" s="29">
        <v>9500</v>
      </c>
      <c r="I40" s="29"/>
    </row>
    <row r="41" spans="2:11" x14ac:dyDescent="0.25">
      <c r="B41" s="42"/>
      <c r="C41" s="29"/>
      <c r="D41" s="44"/>
      <c r="E41" s="29"/>
      <c r="F41" s="29"/>
      <c r="G41" s="29"/>
      <c r="H41" s="29"/>
      <c r="I41" s="29"/>
    </row>
    <row r="42" spans="2:11" x14ac:dyDescent="0.25">
      <c r="B42" s="30" t="s">
        <v>11</v>
      </c>
      <c r="C42" s="40">
        <f>C25+C26+C27-D28</f>
        <v>54592</v>
      </c>
      <c r="D42" s="40">
        <f>SUM(D30:D41)</f>
        <v>42000</v>
      </c>
      <c r="E42" s="40">
        <f>C42-D42</f>
        <v>12592</v>
      </c>
      <c r="F42" s="30" t="s">
        <v>11</v>
      </c>
      <c r="G42" s="40">
        <f>G25+G26+G27-H28</f>
        <v>32122</v>
      </c>
      <c r="H42" s="40">
        <f>SUM(H30:H41)</f>
        <v>42000</v>
      </c>
      <c r="I42" s="40">
        <f>G42-H42</f>
        <v>-9878</v>
      </c>
    </row>
    <row r="43" spans="2:11" x14ac:dyDescent="0.25">
      <c r="B43" s="31"/>
      <c r="C43" s="31"/>
      <c r="D43" s="31"/>
      <c r="E43" s="31"/>
      <c r="F43" s="31"/>
      <c r="G43" s="31"/>
      <c r="H43" s="31"/>
      <c r="I43" s="31"/>
      <c r="K43" s="15"/>
    </row>
    <row r="44" spans="2:11" x14ac:dyDescent="0.25">
      <c r="B44" s="31" t="s">
        <v>23</v>
      </c>
      <c r="C44" s="31"/>
      <c r="D44" s="31" t="s">
        <v>24</v>
      </c>
      <c r="E44" s="31"/>
      <c r="F44" s="31"/>
      <c r="G44" s="31" t="s">
        <v>25</v>
      </c>
      <c r="H44" s="31"/>
      <c r="I44" s="31"/>
    </row>
    <row r="45" spans="2:11" x14ac:dyDescent="0.25">
      <c r="B45" s="31"/>
      <c r="C45" s="31"/>
      <c r="D45" s="31"/>
      <c r="E45" s="31"/>
      <c r="F45" s="31"/>
      <c r="G45" s="31"/>
      <c r="H45" s="31"/>
      <c r="I45" s="31"/>
    </row>
    <row r="46" spans="2:11" x14ac:dyDescent="0.25">
      <c r="B46" s="31" t="s">
        <v>108</v>
      </c>
      <c r="C46" s="31"/>
      <c r="D46" s="31" t="s">
        <v>27</v>
      </c>
      <c r="E46" s="31"/>
      <c r="F46" s="31"/>
      <c r="G46" s="31" t="s">
        <v>46</v>
      </c>
      <c r="H46" s="31"/>
      <c r="I46" s="48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opLeftCell="A10" workbookViewId="0">
      <selection activeCell="J28" sqref="J28"/>
    </sheetView>
  </sheetViews>
  <sheetFormatPr defaultRowHeight="15" x14ac:dyDescent="0.25"/>
  <cols>
    <col min="2" max="2" width="19.140625" customWidth="1"/>
  </cols>
  <sheetData>
    <row r="1" spans="1:10" x14ac:dyDescent="0.25">
      <c r="C1" s="1" t="s">
        <v>28</v>
      </c>
      <c r="D1" s="1"/>
      <c r="E1" s="1"/>
      <c r="F1" s="1"/>
      <c r="G1" s="1"/>
      <c r="H1" s="1"/>
    </row>
    <row r="2" spans="1:10" x14ac:dyDescent="0.25">
      <c r="B2" s="1"/>
      <c r="C2" s="1" t="s">
        <v>0</v>
      </c>
      <c r="D2" s="1"/>
      <c r="E2" s="1"/>
      <c r="F2" s="1"/>
      <c r="G2" s="1"/>
      <c r="H2" s="1"/>
    </row>
    <row r="3" spans="1:10" x14ac:dyDescent="0.25">
      <c r="B3" s="1"/>
      <c r="C3" s="1" t="s">
        <v>230</v>
      </c>
      <c r="D3" s="1"/>
      <c r="E3" s="1"/>
      <c r="F3" s="1"/>
      <c r="G3" s="1"/>
      <c r="H3" s="1"/>
    </row>
    <row r="4" spans="1:10" x14ac:dyDescent="0.25">
      <c r="A4" t="s">
        <v>110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</row>
    <row r="5" spans="1:10" x14ac:dyDescent="0.25">
      <c r="A5">
        <v>1</v>
      </c>
      <c r="B5" s="3" t="s">
        <v>82</v>
      </c>
      <c r="C5" s="3"/>
      <c r="D5" s="3">
        <f>'JULY 20'!H5:H19</f>
        <v>0</v>
      </c>
      <c r="E5" s="3">
        <v>2500</v>
      </c>
      <c r="F5" s="3">
        <f>D5+E5</f>
        <v>2500</v>
      </c>
      <c r="G5" s="3">
        <f>1000+1500</f>
        <v>2500</v>
      </c>
      <c r="H5" s="3">
        <f>F5-G5</f>
        <v>0</v>
      </c>
    </row>
    <row r="6" spans="1:10" x14ac:dyDescent="0.25">
      <c r="A6">
        <v>2</v>
      </c>
      <c r="B6" s="29" t="s">
        <v>236</v>
      </c>
      <c r="C6" s="3"/>
      <c r="D6" s="3">
        <f>'JULY 20'!H6:H20</f>
        <v>0</v>
      </c>
      <c r="E6" s="3">
        <v>2500</v>
      </c>
      <c r="F6" s="3">
        <f t="shared" ref="F6:F23" si="0">D6+E6</f>
        <v>2500</v>
      </c>
      <c r="G6" s="3"/>
      <c r="H6" s="3">
        <f t="shared" ref="H6:H23" si="1">F6-G6</f>
        <v>2500</v>
      </c>
    </row>
    <row r="7" spans="1:10" x14ac:dyDescent="0.25">
      <c r="A7">
        <v>3</v>
      </c>
      <c r="B7" s="51" t="s">
        <v>147</v>
      </c>
      <c r="C7" s="51"/>
      <c r="D7" s="51">
        <f>'JULY 20'!H7:H21</f>
        <v>7000</v>
      </c>
      <c r="E7" s="52">
        <v>2500</v>
      </c>
      <c r="F7" s="51">
        <f t="shared" si="0"/>
        <v>9500</v>
      </c>
      <c r="G7" s="51">
        <v>2500</v>
      </c>
      <c r="H7" s="51">
        <f t="shared" si="1"/>
        <v>7000</v>
      </c>
    </row>
    <row r="8" spans="1:10" x14ac:dyDescent="0.25">
      <c r="A8">
        <v>4</v>
      </c>
      <c r="B8" s="3" t="s">
        <v>105</v>
      </c>
      <c r="C8" s="3"/>
      <c r="D8" s="3">
        <f>'JULY 20'!H8:H22</f>
        <v>300</v>
      </c>
      <c r="E8" s="3">
        <v>2500</v>
      </c>
      <c r="F8" s="3">
        <f t="shared" si="0"/>
        <v>2800</v>
      </c>
      <c r="G8" s="3">
        <f>2000+500</f>
        <v>2500</v>
      </c>
      <c r="H8" s="3">
        <f t="shared" si="1"/>
        <v>300</v>
      </c>
      <c r="I8" t="s">
        <v>237</v>
      </c>
    </row>
    <row r="9" spans="1:10" x14ac:dyDescent="0.25">
      <c r="A9">
        <v>5</v>
      </c>
      <c r="B9" s="3" t="s">
        <v>41</v>
      </c>
      <c r="C9" s="3"/>
      <c r="D9" s="3">
        <f>'JULY 20'!H9:H23</f>
        <v>0</v>
      </c>
      <c r="E9" s="3">
        <v>2500</v>
      </c>
      <c r="F9" s="3">
        <f t="shared" si="0"/>
        <v>2500</v>
      </c>
      <c r="G9" s="3">
        <v>2500</v>
      </c>
      <c r="H9" s="3">
        <f t="shared" si="1"/>
        <v>0</v>
      </c>
      <c r="I9" t="s">
        <v>241</v>
      </c>
    </row>
    <row r="10" spans="1:10" x14ac:dyDescent="0.25">
      <c r="A10">
        <v>6</v>
      </c>
      <c r="B10" s="3" t="s">
        <v>123</v>
      </c>
      <c r="C10" s="3"/>
      <c r="D10" s="3">
        <v>1800</v>
      </c>
      <c r="E10" s="3">
        <v>2500</v>
      </c>
      <c r="F10" s="3">
        <f t="shared" si="0"/>
        <v>4300</v>
      </c>
      <c r="G10" s="3">
        <v>2500</v>
      </c>
      <c r="H10" s="3">
        <f t="shared" si="1"/>
        <v>1800</v>
      </c>
    </row>
    <row r="11" spans="1:10" x14ac:dyDescent="0.25">
      <c r="A11">
        <v>7</v>
      </c>
      <c r="B11" s="29" t="s">
        <v>41</v>
      </c>
      <c r="C11" s="3"/>
      <c r="D11" s="3">
        <f>'JULY 20'!H11:H25</f>
        <v>0</v>
      </c>
      <c r="E11" s="3"/>
      <c r="F11" s="3">
        <f t="shared" si="0"/>
        <v>0</v>
      </c>
      <c r="G11" s="3"/>
      <c r="H11" s="3">
        <f t="shared" si="1"/>
        <v>0</v>
      </c>
    </row>
    <row r="12" spans="1:10" x14ac:dyDescent="0.25">
      <c r="A12">
        <v>8</v>
      </c>
      <c r="B12" s="3"/>
      <c r="C12" s="3"/>
      <c r="D12" s="3">
        <f>'JULY 20'!H12:H26</f>
        <v>0</v>
      </c>
      <c r="E12" s="3"/>
      <c r="F12" s="3">
        <f t="shared" si="0"/>
        <v>0</v>
      </c>
      <c r="G12" s="3"/>
      <c r="H12" s="3">
        <f>F12-G12</f>
        <v>0</v>
      </c>
    </row>
    <row r="13" spans="1:10" x14ac:dyDescent="0.25">
      <c r="A13">
        <v>9</v>
      </c>
      <c r="B13" s="3" t="s">
        <v>107</v>
      </c>
      <c r="C13" s="3"/>
      <c r="D13" s="3">
        <f>'JULY 20'!H13:H27</f>
        <v>0</v>
      </c>
      <c r="E13" s="3">
        <v>2500</v>
      </c>
      <c r="F13" s="3">
        <f t="shared" si="0"/>
        <v>2500</v>
      </c>
      <c r="G13" s="3">
        <f>1000+1500</f>
        <v>2500</v>
      </c>
      <c r="H13" s="3">
        <f t="shared" si="1"/>
        <v>0</v>
      </c>
      <c r="J13">
        <f>E6+H13+800+H21+H22</f>
        <v>6300</v>
      </c>
    </row>
    <row r="14" spans="1:10" x14ac:dyDescent="0.25">
      <c r="A14">
        <v>10</v>
      </c>
      <c r="B14" s="3" t="s">
        <v>234</v>
      </c>
      <c r="C14" s="3"/>
      <c r="D14" s="3">
        <f>'JULY 20'!H14:H28</f>
        <v>0</v>
      </c>
      <c r="E14" s="3">
        <v>2500</v>
      </c>
      <c r="F14" s="3">
        <f t="shared" si="0"/>
        <v>2500</v>
      </c>
      <c r="G14" s="3">
        <f>2000+500</f>
        <v>2500</v>
      </c>
      <c r="H14" s="3">
        <f t="shared" si="1"/>
        <v>0</v>
      </c>
      <c r="I14" t="s">
        <v>237</v>
      </c>
    </row>
    <row r="15" spans="1:10" x14ac:dyDescent="0.25">
      <c r="A15">
        <v>11</v>
      </c>
      <c r="B15" s="50" t="s">
        <v>148</v>
      </c>
      <c r="C15" s="51"/>
      <c r="D15" s="51">
        <f>'JULY 20'!H15:H29</f>
        <v>8700</v>
      </c>
      <c r="E15" s="52">
        <v>2500</v>
      </c>
      <c r="F15" s="51">
        <f t="shared" si="0"/>
        <v>11200</v>
      </c>
      <c r="G15" s="51">
        <v>2500</v>
      </c>
      <c r="H15" s="51">
        <f t="shared" si="1"/>
        <v>8700</v>
      </c>
      <c r="I15" t="s">
        <v>246</v>
      </c>
    </row>
    <row r="16" spans="1:10" x14ac:dyDescent="0.25">
      <c r="A16">
        <v>12</v>
      </c>
      <c r="B16" s="3" t="s">
        <v>37</v>
      </c>
      <c r="C16" s="3"/>
      <c r="D16" s="3">
        <v>500</v>
      </c>
      <c r="E16" s="3">
        <v>2500</v>
      </c>
      <c r="F16" s="3">
        <f t="shared" si="0"/>
        <v>3000</v>
      </c>
      <c r="G16" s="3">
        <v>1700</v>
      </c>
      <c r="H16" s="3">
        <f t="shared" si="1"/>
        <v>1300</v>
      </c>
    </row>
    <row r="17" spans="1:14" x14ac:dyDescent="0.25">
      <c r="A17">
        <v>13</v>
      </c>
      <c r="B17" s="51" t="s">
        <v>99</v>
      </c>
      <c r="C17" s="51"/>
      <c r="D17" s="51"/>
      <c r="E17" s="52">
        <v>2500</v>
      </c>
      <c r="F17" s="51">
        <f t="shared" si="0"/>
        <v>2500</v>
      </c>
      <c r="G17" s="51">
        <v>2500</v>
      </c>
      <c r="H17" s="51">
        <f t="shared" si="1"/>
        <v>0</v>
      </c>
    </row>
    <row r="18" spans="1:14" x14ac:dyDescent="0.25">
      <c r="A18">
        <v>14</v>
      </c>
      <c r="B18" s="13" t="s">
        <v>62</v>
      </c>
      <c r="C18" s="13"/>
      <c r="D18" s="3">
        <f>'JULY 20'!H18:H32</f>
        <v>700</v>
      </c>
      <c r="E18" s="13">
        <v>2500</v>
      </c>
      <c r="F18" s="3">
        <f t="shared" si="0"/>
        <v>3200</v>
      </c>
      <c r="G18" s="13"/>
      <c r="H18" s="13">
        <f t="shared" si="1"/>
        <v>3200</v>
      </c>
    </row>
    <row r="19" spans="1:14" x14ac:dyDescent="0.25">
      <c r="A19" t="s">
        <v>233</v>
      </c>
      <c r="B19" s="3" t="s">
        <v>35</v>
      </c>
      <c r="C19" s="3"/>
      <c r="D19" s="3">
        <f>'JULY 20'!H15:H29</f>
        <v>0</v>
      </c>
      <c r="E19" s="3">
        <v>4500</v>
      </c>
      <c r="F19" s="3">
        <f t="shared" si="0"/>
        <v>4500</v>
      </c>
      <c r="G19" s="13">
        <f>4500</f>
        <v>4500</v>
      </c>
      <c r="H19" s="13">
        <f t="shared" si="1"/>
        <v>0</v>
      </c>
    </row>
    <row r="20" spans="1:14" x14ac:dyDescent="0.25">
      <c r="A20">
        <v>17</v>
      </c>
      <c r="B20" s="13" t="s">
        <v>30</v>
      </c>
      <c r="C20" s="13"/>
      <c r="D20" s="3"/>
      <c r="E20" s="13"/>
      <c r="F20" s="3">
        <f t="shared" si="0"/>
        <v>0</v>
      </c>
      <c r="G20" s="13"/>
      <c r="H20" s="13">
        <f t="shared" si="1"/>
        <v>0</v>
      </c>
      <c r="M20">
        <f>H6+H8+H10+H16+H18+H22</f>
        <v>12100</v>
      </c>
    </row>
    <row r="21" spans="1:14" x14ac:dyDescent="0.25">
      <c r="A21">
        <v>18</v>
      </c>
      <c r="B21" s="13" t="s">
        <v>235</v>
      </c>
      <c r="C21" s="13"/>
      <c r="D21" s="3"/>
      <c r="E21" s="13">
        <v>3000</v>
      </c>
      <c r="F21" s="3">
        <f t="shared" si="0"/>
        <v>3000</v>
      </c>
      <c r="G21" s="13">
        <f>1500+1000+500</f>
        <v>3000</v>
      </c>
      <c r="H21" s="13">
        <f t="shared" si="1"/>
        <v>0</v>
      </c>
    </row>
    <row r="22" spans="1:14" x14ac:dyDescent="0.25">
      <c r="A22">
        <v>19</v>
      </c>
      <c r="B22" s="3" t="s">
        <v>242</v>
      </c>
      <c r="C22" s="3"/>
      <c r="D22" s="3">
        <f>'JULY 20'!H19:H33</f>
        <v>0</v>
      </c>
      <c r="E22" s="3">
        <v>3000</v>
      </c>
      <c r="F22" s="3">
        <f t="shared" si="0"/>
        <v>3000</v>
      </c>
      <c r="G22" s="3"/>
      <c r="H22" s="13">
        <f t="shared" si="1"/>
        <v>3000</v>
      </c>
      <c r="J22" s="15">
        <f>C28-D34</f>
        <v>33000</v>
      </c>
      <c r="K22" s="15"/>
    </row>
    <row r="23" spans="1:14" x14ac:dyDescent="0.25">
      <c r="A23">
        <v>20</v>
      </c>
      <c r="B23" s="3" t="s">
        <v>30</v>
      </c>
      <c r="C23" s="3"/>
      <c r="D23" s="3"/>
      <c r="E23" s="3"/>
      <c r="F23" s="3">
        <f t="shared" si="0"/>
        <v>0</v>
      </c>
      <c r="G23" s="3"/>
      <c r="H23" s="13">
        <f t="shared" si="1"/>
        <v>0</v>
      </c>
      <c r="I23" s="31"/>
      <c r="J23" s="15">
        <f>J22-G28</f>
        <v>1300</v>
      </c>
    </row>
    <row r="24" spans="1:14" x14ac:dyDescent="0.25">
      <c r="A24">
        <v>21</v>
      </c>
      <c r="B24" s="30" t="s">
        <v>64</v>
      </c>
      <c r="C24" s="30">
        <f t="shared" ref="C24:G24" si="2">SUM(C5:C22)</f>
        <v>0</v>
      </c>
      <c r="D24" s="3">
        <f t="shared" si="2"/>
        <v>19000</v>
      </c>
      <c r="E24" s="30">
        <f t="shared" si="2"/>
        <v>40500</v>
      </c>
      <c r="F24" s="30">
        <f>SUM(F5:F23)</f>
        <v>59500</v>
      </c>
      <c r="G24" s="30">
        <f t="shared" si="2"/>
        <v>31700</v>
      </c>
      <c r="H24" s="30">
        <f>SUM(H5:H23)</f>
        <v>27800</v>
      </c>
      <c r="I24">
        <v>7726</v>
      </c>
      <c r="K24" s="15">
        <f>G28+7500</f>
        <v>39200</v>
      </c>
    </row>
    <row r="25" spans="1:14" x14ac:dyDescent="0.25">
      <c r="C25" s="34"/>
      <c r="D25" s="36" t="s">
        <v>12</v>
      </c>
      <c r="E25" s="33"/>
      <c r="F25" s="46"/>
      <c r="G25" s="10"/>
      <c r="H25" s="35">
        <f>H22+H18+H16+H10+H8+H6</f>
        <v>12100</v>
      </c>
      <c r="I25">
        <v>1950</v>
      </c>
      <c r="J25" s="15"/>
    </row>
    <row r="26" spans="1:14" x14ac:dyDescent="0.25">
      <c r="B26" s="36" t="s">
        <v>13</v>
      </c>
      <c r="C26" s="36"/>
      <c r="D26" s="36"/>
      <c r="E26" s="37"/>
      <c r="F26" s="36" t="s">
        <v>14</v>
      </c>
      <c r="G26" s="48"/>
      <c r="H26" s="62">
        <f>H25-2500</f>
        <v>9600</v>
      </c>
      <c r="I26">
        <f>I24-I25</f>
        <v>5776</v>
      </c>
      <c r="J26" s="15"/>
    </row>
    <row r="27" spans="1:14" x14ac:dyDescent="0.25">
      <c r="B27" s="30" t="s">
        <v>15</v>
      </c>
      <c r="C27" s="30" t="s">
        <v>16</v>
      </c>
      <c r="D27" s="30" t="s">
        <v>17</v>
      </c>
      <c r="E27" s="30" t="s">
        <v>18</v>
      </c>
      <c r="F27" s="30" t="s">
        <v>15</v>
      </c>
      <c r="G27" s="30" t="s">
        <v>16</v>
      </c>
      <c r="H27" s="30" t="s">
        <v>17</v>
      </c>
      <c r="I27" s="30" t="s">
        <v>18</v>
      </c>
    </row>
    <row r="28" spans="1:14" x14ac:dyDescent="0.25">
      <c r="B28" s="29" t="s">
        <v>229</v>
      </c>
      <c r="C28" s="38">
        <f>E24</f>
        <v>40500</v>
      </c>
      <c r="D28" s="29"/>
      <c r="E28" s="29"/>
      <c r="F28" s="29" t="s">
        <v>229</v>
      </c>
      <c r="G28" s="38">
        <f>G24</f>
        <v>31700</v>
      </c>
      <c r="H28" s="29"/>
      <c r="I28" s="29"/>
      <c r="J28" s="15"/>
    </row>
    <row r="29" spans="1:14" x14ac:dyDescent="0.25">
      <c r="B29" s="29" t="s">
        <v>5</v>
      </c>
      <c r="C29" s="38">
        <v>-1950</v>
      </c>
      <c r="D29" s="29"/>
      <c r="E29" s="29"/>
      <c r="F29" s="29" t="s">
        <v>5</v>
      </c>
      <c r="G29" s="38">
        <v>-1950</v>
      </c>
      <c r="H29" s="29"/>
      <c r="I29" s="29"/>
      <c r="J29" s="15"/>
      <c r="K29">
        <f>H24-H7-H15</f>
        <v>12100</v>
      </c>
    </row>
    <row r="30" spans="1:14" x14ac:dyDescent="0.25">
      <c r="B30" s="29" t="s">
        <v>70</v>
      </c>
      <c r="C30" s="38"/>
      <c r="D30" s="29"/>
      <c r="E30" s="29"/>
      <c r="F30" s="29" t="s">
        <v>70</v>
      </c>
      <c r="G30" s="38"/>
      <c r="H30" s="29"/>
      <c r="I30" s="29"/>
      <c r="J30" s="15"/>
    </row>
    <row r="31" spans="1:14" x14ac:dyDescent="0.25">
      <c r="B31" s="29" t="s">
        <v>20</v>
      </c>
      <c r="C31" s="39">
        <v>0.1</v>
      </c>
      <c r="D31" s="38">
        <f>C31*C28</f>
        <v>4050</v>
      </c>
      <c r="E31" s="29"/>
      <c r="F31" s="29" t="s">
        <v>20</v>
      </c>
      <c r="G31" s="39">
        <v>0.1</v>
      </c>
      <c r="H31" s="38">
        <f>G31*C28</f>
        <v>4050</v>
      </c>
      <c r="I31" s="29"/>
      <c r="J31" s="15"/>
    </row>
    <row r="32" spans="1:14" x14ac:dyDescent="0.25">
      <c r="B32" s="30" t="s">
        <v>21</v>
      </c>
      <c r="C32" s="30" t="s">
        <v>22</v>
      </c>
      <c r="D32" s="30"/>
      <c r="E32" s="30"/>
      <c r="F32" s="30" t="s">
        <v>21</v>
      </c>
      <c r="G32" s="40"/>
      <c r="H32" s="30"/>
      <c r="I32" s="30"/>
      <c r="K32" s="15">
        <f>G28-C28</f>
        <v>-8800</v>
      </c>
      <c r="N32">
        <f>H34-D34</f>
        <v>0</v>
      </c>
    </row>
    <row r="33" spans="2:12" x14ac:dyDescent="0.25">
      <c r="B33" s="30"/>
      <c r="C33" s="30"/>
      <c r="D33" s="30"/>
      <c r="E33" s="30"/>
      <c r="F33" s="30"/>
      <c r="G33" s="30"/>
      <c r="H33" s="30"/>
      <c r="I33" s="30"/>
      <c r="L33" s="15"/>
    </row>
    <row r="34" spans="2:12" x14ac:dyDescent="0.25">
      <c r="B34" s="30" t="s">
        <v>231</v>
      </c>
      <c r="C34" s="30"/>
      <c r="D34" s="30">
        <f>2500+2500+2500</f>
        <v>7500</v>
      </c>
      <c r="E34" s="30"/>
      <c r="F34" s="30" t="s">
        <v>231</v>
      </c>
      <c r="G34" s="30"/>
      <c r="H34" s="30">
        <f>2500+2500+2500</f>
        <v>7500</v>
      </c>
      <c r="I34" s="30"/>
    </row>
    <row r="35" spans="2:12" x14ac:dyDescent="0.25">
      <c r="B35" s="30"/>
      <c r="C35" s="30"/>
      <c r="D35" s="30"/>
      <c r="E35" s="30"/>
      <c r="F35" s="30"/>
      <c r="G35" s="30"/>
      <c r="H35" s="30"/>
      <c r="I35" s="30"/>
    </row>
    <row r="36" spans="2:12" x14ac:dyDescent="0.25">
      <c r="B36" s="41" t="s">
        <v>232</v>
      </c>
      <c r="C36" s="29"/>
      <c r="D36" s="29">
        <v>27000</v>
      </c>
      <c r="E36" s="29"/>
      <c r="F36" s="41" t="s">
        <v>232</v>
      </c>
      <c r="G36" s="29"/>
      <c r="H36" s="29">
        <v>27000</v>
      </c>
      <c r="I36" s="29"/>
    </row>
    <row r="37" spans="2:12" x14ac:dyDescent="0.25">
      <c r="B37" s="42" t="s">
        <v>240</v>
      </c>
      <c r="C37" s="29"/>
      <c r="D37" s="31">
        <v>2500</v>
      </c>
      <c r="E37" s="29"/>
      <c r="F37" s="42" t="s">
        <v>240</v>
      </c>
      <c r="G37" s="29"/>
      <c r="H37" s="31">
        <v>2500</v>
      </c>
      <c r="I37" s="29"/>
      <c r="K37" s="15"/>
    </row>
    <row r="38" spans="2:12" x14ac:dyDescent="0.25">
      <c r="B38" s="42" t="s">
        <v>243</v>
      </c>
      <c r="C38" s="29"/>
      <c r="D38" s="29">
        <f>500+500</f>
        <v>1000</v>
      </c>
      <c r="E38" s="29"/>
      <c r="F38" s="42" t="s">
        <v>243</v>
      </c>
      <c r="G38" s="29"/>
      <c r="H38" s="29">
        <f>500+500</f>
        <v>1000</v>
      </c>
      <c r="I38" s="29"/>
    </row>
    <row r="39" spans="2:12" x14ac:dyDescent="0.25">
      <c r="B39" s="42"/>
      <c r="C39" s="29"/>
      <c r="D39" s="29"/>
      <c r="E39" s="29"/>
      <c r="F39" s="42"/>
      <c r="G39" s="29"/>
      <c r="H39" s="29"/>
      <c r="I39" s="29"/>
      <c r="K39" s="15"/>
    </row>
    <row r="40" spans="2:12" x14ac:dyDescent="0.25">
      <c r="B40" s="43"/>
      <c r="C40" s="29"/>
      <c r="D40" s="29"/>
      <c r="E40" s="29"/>
      <c r="F40" s="43"/>
      <c r="G40" s="29"/>
      <c r="H40" s="29"/>
      <c r="I40" s="29"/>
      <c r="J40" s="65"/>
      <c r="K40" s="15"/>
    </row>
    <row r="41" spans="2:12" x14ac:dyDescent="0.25">
      <c r="B41" s="30" t="s">
        <v>11</v>
      </c>
      <c r="C41" s="40">
        <f>C28+C29+C30-D31</f>
        <v>34500</v>
      </c>
      <c r="D41" s="40">
        <f>SUM(D33:D40)</f>
        <v>38000</v>
      </c>
      <c r="E41" s="40">
        <f>C41-D41</f>
        <v>-3500</v>
      </c>
      <c r="F41" s="30" t="s">
        <v>11</v>
      </c>
      <c r="G41" s="40">
        <f>G28+G29+G30-H31</f>
        <v>25700</v>
      </c>
      <c r="H41" s="40">
        <f>SUM(H33:H40)</f>
        <v>38000</v>
      </c>
      <c r="I41" s="40">
        <f>G41-H41</f>
        <v>-12300</v>
      </c>
      <c r="J41" s="65"/>
    </row>
    <row r="42" spans="2:12" x14ac:dyDescent="0.25">
      <c r="B42" s="31"/>
      <c r="C42" s="31"/>
      <c r="D42" s="31"/>
      <c r="E42" s="31"/>
      <c r="F42" s="31"/>
      <c r="G42" s="31"/>
      <c r="H42" s="31"/>
      <c r="I42" s="31"/>
    </row>
    <row r="43" spans="2:12" x14ac:dyDescent="0.25">
      <c r="B43" s="31" t="s">
        <v>23</v>
      </c>
      <c r="C43" s="31"/>
      <c r="D43" s="31" t="s">
        <v>24</v>
      </c>
      <c r="E43" s="31"/>
      <c r="F43" s="31"/>
      <c r="G43" s="31" t="s">
        <v>25</v>
      </c>
      <c r="H43" s="31"/>
      <c r="I43" s="31"/>
    </row>
    <row r="44" spans="2:12" x14ac:dyDescent="0.25">
      <c r="B44" s="31"/>
      <c r="C44" s="31"/>
      <c r="D44" s="31"/>
      <c r="E44" s="31"/>
      <c r="F44" s="31"/>
      <c r="G44" s="31"/>
      <c r="H44" s="31"/>
      <c r="I44" s="31"/>
    </row>
    <row r="45" spans="2:12" x14ac:dyDescent="0.25">
      <c r="B45" s="31" t="s">
        <v>108</v>
      </c>
      <c r="C45" s="31"/>
      <c r="D45" s="31" t="s">
        <v>27</v>
      </c>
      <c r="E45" s="31"/>
      <c r="F45" s="31"/>
      <c r="G45" s="31" t="s">
        <v>46</v>
      </c>
      <c r="H45" s="31"/>
      <c r="I45" s="48"/>
    </row>
  </sheetData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opLeftCell="A13" workbookViewId="0">
      <selection activeCell="G7" sqref="G7"/>
    </sheetView>
  </sheetViews>
  <sheetFormatPr defaultRowHeight="15" x14ac:dyDescent="0.25"/>
  <cols>
    <col min="1" max="1" width="5.5703125" customWidth="1"/>
    <col min="2" max="2" width="12.140625" customWidth="1"/>
    <col min="9" max="9" width="10" bestFit="1" customWidth="1"/>
    <col min="11" max="11" width="10" bestFit="1" customWidth="1"/>
  </cols>
  <sheetData>
    <row r="1" spans="1:10" x14ac:dyDescent="0.25">
      <c r="C1" s="1" t="s">
        <v>28</v>
      </c>
      <c r="D1" s="1"/>
      <c r="E1" s="1"/>
      <c r="F1" s="1"/>
      <c r="G1" s="1"/>
      <c r="H1" s="1"/>
    </row>
    <row r="2" spans="1:10" x14ac:dyDescent="0.25">
      <c r="B2" s="1"/>
      <c r="C2" s="1" t="s">
        <v>0</v>
      </c>
      <c r="D2" s="1"/>
      <c r="E2" s="1"/>
      <c r="F2" s="1"/>
      <c r="G2" s="1"/>
      <c r="H2" s="1"/>
    </row>
    <row r="3" spans="1:10" x14ac:dyDescent="0.25">
      <c r="B3" s="1"/>
      <c r="C3" s="1" t="s">
        <v>238</v>
      </c>
      <c r="D3" s="1"/>
      <c r="E3" s="1"/>
      <c r="F3" s="1"/>
      <c r="G3" s="1"/>
      <c r="H3" s="1"/>
    </row>
    <row r="4" spans="1:10" x14ac:dyDescent="0.25">
      <c r="A4" t="s">
        <v>110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</row>
    <row r="5" spans="1:10" x14ac:dyDescent="0.25">
      <c r="A5">
        <v>1</v>
      </c>
      <c r="B5" s="3" t="s">
        <v>82</v>
      </c>
      <c r="C5" s="3"/>
      <c r="D5" s="3">
        <f>'AUGUST 20'!H5:H23</f>
        <v>0</v>
      </c>
      <c r="E5" s="3">
        <v>2500</v>
      </c>
      <c r="F5" s="3">
        <f>D5+E5</f>
        <v>2500</v>
      </c>
      <c r="G5" s="3">
        <f>1500+1000</f>
        <v>2500</v>
      </c>
      <c r="H5" s="3">
        <f>F5-G5</f>
        <v>0</v>
      </c>
    </row>
    <row r="6" spans="1:10" x14ac:dyDescent="0.25">
      <c r="A6">
        <v>2</v>
      </c>
      <c r="B6" s="29" t="s">
        <v>236</v>
      </c>
      <c r="C6" s="3"/>
      <c r="D6" s="3">
        <f>'AUGUST 20'!H6:H24</f>
        <v>2500</v>
      </c>
      <c r="E6" s="3">
        <v>2500</v>
      </c>
      <c r="F6" s="3">
        <f t="shared" ref="F6:F23" si="0">D6+E6</f>
        <v>5000</v>
      </c>
      <c r="G6" s="3"/>
      <c r="H6" s="3">
        <f t="shared" ref="H6:H23" si="1">F6-G6</f>
        <v>5000</v>
      </c>
    </row>
    <row r="7" spans="1:10" x14ac:dyDescent="0.25">
      <c r="A7">
        <v>3</v>
      </c>
      <c r="B7" s="51" t="s">
        <v>147</v>
      </c>
      <c r="C7" s="51"/>
      <c r="D7" s="3">
        <f>'AUGUST 20'!H7:H25</f>
        <v>7000</v>
      </c>
      <c r="E7" s="52">
        <v>2500</v>
      </c>
      <c r="F7" s="51">
        <f t="shared" si="0"/>
        <v>9500</v>
      </c>
      <c r="G7" s="51">
        <v>9500</v>
      </c>
      <c r="H7" s="51">
        <f t="shared" si="1"/>
        <v>0</v>
      </c>
      <c r="J7">
        <f>H7-5500</f>
        <v>-5500</v>
      </c>
    </row>
    <row r="8" spans="1:10" x14ac:dyDescent="0.25">
      <c r="A8">
        <v>4</v>
      </c>
      <c r="B8" s="3" t="s">
        <v>105</v>
      </c>
      <c r="C8" s="3"/>
      <c r="D8" s="3">
        <f>'AUGUST 20'!H8:H26</f>
        <v>300</v>
      </c>
      <c r="E8" s="3">
        <v>2500</v>
      </c>
      <c r="F8" s="3">
        <f t="shared" si="0"/>
        <v>2800</v>
      </c>
      <c r="G8" s="3">
        <f>2500+300</f>
        <v>2800</v>
      </c>
      <c r="H8" s="3">
        <f t="shared" si="1"/>
        <v>0</v>
      </c>
      <c r="I8" t="s">
        <v>237</v>
      </c>
    </row>
    <row r="9" spans="1:10" x14ac:dyDescent="0.25">
      <c r="A9">
        <v>5</v>
      </c>
      <c r="B9" s="3"/>
      <c r="C9" s="3"/>
      <c r="D9" s="3"/>
      <c r="E9" s="3"/>
      <c r="F9" s="3">
        <f t="shared" si="0"/>
        <v>0</v>
      </c>
      <c r="G9" s="3"/>
      <c r="H9" s="3">
        <f t="shared" si="1"/>
        <v>0</v>
      </c>
    </row>
    <row r="10" spans="1:10" x14ac:dyDescent="0.25">
      <c r="A10">
        <v>6</v>
      </c>
      <c r="B10" s="3" t="s">
        <v>123</v>
      </c>
      <c r="C10" s="3"/>
      <c r="D10" s="3">
        <f>'AUGUST 20'!H10:H28</f>
        <v>1800</v>
      </c>
      <c r="E10" s="3">
        <v>2500</v>
      </c>
      <c r="F10" s="3">
        <f t="shared" si="0"/>
        <v>4300</v>
      </c>
      <c r="G10" s="3">
        <f>1000+1000+200+300</f>
        <v>2500</v>
      </c>
      <c r="H10" s="3">
        <f t="shared" si="1"/>
        <v>1800</v>
      </c>
    </row>
    <row r="11" spans="1:10" x14ac:dyDescent="0.25">
      <c r="A11">
        <v>7</v>
      </c>
      <c r="B11" s="29" t="s">
        <v>41</v>
      </c>
      <c r="C11" s="3"/>
      <c r="D11" s="3">
        <f>'AUGUST 20'!H11:H29</f>
        <v>0</v>
      </c>
      <c r="E11" s="3">
        <v>2500</v>
      </c>
      <c r="F11" s="3">
        <f t="shared" si="0"/>
        <v>2500</v>
      </c>
      <c r="G11" s="3">
        <f>1500+1000</f>
        <v>2500</v>
      </c>
      <c r="H11" s="3">
        <f t="shared" si="1"/>
        <v>0</v>
      </c>
    </row>
    <row r="12" spans="1:10" x14ac:dyDescent="0.25">
      <c r="A12">
        <v>8</v>
      </c>
      <c r="B12" s="3"/>
      <c r="C12" s="3"/>
      <c r="D12" s="3">
        <f>'AUGUST 20'!H12:H30</f>
        <v>0</v>
      </c>
      <c r="E12" s="3"/>
      <c r="F12" s="3">
        <f t="shared" si="0"/>
        <v>0</v>
      </c>
      <c r="G12" s="3"/>
      <c r="H12" s="3">
        <f>F12-G12</f>
        <v>0</v>
      </c>
    </row>
    <row r="13" spans="1:10" x14ac:dyDescent="0.25">
      <c r="A13">
        <v>9</v>
      </c>
      <c r="B13" s="3" t="s">
        <v>107</v>
      </c>
      <c r="C13" s="3"/>
      <c r="D13" s="3">
        <f>'AUGUST 20'!H13:H31</f>
        <v>0</v>
      </c>
      <c r="E13" s="3">
        <v>2500</v>
      </c>
      <c r="F13" s="3">
        <f t="shared" si="0"/>
        <v>2500</v>
      </c>
      <c r="G13" s="3">
        <v>1200</v>
      </c>
      <c r="H13" s="3">
        <f t="shared" si="1"/>
        <v>1300</v>
      </c>
      <c r="J13">
        <f>E6+H13+800+H21+H22</f>
        <v>8100</v>
      </c>
    </row>
    <row r="14" spans="1:10" x14ac:dyDescent="0.25">
      <c r="A14">
        <v>10</v>
      </c>
      <c r="B14" s="3" t="s">
        <v>234</v>
      </c>
      <c r="C14" s="3"/>
      <c r="D14" s="3">
        <f>'AUGUST 20'!H14:H32</f>
        <v>0</v>
      </c>
      <c r="E14" s="3">
        <v>2500</v>
      </c>
      <c r="F14" s="3">
        <f t="shared" si="0"/>
        <v>2500</v>
      </c>
      <c r="G14" s="3">
        <v>2500</v>
      </c>
      <c r="H14" s="3">
        <f t="shared" si="1"/>
        <v>0</v>
      </c>
      <c r="I14" t="s">
        <v>164</v>
      </c>
    </row>
    <row r="15" spans="1:10" x14ac:dyDescent="0.25">
      <c r="A15">
        <v>11</v>
      </c>
      <c r="B15" s="50" t="s">
        <v>245</v>
      </c>
      <c r="C15" s="50"/>
      <c r="D15" s="29"/>
      <c r="E15" s="50"/>
      <c r="F15" s="50"/>
      <c r="G15" s="50"/>
      <c r="H15" s="50"/>
    </row>
    <row r="16" spans="1:10" x14ac:dyDescent="0.25">
      <c r="A16">
        <v>12</v>
      </c>
      <c r="B16" s="3" t="s">
        <v>37</v>
      </c>
      <c r="C16" s="3"/>
      <c r="D16" s="3">
        <f>'AUGUST 20'!H16:H34</f>
        <v>1300</v>
      </c>
      <c r="E16" s="3">
        <v>2500</v>
      </c>
      <c r="F16" s="3">
        <f t="shared" si="0"/>
        <v>3800</v>
      </c>
      <c r="G16" s="3">
        <f>1600+1500</f>
        <v>3100</v>
      </c>
      <c r="H16" s="3">
        <f t="shared" si="1"/>
        <v>700</v>
      </c>
    </row>
    <row r="17" spans="1:12" x14ac:dyDescent="0.25">
      <c r="A17">
        <v>13</v>
      </c>
      <c r="B17" s="51" t="s">
        <v>99</v>
      </c>
      <c r="C17" s="51"/>
      <c r="D17" s="3">
        <f>'AUGUST 20'!H17:H35</f>
        <v>0</v>
      </c>
      <c r="E17" s="52">
        <v>2500</v>
      </c>
      <c r="F17" s="51">
        <f t="shared" si="0"/>
        <v>2500</v>
      </c>
      <c r="G17" s="51">
        <v>2500</v>
      </c>
      <c r="H17" s="51">
        <f t="shared" si="1"/>
        <v>0</v>
      </c>
    </row>
    <row r="18" spans="1:12" x14ac:dyDescent="0.25">
      <c r="A18">
        <v>14</v>
      </c>
      <c r="B18" s="13" t="s">
        <v>62</v>
      </c>
      <c r="C18" s="13"/>
      <c r="D18" s="3">
        <f>'AUGUST 20'!H18:H36</f>
        <v>3200</v>
      </c>
      <c r="E18" s="13">
        <v>2500</v>
      </c>
      <c r="F18" s="3">
        <f t="shared" si="0"/>
        <v>5700</v>
      </c>
      <c r="G18" s="13"/>
      <c r="H18" s="13">
        <f t="shared" si="1"/>
        <v>5700</v>
      </c>
      <c r="I18" t="s">
        <v>119</v>
      </c>
    </row>
    <row r="19" spans="1:12" x14ac:dyDescent="0.25">
      <c r="A19" t="s">
        <v>233</v>
      </c>
      <c r="B19" s="3" t="s">
        <v>35</v>
      </c>
      <c r="C19" s="3"/>
      <c r="D19" s="3">
        <f>'AUGUST 20'!H19:H37</f>
        <v>0</v>
      </c>
      <c r="E19" s="3">
        <v>4500</v>
      </c>
      <c r="F19" s="3">
        <f t="shared" si="0"/>
        <v>4500</v>
      </c>
      <c r="G19" s="13">
        <v>4500</v>
      </c>
      <c r="H19" s="13">
        <f t="shared" si="1"/>
        <v>0</v>
      </c>
    </row>
    <row r="20" spans="1:12" x14ac:dyDescent="0.25">
      <c r="A20">
        <v>17</v>
      </c>
      <c r="B20" s="13" t="s">
        <v>247</v>
      </c>
      <c r="C20" s="13"/>
      <c r="D20" s="3">
        <f>'AUGUST 20'!H20:H38</f>
        <v>0</v>
      </c>
      <c r="E20" s="13"/>
      <c r="F20" s="3">
        <f t="shared" si="0"/>
        <v>0</v>
      </c>
      <c r="G20" s="13"/>
      <c r="H20" s="13"/>
      <c r="I20">
        <v>724258280</v>
      </c>
    </row>
    <row r="21" spans="1:12" x14ac:dyDescent="0.25">
      <c r="A21">
        <v>18</v>
      </c>
      <c r="B21" s="13" t="s">
        <v>235</v>
      </c>
      <c r="C21" s="13"/>
      <c r="D21" s="3">
        <f>'AUGUST 20'!H21:H39</f>
        <v>0</v>
      </c>
      <c r="E21" s="13">
        <v>3000</v>
      </c>
      <c r="F21" s="3">
        <f t="shared" si="0"/>
        <v>3000</v>
      </c>
      <c r="G21" s="13">
        <f>2500</f>
        <v>2500</v>
      </c>
      <c r="H21" s="13">
        <f t="shared" si="1"/>
        <v>500</v>
      </c>
    </row>
    <row r="22" spans="1:12" x14ac:dyDescent="0.25">
      <c r="A22">
        <v>19</v>
      </c>
      <c r="B22" s="3" t="s">
        <v>242</v>
      </c>
      <c r="C22" s="3"/>
      <c r="D22" s="3">
        <f>'AUGUST 20'!H22:H40</f>
        <v>3000</v>
      </c>
      <c r="E22" s="3">
        <v>3000</v>
      </c>
      <c r="F22" s="3">
        <f t="shared" si="0"/>
        <v>6000</v>
      </c>
      <c r="G22" s="3">
        <v>3000</v>
      </c>
      <c r="H22" s="13">
        <f t="shared" si="1"/>
        <v>3000</v>
      </c>
      <c r="J22" s="15"/>
    </row>
    <row r="23" spans="1:12" x14ac:dyDescent="0.25">
      <c r="A23">
        <v>20</v>
      </c>
      <c r="B23" s="3" t="s">
        <v>244</v>
      </c>
      <c r="C23" s="3"/>
      <c r="D23" s="3">
        <f>'AUGUST 20'!H23:H41</f>
        <v>0</v>
      </c>
      <c r="E23" s="3">
        <v>3000</v>
      </c>
      <c r="F23" s="3">
        <f t="shared" si="0"/>
        <v>3000</v>
      </c>
      <c r="G23" s="3"/>
      <c r="H23" s="13">
        <f t="shared" si="1"/>
        <v>3000</v>
      </c>
      <c r="I23" s="31"/>
      <c r="J23" s="15"/>
      <c r="K23">
        <v>111550019</v>
      </c>
    </row>
    <row r="24" spans="1:12" x14ac:dyDescent="0.25">
      <c r="B24" s="30" t="s">
        <v>64</v>
      </c>
      <c r="C24" s="30">
        <f t="shared" ref="C24" si="2">SUM(C5:C22)</f>
        <v>0</v>
      </c>
      <c r="D24" s="3">
        <f>SUM(D5:D23)</f>
        <v>19100</v>
      </c>
      <c r="E24" s="30">
        <f>SUM(E5:E23)</f>
        <v>41000</v>
      </c>
      <c r="F24" s="30">
        <f>SUM(F5:F23)</f>
        <v>60100</v>
      </c>
      <c r="G24" s="30">
        <f>SUM(G5:G23)</f>
        <v>39100</v>
      </c>
      <c r="H24" s="30">
        <f>SUM(H5:H23)</f>
        <v>21000</v>
      </c>
      <c r="I24">
        <v>5776</v>
      </c>
    </row>
    <row r="25" spans="1:12" x14ac:dyDescent="0.25">
      <c r="C25" s="34"/>
      <c r="D25" s="61">
        <f>D24-D7</f>
        <v>12100</v>
      </c>
      <c r="E25" s="33"/>
      <c r="F25" s="46"/>
      <c r="G25" s="10"/>
      <c r="H25" s="35">
        <f>H24-H18</f>
        <v>15300</v>
      </c>
      <c r="I25">
        <v>1950</v>
      </c>
      <c r="J25" s="15"/>
    </row>
    <row r="26" spans="1:12" x14ac:dyDescent="0.25">
      <c r="B26" s="36" t="s">
        <v>13</v>
      </c>
      <c r="C26" s="36"/>
      <c r="D26" s="36"/>
      <c r="E26" s="37"/>
      <c r="F26" s="36" t="s">
        <v>14</v>
      </c>
      <c r="G26" s="31"/>
      <c r="H26" s="31">
        <f>H23+H22+H21+700+H13+H6</f>
        <v>13500</v>
      </c>
      <c r="I26">
        <f>I24-I25</f>
        <v>3826</v>
      </c>
      <c r="J26" s="15"/>
      <c r="L26" s="15"/>
    </row>
    <row r="27" spans="1:12" x14ac:dyDescent="0.25">
      <c r="B27" s="30" t="s">
        <v>15</v>
      </c>
      <c r="C27" s="30" t="s">
        <v>16</v>
      </c>
      <c r="D27" s="30" t="s">
        <v>17</v>
      </c>
      <c r="E27" s="30" t="s">
        <v>18</v>
      </c>
      <c r="F27" s="30" t="s">
        <v>15</v>
      </c>
      <c r="G27" s="30" t="s">
        <v>16</v>
      </c>
      <c r="H27" s="30" t="s">
        <v>17</v>
      </c>
      <c r="I27" s="30" t="s">
        <v>18</v>
      </c>
    </row>
    <row r="28" spans="1:12" x14ac:dyDescent="0.25">
      <c r="B28" s="29" t="s">
        <v>239</v>
      </c>
      <c r="C28" s="38">
        <f>E24</f>
        <v>41000</v>
      </c>
      <c r="D28" s="29"/>
      <c r="E28" s="29"/>
      <c r="F28" s="29" t="s">
        <v>239</v>
      </c>
      <c r="G28" s="38">
        <f>G24</f>
        <v>39100</v>
      </c>
      <c r="H28" s="29"/>
      <c r="I28" s="29"/>
      <c r="J28" s="15"/>
      <c r="K28" s="15"/>
    </row>
    <row r="29" spans="1:12" x14ac:dyDescent="0.25">
      <c r="B29" s="29" t="s">
        <v>5</v>
      </c>
      <c r="C29" s="38">
        <f>'AUGUST 20'!E41+-1950</f>
        <v>-5450</v>
      </c>
      <c r="D29" s="29"/>
      <c r="E29" s="29"/>
      <c r="F29" s="29" t="s">
        <v>5</v>
      </c>
      <c r="G29" s="38">
        <f>-12300-1950</f>
        <v>-14250</v>
      </c>
      <c r="H29" s="29"/>
      <c r="I29" s="29"/>
      <c r="K29" s="15"/>
    </row>
    <row r="30" spans="1:12" x14ac:dyDescent="0.25">
      <c r="B30" s="29" t="s">
        <v>70</v>
      </c>
      <c r="C30" s="38"/>
      <c r="D30" s="29"/>
      <c r="E30" s="29"/>
      <c r="F30" s="29" t="s">
        <v>70</v>
      </c>
      <c r="G30" s="38"/>
      <c r="H30" s="29"/>
      <c r="I30" s="29"/>
      <c r="K30" s="15"/>
    </row>
    <row r="31" spans="1:12" x14ac:dyDescent="0.25">
      <c r="B31" s="29" t="s">
        <v>20</v>
      </c>
      <c r="C31" s="39">
        <v>0.1</v>
      </c>
      <c r="D31" s="38">
        <f>C31*C28</f>
        <v>4100</v>
      </c>
      <c r="E31" s="29"/>
      <c r="F31" s="29" t="s">
        <v>20</v>
      </c>
      <c r="G31" s="39">
        <v>0.1</v>
      </c>
      <c r="H31" s="38">
        <f>G31*C28</f>
        <v>4100</v>
      </c>
      <c r="I31" s="29"/>
      <c r="K31" s="15"/>
    </row>
    <row r="32" spans="1:12" x14ac:dyDescent="0.25">
      <c r="B32" s="30" t="s">
        <v>21</v>
      </c>
      <c r="C32" s="30" t="s">
        <v>22</v>
      </c>
      <c r="D32" s="30"/>
      <c r="E32" s="30"/>
      <c r="F32" s="30" t="s">
        <v>21</v>
      </c>
      <c r="G32" s="40"/>
      <c r="H32" s="30"/>
      <c r="I32" s="30"/>
      <c r="K32" s="15"/>
    </row>
    <row r="33" spans="2:14" x14ac:dyDescent="0.25">
      <c r="B33" s="30"/>
      <c r="C33" s="30"/>
      <c r="D33" s="30"/>
      <c r="E33" s="30"/>
      <c r="F33" s="30"/>
      <c r="G33" s="30"/>
      <c r="H33" s="30"/>
      <c r="I33" s="30"/>
    </row>
    <row r="34" spans="2:14" x14ac:dyDescent="0.25">
      <c r="B34" s="30" t="s">
        <v>147</v>
      </c>
      <c r="C34" s="30"/>
      <c r="D34" s="30">
        <v>2500</v>
      </c>
      <c r="E34" s="30"/>
      <c r="F34" s="30" t="s">
        <v>248</v>
      </c>
      <c r="G34" s="30"/>
      <c r="H34" s="30">
        <v>9500</v>
      </c>
      <c r="I34" s="30"/>
    </row>
    <row r="35" spans="2:14" x14ac:dyDescent="0.25">
      <c r="B35" s="30" t="s">
        <v>249</v>
      </c>
      <c r="C35" s="30"/>
      <c r="D35" s="30">
        <f>14000+14950</f>
        <v>28950</v>
      </c>
      <c r="E35" s="30"/>
      <c r="F35" s="30" t="s">
        <v>249</v>
      </c>
      <c r="G35" s="30"/>
      <c r="H35" s="30">
        <f>14000+14950</f>
        <v>28950</v>
      </c>
      <c r="I35" s="30"/>
      <c r="N35">
        <f>3500+1950</f>
        <v>5450</v>
      </c>
    </row>
    <row r="36" spans="2:14" x14ac:dyDescent="0.25">
      <c r="B36" s="30" t="s">
        <v>250</v>
      </c>
      <c r="C36" s="30"/>
      <c r="D36" s="30">
        <v>5700</v>
      </c>
      <c r="E36" s="30"/>
      <c r="F36" s="30"/>
      <c r="G36" s="30"/>
      <c r="H36" s="30"/>
      <c r="I36" s="30"/>
    </row>
    <row r="37" spans="2:14" x14ac:dyDescent="0.25">
      <c r="B37" s="30" t="s">
        <v>184</v>
      </c>
      <c r="C37" s="30"/>
      <c r="D37" s="30">
        <v>1000</v>
      </c>
      <c r="E37" s="30"/>
      <c r="F37" s="30" t="s">
        <v>184</v>
      </c>
      <c r="G37" s="30"/>
      <c r="H37" s="30">
        <v>1000</v>
      </c>
      <c r="I37" s="30"/>
      <c r="K37" s="15">
        <f>E40-I40</f>
        <v>12000</v>
      </c>
    </row>
    <row r="38" spans="2:14" x14ac:dyDescent="0.25">
      <c r="B38" s="30" t="s">
        <v>252</v>
      </c>
      <c r="C38" s="30"/>
      <c r="D38" s="30">
        <v>2500</v>
      </c>
      <c r="E38" s="30"/>
      <c r="F38" s="30" t="s">
        <v>252</v>
      </c>
      <c r="G38" s="30"/>
      <c r="H38" s="30">
        <v>2500</v>
      </c>
      <c r="I38" s="30"/>
    </row>
    <row r="39" spans="2:14" x14ac:dyDescent="0.25">
      <c r="B39" s="41"/>
      <c r="C39" s="29"/>
      <c r="D39" s="29"/>
      <c r="E39" s="29"/>
      <c r="F39" s="41"/>
      <c r="G39" s="29"/>
      <c r="H39" s="29"/>
      <c r="I39" s="29"/>
      <c r="K39" s="15"/>
    </row>
    <row r="40" spans="2:14" x14ac:dyDescent="0.25">
      <c r="B40" s="30" t="s">
        <v>11</v>
      </c>
      <c r="C40" s="40">
        <f>C28+C29+C30-D31</f>
        <v>31450</v>
      </c>
      <c r="D40" s="40">
        <f>SUM(D33:D39)</f>
        <v>40650</v>
      </c>
      <c r="E40" s="40">
        <f>C40-D40</f>
        <v>-9200</v>
      </c>
      <c r="F40" s="30" t="s">
        <v>11</v>
      </c>
      <c r="G40" s="40">
        <f>G28+G29+G30-H31</f>
        <v>20750</v>
      </c>
      <c r="H40" s="40">
        <f>SUM(H33:H39)</f>
        <v>41950</v>
      </c>
      <c r="I40" s="40">
        <f>G40-H40</f>
        <v>-21200</v>
      </c>
      <c r="J40" s="15"/>
    </row>
    <row r="41" spans="2:14" x14ac:dyDescent="0.25">
      <c r="B41" s="31"/>
      <c r="C41" s="31"/>
      <c r="D41" s="31"/>
      <c r="E41" s="31"/>
      <c r="F41" s="31"/>
      <c r="G41" s="31"/>
      <c r="H41" s="31"/>
      <c r="I41" s="31"/>
      <c r="L41" s="15">
        <f>E40-I40</f>
        <v>12000</v>
      </c>
    </row>
    <row r="42" spans="2:14" x14ac:dyDescent="0.25">
      <c r="B42" s="31" t="s">
        <v>23</v>
      </c>
      <c r="C42" s="31"/>
      <c r="D42" s="31" t="s">
        <v>24</v>
      </c>
      <c r="E42" s="31"/>
      <c r="F42" s="31"/>
      <c r="G42" s="31" t="s">
        <v>25</v>
      </c>
      <c r="H42" s="31"/>
      <c r="I42" s="31"/>
    </row>
    <row r="43" spans="2:14" x14ac:dyDescent="0.25">
      <c r="B43" s="31"/>
      <c r="C43" s="31"/>
      <c r="D43" s="31"/>
      <c r="E43" s="31"/>
      <c r="F43" s="31"/>
      <c r="G43" s="31"/>
      <c r="H43" s="31"/>
      <c r="I43" s="31"/>
    </row>
    <row r="44" spans="2:14" x14ac:dyDescent="0.25">
      <c r="B44" s="31" t="s">
        <v>108</v>
      </c>
      <c r="C44" s="31"/>
      <c r="D44" s="31" t="s">
        <v>27</v>
      </c>
      <c r="E44" s="31"/>
      <c r="F44" s="31"/>
      <c r="G44" s="31" t="s">
        <v>46</v>
      </c>
      <c r="H44" s="31"/>
      <c r="I44" s="48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opLeftCell="A7" workbookViewId="0">
      <selection activeCell="F7" sqref="F7"/>
    </sheetView>
  </sheetViews>
  <sheetFormatPr defaultRowHeight="15" x14ac:dyDescent="0.25"/>
  <cols>
    <col min="2" max="2" width="27.140625" bestFit="1" customWidth="1"/>
  </cols>
  <sheetData>
    <row r="1" spans="1:10" x14ac:dyDescent="0.25">
      <c r="C1" s="1" t="s">
        <v>28</v>
      </c>
      <c r="D1" s="1"/>
      <c r="E1" s="1"/>
      <c r="F1" s="1"/>
    </row>
    <row r="2" spans="1:10" x14ac:dyDescent="0.25">
      <c r="B2" s="1"/>
      <c r="C2" s="1" t="s">
        <v>0</v>
      </c>
      <c r="D2" s="1"/>
      <c r="E2" s="1"/>
      <c r="F2" s="1"/>
      <c r="G2" s="1"/>
      <c r="H2" s="1"/>
    </row>
    <row r="3" spans="1:10" x14ac:dyDescent="0.25">
      <c r="B3" s="1"/>
      <c r="C3" s="1" t="s">
        <v>251</v>
      </c>
      <c r="D3" s="1"/>
      <c r="E3" s="1"/>
      <c r="F3" s="1"/>
      <c r="G3" s="1"/>
      <c r="H3" s="1"/>
    </row>
    <row r="4" spans="1:10" x14ac:dyDescent="0.25">
      <c r="A4" t="s">
        <v>110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</row>
    <row r="5" spans="1:10" x14ac:dyDescent="0.25">
      <c r="A5">
        <v>1</v>
      </c>
      <c r="B5" s="3" t="s">
        <v>82</v>
      </c>
      <c r="C5" s="3"/>
      <c r="D5" s="3">
        <f>SEPTEMBER20!H5:H24</f>
        <v>0</v>
      </c>
      <c r="E5" s="3">
        <v>2500</v>
      </c>
      <c r="F5" s="3">
        <f>D5+E5</f>
        <v>2500</v>
      </c>
      <c r="G5" s="3">
        <f>500+2000</f>
        <v>2500</v>
      </c>
      <c r="H5" s="3">
        <f>F5-G5</f>
        <v>0</v>
      </c>
    </row>
    <row r="6" spans="1:10" x14ac:dyDescent="0.25">
      <c r="A6">
        <v>2</v>
      </c>
      <c r="B6" s="29" t="s">
        <v>236</v>
      </c>
      <c r="C6" s="3"/>
      <c r="D6" s="3">
        <f>SEPTEMBER20!H6:H25</f>
        <v>5000</v>
      </c>
      <c r="E6" s="3">
        <v>2500</v>
      </c>
      <c r="F6" s="3">
        <f>D6+E6</f>
        <v>7500</v>
      </c>
      <c r="G6" s="3"/>
      <c r="H6" s="3">
        <f t="shared" ref="H6:H23" si="0">F6-G6</f>
        <v>7500</v>
      </c>
    </row>
    <row r="7" spans="1:10" x14ac:dyDescent="0.25">
      <c r="A7">
        <v>3</v>
      </c>
      <c r="B7" s="53" t="s">
        <v>147</v>
      </c>
      <c r="C7" s="53"/>
      <c r="D7" s="54">
        <v>5500</v>
      </c>
      <c r="E7" s="55">
        <v>2500</v>
      </c>
      <c r="F7" s="53">
        <f t="shared" ref="F7:F23" si="1">D7+E7</f>
        <v>8000</v>
      </c>
      <c r="G7" s="53"/>
      <c r="H7" s="53">
        <f t="shared" si="0"/>
        <v>8000</v>
      </c>
      <c r="J7">
        <f>H7-5500</f>
        <v>2500</v>
      </c>
    </row>
    <row r="8" spans="1:10" x14ac:dyDescent="0.25">
      <c r="A8">
        <v>4</v>
      </c>
      <c r="B8" s="29" t="s">
        <v>105</v>
      </c>
      <c r="C8" s="3"/>
      <c r="D8" s="3">
        <f>SEPTEMBER20!H8:H27</f>
        <v>0</v>
      </c>
      <c r="E8" s="3">
        <v>2500</v>
      </c>
      <c r="F8" s="3">
        <f t="shared" si="1"/>
        <v>2500</v>
      </c>
      <c r="G8" s="3"/>
      <c r="H8" s="3">
        <f t="shared" si="0"/>
        <v>2500</v>
      </c>
    </row>
    <row r="9" spans="1:10" x14ac:dyDescent="0.25">
      <c r="A9">
        <v>5</v>
      </c>
      <c r="B9" s="3"/>
      <c r="C9" s="3"/>
      <c r="D9" s="3">
        <f>SEPTEMBER20!H9:H28</f>
        <v>0</v>
      </c>
      <c r="E9" s="3"/>
      <c r="F9" s="3">
        <f t="shared" si="1"/>
        <v>0</v>
      </c>
      <c r="G9" s="3"/>
      <c r="H9" s="3">
        <f t="shared" si="0"/>
        <v>0</v>
      </c>
    </row>
    <row r="10" spans="1:10" x14ac:dyDescent="0.25">
      <c r="A10">
        <v>6</v>
      </c>
      <c r="B10" s="3" t="s">
        <v>123</v>
      </c>
      <c r="C10" s="3"/>
      <c r="D10" s="3">
        <f>SEPTEMBER20!H10:H29</f>
        <v>1800</v>
      </c>
      <c r="E10" s="3">
        <v>2500</v>
      </c>
      <c r="F10" s="3">
        <f t="shared" si="1"/>
        <v>4300</v>
      </c>
      <c r="G10" s="3">
        <f>1000+500+500+500</f>
        <v>2500</v>
      </c>
      <c r="H10" s="3">
        <f t="shared" si="0"/>
        <v>1800</v>
      </c>
    </row>
    <row r="11" spans="1:10" x14ac:dyDescent="0.25">
      <c r="A11">
        <v>7</v>
      </c>
      <c r="B11" s="29" t="s">
        <v>41</v>
      </c>
      <c r="C11" s="3"/>
      <c r="D11" s="3">
        <f>SEPTEMBER20!H11:H30</f>
        <v>0</v>
      </c>
      <c r="E11" s="3">
        <v>2500</v>
      </c>
      <c r="F11" s="3">
        <f t="shared" si="1"/>
        <v>2500</v>
      </c>
      <c r="G11" s="3">
        <v>2500</v>
      </c>
      <c r="H11" s="3">
        <f t="shared" si="0"/>
        <v>0</v>
      </c>
    </row>
    <row r="12" spans="1:10" x14ac:dyDescent="0.25">
      <c r="A12">
        <v>8</v>
      </c>
      <c r="B12" s="3"/>
      <c r="C12" s="3"/>
      <c r="D12" s="3">
        <f>SEPTEMBER20!H12:H31</f>
        <v>0</v>
      </c>
      <c r="E12" s="3"/>
      <c r="F12" s="3">
        <f t="shared" si="1"/>
        <v>0</v>
      </c>
      <c r="G12" s="3"/>
      <c r="H12" s="3">
        <f>F12-G12</f>
        <v>0</v>
      </c>
    </row>
    <row r="13" spans="1:10" x14ac:dyDescent="0.25">
      <c r="A13">
        <v>9</v>
      </c>
      <c r="B13" s="3" t="s">
        <v>107</v>
      </c>
      <c r="C13" s="3"/>
      <c r="D13" s="3">
        <f>SEPTEMBER20!H13:H32</f>
        <v>1300</v>
      </c>
      <c r="E13" s="3">
        <v>2500</v>
      </c>
      <c r="F13" s="3">
        <f t="shared" si="1"/>
        <v>3800</v>
      </c>
      <c r="G13" s="3">
        <f>2000</f>
        <v>2000</v>
      </c>
      <c r="H13" s="3">
        <f t="shared" si="0"/>
        <v>1800</v>
      </c>
      <c r="J13">
        <f>E6+H13+800+H21+H22</f>
        <v>9100</v>
      </c>
    </row>
    <row r="14" spans="1:10" x14ac:dyDescent="0.25">
      <c r="A14">
        <v>10</v>
      </c>
      <c r="B14" s="3" t="s">
        <v>234</v>
      </c>
      <c r="C14" s="3"/>
      <c r="D14" s="3">
        <f>SEPTEMBER20!H14:H33</f>
        <v>0</v>
      </c>
      <c r="E14" s="3">
        <v>2500</v>
      </c>
      <c r="F14" s="3">
        <f t="shared" si="1"/>
        <v>2500</v>
      </c>
      <c r="G14" s="3">
        <v>2500</v>
      </c>
      <c r="H14" s="3">
        <f t="shared" si="0"/>
        <v>0</v>
      </c>
      <c r="I14" t="s">
        <v>154</v>
      </c>
    </row>
    <row r="15" spans="1:10" x14ac:dyDescent="0.25">
      <c r="A15">
        <v>11</v>
      </c>
      <c r="B15" s="50" t="s">
        <v>245</v>
      </c>
      <c r="C15" s="50"/>
      <c r="D15" s="29">
        <f>SEPTEMBER20!H15:H34</f>
        <v>0</v>
      </c>
      <c r="E15" s="50"/>
      <c r="F15" s="50"/>
      <c r="G15" s="50"/>
      <c r="H15" s="50"/>
    </row>
    <row r="16" spans="1:10" x14ac:dyDescent="0.25">
      <c r="A16">
        <v>12</v>
      </c>
      <c r="B16" s="3" t="s">
        <v>37</v>
      </c>
      <c r="C16" s="3"/>
      <c r="D16" s="3">
        <f>SEPTEMBER20!H16:H35</f>
        <v>700</v>
      </c>
      <c r="E16" s="3">
        <v>2500</v>
      </c>
      <c r="F16" s="3">
        <f t="shared" si="1"/>
        <v>3200</v>
      </c>
      <c r="G16" s="3">
        <f>2000</f>
        <v>2000</v>
      </c>
      <c r="H16" s="3">
        <f t="shared" si="0"/>
        <v>1200</v>
      </c>
    </row>
    <row r="17" spans="1:10" x14ac:dyDescent="0.25">
      <c r="A17">
        <v>13</v>
      </c>
      <c r="B17" s="51" t="s">
        <v>99</v>
      </c>
      <c r="C17" s="51"/>
      <c r="D17" s="3">
        <f>SEPTEMBER20!H17:H38</f>
        <v>0</v>
      </c>
      <c r="E17" s="52">
        <v>2500</v>
      </c>
      <c r="F17" s="51">
        <f t="shared" si="1"/>
        <v>2500</v>
      </c>
      <c r="G17" s="51">
        <f>2500</f>
        <v>2500</v>
      </c>
      <c r="H17" s="51">
        <f t="shared" si="0"/>
        <v>0</v>
      </c>
    </row>
    <row r="18" spans="1:10" x14ac:dyDescent="0.25">
      <c r="A18">
        <v>14</v>
      </c>
      <c r="B18" s="13" t="s">
        <v>30</v>
      </c>
      <c r="C18" s="13"/>
      <c r="D18" s="3"/>
      <c r="E18" s="13"/>
      <c r="F18" s="3"/>
      <c r="G18" s="13"/>
      <c r="H18" s="13"/>
    </row>
    <row r="19" spans="1:10" x14ac:dyDescent="0.25">
      <c r="A19" t="s">
        <v>233</v>
      </c>
      <c r="B19" s="3" t="s">
        <v>35</v>
      </c>
      <c r="C19" s="3"/>
      <c r="D19" s="3">
        <f>SEPTEMBER20!H19:H40</f>
        <v>0</v>
      </c>
      <c r="E19" s="3">
        <v>4500</v>
      </c>
      <c r="F19" s="3">
        <f t="shared" si="1"/>
        <v>4500</v>
      </c>
      <c r="G19" s="13">
        <f>4500</f>
        <v>4500</v>
      </c>
      <c r="H19" s="13">
        <f t="shared" si="0"/>
        <v>0</v>
      </c>
    </row>
    <row r="20" spans="1:10" x14ac:dyDescent="0.25">
      <c r="A20">
        <v>17</v>
      </c>
      <c r="B20" s="13" t="s">
        <v>247</v>
      </c>
      <c r="C20" s="13"/>
      <c r="D20" s="3">
        <f>SEPTEMBER20!H20:H41</f>
        <v>0</v>
      </c>
      <c r="E20" s="13">
        <v>2500</v>
      </c>
      <c r="F20" s="3">
        <f t="shared" si="1"/>
        <v>2500</v>
      </c>
      <c r="G20" s="13">
        <f>3000</f>
        <v>3000</v>
      </c>
      <c r="H20" s="13"/>
      <c r="I20">
        <v>724258280</v>
      </c>
    </row>
    <row r="21" spans="1:10" x14ac:dyDescent="0.25">
      <c r="A21">
        <v>18</v>
      </c>
      <c r="B21" s="13" t="s">
        <v>235</v>
      </c>
      <c r="C21" s="13"/>
      <c r="D21" s="3">
        <f>SEPTEMBER20!H21:H42</f>
        <v>500</v>
      </c>
      <c r="E21" s="13">
        <v>3000</v>
      </c>
      <c r="F21" s="3">
        <f t="shared" si="1"/>
        <v>3500</v>
      </c>
      <c r="G21" s="13">
        <f>2000</f>
        <v>2000</v>
      </c>
      <c r="H21" s="13">
        <f t="shared" si="0"/>
        <v>1500</v>
      </c>
    </row>
    <row r="22" spans="1:10" x14ac:dyDescent="0.25">
      <c r="A22">
        <v>19</v>
      </c>
      <c r="B22" s="3" t="s">
        <v>242</v>
      </c>
      <c r="C22" s="3"/>
      <c r="D22" s="3">
        <f>SEPTEMBER20!H22:H43</f>
        <v>3000</v>
      </c>
      <c r="E22" s="3">
        <v>3000</v>
      </c>
      <c r="F22" s="3">
        <f t="shared" si="1"/>
        <v>6000</v>
      </c>
      <c r="G22" s="3">
        <f>2000+1500</f>
        <v>3500</v>
      </c>
      <c r="H22" s="13">
        <f t="shared" si="0"/>
        <v>2500</v>
      </c>
      <c r="I22" t="s">
        <v>154</v>
      </c>
      <c r="J22" s="15"/>
    </row>
    <row r="23" spans="1:10" x14ac:dyDescent="0.25">
      <c r="A23">
        <v>20</v>
      </c>
      <c r="B23" s="3" t="s">
        <v>244</v>
      </c>
      <c r="C23" s="3"/>
      <c r="D23" s="3">
        <f>SEPTEMBER20!H23:H44</f>
        <v>3000</v>
      </c>
      <c r="E23" s="3">
        <v>3000</v>
      </c>
      <c r="F23" s="3">
        <f t="shared" si="1"/>
        <v>6000</v>
      </c>
      <c r="G23" s="3">
        <f>1900+500+300</f>
        <v>2700</v>
      </c>
      <c r="H23" s="13">
        <f t="shared" si="0"/>
        <v>3300</v>
      </c>
      <c r="I23" s="31"/>
      <c r="J23" s="15"/>
    </row>
    <row r="24" spans="1:10" x14ac:dyDescent="0.25">
      <c r="B24" s="30" t="s">
        <v>64</v>
      </c>
      <c r="C24" s="30">
        <f t="shared" ref="C24" si="2">SUM(C5:C22)</f>
        <v>0</v>
      </c>
      <c r="D24" s="3">
        <f>SUM(D5:D23)</f>
        <v>20800</v>
      </c>
      <c r="E24" s="30">
        <f>SUM(E5:E23)</f>
        <v>41000</v>
      </c>
      <c r="F24" s="30">
        <f>SUM(F5:F23)</f>
        <v>61800</v>
      </c>
      <c r="G24" s="30">
        <f>SUM(G5:G23)</f>
        <v>32200</v>
      </c>
      <c r="H24" s="30">
        <f>SUM(H5:H23)</f>
        <v>30100</v>
      </c>
      <c r="I24">
        <v>5776</v>
      </c>
    </row>
    <row r="25" spans="1:10" x14ac:dyDescent="0.25">
      <c r="C25" s="34"/>
      <c r="D25" s="3"/>
      <c r="E25" s="33"/>
      <c r="F25" s="46"/>
      <c r="G25" s="10"/>
      <c r="H25" s="35">
        <f>H24-D7-E6</f>
        <v>22100</v>
      </c>
      <c r="I25">
        <v>1950</v>
      </c>
      <c r="J25" s="15"/>
    </row>
    <row r="26" spans="1:10" x14ac:dyDescent="0.25">
      <c r="B26" s="36" t="s">
        <v>13</v>
      </c>
      <c r="C26" s="36"/>
      <c r="D26" s="36"/>
      <c r="E26" s="37"/>
      <c r="F26" s="36" t="s">
        <v>14</v>
      </c>
      <c r="G26" s="31"/>
      <c r="H26" s="31"/>
      <c r="I26">
        <f>I24-I25</f>
        <v>3826</v>
      </c>
      <c r="J26" s="15"/>
    </row>
    <row r="27" spans="1:10" x14ac:dyDescent="0.25">
      <c r="B27" s="30" t="s">
        <v>15</v>
      </c>
      <c r="C27" s="30" t="s">
        <v>16</v>
      </c>
      <c r="D27" s="30" t="s">
        <v>17</v>
      </c>
      <c r="E27" s="30" t="s">
        <v>18</v>
      </c>
      <c r="F27" s="30"/>
      <c r="G27" s="30"/>
      <c r="H27" s="30" t="s">
        <v>17</v>
      </c>
      <c r="I27" s="30" t="s">
        <v>18</v>
      </c>
    </row>
    <row r="28" spans="1:10" x14ac:dyDescent="0.25">
      <c r="B28" s="29" t="s">
        <v>116</v>
      </c>
      <c r="C28" s="38">
        <f>E24</f>
        <v>41000</v>
      </c>
      <c r="D28" s="29"/>
      <c r="E28" s="29"/>
      <c r="F28" s="29" t="s">
        <v>116</v>
      </c>
      <c r="G28" s="38">
        <f>G24</f>
        <v>32200</v>
      </c>
      <c r="H28" s="29"/>
      <c r="I28" s="29"/>
      <c r="J28" s="15"/>
    </row>
    <row r="29" spans="1:10" x14ac:dyDescent="0.25">
      <c r="B29" s="29" t="s">
        <v>5</v>
      </c>
      <c r="C29" s="38">
        <f>SEPTEMBER20!E40</f>
        <v>-9200</v>
      </c>
      <c r="D29" s="29"/>
      <c r="E29" s="29"/>
      <c r="F29" s="29" t="s">
        <v>5</v>
      </c>
      <c r="G29" s="38">
        <f>SEPTEMBER20!I40</f>
        <v>-21200</v>
      </c>
      <c r="H29" s="29"/>
      <c r="I29" s="29"/>
    </row>
    <row r="30" spans="1:10" x14ac:dyDescent="0.25">
      <c r="B30" s="29" t="s">
        <v>70</v>
      </c>
      <c r="C30" s="38"/>
      <c r="D30" s="29"/>
      <c r="E30" s="29"/>
      <c r="F30" s="29" t="s">
        <v>70</v>
      </c>
      <c r="G30" s="38"/>
      <c r="H30" s="29"/>
      <c r="I30" s="29"/>
    </row>
    <row r="31" spans="1:10" x14ac:dyDescent="0.25">
      <c r="B31" s="29" t="s">
        <v>20</v>
      </c>
      <c r="C31" s="39">
        <v>0.1</v>
      </c>
      <c r="D31" s="38">
        <f>C31*C28</f>
        <v>4100</v>
      </c>
      <c r="E31" s="29"/>
      <c r="F31" s="29" t="s">
        <v>20</v>
      </c>
      <c r="G31" s="39">
        <v>0.1</v>
      </c>
      <c r="H31" s="38">
        <f>G31*C28</f>
        <v>4100</v>
      </c>
      <c r="I31" s="29"/>
    </row>
    <row r="32" spans="1:10" x14ac:dyDescent="0.25">
      <c r="B32" s="30" t="s">
        <v>21</v>
      </c>
      <c r="C32" s="30" t="s">
        <v>22</v>
      </c>
      <c r="D32" s="30"/>
      <c r="E32" s="30"/>
      <c r="F32" s="30" t="s">
        <v>21</v>
      </c>
      <c r="G32" s="40"/>
      <c r="H32" s="30"/>
      <c r="I32" s="30"/>
    </row>
    <row r="33" spans="2:11" x14ac:dyDescent="0.25">
      <c r="B33" s="30"/>
      <c r="C33" s="30"/>
      <c r="D33" s="30"/>
      <c r="E33" s="30"/>
      <c r="F33" s="30"/>
      <c r="G33" s="30"/>
      <c r="H33" s="30"/>
      <c r="I33" s="30"/>
    </row>
    <row r="34" spans="2:11" x14ac:dyDescent="0.25">
      <c r="B34" s="30" t="s">
        <v>253</v>
      </c>
      <c r="C34" s="30"/>
      <c r="D34" s="30">
        <v>2500</v>
      </c>
      <c r="E34" s="30"/>
      <c r="F34" s="30"/>
      <c r="G34" s="30"/>
      <c r="H34" s="30"/>
      <c r="I34" s="30"/>
    </row>
    <row r="35" spans="2:11" x14ac:dyDescent="0.25">
      <c r="B35" s="30" t="s">
        <v>254</v>
      </c>
      <c r="C35" s="30"/>
      <c r="D35" s="30">
        <v>25305</v>
      </c>
      <c r="E35" s="30"/>
      <c r="F35" s="30" t="s">
        <v>254</v>
      </c>
      <c r="G35" s="30"/>
      <c r="H35" s="30">
        <v>25305</v>
      </c>
      <c r="I35" s="30"/>
    </row>
    <row r="36" spans="2:11" x14ac:dyDescent="0.25">
      <c r="B36" s="30" t="s">
        <v>256</v>
      </c>
      <c r="C36" s="30"/>
      <c r="D36" s="30">
        <v>2500</v>
      </c>
      <c r="E36" s="30"/>
      <c r="F36" s="30" t="s">
        <v>256</v>
      </c>
      <c r="G36" s="30"/>
      <c r="H36" s="30">
        <v>2500</v>
      </c>
      <c r="I36" s="30"/>
    </row>
    <row r="37" spans="2:11" x14ac:dyDescent="0.25">
      <c r="B37" s="41" t="s">
        <v>257</v>
      </c>
      <c r="C37" s="29"/>
      <c r="D37" s="29">
        <v>5157</v>
      </c>
      <c r="E37" s="29"/>
      <c r="F37" s="41" t="s">
        <v>257</v>
      </c>
      <c r="G37" s="29"/>
      <c r="H37" s="29">
        <v>5157</v>
      </c>
      <c r="I37" s="30"/>
    </row>
    <row r="38" spans="2:11" x14ac:dyDescent="0.25">
      <c r="B38" s="30" t="s">
        <v>259</v>
      </c>
      <c r="C38" s="30"/>
      <c r="D38" s="30">
        <v>2000</v>
      </c>
      <c r="E38" s="30"/>
      <c r="F38" s="30" t="s">
        <v>259</v>
      </c>
      <c r="G38" s="30"/>
      <c r="H38" s="30">
        <v>2000</v>
      </c>
      <c r="I38" s="30"/>
    </row>
    <row r="39" spans="2:11" x14ac:dyDescent="0.25">
      <c r="B39" s="41"/>
      <c r="C39" s="29"/>
      <c r="D39" s="29"/>
      <c r="E39" s="29"/>
      <c r="F39" s="41"/>
      <c r="G39" s="29"/>
      <c r="H39" s="29"/>
      <c r="I39" s="30"/>
    </row>
    <row r="40" spans="2:11" x14ac:dyDescent="0.25">
      <c r="B40" s="30"/>
      <c r="C40" s="30"/>
      <c r="D40" s="30"/>
      <c r="E40" s="30"/>
      <c r="F40" s="30"/>
      <c r="G40" s="30"/>
      <c r="H40" s="30"/>
      <c r="I40" s="30"/>
      <c r="K40" s="15">
        <f>I42-E42</f>
        <v>-18300</v>
      </c>
    </row>
    <row r="41" spans="2:11" x14ac:dyDescent="0.25">
      <c r="B41" s="41"/>
      <c r="C41" s="29"/>
      <c r="D41" s="29"/>
      <c r="E41" s="29"/>
      <c r="F41" s="41"/>
      <c r="G41" s="29"/>
      <c r="H41" s="29"/>
      <c r="I41" s="29"/>
    </row>
    <row r="42" spans="2:11" x14ac:dyDescent="0.25">
      <c r="B42" s="30" t="s">
        <v>11</v>
      </c>
      <c r="C42" s="40">
        <f>C28+C29+C30-D31</f>
        <v>27700</v>
      </c>
      <c r="D42" s="40">
        <f>SUM(D33:D41)</f>
        <v>37462</v>
      </c>
      <c r="E42" s="40">
        <f>C42-D42</f>
        <v>-9762</v>
      </c>
      <c r="F42" s="30" t="s">
        <v>11</v>
      </c>
      <c r="G42" s="40">
        <f>G28+G29+G30-H31</f>
        <v>6900</v>
      </c>
      <c r="H42" s="40">
        <f>SUM(H33:H41)</f>
        <v>34962</v>
      </c>
      <c r="I42" s="40">
        <f>G42-H42</f>
        <v>-28062</v>
      </c>
      <c r="J42" s="15"/>
    </row>
    <row r="43" spans="2:11" x14ac:dyDescent="0.25">
      <c r="B43" s="31"/>
      <c r="C43" s="31"/>
      <c r="D43" s="31"/>
      <c r="E43" s="31"/>
      <c r="F43" s="31"/>
      <c r="G43" s="31"/>
      <c r="H43" s="31"/>
      <c r="I43" s="31"/>
    </row>
    <row r="44" spans="2:11" x14ac:dyDescent="0.25">
      <c r="B44" s="31" t="s">
        <v>23</v>
      </c>
      <c r="C44" s="31"/>
      <c r="D44" s="31" t="s">
        <v>24</v>
      </c>
      <c r="E44" s="31"/>
      <c r="F44" s="31"/>
      <c r="G44" s="31" t="s">
        <v>25</v>
      </c>
      <c r="H44" s="31"/>
      <c r="I44" s="31"/>
    </row>
    <row r="45" spans="2:11" x14ac:dyDescent="0.25">
      <c r="B45" s="31"/>
      <c r="C45" s="31"/>
      <c r="D45" s="31"/>
      <c r="E45" s="31"/>
      <c r="F45" s="31"/>
      <c r="G45" s="31"/>
      <c r="H45" s="31"/>
      <c r="I45" s="31"/>
    </row>
    <row r="46" spans="2:11" x14ac:dyDescent="0.25">
      <c r="B46" s="31" t="s">
        <v>108</v>
      </c>
      <c r="C46" s="31"/>
      <c r="D46" s="31" t="s">
        <v>27</v>
      </c>
      <c r="E46" s="31"/>
      <c r="F46" s="31"/>
      <c r="G46" s="31" t="s">
        <v>46</v>
      </c>
      <c r="H46" s="31"/>
      <c r="I46" s="48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A10" workbookViewId="0">
      <selection activeCell="G22" sqref="G22"/>
    </sheetView>
  </sheetViews>
  <sheetFormatPr defaultRowHeight="15" x14ac:dyDescent="0.25"/>
  <cols>
    <col min="1" max="1" width="6" customWidth="1"/>
    <col min="2" max="2" width="11.140625" customWidth="1"/>
  </cols>
  <sheetData>
    <row r="1" spans="1:9" x14ac:dyDescent="0.25">
      <c r="C1" s="1" t="s">
        <v>28</v>
      </c>
      <c r="D1" s="1"/>
      <c r="E1" s="1"/>
      <c r="F1" s="1"/>
    </row>
    <row r="2" spans="1:9" x14ac:dyDescent="0.25">
      <c r="B2" s="1"/>
      <c r="C2" s="1" t="s">
        <v>0</v>
      </c>
      <c r="D2" s="1"/>
      <c r="E2" s="1"/>
      <c r="F2" s="1"/>
      <c r="G2" s="1"/>
      <c r="H2" s="1"/>
    </row>
    <row r="3" spans="1:9" x14ac:dyDescent="0.25">
      <c r="B3" s="1"/>
      <c r="C3" s="1" t="s">
        <v>255</v>
      </c>
      <c r="D3" s="1"/>
      <c r="E3" s="1"/>
      <c r="F3" s="1"/>
      <c r="G3" s="1"/>
      <c r="H3" s="1"/>
    </row>
    <row r="4" spans="1:9" x14ac:dyDescent="0.25">
      <c r="A4" t="s">
        <v>110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</row>
    <row r="5" spans="1:9" x14ac:dyDescent="0.25">
      <c r="A5">
        <v>1</v>
      </c>
      <c r="B5" s="3" t="s">
        <v>82</v>
      </c>
      <c r="C5" s="3"/>
      <c r="D5" s="3">
        <f>'OCTOBER 20'!H5:H24</f>
        <v>0</v>
      </c>
      <c r="E5" s="3">
        <v>2500</v>
      </c>
      <c r="F5" s="3">
        <f>D5+E5</f>
        <v>2500</v>
      </c>
      <c r="G5" s="3">
        <f>2000</f>
        <v>2000</v>
      </c>
      <c r="H5" s="3">
        <f>F5-G5</f>
        <v>500</v>
      </c>
    </row>
    <row r="6" spans="1:9" x14ac:dyDescent="0.25">
      <c r="A6">
        <v>2</v>
      </c>
      <c r="B6" s="29" t="s">
        <v>236</v>
      </c>
      <c r="C6" s="3"/>
      <c r="D6" s="3">
        <f>'OCTOBER 20'!H6:H25</f>
        <v>7500</v>
      </c>
      <c r="E6" s="3"/>
      <c r="F6" s="3">
        <f t="shared" ref="F6:F23" si="0">D6+E6</f>
        <v>7500</v>
      </c>
      <c r="G6" s="3"/>
      <c r="H6" s="3">
        <f t="shared" ref="H6:H23" si="1">F6-G6</f>
        <v>7500</v>
      </c>
      <c r="I6" t="s">
        <v>262</v>
      </c>
    </row>
    <row r="7" spans="1:9" x14ac:dyDescent="0.25">
      <c r="A7">
        <v>3</v>
      </c>
      <c r="B7" s="56" t="s">
        <v>147</v>
      </c>
      <c r="C7" s="56"/>
      <c r="D7" s="29">
        <f>2500+2500</f>
        <v>5000</v>
      </c>
      <c r="E7" s="56">
        <v>2500</v>
      </c>
      <c r="F7" s="56">
        <f t="shared" si="0"/>
        <v>7500</v>
      </c>
      <c r="G7" s="56">
        <v>5000</v>
      </c>
      <c r="H7" s="56">
        <f t="shared" si="1"/>
        <v>2500</v>
      </c>
    </row>
    <row r="8" spans="1:9" x14ac:dyDescent="0.25">
      <c r="A8">
        <v>4</v>
      </c>
      <c r="B8" s="29" t="s">
        <v>105</v>
      </c>
      <c r="C8" s="3"/>
      <c r="D8" s="3">
        <f>'OCTOBER 20'!H8:H27</f>
        <v>2500</v>
      </c>
      <c r="E8" s="3">
        <v>2500</v>
      </c>
      <c r="F8" s="3">
        <f t="shared" si="0"/>
        <v>5000</v>
      </c>
      <c r="G8" s="3">
        <f>1500+1000+2000</f>
        <v>4500</v>
      </c>
      <c r="H8" s="3">
        <f t="shared" si="1"/>
        <v>500</v>
      </c>
    </row>
    <row r="9" spans="1:9" x14ac:dyDescent="0.25">
      <c r="A9">
        <v>5</v>
      </c>
      <c r="B9" s="3"/>
      <c r="C9" s="3"/>
      <c r="D9" s="3">
        <f>'OCTOBER 20'!H9:H28</f>
        <v>0</v>
      </c>
      <c r="E9" s="3"/>
      <c r="F9" s="3">
        <f t="shared" si="0"/>
        <v>0</v>
      </c>
      <c r="G9" s="3"/>
      <c r="H9" s="3">
        <f t="shared" si="1"/>
        <v>0</v>
      </c>
    </row>
    <row r="10" spans="1:9" x14ac:dyDescent="0.25">
      <c r="A10">
        <v>6</v>
      </c>
      <c r="B10" s="3" t="s">
        <v>41</v>
      </c>
      <c r="C10" s="3"/>
      <c r="D10" s="3"/>
      <c r="E10" s="3">
        <v>2500</v>
      </c>
      <c r="F10" s="3">
        <f t="shared" si="0"/>
        <v>2500</v>
      </c>
      <c r="G10" s="3">
        <v>2500</v>
      </c>
      <c r="H10" s="3">
        <f t="shared" si="1"/>
        <v>0</v>
      </c>
      <c r="I10" t="s">
        <v>48</v>
      </c>
    </row>
    <row r="11" spans="1:9" x14ac:dyDescent="0.25">
      <c r="A11">
        <v>7</v>
      </c>
      <c r="B11" s="29"/>
      <c r="C11" s="3"/>
      <c r="D11" s="3">
        <f>'OCTOBER 20'!H11:H30</f>
        <v>0</v>
      </c>
      <c r="E11" s="3"/>
      <c r="F11" s="3">
        <f t="shared" si="0"/>
        <v>0</v>
      </c>
      <c r="G11" s="3"/>
      <c r="H11" s="3">
        <f t="shared" si="1"/>
        <v>0</v>
      </c>
    </row>
    <row r="12" spans="1:9" x14ac:dyDescent="0.25">
      <c r="A12">
        <v>8</v>
      </c>
      <c r="B12" s="3"/>
      <c r="C12" s="3"/>
      <c r="D12" s="3">
        <f>'OCTOBER 20'!H12:H31</f>
        <v>0</v>
      </c>
      <c r="E12" s="3"/>
      <c r="F12" s="3">
        <f t="shared" si="0"/>
        <v>0</v>
      </c>
      <c r="G12" s="3"/>
      <c r="H12" s="3">
        <f>F12-G12</f>
        <v>0</v>
      </c>
    </row>
    <row r="13" spans="1:9" x14ac:dyDescent="0.25">
      <c r="A13">
        <v>9</v>
      </c>
      <c r="B13" s="3" t="s">
        <v>107</v>
      </c>
      <c r="C13" s="3"/>
      <c r="D13" s="3">
        <f>'OCTOBER 20'!H13:H32</f>
        <v>1800</v>
      </c>
      <c r="E13" s="3">
        <v>2500</v>
      </c>
      <c r="F13" s="3">
        <f t="shared" si="0"/>
        <v>4300</v>
      </c>
      <c r="G13" s="3">
        <f>2000</f>
        <v>2000</v>
      </c>
      <c r="H13" s="3">
        <f t="shared" si="1"/>
        <v>2300</v>
      </c>
    </row>
    <row r="14" spans="1:9" x14ac:dyDescent="0.25">
      <c r="A14">
        <v>10</v>
      </c>
      <c r="B14" s="3" t="s">
        <v>234</v>
      </c>
      <c r="C14" s="3"/>
      <c r="D14" s="3">
        <f>'OCTOBER 20'!H14:H33</f>
        <v>0</v>
      </c>
      <c r="E14" s="3">
        <v>2500</v>
      </c>
      <c r="F14" s="3">
        <f t="shared" si="0"/>
        <v>2500</v>
      </c>
      <c r="G14" s="3">
        <f>2500</f>
        <v>2500</v>
      </c>
      <c r="H14" s="3">
        <f t="shared" si="1"/>
        <v>0</v>
      </c>
    </row>
    <row r="15" spans="1:9" x14ac:dyDescent="0.25">
      <c r="A15">
        <v>11</v>
      </c>
      <c r="B15" s="57" t="s">
        <v>245</v>
      </c>
      <c r="C15" s="57"/>
      <c r="D15" s="58">
        <f>'OCTOBER 20'!H15:H34</f>
        <v>0</v>
      </c>
      <c r="E15" s="57"/>
      <c r="F15" s="57"/>
      <c r="G15" s="57"/>
      <c r="H15" s="57"/>
    </row>
    <row r="16" spans="1:9" x14ac:dyDescent="0.25">
      <c r="A16">
        <v>12</v>
      </c>
      <c r="B16" s="3" t="s">
        <v>37</v>
      </c>
      <c r="C16" s="3"/>
      <c r="D16" s="3">
        <f>'OCTOBER 20'!H16:H35</f>
        <v>1200</v>
      </c>
      <c r="E16" s="3">
        <v>2500</v>
      </c>
      <c r="F16" s="3">
        <f t="shared" si="0"/>
        <v>3700</v>
      </c>
      <c r="G16" s="3">
        <f>3000</f>
        <v>3000</v>
      </c>
      <c r="H16" s="3">
        <f t="shared" si="1"/>
        <v>700</v>
      </c>
    </row>
    <row r="17" spans="1:14" x14ac:dyDescent="0.25">
      <c r="A17">
        <v>13</v>
      </c>
      <c r="B17" s="58" t="s">
        <v>99</v>
      </c>
      <c r="C17" s="58"/>
      <c r="D17" s="58">
        <f>'OCTOBER 20'!H17:H36</f>
        <v>0</v>
      </c>
      <c r="E17" s="57">
        <v>2500</v>
      </c>
      <c r="F17" s="58">
        <f t="shared" si="0"/>
        <v>2500</v>
      </c>
      <c r="G17" s="58"/>
      <c r="H17" s="58">
        <f t="shared" si="1"/>
        <v>2500</v>
      </c>
    </row>
    <row r="18" spans="1:14" x14ac:dyDescent="0.25">
      <c r="A18">
        <v>14</v>
      </c>
      <c r="B18" s="13" t="s">
        <v>123</v>
      </c>
      <c r="C18" s="13"/>
      <c r="D18" s="3">
        <v>1800</v>
      </c>
      <c r="E18" s="13">
        <v>2500</v>
      </c>
      <c r="F18" s="3">
        <f t="shared" si="0"/>
        <v>4300</v>
      </c>
      <c r="G18" s="13">
        <f>1000+1000+500</f>
        <v>2500</v>
      </c>
      <c r="H18" s="13">
        <f t="shared" si="1"/>
        <v>1800</v>
      </c>
    </row>
    <row r="19" spans="1:14" x14ac:dyDescent="0.25">
      <c r="A19" t="s">
        <v>233</v>
      </c>
      <c r="B19" s="3" t="s">
        <v>35</v>
      </c>
      <c r="C19" s="3"/>
      <c r="D19" s="3">
        <f>'OCTOBER 20'!H19:H42</f>
        <v>0</v>
      </c>
      <c r="E19" s="3">
        <v>4500</v>
      </c>
      <c r="F19" s="3">
        <f t="shared" si="0"/>
        <v>4500</v>
      </c>
      <c r="G19" s="13">
        <f>4000+500</f>
        <v>4500</v>
      </c>
      <c r="H19" s="13">
        <f t="shared" si="1"/>
        <v>0</v>
      </c>
    </row>
    <row r="20" spans="1:14" x14ac:dyDescent="0.25">
      <c r="A20">
        <v>17</v>
      </c>
      <c r="B20" s="13" t="s">
        <v>247</v>
      </c>
      <c r="C20" s="13"/>
      <c r="D20" s="3">
        <f>'OCTOBER 20'!H20:H43</f>
        <v>0</v>
      </c>
      <c r="E20" s="13">
        <v>3000</v>
      </c>
      <c r="F20" s="3">
        <f t="shared" si="0"/>
        <v>3000</v>
      </c>
      <c r="G20" s="13">
        <f>2200</f>
        <v>2200</v>
      </c>
      <c r="H20" s="13">
        <f>F20-G20</f>
        <v>800</v>
      </c>
      <c r="I20">
        <v>724258280</v>
      </c>
    </row>
    <row r="21" spans="1:14" x14ac:dyDescent="0.25">
      <c r="A21">
        <v>18</v>
      </c>
      <c r="B21" s="13" t="s">
        <v>235</v>
      </c>
      <c r="C21" s="13"/>
      <c r="D21" s="3">
        <f>'OCTOBER 20'!H21:H44</f>
        <v>1500</v>
      </c>
      <c r="E21" s="13">
        <v>3000</v>
      </c>
      <c r="F21" s="3">
        <f t="shared" si="0"/>
        <v>4500</v>
      </c>
      <c r="G21" s="13">
        <f>300+400</f>
        <v>700</v>
      </c>
      <c r="H21" s="13">
        <f t="shared" si="1"/>
        <v>3800</v>
      </c>
    </row>
    <row r="22" spans="1:14" x14ac:dyDescent="0.25">
      <c r="A22">
        <v>19</v>
      </c>
      <c r="B22" s="3" t="s">
        <v>258</v>
      </c>
      <c r="C22" s="3"/>
      <c r="D22" s="3"/>
      <c r="E22" s="3">
        <v>3000</v>
      </c>
      <c r="F22" s="3">
        <f t="shared" si="0"/>
        <v>3000</v>
      </c>
      <c r="G22" s="3">
        <v>3000</v>
      </c>
      <c r="H22" s="13">
        <f t="shared" si="1"/>
        <v>0</v>
      </c>
      <c r="J22" s="15"/>
    </row>
    <row r="23" spans="1:14" x14ac:dyDescent="0.25">
      <c r="A23">
        <v>20</v>
      </c>
      <c r="B23" s="3" t="s">
        <v>244</v>
      </c>
      <c r="C23" s="3"/>
      <c r="D23" s="3">
        <f>'OCTOBER 20'!H23:H46</f>
        <v>3300</v>
      </c>
      <c r="E23" s="3">
        <v>3000</v>
      </c>
      <c r="F23" s="3">
        <f t="shared" si="0"/>
        <v>6300</v>
      </c>
      <c r="G23" s="3">
        <f>1000+2300+2000</f>
        <v>5300</v>
      </c>
      <c r="H23" s="13">
        <f t="shared" si="1"/>
        <v>1000</v>
      </c>
      <c r="I23" s="31"/>
      <c r="J23" s="15"/>
    </row>
    <row r="24" spans="1:14" x14ac:dyDescent="0.25">
      <c r="B24" s="30" t="s">
        <v>64</v>
      </c>
      <c r="C24" s="30">
        <f t="shared" ref="C24" si="2">SUM(C5:C22)</f>
        <v>0</v>
      </c>
      <c r="D24" s="3">
        <f>SUM(D5:D23)</f>
        <v>24600</v>
      </c>
      <c r="E24" s="30">
        <f>SUM(E5:E23)</f>
        <v>39000</v>
      </c>
      <c r="F24" s="30">
        <f>SUM(F5:F23)</f>
        <v>63600</v>
      </c>
      <c r="G24" s="30">
        <f>SUM(G5:G23)</f>
        <v>39700</v>
      </c>
      <c r="H24" s="30">
        <f>SUM(H5:H23)</f>
        <v>23900</v>
      </c>
      <c r="I24">
        <v>5776</v>
      </c>
    </row>
    <row r="25" spans="1:14" x14ac:dyDescent="0.25">
      <c r="C25" s="34"/>
      <c r="D25" s="3"/>
      <c r="E25" s="33"/>
      <c r="F25" s="46"/>
      <c r="G25" s="10"/>
      <c r="H25" s="35"/>
      <c r="I25">
        <v>1950</v>
      </c>
      <c r="J25" s="15"/>
    </row>
    <row r="26" spans="1:14" x14ac:dyDescent="0.25">
      <c r="B26" s="36" t="s">
        <v>13</v>
      </c>
      <c r="C26" s="36"/>
      <c r="D26" s="36"/>
      <c r="E26" s="37"/>
      <c r="F26" s="36" t="s">
        <v>14</v>
      </c>
      <c r="G26" s="31"/>
      <c r="H26" s="31"/>
      <c r="I26">
        <f>I24-I25</f>
        <v>3826</v>
      </c>
      <c r="J26" s="15"/>
    </row>
    <row r="27" spans="1:14" x14ac:dyDescent="0.25">
      <c r="B27" s="30" t="s">
        <v>15</v>
      </c>
      <c r="C27" s="30" t="s">
        <v>16</v>
      </c>
      <c r="D27" s="30" t="s">
        <v>17</v>
      </c>
      <c r="E27" s="30" t="s">
        <v>18</v>
      </c>
      <c r="F27" s="30"/>
      <c r="G27" s="30"/>
      <c r="H27" s="30" t="s">
        <v>17</v>
      </c>
      <c r="I27" s="30" t="s">
        <v>18</v>
      </c>
    </row>
    <row r="28" spans="1:14" x14ac:dyDescent="0.25">
      <c r="B28" s="29" t="s">
        <v>125</v>
      </c>
      <c r="C28" s="38">
        <f>E24</f>
        <v>39000</v>
      </c>
      <c r="D28" s="29"/>
      <c r="E28" s="29"/>
      <c r="F28" s="29" t="s">
        <v>125</v>
      </c>
      <c r="G28" s="38">
        <f>G24</f>
        <v>39700</v>
      </c>
      <c r="H28" s="29"/>
      <c r="I28" s="29"/>
      <c r="J28" s="15"/>
      <c r="N28">
        <f>2500*4</f>
        <v>10000</v>
      </c>
    </row>
    <row r="29" spans="1:14" x14ac:dyDescent="0.25">
      <c r="B29" s="29" t="s">
        <v>5</v>
      </c>
      <c r="C29" s="38">
        <f>'OCTOBER 20'!E42</f>
        <v>-9762</v>
      </c>
      <c r="D29" s="29"/>
      <c r="E29" s="29"/>
      <c r="F29" s="29" t="s">
        <v>5</v>
      </c>
      <c r="G29" s="38">
        <f>'OCTOBER 20'!I42</f>
        <v>-28062</v>
      </c>
      <c r="H29" s="29"/>
      <c r="I29" s="29"/>
    </row>
    <row r="30" spans="1:14" x14ac:dyDescent="0.25">
      <c r="B30" s="29" t="s">
        <v>70</v>
      </c>
      <c r="C30" s="38"/>
      <c r="D30" s="29"/>
      <c r="E30" s="29"/>
      <c r="F30" s="29" t="s">
        <v>70</v>
      </c>
      <c r="G30" s="38"/>
      <c r="H30" s="29"/>
      <c r="I30" s="29"/>
    </row>
    <row r="31" spans="1:14" x14ac:dyDescent="0.25">
      <c r="B31" s="29" t="s">
        <v>20</v>
      </c>
      <c r="C31" s="39">
        <v>0.1</v>
      </c>
      <c r="D31" s="38">
        <f>C31*C28</f>
        <v>3900</v>
      </c>
      <c r="E31" s="29"/>
      <c r="F31" s="29" t="s">
        <v>20</v>
      </c>
      <c r="G31" s="39">
        <v>0.1</v>
      </c>
      <c r="H31" s="38">
        <f>G31*C28</f>
        <v>3900</v>
      </c>
      <c r="I31" s="29"/>
    </row>
    <row r="32" spans="1:14" x14ac:dyDescent="0.25">
      <c r="B32" s="30" t="s">
        <v>21</v>
      </c>
      <c r="C32" s="30" t="s">
        <v>22</v>
      </c>
      <c r="D32" s="30"/>
      <c r="E32" s="30"/>
      <c r="F32" s="30" t="s">
        <v>21</v>
      </c>
      <c r="G32" s="40"/>
      <c r="H32" s="30"/>
      <c r="I32" s="30"/>
    </row>
    <row r="33" spans="2:11" x14ac:dyDescent="0.25">
      <c r="B33" s="30" t="s">
        <v>260</v>
      </c>
      <c r="C33" s="30"/>
      <c r="D33" s="30">
        <v>25330</v>
      </c>
      <c r="E33" s="30"/>
      <c r="F33" s="30" t="s">
        <v>260</v>
      </c>
      <c r="G33" s="30"/>
      <c r="H33" s="30">
        <v>25330</v>
      </c>
      <c r="I33" s="30"/>
    </row>
    <row r="34" spans="2:11" x14ac:dyDescent="0.25">
      <c r="B34" s="30" t="s">
        <v>261</v>
      </c>
      <c r="C34" s="30"/>
      <c r="D34" s="30">
        <v>3591</v>
      </c>
      <c r="E34" s="30"/>
      <c r="F34" s="30" t="s">
        <v>261</v>
      </c>
      <c r="G34" s="30"/>
      <c r="H34" s="30">
        <v>3591</v>
      </c>
      <c r="I34" s="30"/>
    </row>
    <row r="35" spans="2:11" x14ac:dyDescent="0.25">
      <c r="B35" s="30" t="s">
        <v>264</v>
      </c>
      <c r="C35" s="30"/>
      <c r="D35" s="30">
        <v>2500</v>
      </c>
      <c r="E35" s="30"/>
      <c r="F35" s="30" t="s">
        <v>264</v>
      </c>
      <c r="G35" s="30"/>
      <c r="H35" s="30">
        <v>2500</v>
      </c>
      <c r="I35" s="30"/>
    </row>
    <row r="36" spans="2:11" x14ac:dyDescent="0.25">
      <c r="B36" s="30" t="s">
        <v>265</v>
      </c>
      <c r="C36" s="30"/>
      <c r="D36" s="30">
        <v>2541</v>
      </c>
      <c r="E36" s="30"/>
      <c r="F36" s="30" t="s">
        <v>265</v>
      </c>
      <c r="G36" s="30"/>
      <c r="H36" s="30">
        <v>2541</v>
      </c>
      <c r="I36" s="30"/>
      <c r="K36" s="15"/>
    </row>
    <row r="37" spans="2:11" x14ac:dyDescent="0.25">
      <c r="B37" s="41" t="s">
        <v>201</v>
      </c>
      <c r="C37" s="29"/>
      <c r="D37" s="29">
        <v>500</v>
      </c>
      <c r="E37" s="29"/>
      <c r="F37" s="41" t="s">
        <v>201</v>
      </c>
      <c r="G37" s="29"/>
      <c r="H37" s="29">
        <v>500</v>
      </c>
      <c r="I37" s="29"/>
    </row>
    <row r="38" spans="2:11" x14ac:dyDescent="0.25">
      <c r="B38" s="30" t="s">
        <v>11</v>
      </c>
      <c r="C38" s="40">
        <f>C28+C29+C30-D31</f>
        <v>25338</v>
      </c>
      <c r="D38" s="40">
        <f>SUM(D33:D37)</f>
        <v>34462</v>
      </c>
      <c r="E38" s="40">
        <f>C38-D38</f>
        <v>-9124</v>
      </c>
      <c r="F38" s="30" t="s">
        <v>11</v>
      </c>
      <c r="G38" s="40">
        <f>G28+G29+G30-H31</f>
        <v>7738</v>
      </c>
      <c r="H38" s="40">
        <f>SUM(H33:H37)</f>
        <v>34462</v>
      </c>
      <c r="I38" s="40">
        <f>G38-H38</f>
        <v>-26724</v>
      </c>
    </row>
    <row r="39" spans="2:11" x14ac:dyDescent="0.25">
      <c r="B39" s="31"/>
      <c r="C39" s="31"/>
      <c r="D39" s="31"/>
      <c r="E39" s="31"/>
      <c r="F39" s="31"/>
      <c r="G39" s="31"/>
      <c r="H39" s="31"/>
      <c r="I39" s="31"/>
    </row>
    <row r="40" spans="2:11" x14ac:dyDescent="0.25">
      <c r="B40" s="31" t="s">
        <v>23</v>
      </c>
      <c r="C40" s="31"/>
      <c r="D40" s="31" t="s">
        <v>24</v>
      </c>
      <c r="E40" s="31"/>
      <c r="F40" s="31"/>
      <c r="G40" s="31" t="s">
        <v>25</v>
      </c>
      <c r="H40" s="31"/>
      <c r="I40" s="31"/>
    </row>
    <row r="41" spans="2:11" x14ac:dyDescent="0.25">
      <c r="B41" s="31"/>
      <c r="C41" s="31"/>
      <c r="D41" s="31"/>
      <c r="E41" s="31"/>
      <c r="F41" s="31"/>
      <c r="G41" s="31"/>
      <c r="H41" s="31"/>
      <c r="I41" s="31"/>
    </row>
    <row r="42" spans="2:11" x14ac:dyDescent="0.25">
      <c r="B42" s="31" t="s">
        <v>108</v>
      </c>
      <c r="C42" s="31"/>
      <c r="D42" s="31" t="s">
        <v>27</v>
      </c>
      <c r="E42" s="31"/>
      <c r="F42" s="31"/>
      <c r="G42" s="31" t="s">
        <v>46</v>
      </c>
      <c r="H42" s="31"/>
      <c r="I42" s="48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opLeftCell="A7" workbookViewId="0">
      <selection activeCell="G30" sqref="G30"/>
    </sheetView>
  </sheetViews>
  <sheetFormatPr defaultRowHeight="15" x14ac:dyDescent="0.25"/>
  <cols>
    <col min="1" max="1" width="4.7109375" customWidth="1"/>
    <col min="9" max="9" width="10.7109375" customWidth="1"/>
    <col min="10" max="10" width="11.85546875" customWidth="1"/>
  </cols>
  <sheetData>
    <row r="1" spans="1:9" x14ac:dyDescent="0.25">
      <c r="C1" s="1" t="s">
        <v>28</v>
      </c>
      <c r="D1" s="1"/>
      <c r="E1" s="1"/>
      <c r="F1" s="1"/>
    </row>
    <row r="2" spans="1:9" x14ac:dyDescent="0.25">
      <c r="B2" s="1"/>
      <c r="C2" s="1" t="s">
        <v>0</v>
      </c>
      <c r="D2" s="1"/>
      <c r="E2" s="1"/>
      <c r="F2" s="1"/>
      <c r="G2" s="1"/>
      <c r="H2" s="1"/>
    </row>
    <row r="3" spans="1:9" x14ac:dyDescent="0.25">
      <c r="B3" s="1"/>
      <c r="C3" s="1" t="s">
        <v>263</v>
      </c>
      <c r="D3" s="1"/>
      <c r="E3" s="1"/>
      <c r="F3" s="1"/>
      <c r="G3" s="1"/>
      <c r="H3" s="1"/>
    </row>
    <row r="4" spans="1:9" x14ac:dyDescent="0.25">
      <c r="A4" t="s">
        <v>110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</row>
    <row r="5" spans="1:9" x14ac:dyDescent="0.25">
      <c r="A5">
        <v>1</v>
      </c>
      <c r="B5" s="3" t="s">
        <v>82</v>
      </c>
      <c r="C5" s="3"/>
      <c r="D5" s="3">
        <f>NOVEMBER20!H5:H23</f>
        <v>500</v>
      </c>
      <c r="E5" s="3">
        <v>2500</v>
      </c>
      <c r="F5" s="3">
        <f>D5+E5</f>
        <v>3000</v>
      </c>
      <c r="G5" s="3"/>
      <c r="H5" s="3">
        <f>F5-G5</f>
        <v>3000</v>
      </c>
    </row>
    <row r="6" spans="1:9" x14ac:dyDescent="0.25">
      <c r="A6">
        <v>2</v>
      </c>
      <c r="B6" s="29" t="s">
        <v>236</v>
      </c>
      <c r="C6" s="3"/>
      <c r="D6" s="3">
        <f>NOVEMBER20!H6:H24</f>
        <v>7500</v>
      </c>
      <c r="E6" s="3"/>
      <c r="F6" s="3">
        <f t="shared" ref="F6:F23" si="0">D6+E6</f>
        <v>7500</v>
      </c>
      <c r="G6" s="3"/>
      <c r="H6" s="3">
        <f t="shared" ref="H6:H23" si="1">F6-G6</f>
        <v>7500</v>
      </c>
      <c r="I6" t="s">
        <v>262</v>
      </c>
    </row>
    <row r="7" spans="1:9" x14ac:dyDescent="0.25">
      <c r="A7">
        <v>3</v>
      </c>
      <c r="B7" s="56" t="s">
        <v>147</v>
      </c>
      <c r="C7" s="56"/>
      <c r="D7" s="3">
        <f>NOVEMBER20!H7:H25</f>
        <v>2500</v>
      </c>
      <c r="E7" s="56">
        <v>2500</v>
      </c>
      <c r="F7" s="56">
        <f t="shared" si="0"/>
        <v>5000</v>
      </c>
      <c r="G7" s="56"/>
      <c r="H7" s="56">
        <f t="shared" si="1"/>
        <v>5000</v>
      </c>
    </row>
    <row r="8" spans="1:9" x14ac:dyDescent="0.25">
      <c r="A8">
        <v>4</v>
      </c>
      <c r="B8" s="29" t="s">
        <v>105</v>
      </c>
      <c r="C8" s="3"/>
      <c r="D8" s="3">
        <f>NOVEMBER20!H8:H26</f>
        <v>500</v>
      </c>
      <c r="E8" s="3"/>
      <c r="F8" s="3">
        <f t="shared" si="0"/>
        <v>500</v>
      </c>
      <c r="G8" s="3">
        <v>500</v>
      </c>
      <c r="H8" s="3">
        <f t="shared" si="1"/>
        <v>0</v>
      </c>
    </row>
    <row r="9" spans="1:9" x14ac:dyDescent="0.25">
      <c r="A9">
        <v>5</v>
      </c>
      <c r="B9" s="3"/>
      <c r="C9" s="3"/>
      <c r="D9" s="3">
        <f>NOVEMBER20!H9:H27</f>
        <v>0</v>
      </c>
      <c r="E9" s="3"/>
      <c r="F9" s="3">
        <f t="shared" si="0"/>
        <v>0</v>
      </c>
      <c r="G9" s="3"/>
      <c r="H9" s="3">
        <f t="shared" si="1"/>
        <v>0</v>
      </c>
    </row>
    <row r="10" spans="1:9" x14ac:dyDescent="0.25">
      <c r="A10">
        <v>6</v>
      </c>
      <c r="B10" s="3" t="s">
        <v>41</v>
      </c>
      <c r="C10" s="3"/>
      <c r="D10" s="3">
        <f>NOVEMBER20!H10:H28</f>
        <v>0</v>
      </c>
      <c r="E10" s="3">
        <v>2500</v>
      </c>
      <c r="F10" s="3">
        <f t="shared" si="0"/>
        <v>2500</v>
      </c>
      <c r="G10" s="3">
        <f>2500</f>
        <v>2500</v>
      </c>
      <c r="H10" s="3">
        <f t="shared" si="1"/>
        <v>0</v>
      </c>
    </row>
    <row r="11" spans="1:9" x14ac:dyDescent="0.25">
      <c r="A11">
        <v>7</v>
      </c>
      <c r="B11" s="29"/>
      <c r="C11" s="3"/>
      <c r="D11" s="3">
        <f>NOVEMBER20!H11:H29</f>
        <v>0</v>
      </c>
      <c r="E11" s="3"/>
      <c r="F11" s="3">
        <f t="shared" si="0"/>
        <v>0</v>
      </c>
      <c r="G11" s="3"/>
      <c r="H11" s="3">
        <f t="shared" si="1"/>
        <v>0</v>
      </c>
    </row>
    <row r="12" spans="1:9" x14ac:dyDescent="0.25">
      <c r="A12">
        <v>8</v>
      </c>
      <c r="B12" s="3"/>
      <c r="C12" s="3"/>
      <c r="D12" s="3">
        <f>NOVEMBER20!H12:H30</f>
        <v>0</v>
      </c>
      <c r="E12" s="3"/>
      <c r="F12" s="3">
        <f t="shared" si="0"/>
        <v>0</v>
      </c>
      <c r="G12" s="3"/>
      <c r="H12" s="3">
        <f>F12-G12</f>
        <v>0</v>
      </c>
    </row>
    <row r="13" spans="1:9" x14ac:dyDescent="0.25">
      <c r="A13">
        <v>9</v>
      </c>
      <c r="B13" s="3" t="s">
        <v>107</v>
      </c>
      <c r="C13" s="3"/>
      <c r="D13" s="3">
        <f>NOVEMBER20!H13:H31</f>
        <v>2300</v>
      </c>
      <c r="E13" s="3">
        <v>2500</v>
      </c>
      <c r="F13" s="3">
        <f t="shared" si="0"/>
        <v>4800</v>
      </c>
      <c r="G13" s="3">
        <v>2500</v>
      </c>
      <c r="H13" s="3">
        <f t="shared" si="1"/>
        <v>2300</v>
      </c>
    </row>
    <row r="14" spans="1:9" x14ac:dyDescent="0.25">
      <c r="A14">
        <v>10</v>
      </c>
      <c r="B14" s="3" t="s">
        <v>234</v>
      </c>
      <c r="C14" s="3"/>
      <c r="D14" s="3">
        <f>NOVEMBER20!H14:H32</f>
        <v>0</v>
      </c>
      <c r="E14" s="3">
        <v>2500</v>
      </c>
      <c r="F14" s="3">
        <f t="shared" si="0"/>
        <v>2500</v>
      </c>
      <c r="G14" s="3">
        <v>2500</v>
      </c>
      <c r="H14" s="3">
        <f t="shared" si="1"/>
        <v>0</v>
      </c>
    </row>
    <row r="15" spans="1:9" x14ac:dyDescent="0.25">
      <c r="A15">
        <v>11</v>
      </c>
      <c r="B15" s="57" t="s">
        <v>245</v>
      </c>
      <c r="C15" s="57"/>
      <c r="D15" s="3">
        <f>NOVEMBER20!H15:H33</f>
        <v>0</v>
      </c>
      <c r="E15" s="57"/>
      <c r="F15" s="57"/>
      <c r="G15" s="57"/>
      <c r="H15" s="57"/>
    </row>
    <row r="16" spans="1:9" x14ac:dyDescent="0.25">
      <c r="A16">
        <v>12</v>
      </c>
      <c r="B16" s="3" t="s">
        <v>37</v>
      </c>
      <c r="C16" s="3"/>
      <c r="D16" s="3">
        <f>NOVEMBER20!H16:H34</f>
        <v>700</v>
      </c>
      <c r="E16" s="3">
        <v>2500</v>
      </c>
      <c r="F16" s="3">
        <f t="shared" si="0"/>
        <v>3200</v>
      </c>
      <c r="G16" s="3">
        <f>2000</f>
        <v>2000</v>
      </c>
      <c r="H16" s="3">
        <f t="shared" si="1"/>
        <v>1200</v>
      </c>
    </row>
    <row r="17" spans="1:12" x14ac:dyDescent="0.25">
      <c r="A17">
        <v>13</v>
      </c>
      <c r="B17" s="58" t="s">
        <v>99</v>
      </c>
      <c r="C17" s="58"/>
      <c r="D17" s="3">
        <f>NOVEMBER20!H17:H35</f>
        <v>2500</v>
      </c>
      <c r="E17" s="57">
        <v>2500</v>
      </c>
      <c r="F17" s="58">
        <f t="shared" si="0"/>
        <v>5000</v>
      </c>
      <c r="G17" s="58"/>
      <c r="H17" s="58">
        <f t="shared" si="1"/>
        <v>5000</v>
      </c>
    </row>
    <row r="18" spans="1:12" x14ac:dyDescent="0.25">
      <c r="A18">
        <v>14</v>
      </c>
      <c r="B18" s="13" t="s">
        <v>123</v>
      </c>
      <c r="C18" s="13"/>
      <c r="D18" s="3">
        <f>NOVEMBER20!H18:H36</f>
        <v>1800</v>
      </c>
      <c r="E18" s="13">
        <v>2500</v>
      </c>
      <c r="F18" s="3">
        <f t="shared" si="0"/>
        <v>4300</v>
      </c>
      <c r="G18" s="13">
        <f>1000+1000+500</f>
        <v>2500</v>
      </c>
      <c r="H18" s="13">
        <f t="shared" si="1"/>
        <v>1800</v>
      </c>
    </row>
    <row r="19" spans="1:12" x14ac:dyDescent="0.25">
      <c r="A19" t="s">
        <v>233</v>
      </c>
      <c r="B19" s="3" t="s">
        <v>35</v>
      </c>
      <c r="C19" s="3"/>
      <c r="D19" s="3">
        <f>NOVEMBER20!H19:H37</f>
        <v>0</v>
      </c>
      <c r="E19" s="3">
        <v>4500</v>
      </c>
      <c r="F19" s="3">
        <f t="shared" si="0"/>
        <v>4500</v>
      </c>
      <c r="G19" s="13">
        <v>4500</v>
      </c>
      <c r="H19" s="13">
        <f t="shared" si="1"/>
        <v>0</v>
      </c>
    </row>
    <row r="20" spans="1:12" x14ac:dyDescent="0.25">
      <c r="A20">
        <v>17</v>
      </c>
      <c r="B20" s="13" t="s">
        <v>247</v>
      </c>
      <c r="C20" s="13"/>
      <c r="D20" s="3">
        <f>NOVEMBER20!H20:H38</f>
        <v>800</v>
      </c>
      <c r="E20" s="13">
        <v>3000</v>
      </c>
      <c r="F20" s="3">
        <f>D20+E20</f>
        <v>3800</v>
      </c>
      <c r="G20" s="13">
        <f>3000</f>
        <v>3000</v>
      </c>
      <c r="H20" s="13">
        <f>F20-G20</f>
        <v>800</v>
      </c>
      <c r="I20">
        <v>724258280</v>
      </c>
    </row>
    <row r="21" spans="1:12" x14ac:dyDescent="0.25">
      <c r="A21">
        <v>18</v>
      </c>
      <c r="B21" s="13" t="s">
        <v>41</v>
      </c>
      <c r="C21" s="13"/>
      <c r="D21" s="3"/>
      <c r="E21" s="13">
        <v>3000</v>
      </c>
      <c r="F21" s="3">
        <f t="shared" si="0"/>
        <v>3000</v>
      </c>
      <c r="G21" s="13">
        <v>3000</v>
      </c>
      <c r="H21" s="13">
        <f t="shared" si="1"/>
        <v>0</v>
      </c>
    </row>
    <row r="22" spans="1:12" x14ac:dyDescent="0.25">
      <c r="A22">
        <v>19</v>
      </c>
      <c r="B22" s="3" t="s">
        <v>258</v>
      </c>
      <c r="C22" s="3"/>
      <c r="D22" s="3">
        <f>NOVEMBER20!H22:H40</f>
        <v>0</v>
      </c>
      <c r="E22" s="3">
        <v>3000</v>
      </c>
      <c r="F22" s="3">
        <f t="shared" si="0"/>
        <v>3000</v>
      </c>
      <c r="G22" s="3">
        <v>3000</v>
      </c>
      <c r="H22" s="13">
        <f t="shared" si="1"/>
        <v>0</v>
      </c>
      <c r="I22" t="s">
        <v>48</v>
      </c>
      <c r="J22" s="15"/>
    </row>
    <row r="23" spans="1:12" x14ac:dyDescent="0.25">
      <c r="A23">
        <v>20</v>
      </c>
      <c r="B23" s="3" t="s">
        <v>244</v>
      </c>
      <c r="C23" s="3"/>
      <c r="D23" s="3">
        <f>NOVEMBER20!H23:H41</f>
        <v>1000</v>
      </c>
      <c r="E23" s="3">
        <v>3000</v>
      </c>
      <c r="F23" s="3">
        <f t="shared" si="0"/>
        <v>4000</v>
      </c>
      <c r="G23" s="3">
        <f>2000+1000</f>
        <v>3000</v>
      </c>
      <c r="H23" s="13">
        <f t="shared" si="1"/>
        <v>1000</v>
      </c>
      <c r="I23" s="31"/>
      <c r="J23" s="59" t="s">
        <v>267</v>
      </c>
      <c r="K23" s="6"/>
    </row>
    <row r="24" spans="1:12" x14ac:dyDescent="0.25">
      <c r="B24" s="30" t="s">
        <v>64</v>
      </c>
      <c r="C24" s="30">
        <f t="shared" ref="C24" si="2">SUM(C5:C22)</f>
        <v>0</v>
      </c>
      <c r="D24" s="3">
        <f>SUM(D5:D23)</f>
        <v>20100</v>
      </c>
      <c r="E24" s="30">
        <f>SUM(E5:E23)</f>
        <v>36500</v>
      </c>
      <c r="F24" s="30">
        <f>SUM(F5:F23)</f>
        <v>56600</v>
      </c>
      <c r="G24" s="30">
        <f>SUM(G5:G23)</f>
        <v>29000</v>
      </c>
      <c r="H24" s="30">
        <f>SUM(H5:H23)</f>
        <v>27600</v>
      </c>
      <c r="I24">
        <v>5776</v>
      </c>
      <c r="J24" s="6" t="s">
        <v>268</v>
      </c>
      <c r="K24" s="6">
        <f>2500</f>
        <v>2500</v>
      </c>
    </row>
    <row r="25" spans="1:12" x14ac:dyDescent="0.25">
      <c r="C25" s="34"/>
      <c r="D25" s="3"/>
      <c r="E25" s="33"/>
      <c r="F25" s="46"/>
      <c r="G25" s="10"/>
      <c r="H25" s="35"/>
      <c r="I25">
        <v>1950</v>
      </c>
      <c r="J25" s="59" t="s">
        <v>269</v>
      </c>
      <c r="K25" s="6">
        <v>5000</v>
      </c>
    </row>
    <row r="26" spans="1:12" x14ac:dyDescent="0.25">
      <c r="B26" s="36" t="s">
        <v>13</v>
      </c>
      <c r="C26" s="36"/>
      <c r="D26" s="36"/>
      <c r="E26" s="37"/>
      <c r="F26" s="36" t="s">
        <v>14</v>
      </c>
      <c r="G26" s="31"/>
      <c r="H26" s="31"/>
      <c r="I26" s="6">
        <f>I24-I25</f>
        <v>3826</v>
      </c>
      <c r="J26" s="59" t="s">
        <v>270</v>
      </c>
      <c r="K26" s="6">
        <v>3800</v>
      </c>
    </row>
    <row r="27" spans="1:12" x14ac:dyDescent="0.25">
      <c r="B27" s="30" t="s">
        <v>15</v>
      </c>
      <c r="C27" s="30" t="s">
        <v>16</v>
      </c>
      <c r="D27" s="30" t="s">
        <v>17</v>
      </c>
      <c r="E27" s="30" t="s">
        <v>18</v>
      </c>
      <c r="F27" s="30"/>
      <c r="G27" s="30"/>
      <c r="H27" s="30" t="s">
        <v>17</v>
      </c>
      <c r="I27" s="30" t="s">
        <v>18</v>
      </c>
    </row>
    <row r="28" spans="1:12" x14ac:dyDescent="0.25">
      <c r="B28" s="29" t="s">
        <v>131</v>
      </c>
      <c r="C28" s="38">
        <f>E24</f>
        <v>36500</v>
      </c>
      <c r="D28" s="29"/>
      <c r="E28" s="29"/>
      <c r="F28" s="29" t="s">
        <v>131</v>
      </c>
      <c r="G28" s="38">
        <f>G24</f>
        <v>29000</v>
      </c>
      <c r="H28" s="29"/>
      <c r="I28" s="29"/>
      <c r="J28" s="15"/>
    </row>
    <row r="29" spans="1:12" x14ac:dyDescent="0.25">
      <c r="B29" s="29" t="s">
        <v>5</v>
      </c>
      <c r="C29" s="38">
        <f>NOVEMBER20!E38</f>
        <v>-9124</v>
      </c>
      <c r="D29" s="29"/>
      <c r="E29" s="29"/>
      <c r="F29" s="29" t="s">
        <v>5</v>
      </c>
      <c r="G29" s="38">
        <f>NOVEMBER20!I38</f>
        <v>-26724</v>
      </c>
      <c r="H29" s="29"/>
      <c r="I29" s="29"/>
    </row>
    <row r="30" spans="1:12" x14ac:dyDescent="0.25">
      <c r="B30" s="29" t="s">
        <v>70</v>
      </c>
      <c r="C30" s="38"/>
      <c r="D30" s="29"/>
      <c r="E30" s="29"/>
      <c r="F30" s="29" t="s">
        <v>70</v>
      </c>
      <c r="G30" s="38"/>
      <c r="H30" s="29"/>
      <c r="I30" s="29"/>
    </row>
    <row r="31" spans="1:12" x14ac:dyDescent="0.25">
      <c r="B31" s="29" t="s">
        <v>20</v>
      </c>
      <c r="C31" s="39">
        <v>0.1</v>
      </c>
      <c r="D31" s="38">
        <f>C31*C28</f>
        <v>3650</v>
      </c>
      <c r="E31" s="29"/>
      <c r="F31" s="29" t="s">
        <v>20</v>
      </c>
      <c r="G31" s="39">
        <v>0.1</v>
      </c>
      <c r="H31" s="38">
        <f>G31*C28</f>
        <v>3650</v>
      </c>
      <c r="I31" s="29"/>
    </row>
    <row r="32" spans="1:12" x14ac:dyDescent="0.25">
      <c r="B32" s="30" t="s">
        <v>21</v>
      </c>
      <c r="C32" s="30" t="s">
        <v>22</v>
      </c>
      <c r="D32" s="30"/>
      <c r="E32" s="30"/>
      <c r="F32" s="30" t="s">
        <v>21</v>
      </c>
      <c r="G32" s="40"/>
      <c r="H32" s="30"/>
      <c r="I32" s="30"/>
      <c r="L32" s="15">
        <f>C28-D31</f>
        <v>32850</v>
      </c>
    </row>
    <row r="33" spans="2:12" x14ac:dyDescent="0.25">
      <c r="B33" s="30" t="s">
        <v>266</v>
      </c>
      <c r="C33" s="30"/>
      <c r="D33" s="30">
        <v>3056</v>
      </c>
      <c r="E33" s="30"/>
      <c r="F33" s="30" t="s">
        <v>266</v>
      </c>
      <c r="G33" s="30"/>
      <c r="H33" s="30">
        <v>3056</v>
      </c>
      <c r="I33" s="30"/>
      <c r="L33">
        <f>9124+3056</f>
        <v>12180</v>
      </c>
    </row>
    <row r="34" spans="2:12" x14ac:dyDescent="0.25">
      <c r="B34" s="30" t="s">
        <v>252</v>
      </c>
      <c r="C34" s="30"/>
      <c r="D34" s="30">
        <v>500</v>
      </c>
      <c r="E34" s="30"/>
      <c r="F34" s="30" t="s">
        <v>252</v>
      </c>
      <c r="G34" s="30"/>
      <c r="H34" s="30">
        <v>500</v>
      </c>
      <c r="I34" s="30"/>
      <c r="L34" s="15">
        <f>L32-L33-D34</f>
        <v>20170</v>
      </c>
    </row>
    <row r="35" spans="2:12" x14ac:dyDescent="0.25">
      <c r="B35" s="30" t="s">
        <v>271</v>
      </c>
      <c r="C35" s="30"/>
      <c r="D35" s="30">
        <v>25000</v>
      </c>
      <c r="E35" s="30"/>
      <c r="F35" s="30" t="s">
        <v>271</v>
      </c>
      <c r="G35" s="30"/>
      <c r="H35" s="30">
        <v>25000</v>
      </c>
      <c r="I35" s="30"/>
      <c r="L35" s="15">
        <f>25000-L34</f>
        <v>4830</v>
      </c>
    </row>
    <row r="36" spans="2:12" x14ac:dyDescent="0.25">
      <c r="B36" s="30" t="s">
        <v>274</v>
      </c>
      <c r="C36" s="30"/>
      <c r="D36" s="30">
        <v>3000</v>
      </c>
      <c r="E36" s="30"/>
      <c r="F36" s="30" t="s">
        <v>274</v>
      </c>
      <c r="G36" s="30"/>
      <c r="H36" s="30">
        <v>3000</v>
      </c>
      <c r="I36" s="30"/>
      <c r="K36" s="15"/>
      <c r="L36">
        <v>2500</v>
      </c>
    </row>
    <row r="37" spans="2:12" x14ac:dyDescent="0.25">
      <c r="B37" s="41"/>
      <c r="C37" s="29"/>
      <c r="D37" s="29"/>
      <c r="E37" s="29"/>
      <c r="F37" s="41"/>
      <c r="G37" s="29"/>
      <c r="H37" s="29"/>
      <c r="I37" s="29"/>
      <c r="J37" s="15"/>
      <c r="L37" s="15">
        <f>L35+L36</f>
        <v>7330</v>
      </c>
    </row>
    <row r="38" spans="2:12" x14ac:dyDescent="0.25">
      <c r="B38" s="30" t="s">
        <v>11</v>
      </c>
      <c r="C38" s="40">
        <f>C28+C29+C30-D31</f>
        <v>23726</v>
      </c>
      <c r="D38" s="40">
        <f>SUM(D33:D37)</f>
        <v>31556</v>
      </c>
      <c r="E38" s="40">
        <f>C38-D38</f>
        <v>-7830</v>
      </c>
      <c r="F38" s="30" t="s">
        <v>11</v>
      </c>
      <c r="G38" s="40">
        <f>G28+G29+G30-H31</f>
        <v>-1374</v>
      </c>
      <c r="H38" s="40">
        <f>SUM(H33:H37)</f>
        <v>31556</v>
      </c>
      <c r="I38" s="40">
        <f>G38-H38</f>
        <v>-32930</v>
      </c>
    </row>
    <row r="39" spans="2:12" x14ac:dyDescent="0.25">
      <c r="B39" s="31"/>
      <c r="C39" s="31"/>
      <c r="D39" s="31"/>
      <c r="E39" s="31"/>
      <c r="F39" s="31"/>
      <c r="G39" s="31"/>
      <c r="H39" s="31"/>
      <c r="I39" s="31"/>
    </row>
    <row r="40" spans="2:12" x14ac:dyDescent="0.25">
      <c r="B40" s="31" t="s">
        <v>23</v>
      </c>
      <c r="C40" s="31"/>
      <c r="D40" s="31" t="s">
        <v>24</v>
      </c>
      <c r="E40" s="31"/>
      <c r="F40" s="31"/>
      <c r="G40" s="31" t="s">
        <v>25</v>
      </c>
      <c r="H40" s="31"/>
      <c r="I40" s="31"/>
    </row>
    <row r="41" spans="2:12" x14ac:dyDescent="0.25">
      <c r="B41" s="31"/>
      <c r="C41" s="31"/>
      <c r="D41" s="31"/>
      <c r="E41" s="31"/>
      <c r="F41" s="31"/>
      <c r="G41" s="31"/>
      <c r="H41" s="31"/>
      <c r="I41" s="31"/>
    </row>
    <row r="42" spans="2:12" x14ac:dyDescent="0.25">
      <c r="B42" s="31" t="s">
        <v>108</v>
      </c>
      <c r="C42" s="31"/>
      <c r="D42" s="31" t="s">
        <v>27</v>
      </c>
      <c r="E42" s="31"/>
      <c r="F42" s="31"/>
      <c r="G42" s="31" t="s">
        <v>46</v>
      </c>
      <c r="H42" s="31"/>
      <c r="I42" s="48"/>
    </row>
  </sheetData>
  <pageMargins left="0.7" right="0.7" top="0.75" bottom="0.75" header="0.3" footer="0.3"/>
  <pageSetup paperSize="0" orientation="portrait" horizontalDpi="203" verticalDpi="203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A10" workbookViewId="0">
      <selection activeCell="I25" sqref="I25"/>
    </sheetView>
  </sheetViews>
  <sheetFormatPr defaultRowHeight="15" x14ac:dyDescent="0.25"/>
  <cols>
    <col min="1" max="1" width="6" customWidth="1"/>
    <col min="3" max="3" width="10.28515625" customWidth="1"/>
    <col min="9" max="9" width="11.140625" customWidth="1"/>
    <col min="10" max="10" width="12" customWidth="1"/>
    <col min="11" max="11" width="10.7109375" customWidth="1"/>
  </cols>
  <sheetData>
    <row r="1" spans="1:9" x14ac:dyDescent="0.25">
      <c r="C1" s="1" t="s">
        <v>28</v>
      </c>
      <c r="D1" s="1"/>
      <c r="E1" s="1"/>
      <c r="F1" s="1"/>
    </row>
    <row r="2" spans="1:9" x14ac:dyDescent="0.25">
      <c r="B2" s="1"/>
      <c r="C2" s="1" t="s">
        <v>0</v>
      </c>
      <c r="D2" s="1"/>
      <c r="E2" s="1"/>
      <c r="F2" s="1"/>
      <c r="G2" s="1"/>
      <c r="H2" s="1"/>
    </row>
    <row r="3" spans="1:9" x14ac:dyDescent="0.25">
      <c r="B3" s="1"/>
      <c r="C3" s="1" t="s">
        <v>272</v>
      </c>
      <c r="D3" s="1"/>
      <c r="E3" s="1"/>
      <c r="F3" s="1"/>
      <c r="G3" s="1"/>
      <c r="H3" s="1"/>
    </row>
    <row r="4" spans="1:9" x14ac:dyDescent="0.25">
      <c r="A4" t="s">
        <v>110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</row>
    <row r="5" spans="1:9" x14ac:dyDescent="0.25">
      <c r="A5">
        <v>1</v>
      </c>
      <c r="B5" s="3" t="s">
        <v>82</v>
      </c>
      <c r="C5" s="3"/>
      <c r="D5" s="3">
        <f>'DECEMBER 20'!H5:H23</f>
        <v>3000</v>
      </c>
      <c r="E5" s="3">
        <v>2500</v>
      </c>
      <c r="F5" s="3">
        <f>D5+E5</f>
        <v>5500</v>
      </c>
      <c r="G5" s="3">
        <f>3000+1000</f>
        <v>4000</v>
      </c>
      <c r="H5" s="3">
        <f>F5-G5</f>
        <v>1500</v>
      </c>
    </row>
    <row r="6" spans="1:9" x14ac:dyDescent="0.25">
      <c r="A6">
        <v>2</v>
      </c>
      <c r="B6" s="29" t="s">
        <v>236</v>
      </c>
      <c r="C6" s="3"/>
      <c r="D6" s="3">
        <f>'DECEMBER 20'!H6:H24</f>
        <v>7500</v>
      </c>
      <c r="E6" s="3"/>
      <c r="F6" s="3">
        <f t="shared" ref="F6:F23" si="0">D6+E6</f>
        <v>7500</v>
      </c>
      <c r="G6" s="3"/>
      <c r="H6" s="3">
        <f t="shared" ref="H6:H23" si="1">F6-G6</f>
        <v>7500</v>
      </c>
      <c r="I6" t="s">
        <v>262</v>
      </c>
    </row>
    <row r="7" spans="1:9" x14ac:dyDescent="0.25">
      <c r="A7">
        <v>3</v>
      </c>
      <c r="B7" s="56" t="s">
        <v>147</v>
      </c>
      <c r="C7" s="56"/>
      <c r="D7" s="3">
        <f>'DECEMBER 20'!H7:H25-1500</f>
        <v>3500</v>
      </c>
      <c r="E7" s="56">
        <v>2500</v>
      </c>
      <c r="F7" s="56">
        <f t="shared" si="0"/>
        <v>6000</v>
      </c>
      <c r="G7" s="56">
        <f>2500</f>
        <v>2500</v>
      </c>
      <c r="H7" s="56">
        <f t="shared" si="1"/>
        <v>3500</v>
      </c>
    </row>
    <row r="8" spans="1:9" x14ac:dyDescent="0.25">
      <c r="A8">
        <v>4</v>
      </c>
      <c r="B8" s="29"/>
      <c r="C8" s="3"/>
      <c r="D8" s="3">
        <f>'DECEMBER 20'!H8:H26</f>
        <v>0</v>
      </c>
      <c r="E8" s="3"/>
      <c r="F8" s="3">
        <f t="shared" si="0"/>
        <v>0</v>
      </c>
      <c r="G8" s="3"/>
      <c r="H8" s="3">
        <f t="shared" si="1"/>
        <v>0</v>
      </c>
    </row>
    <row r="9" spans="1:9" x14ac:dyDescent="0.25">
      <c r="A9">
        <v>5</v>
      </c>
      <c r="B9" s="3"/>
      <c r="C9" s="3"/>
      <c r="D9" s="3">
        <f>'DECEMBER 20'!H9:H27</f>
        <v>0</v>
      </c>
      <c r="E9" s="3"/>
      <c r="F9" s="3">
        <f t="shared" si="0"/>
        <v>0</v>
      </c>
      <c r="G9" s="3"/>
      <c r="H9" s="3">
        <f t="shared" si="1"/>
        <v>0</v>
      </c>
    </row>
    <row r="10" spans="1:9" x14ac:dyDescent="0.25">
      <c r="A10">
        <v>6</v>
      </c>
      <c r="B10" s="3" t="s">
        <v>273</v>
      </c>
      <c r="C10" s="3"/>
      <c r="D10" s="3">
        <f>'DECEMBER 20'!H10:H28</f>
        <v>0</v>
      </c>
      <c r="E10" s="3">
        <v>2500</v>
      </c>
      <c r="F10" s="3">
        <f t="shared" si="0"/>
        <v>2500</v>
      </c>
      <c r="G10" s="3">
        <v>2500</v>
      </c>
      <c r="H10" s="3">
        <f t="shared" si="1"/>
        <v>0</v>
      </c>
      <c r="I10">
        <v>757691765</v>
      </c>
    </row>
    <row r="11" spans="1:9" x14ac:dyDescent="0.25">
      <c r="A11">
        <v>7</v>
      </c>
      <c r="B11" s="29"/>
      <c r="C11" s="3"/>
      <c r="D11" s="3">
        <f>'DECEMBER 20'!H11:H29</f>
        <v>0</v>
      </c>
      <c r="E11" s="3"/>
      <c r="F11" s="3">
        <f t="shared" si="0"/>
        <v>0</v>
      </c>
      <c r="G11" s="3"/>
      <c r="H11" s="3">
        <f t="shared" si="1"/>
        <v>0</v>
      </c>
    </row>
    <row r="12" spans="1:9" x14ac:dyDescent="0.25">
      <c r="A12">
        <v>8</v>
      </c>
      <c r="B12" s="3"/>
      <c r="C12" s="3"/>
      <c r="D12" s="3">
        <f>'DECEMBER 20'!H12:H30</f>
        <v>0</v>
      </c>
      <c r="E12" s="3"/>
      <c r="F12" s="3">
        <f t="shared" si="0"/>
        <v>0</v>
      </c>
      <c r="G12" s="3"/>
      <c r="H12" s="3">
        <f>F12-G12</f>
        <v>0</v>
      </c>
    </row>
    <row r="13" spans="1:9" x14ac:dyDescent="0.25">
      <c r="A13">
        <v>9</v>
      </c>
      <c r="B13" s="3" t="s">
        <v>107</v>
      </c>
      <c r="C13" s="3"/>
      <c r="D13" s="3">
        <f>'DECEMBER 20'!H13:H31</f>
        <v>2300</v>
      </c>
      <c r="E13" s="3">
        <v>2500</v>
      </c>
      <c r="F13" s="3">
        <f t="shared" si="0"/>
        <v>4800</v>
      </c>
      <c r="G13" s="3">
        <v>1500</v>
      </c>
      <c r="H13" s="3">
        <f t="shared" si="1"/>
        <v>3300</v>
      </c>
      <c r="I13" t="s">
        <v>183</v>
      </c>
    </row>
    <row r="14" spans="1:9" x14ac:dyDescent="0.25">
      <c r="A14">
        <v>10</v>
      </c>
      <c r="B14" s="3" t="s">
        <v>234</v>
      </c>
      <c r="C14" s="3"/>
      <c r="D14" s="3">
        <f>'DECEMBER 20'!H14:H32</f>
        <v>0</v>
      </c>
      <c r="E14" s="3">
        <v>2500</v>
      </c>
      <c r="F14" s="3">
        <f t="shared" si="0"/>
        <v>2500</v>
      </c>
      <c r="G14" s="3">
        <v>2500</v>
      </c>
      <c r="H14" s="3">
        <f t="shared" si="1"/>
        <v>0</v>
      </c>
    </row>
    <row r="15" spans="1:9" x14ac:dyDescent="0.25">
      <c r="A15">
        <v>11</v>
      </c>
      <c r="B15" s="57" t="s">
        <v>245</v>
      </c>
      <c r="C15" s="57"/>
      <c r="D15" s="3">
        <f>'DECEMBER 20'!H15:H33</f>
        <v>0</v>
      </c>
      <c r="E15" s="57"/>
      <c r="F15" s="57"/>
      <c r="G15" s="57"/>
      <c r="H15" s="57"/>
      <c r="I15" t="s">
        <v>276</v>
      </c>
    </row>
    <row r="16" spans="1:9" x14ac:dyDescent="0.25">
      <c r="A16">
        <v>12</v>
      </c>
      <c r="B16" s="3" t="s">
        <v>37</v>
      </c>
      <c r="C16" s="3"/>
      <c r="D16" s="3">
        <f>'DECEMBER 20'!H16:H34</f>
        <v>1200</v>
      </c>
      <c r="E16" s="3">
        <v>2500</v>
      </c>
      <c r="F16" s="3">
        <f t="shared" si="0"/>
        <v>3700</v>
      </c>
      <c r="G16" s="3">
        <f>1500</f>
        <v>1500</v>
      </c>
      <c r="H16" s="3">
        <f t="shared" si="1"/>
        <v>2200</v>
      </c>
    </row>
    <row r="17" spans="1:14" x14ac:dyDescent="0.25">
      <c r="A17" s="6">
        <v>13</v>
      </c>
      <c r="B17" s="60" t="s">
        <v>99</v>
      </c>
      <c r="C17" s="60"/>
      <c r="D17" s="17">
        <f>'DECEMBER 20'!H17:H35</f>
        <v>5000</v>
      </c>
      <c r="E17" s="57"/>
      <c r="F17" s="58">
        <f>D17+E17</f>
        <v>5000</v>
      </c>
      <c r="G17" s="58">
        <f>3000</f>
        <v>3000</v>
      </c>
      <c r="H17" s="58">
        <f t="shared" si="1"/>
        <v>2000</v>
      </c>
      <c r="I17">
        <v>710784927</v>
      </c>
    </row>
    <row r="18" spans="1:14" x14ac:dyDescent="0.25">
      <c r="A18">
        <v>14</v>
      </c>
      <c r="B18" s="13" t="s">
        <v>123</v>
      </c>
      <c r="C18" s="13"/>
      <c r="D18" s="3">
        <f>'DECEMBER 20'!H18:H36</f>
        <v>1800</v>
      </c>
      <c r="E18" s="13">
        <v>2500</v>
      </c>
      <c r="F18" s="3">
        <f t="shared" si="0"/>
        <v>4300</v>
      </c>
      <c r="G18" s="13">
        <f>1000+500+500+500</f>
        <v>2500</v>
      </c>
      <c r="H18" s="13">
        <f t="shared" si="1"/>
        <v>1800</v>
      </c>
    </row>
    <row r="19" spans="1:14" x14ac:dyDescent="0.25">
      <c r="A19" t="s">
        <v>233</v>
      </c>
      <c r="B19" s="3" t="s">
        <v>35</v>
      </c>
      <c r="C19" s="3"/>
      <c r="D19" s="3">
        <f>'DECEMBER 20'!H19:H37</f>
        <v>0</v>
      </c>
      <c r="E19" s="3">
        <v>4500</v>
      </c>
      <c r="F19" s="3">
        <f t="shared" si="0"/>
        <v>4500</v>
      </c>
      <c r="G19" s="13"/>
      <c r="H19" s="13">
        <f t="shared" si="1"/>
        <v>4500</v>
      </c>
    </row>
    <row r="20" spans="1:14" x14ac:dyDescent="0.25">
      <c r="A20">
        <v>17</v>
      </c>
      <c r="B20" s="13" t="s">
        <v>247</v>
      </c>
      <c r="C20" s="13"/>
      <c r="D20" s="3">
        <f>'DECEMBER 20'!H20:H38</f>
        <v>800</v>
      </c>
      <c r="E20" s="13">
        <v>3000</v>
      </c>
      <c r="F20" s="3">
        <f>D20+E20</f>
        <v>3800</v>
      </c>
      <c r="G20" s="13">
        <f>800+2000+500</f>
        <v>3300</v>
      </c>
      <c r="H20" s="13">
        <f>F20-G20</f>
        <v>500</v>
      </c>
      <c r="I20">
        <v>724258280</v>
      </c>
    </row>
    <row r="21" spans="1:14" x14ac:dyDescent="0.25">
      <c r="A21">
        <v>18</v>
      </c>
      <c r="B21" s="13" t="s">
        <v>275</v>
      </c>
      <c r="C21" s="13"/>
      <c r="D21" s="3">
        <f>'DECEMBER 20'!H21:H39</f>
        <v>0</v>
      </c>
      <c r="E21" s="13">
        <v>3000</v>
      </c>
      <c r="F21" s="3">
        <f t="shared" si="0"/>
        <v>3000</v>
      </c>
      <c r="G21" s="13">
        <v>3000</v>
      </c>
      <c r="H21" s="13">
        <f t="shared" si="1"/>
        <v>0</v>
      </c>
      <c r="I21">
        <v>706015227</v>
      </c>
    </row>
    <row r="22" spans="1:14" x14ac:dyDescent="0.25">
      <c r="A22">
        <v>19</v>
      </c>
      <c r="B22" s="3" t="s">
        <v>258</v>
      </c>
      <c r="C22" s="3"/>
      <c r="D22" s="3">
        <f>'DECEMBER 20'!H22:H40</f>
        <v>0</v>
      </c>
      <c r="E22" s="3">
        <v>3000</v>
      </c>
      <c r="F22" s="3">
        <f t="shared" si="0"/>
        <v>3000</v>
      </c>
      <c r="G22" s="3">
        <v>3000</v>
      </c>
      <c r="H22" s="13">
        <f t="shared" si="1"/>
        <v>0</v>
      </c>
      <c r="K22" s="59" t="s">
        <v>281</v>
      </c>
      <c r="M22" s="6" t="s">
        <v>14</v>
      </c>
      <c r="N22" s="6" t="s">
        <v>9</v>
      </c>
    </row>
    <row r="23" spans="1:14" x14ac:dyDescent="0.25">
      <c r="A23">
        <v>20</v>
      </c>
      <c r="B23" s="3" t="s">
        <v>244</v>
      </c>
      <c r="C23" s="3"/>
      <c r="D23" s="3">
        <f>'DECEMBER 20'!H23:H41</f>
        <v>1000</v>
      </c>
      <c r="E23" s="3">
        <v>3000</v>
      </c>
      <c r="F23" s="3">
        <f t="shared" si="0"/>
        <v>4000</v>
      </c>
      <c r="G23" s="3">
        <f>2000</f>
        <v>2000</v>
      </c>
      <c r="H23" s="13">
        <f t="shared" si="1"/>
        <v>2000</v>
      </c>
      <c r="I23" s="31" t="s">
        <v>279</v>
      </c>
      <c r="K23" s="31"/>
      <c r="L23" s="31"/>
    </row>
    <row r="24" spans="1:14" x14ac:dyDescent="0.25">
      <c r="B24" s="30" t="s">
        <v>64</v>
      </c>
      <c r="C24" s="30">
        <f t="shared" ref="C24" si="2">SUM(C5:C22)</f>
        <v>0</v>
      </c>
      <c r="D24" s="3">
        <f>SUM(D5:D23)</f>
        <v>26100</v>
      </c>
      <c r="E24" s="30">
        <f>SUM(E5:E23)</f>
        <v>34000</v>
      </c>
      <c r="F24" s="30">
        <f>SUM(F5:F23)</f>
        <v>60100</v>
      </c>
      <c r="G24" s="30">
        <f>SUM(G5:G23)</f>
        <v>31300</v>
      </c>
      <c r="H24" s="30">
        <f>SUM(H5:H23)</f>
        <v>28800</v>
      </c>
      <c r="I24">
        <v>5776</v>
      </c>
      <c r="K24" s="31" t="s">
        <v>268</v>
      </c>
      <c r="L24" s="31">
        <f>2500</f>
        <v>2500</v>
      </c>
      <c r="M24">
        <v>1500</v>
      </c>
      <c r="N24">
        <f>L24-M24</f>
        <v>1000</v>
      </c>
    </row>
    <row r="25" spans="1:14" x14ac:dyDescent="0.25">
      <c r="C25" s="34"/>
      <c r="D25" s="3"/>
      <c r="E25" s="33"/>
      <c r="F25" s="46"/>
      <c r="G25" s="10"/>
      <c r="H25" s="35">
        <f>H24+N28</f>
        <v>42426</v>
      </c>
      <c r="I25">
        <v>1950</v>
      </c>
      <c r="K25" s="48" t="s">
        <v>269</v>
      </c>
      <c r="L25" s="31">
        <v>5000</v>
      </c>
      <c r="M25">
        <v>0</v>
      </c>
      <c r="N25">
        <f>L25-M25</f>
        <v>5000</v>
      </c>
    </row>
    <row r="26" spans="1:14" x14ac:dyDescent="0.25">
      <c r="B26" s="36" t="s">
        <v>13</v>
      </c>
      <c r="C26" s="36"/>
      <c r="D26" s="36"/>
      <c r="E26" s="37"/>
      <c r="F26" s="36" t="s">
        <v>14</v>
      </c>
      <c r="G26" s="31"/>
      <c r="H26" s="31" t="s">
        <v>9</v>
      </c>
      <c r="I26" s="6">
        <f>I24-I25</f>
        <v>3826</v>
      </c>
      <c r="K26" s="48" t="s">
        <v>270</v>
      </c>
      <c r="L26" s="31">
        <v>3800</v>
      </c>
      <c r="M26">
        <v>0</v>
      </c>
      <c r="N26">
        <f t="shared" ref="N26" si="3">L26-M26</f>
        <v>3800</v>
      </c>
    </row>
    <row r="27" spans="1:14" x14ac:dyDescent="0.25">
      <c r="B27" s="30" t="s">
        <v>15</v>
      </c>
      <c r="C27" s="30" t="s">
        <v>16</v>
      </c>
      <c r="D27" s="30" t="s">
        <v>17</v>
      </c>
      <c r="E27" s="30" t="s">
        <v>18</v>
      </c>
      <c r="F27" s="30"/>
      <c r="G27" s="30"/>
      <c r="H27" s="30" t="s">
        <v>17</v>
      </c>
      <c r="I27" s="30" t="s">
        <v>18</v>
      </c>
      <c r="K27" s="48" t="s">
        <v>280</v>
      </c>
      <c r="L27" s="31">
        <v>3826</v>
      </c>
      <c r="M27">
        <v>0</v>
      </c>
      <c r="N27">
        <f>SUM(N24:N26)</f>
        <v>9800</v>
      </c>
    </row>
    <row r="28" spans="1:14" x14ac:dyDescent="0.25">
      <c r="B28" s="29" t="s">
        <v>134</v>
      </c>
      <c r="C28" s="38">
        <f>E24</f>
        <v>34000</v>
      </c>
      <c r="D28" s="29"/>
      <c r="E28" s="29"/>
      <c r="F28" s="29" t="s">
        <v>134</v>
      </c>
      <c r="G28" s="38">
        <f>G24</f>
        <v>31300</v>
      </c>
      <c r="H28" s="29"/>
      <c r="I28" s="29"/>
      <c r="K28" s="48" t="s">
        <v>282</v>
      </c>
      <c r="L28" s="31">
        <f>SUM(L24:L27)</f>
        <v>15126</v>
      </c>
      <c r="N28">
        <f>N27+I26</f>
        <v>13626</v>
      </c>
    </row>
    <row r="29" spans="1:14" x14ac:dyDescent="0.25">
      <c r="B29" s="29" t="s">
        <v>5</v>
      </c>
      <c r="C29" s="38">
        <f>'DECEMBER 20'!E38</f>
        <v>-7830</v>
      </c>
      <c r="D29" s="29"/>
      <c r="E29" s="29"/>
      <c r="F29" s="29" t="s">
        <v>5</v>
      </c>
      <c r="G29" s="38">
        <f>'DECEMBER 20'!I38</f>
        <v>-32930</v>
      </c>
      <c r="H29" s="29"/>
      <c r="I29" s="29"/>
    </row>
    <row r="30" spans="1:14" x14ac:dyDescent="0.25">
      <c r="B30" s="29" t="s">
        <v>70</v>
      </c>
      <c r="C30" s="38"/>
      <c r="D30" s="29"/>
      <c r="E30" s="29"/>
      <c r="F30" s="29" t="s">
        <v>70</v>
      </c>
      <c r="G30" s="38"/>
      <c r="H30" s="29"/>
      <c r="I30" s="29"/>
    </row>
    <row r="31" spans="1:14" x14ac:dyDescent="0.25">
      <c r="B31" s="29" t="s">
        <v>20</v>
      </c>
      <c r="C31" s="39">
        <v>0.1</v>
      </c>
      <c r="D31" s="38">
        <f>C31*C28</f>
        <v>3400</v>
      </c>
      <c r="E31" s="29"/>
      <c r="F31" s="29" t="s">
        <v>20</v>
      </c>
      <c r="G31" s="39">
        <v>0.1</v>
      </c>
      <c r="H31" s="38">
        <f>G31*C28</f>
        <v>3400</v>
      </c>
      <c r="I31" s="29"/>
    </row>
    <row r="32" spans="1:14" x14ac:dyDescent="0.25">
      <c r="B32" s="30" t="s">
        <v>21</v>
      </c>
      <c r="C32" s="30" t="s">
        <v>22</v>
      </c>
      <c r="D32" s="30"/>
      <c r="E32" s="30"/>
      <c r="F32" s="30" t="s">
        <v>21</v>
      </c>
      <c r="G32" s="40"/>
      <c r="H32" s="30"/>
      <c r="I32" s="30"/>
    </row>
    <row r="33" spans="2:16" x14ac:dyDescent="0.25">
      <c r="B33" s="30" t="s">
        <v>277</v>
      </c>
      <c r="C33" s="30"/>
      <c r="D33" s="30">
        <v>22770</v>
      </c>
      <c r="E33" s="30"/>
      <c r="F33" s="30" t="s">
        <v>277</v>
      </c>
      <c r="G33" s="30"/>
      <c r="H33" s="30">
        <v>22770</v>
      </c>
      <c r="I33" s="30"/>
      <c r="L33" s="15"/>
    </row>
    <row r="34" spans="2:16" x14ac:dyDescent="0.25">
      <c r="B34" s="30" t="s">
        <v>278</v>
      </c>
      <c r="C34" s="30"/>
      <c r="D34" s="30">
        <v>1500</v>
      </c>
      <c r="E34" s="30"/>
      <c r="F34" s="30" t="s">
        <v>278</v>
      </c>
      <c r="G34" s="30"/>
      <c r="H34" s="30">
        <v>1500</v>
      </c>
      <c r="I34" s="30"/>
    </row>
    <row r="35" spans="2:16" x14ac:dyDescent="0.25">
      <c r="B35" s="30"/>
      <c r="C35" s="30"/>
      <c r="D35" s="30"/>
      <c r="E35" s="30"/>
      <c r="F35" s="30"/>
      <c r="G35" s="30"/>
      <c r="H35" s="30"/>
      <c r="I35" s="30"/>
      <c r="L35" s="15"/>
    </row>
    <row r="36" spans="2:16" x14ac:dyDescent="0.25">
      <c r="B36" s="30"/>
      <c r="C36" s="30"/>
      <c r="D36" s="30"/>
      <c r="E36" s="30"/>
      <c r="F36" s="30"/>
      <c r="G36" s="30"/>
      <c r="H36" s="30"/>
      <c r="I36" s="30"/>
      <c r="K36" s="15"/>
      <c r="L36" s="15"/>
    </row>
    <row r="37" spans="2:16" x14ac:dyDescent="0.25">
      <c r="B37" s="41"/>
      <c r="C37" s="29"/>
      <c r="D37" s="29"/>
      <c r="E37" s="29"/>
      <c r="F37" s="41"/>
      <c r="G37" s="29"/>
      <c r="H37" s="29"/>
      <c r="I37" s="29"/>
      <c r="P37">
        <f>0.04*10000</f>
        <v>400</v>
      </c>
    </row>
    <row r="38" spans="2:16" x14ac:dyDescent="0.25">
      <c r="B38" s="30" t="s">
        <v>11</v>
      </c>
      <c r="C38" s="40">
        <f>C28+C29+C30-D31</f>
        <v>22770</v>
      </c>
      <c r="D38" s="40">
        <f>SUM(D33:D37)</f>
        <v>24270</v>
      </c>
      <c r="E38" s="40">
        <f>C38-D38</f>
        <v>-1500</v>
      </c>
      <c r="F38" s="30" t="s">
        <v>11</v>
      </c>
      <c r="G38" s="40">
        <f>G28+G29+G30-H31</f>
        <v>-5030</v>
      </c>
      <c r="H38" s="40">
        <f>SUM(H33:H37)</f>
        <v>24270</v>
      </c>
      <c r="I38" s="40">
        <f>G38-H38</f>
        <v>-29300</v>
      </c>
    </row>
    <row r="39" spans="2:16" x14ac:dyDescent="0.25">
      <c r="B39" s="31"/>
      <c r="C39" s="31"/>
      <c r="D39" s="31"/>
      <c r="E39" s="31"/>
      <c r="F39" s="31"/>
      <c r="G39" s="31"/>
      <c r="H39" s="31"/>
      <c r="I39" s="31"/>
    </row>
    <row r="40" spans="2:16" x14ac:dyDescent="0.25">
      <c r="B40" s="31" t="s">
        <v>23</v>
      </c>
      <c r="C40" s="31"/>
      <c r="D40" s="31" t="s">
        <v>24</v>
      </c>
      <c r="E40" s="31"/>
      <c r="F40" s="31"/>
      <c r="G40" s="31" t="s">
        <v>25</v>
      </c>
      <c r="H40" s="31"/>
      <c r="I40" s="31"/>
    </row>
    <row r="41" spans="2:16" x14ac:dyDescent="0.25">
      <c r="B41" s="31"/>
      <c r="C41" s="31"/>
      <c r="D41" s="31"/>
      <c r="E41" s="31"/>
      <c r="F41" s="31"/>
      <c r="G41" s="31"/>
      <c r="H41" s="31"/>
      <c r="I41" s="31"/>
    </row>
    <row r="42" spans="2:16" x14ac:dyDescent="0.25">
      <c r="B42" s="31" t="s">
        <v>108</v>
      </c>
      <c r="C42" s="31"/>
      <c r="D42" s="31" t="s">
        <v>27</v>
      </c>
      <c r="E42" s="31"/>
      <c r="F42" s="31"/>
      <c r="G42" s="31" t="s">
        <v>46</v>
      </c>
      <c r="H42" s="31"/>
      <c r="I42" s="48"/>
    </row>
    <row r="43" spans="2:16" x14ac:dyDescent="0.25">
      <c r="P43">
        <f>0.04*300000</f>
        <v>12000</v>
      </c>
    </row>
    <row r="44" spans="2:16" x14ac:dyDescent="0.25">
      <c r="P44">
        <f>28000-P43</f>
        <v>16000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J17" sqref="J17"/>
    </sheetView>
  </sheetViews>
  <sheetFormatPr defaultRowHeight="15" x14ac:dyDescent="0.25"/>
  <cols>
    <col min="1" max="1" width="5" customWidth="1"/>
    <col min="2" max="2" width="19.85546875" customWidth="1"/>
    <col min="3" max="3" width="8.85546875" customWidth="1"/>
    <col min="4" max="4" width="9" customWidth="1"/>
    <col min="5" max="5" width="8.85546875" customWidth="1"/>
    <col min="6" max="6" width="11" customWidth="1"/>
    <col min="7" max="7" width="8.42578125" customWidth="1"/>
  </cols>
  <sheetData>
    <row r="1" spans="1:8" x14ac:dyDescent="0.25">
      <c r="A1" s="1"/>
      <c r="B1" s="1"/>
      <c r="C1" s="1" t="s">
        <v>28</v>
      </c>
      <c r="D1" s="1"/>
      <c r="E1" s="1"/>
      <c r="F1" s="1"/>
      <c r="G1" s="1"/>
      <c r="H1" s="1"/>
    </row>
    <row r="2" spans="1:8" x14ac:dyDescent="0.25">
      <c r="A2" s="1"/>
      <c r="B2" s="1"/>
      <c r="C2" s="1" t="s">
        <v>0</v>
      </c>
      <c r="D2" s="1"/>
      <c r="E2" s="1"/>
      <c r="F2" s="1"/>
      <c r="G2" s="1"/>
      <c r="H2" s="1"/>
    </row>
    <row r="3" spans="1:8" x14ac:dyDescent="0.25">
      <c r="A3" s="1"/>
      <c r="B3" s="1"/>
      <c r="C3" s="1" t="s">
        <v>51</v>
      </c>
      <c r="D3" s="1"/>
      <c r="E3" s="1"/>
      <c r="F3" s="1"/>
      <c r="G3" s="1"/>
      <c r="H3" s="1"/>
    </row>
    <row r="4" spans="1:8" x14ac:dyDescent="0.25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</row>
    <row r="5" spans="1:8" x14ac:dyDescent="0.25">
      <c r="A5" s="25">
        <v>1</v>
      </c>
      <c r="B5" s="3" t="s">
        <v>29</v>
      </c>
      <c r="C5" s="3"/>
      <c r="D5" s="3"/>
      <c r="E5" s="3"/>
      <c r="F5" s="3">
        <f>D5+E5</f>
        <v>0</v>
      </c>
      <c r="G5" s="3"/>
      <c r="H5" s="3">
        <f>F5-G5</f>
        <v>0</v>
      </c>
    </row>
    <row r="6" spans="1:8" x14ac:dyDescent="0.25">
      <c r="A6" s="25">
        <v>2</v>
      </c>
      <c r="B6" s="3" t="s">
        <v>44</v>
      </c>
      <c r="C6" s="3"/>
      <c r="D6" s="3"/>
      <c r="E6" s="3">
        <v>2200</v>
      </c>
      <c r="F6" s="3">
        <f t="shared" ref="F6:F18" si="0">D6+E6</f>
        <v>2200</v>
      </c>
      <c r="G6" s="3">
        <v>2200</v>
      </c>
      <c r="H6" s="3">
        <f t="shared" ref="H6:H18" si="1">F6-G6</f>
        <v>0</v>
      </c>
    </row>
    <row r="7" spans="1:8" x14ac:dyDescent="0.25">
      <c r="A7" s="25">
        <v>3</v>
      </c>
      <c r="B7" s="3" t="s">
        <v>31</v>
      </c>
      <c r="C7" s="3"/>
      <c r="D7" s="3">
        <v>50</v>
      </c>
      <c r="E7" s="3">
        <v>2200</v>
      </c>
      <c r="F7" s="3">
        <f t="shared" si="0"/>
        <v>2250</v>
      </c>
      <c r="G7" s="3">
        <v>2200</v>
      </c>
      <c r="H7" s="3">
        <f t="shared" si="1"/>
        <v>50</v>
      </c>
    </row>
    <row r="8" spans="1:8" x14ac:dyDescent="0.25">
      <c r="A8" s="25">
        <v>4</v>
      </c>
      <c r="B8" s="3" t="s">
        <v>32</v>
      </c>
      <c r="C8" s="3"/>
      <c r="D8" s="3"/>
      <c r="E8" s="3">
        <v>2200</v>
      </c>
      <c r="F8" s="3">
        <f t="shared" si="0"/>
        <v>2200</v>
      </c>
      <c r="G8" s="3">
        <v>2200</v>
      </c>
      <c r="H8" s="3">
        <f t="shared" si="1"/>
        <v>0</v>
      </c>
    </row>
    <row r="9" spans="1:8" x14ac:dyDescent="0.25">
      <c r="A9" s="25">
        <v>5</v>
      </c>
      <c r="B9" s="3" t="s">
        <v>47</v>
      </c>
      <c r="C9" s="3"/>
      <c r="D9" s="3"/>
      <c r="E9" s="3">
        <v>2200</v>
      </c>
      <c r="F9" s="3">
        <f t="shared" si="0"/>
        <v>2200</v>
      </c>
      <c r="G9" s="3">
        <v>2200</v>
      </c>
      <c r="H9" s="3">
        <f t="shared" si="1"/>
        <v>0</v>
      </c>
    </row>
    <row r="10" spans="1:8" x14ac:dyDescent="0.25">
      <c r="A10" s="25">
        <v>6</v>
      </c>
      <c r="B10" s="3" t="s">
        <v>34</v>
      </c>
      <c r="C10" s="3"/>
      <c r="D10" s="3">
        <v>200</v>
      </c>
      <c r="E10" s="3">
        <v>2200</v>
      </c>
      <c r="F10" s="3">
        <f t="shared" si="0"/>
        <v>2400</v>
      </c>
      <c r="G10" s="3"/>
      <c r="H10" s="3">
        <f t="shared" si="1"/>
        <v>2400</v>
      </c>
    </row>
    <row r="11" spans="1:8" x14ac:dyDescent="0.25">
      <c r="A11" s="25" t="s">
        <v>10</v>
      </c>
      <c r="B11" s="3" t="s">
        <v>35</v>
      </c>
      <c r="C11" s="3"/>
      <c r="D11" s="3"/>
      <c r="E11" s="3">
        <v>4000</v>
      </c>
      <c r="F11" s="3">
        <f t="shared" si="0"/>
        <v>4000</v>
      </c>
      <c r="G11" s="3">
        <v>4000</v>
      </c>
      <c r="H11" s="3">
        <f t="shared" si="1"/>
        <v>0</v>
      </c>
    </row>
    <row r="12" spans="1:8" x14ac:dyDescent="0.25">
      <c r="A12" s="25">
        <v>9</v>
      </c>
      <c r="B12" s="3" t="s">
        <v>41</v>
      </c>
      <c r="C12" s="3"/>
      <c r="D12" s="3"/>
      <c r="E12" s="3">
        <v>2200</v>
      </c>
      <c r="F12" s="3">
        <f t="shared" si="0"/>
        <v>2200</v>
      </c>
      <c r="G12" s="3">
        <v>2200</v>
      </c>
      <c r="H12" s="3">
        <f t="shared" si="1"/>
        <v>0</v>
      </c>
    </row>
    <row r="13" spans="1:8" x14ac:dyDescent="0.25">
      <c r="A13" s="25">
        <v>10</v>
      </c>
      <c r="B13" s="3" t="s">
        <v>45</v>
      </c>
      <c r="C13" s="3"/>
      <c r="D13" s="3"/>
      <c r="E13" s="3">
        <v>2200</v>
      </c>
      <c r="F13" s="3">
        <f t="shared" si="0"/>
        <v>2200</v>
      </c>
      <c r="G13" s="3"/>
      <c r="H13" s="3">
        <f t="shared" si="1"/>
        <v>2200</v>
      </c>
    </row>
    <row r="14" spans="1:8" x14ac:dyDescent="0.25">
      <c r="A14" s="25">
        <v>11</v>
      </c>
      <c r="B14" s="23" t="s">
        <v>36</v>
      </c>
      <c r="C14" s="3"/>
      <c r="D14" s="3">
        <v>100</v>
      </c>
      <c r="E14" s="3">
        <v>2200</v>
      </c>
      <c r="F14" s="3">
        <f t="shared" si="0"/>
        <v>2300</v>
      </c>
      <c r="G14" s="3">
        <v>2200</v>
      </c>
      <c r="H14" s="3">
        <f t="shared" si="1"/>
        <v>100</v>
      </c>
    </row>
    <row r="15" spans="1:8" x14ac:dyDescent="0.25">
      <c r="A15" s="25">
        <v>12</v>
      </c>
      <c r="B15" s="3" t="s">
        <v>37</v>
      </c>
      <c r="C15" s="3"/>
      <c r="D15" s="3">
        <v>200</v>
      </c>
      <c r="E15" s="3">
        <v>2200</v>
      </c>
      <c r="F15" s="3">
        <f t="shared" si="0"/>
        <v>2400</v>
      </c>
      <c r="G15" s="3">
        <v>1400</v>
      </c>
      <c r="H15" s="3">
        <f t="shared" si="1"/>
        <v>1000</v>
      </c>
    </row>
    <row r="16" spans="1:8" x14ac:dyDescent="0.25">
      <c r="A16" s="25">
        <v>13</v>
      </c>
      <c r="B16" s="3" t="s">
        <v>38</v>
      </c>
      <c r="C16" s="3"/>
      <c r="D16" s="3"/>
      <c r="E16" s="3">
        <v>2200</v>
      </c>
      <c r="F16" s="3">
        <f t="shared" si="0"/>
        <v>2200</v>
      </c>
      <c r="G16" s="3">
        <v>2200</v>
      </c>
      <c r="H16" s="3">
        <f t="shared" si="1"/>
        <v>0</v>
      </c>
    </row>
    <row r="17" spans="1:12" x14ac:dyDescent="0.25">
      <c r="A17" s="25">
        <v>14</v>
      </c>
      <c r="B17" s="3" t="s">
        <v>50</v>
      </c>
      <c r="C17" s="3"/>
      <c r="D17" s="3">
        <v>2200</v>
      </c>
      <c r="E17" s="3"/>
      <c r="F17" s="3">
        <f t="shared" si="0"/>
        <v>2200</v>
      </c>
      <c r="G17" s="3">
        <v>2200</v>
      </c>
      <c r="H17" s="3">
        <f t="shared" si="1"/>
        <v>0</v>
      </c>
      <c r="I17" t="s">
        <v>48</v>
      </c>
    </row>
    <row r="18" spans="1:12" x14ac:dyDescent="0.25">
      <c r="A18" s="25" t="s">
        <v>39</v>
      </c>
      <c r="B18" s="3" t="s">
        <v>40</v>
      </c>
      <c r="C18" s="3"/>
      <c r="D18" s="3"/>
      <c r="E18" s="3">
        <v>4000</v>
      </c>
      <c r="F18" s="3">
        <f t="shared" si="0"/>
        <v>4000</v>
      </c>
      <c r="G18" s="3">
        <v>4000</v>
      </c>
      <c r="H18" s="3">
        <f t="shared" si="1"/>
        <v>0</v>
      </c>
    </row>
    <row r="19" spans="1:12" x14ac:dyDescent="0.25">
      <c r="A19" s="3"/>
      <c r="B19" s="2" t="s">
        <v>49</v>
      </c>
      <c r="C19" s="2">
        <f t="shared" ref="C19:H19" si="2">SUM(C5:C18)</f>
        <v>0</v>
      </c>
      <c r="D19" s="2">
        <f t="shared" si="2"/>
        <v>2750</v>
      </c>
      <c r="E19" s="2">
        <f>SUM(E5:E18)</f>
        <v>30000</v>
      </c>
      <c r="F19" s="2">
        <f>SUM(F5:F18)</f>
        <v>32750</v>
      </c>
      <c r="G19" s="2">
        <f t="shared" si="2"/>
        <v>27000</v>
      </c>
      <c r="H19" s="3">
        <f t="shared" si="2"/>
        <v>5750</v>
      </c>
    </row>
    <row r="20" spans="1:12" x14ac:dyDescent="0.25">
      <c r="A20" s="4"/>
      <c r="B20" s="5"/>
      <c r="C20" s="5"/>
      <c r="D20" s="5"/>
      <c r="E20" s="5"/>
      <c r="F20" s="5"/>
      <c r="G20" s="5"/>
      <c r="H20" s="4"/>
    </row>
    <row r="21" spans="1:12" x14ac:dyDescent="0.25">
      <c r="B21" s="6" t="s">
        <v>12</v>
      </c>
      <c r="C21" s="7"/>
      <c r="D21" s="8"/>
      <c r="E21" s="5"/>
      <c r="F21" s="9"/>
      <c r="G21" s="10"/>
      <c r="H21" s="9"/>
    </row>
    <row r="22" spans="1:12" x14ac:dyDescent="0.25">
      <c r="B22" s="1" t="s">
        <v>13</v>
      </c>
      <c r="C22" s="1"/>
      <c r="D22" s="1"/>
      <c r="E22" s="11"/>
      <c r="F22" s="1" t="s">
        <v>14</v>
      </c>
      <c r="G22" s="12"/>
      <c r="H22" s="12"/>
      <c r="I22" s="12"/>
    </row>
    <row r="23" spans="1:12" x14ac:dyDescent="0.25">
      <c r="B23" s="2" t="s">
        <v>15</v>
      </c>
      <c r="C23" s="2" t="s">
        <v>16</v>
      </c>
      <c r="D23" s="2" t="s">
        <v>17</v>
      </c>
      <c r="E23" s="2" t="s">
        <v>18</v>
      </c>
      <c r="F23" s="2" t="s">
        <v>15</v>
      </c>
      <c r="G23" s="2" t="s">
        <v>16</v>
      </c>
      <c r="H23" s="2" t="s">
        <v>17</v>
      </c>
      <c r="I23" s="2" t="s">
        <v>18</v>
      </c>
    </row>
    <row r="24" spans="1:12" x14ac:dyDescent="0.25">
      <c r="B24" s="13" t="s">
        <v>52</v>
      </c>
      <c r="C24" s="14">
        <f>E19</f>
        <v>30000</v>
      </c>
      <c r="D24" s="13"/>
      <c r="E24" s="13"/>
      <c r="F24" s="13" t="s">
        <v>52</v>
      </c>
      <c r="G24" s="14">
        <f>G19</f>
        <v>27000</v>
      </c>
      <c r="H24" s="13"/>
      <c r="I24" s="13"/>
      <c r="L24" s="15"/>
    </row>
    <row r="25" spans="1:12" x14ac:dyDescent="0.25">
      <c r="B25" s="13" t="s">
        <v>5</v>
      </c>
      <c r="C25" s="14">
        <f>OCT!E34</f>
        <v>0</v>
      </c>
      <c r="D25" s="13"/>
      <c r="E25" s="13"/>
      <c r="F25" s="13" t="s">
        <v>5</v>
      </c>
      <c r="G25" s="14">
        <f>OCT!I34</f>
        <v>-2750</v>
      </c>
      <c r="H25" s="13"/>
      <c r="I25" s="13"/>
    </row>
    <row r="26" spans="1:12" x14ac:dyDescent="0.25">
      <c r="B26" s="13" t="s">
        <v>20</v>
      </c>
      <c r="C26" s="16">
        <v>0.1</v>
      </c>
      <c r="D26" s="14">
        <f>C24*C26</f>
        <v>3000</v>
      </c>
      <c r="F26" s="13" t="s">
        <v>20</v>
      </c>
      <c r="G26" s="16">
        <v>0.1</v>
      </c>
      <c r="H26" s="14">
        <f>D26</f>
        <v>3000</v>
      </c>
      <c r="I26" s="13"/>
    </row>
    <row r="27" spans="1:12" x14ac:dyDescent="0.25">
      <c r="B27" s="17" t="s">
        <v>21</v>
      </c>
      <c r="C27" s="13" t="s">
        <v>22</v>
      </c>
      <c r="D27" s="13"/>
      <c r="E27" s="13"/>
      <c r="F27" s="17" t="s">
        <v>21</v>
      </c>
      <c r="G27" s="14"/>
      <c r="H27" s="13"/>
      <c r="I27" s="13"/>
    </row>
    <row r="28" spans="1:12" x14ac:dyDescent="0.25">
      <c r="B28" s="18" t="s">
        <v>53</v>
      </c>
      <c r="C28" s="3"/>
      <c r="D28" s="3">
        <v>2200</v>
      </c>
      <c r="E28" s="3"/>
      <c r="F28" s="18" t="s">
        <v>53</v>
      </c>
      <c r="G28" s="3"/>
      <c r="H28" s="3">
        <v>2200</v>
      </c>
      <c r="I28" s="3"/>
    </row>
    <row r="29" spans="1:12" x14ac:dyDescent="0.25">
      <c r="B29" s="19">
        <v>43413</v>
      </c>
      <c r="C29" s="3"/>
      <c r="D29">
        <v>24800</v>
      </c>
      <c r="E29" s="3"/>
      <c r="F29" s="19">
        <v>43413</v>
      </c>
      <c r="G29" s="3"/>
      <c r="H29">
        <v>24800</v>
      </c>
      <c r="I29" s="3"/>
    </row>
    <row r="30" spans="1:12" x14ac:dyDescent="0.25">
      <c r="B30" s="20"/>
      <c r="C30" s="13"/>
      <c r="D30" s="13"/>
      <c r="E30" s="13"/>
      <c r="F30" s="20"/>
      <c r="G30" s="13"/>
      <c r="H30" s="13"/>
      <c r="I30" s="13"/>
    </row>
    <row r="31" spans="1:12" x14ac:dyDescent="0.25">
      <c r="B31" s="20"/>
      <c r="C31" s="13"/>
      <c r="D31" s="13"/>
      <c r="E31" s="13"/>
      <c r="F31" s="20"/>
      <c r="G31" s="13"/>
      <c r="H31" s="13"/>
      <c r="I31" s="13"/>
    </row>
    <row r="32" spans="1:12" x14ac:dyDescent="0.25">
      <c r="B32" s="21"/>
      <c r="C32" s="13"/>
      <c r="D32" s="13"/>
      <c r="E32" s="13"/>
      <c r="F32" s="19"/>
      <c r="G32" s="3"/>
      <c r="H32" s="22"/>
      <c r="I32" s="13"/>
    </row>
    <row r="33" spans="2:9" x14ac:dyDescent="0.25">
      <c r="B33" s="19"/>
      <c r="C33" s="3"/>
      <c r="D33" s="22"/>
      <c r="E33" s="13"/>
      <c r="F33" s="3"/>
      <c r="G33" s="3"/>
      <c r="H33" s="3"/>
      <c r="I33" s="13"/>
    </row>
    <row r="34" spans="2:9" x14ac:dyDescent="0.25">
      <c r="B34" s="26" t="s">
        <v>11</v>
      </c>
      <c r="C34" s="27">
        <f>C24+C25</f>
        <v>30000</v>
      </c>
      <c r="D34" s="27">
        <f>SUM(D26:D33)</f>
        <v>30000</v>
      </c>
      <c r="E34" s="27">
        <f>C34-D34</f>
        <v>0</v>
      </c>
      <c r="F34" s="26" t="s">
        <v>11</v>
      </c>
      <c r="G34" s="27">
        <f>G24+G25</f>
        <v>24250</v>
      </c>
      <c r="H34" s="27">
        <f>SUM(H26:H33)</f>
        <v>30000</v>
      </c>
      <c r="I34" s="28">
        <f>G34-H34</f>
        <v>-5750</v>
      </c>
    </row>
    <row r="36" spans="2:9" x14ac:dyDescent="0.25">
      <c r="B36" t="s">
        <v>23</v>
      </c>
      <c r="D36" t="s">
        <v>24</v>
      </c>
      <c r="G36" t="s">
        <v>25</v>
      </c>
    </row>
    <row r="38" spans="2:9" x14ac:dyDescent="0.25">
      <c r="B38" t="s">
        <v>26</v>
      </c>
      <c r="D38" t="s">
        <v>27</v>
      </c>
      <c r="G38" t="s">
        <v>46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topLeftCell="A10" zoomScaleNormal="100" workbookViewId="0">
      <selection activeCell="D8" sqref="D8"/>
    </sheetView>
  </sheetViews>
  <sheetFormatPr defaultRowHeight="15" x14ac:dyDescent="0.25"/>
  <cols>
    <col min="3" max="3" width="13" customWidth="1"/>
    <col min="9" max="9" width="10" bestFit="1" customWidth="1"/>
    <col min="11" max="11" width="11.85546875" customWidth="1"/>
  </cols>
  <sheetData>
    <row r="1" spans="1:11" x14ac:dyDescent="0.25">
      <c r="C1" s="1" t="s">
        <v>28</v>
      </c>
      <c r="D1" s="1"/>
      <c r="E1" s="1"/>
      <c r="F1" s="1"/>
    </row>
    <row r="2" spans="1:11" x14ac:dyDescent="0.25">
      <c r="B2" s="1"/>
      <c r="C2" s="1" t="s">
        <v>0</v>
      </c>
      <c r="D2" s="1"/>
      <c r="E2" s="1"/>
      <c r="F2" s="1"/>
      <c r="G2" s="1"/>
      <c r="H2" s="1"/>
    </row>
    <row r="3" spans="1:11" x14ac:dyDescent="0.25">
      <c r="B3" s="1"/>
      <c r="C3" s="1" t="s">
        <v>283</v>
      </c>
      <c r="D3" s="1"/>
      <c r="E3" s="1"/>
      <c r="F3" s="1"/>
      <c r="G3" s="1"/>
      <c r="H3" s="1"/>
    </row>
    <row r="4" spans="1:11" x14ac:dyDescent="0.25">
      <c r="A4" t="s">
        <v>110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</row>
    <row r="5" spans="1:11" x14ac:dyDescent="0.25">
      <c r="A5">
        <v>1</v>
      </c>
      <c r="B5" s="3" t="s">
        <v>82</v>
      </c>
      <c r="C5" s="3"/>
      <c r="D5" s="3">
        <f>'JANUARY 21'!H5:H23</f>
        <v>1500</v>
      </c>
      <c r="E5" s="3">
        <v>2500</v>
      </c>
      <c r="F5" s="3">
        <f>D5+E5</f>
        <v>4000</v>
      </c>
      <c r="G5" s="3">
        <v>1500</v>
      </c>
      <c r="H5" s="3">
        <f>F5-G5</f>
        <v>2500</v>
      </c>
    </row>
    <row r="6" spans="1:11" x14ac:dyDescent="0.25">
      <c r="A6">
        <v>2</v>
      </c>
      <c r="B6" s="29" t="s">
        <v>236</v>
      </c>
      <c r="C6" s="3"/>
      <c r="D6" s="3">
        <f>'JANUARY 21'!H6:H24</f>
        <v>7500</v>
      </c>
      <c r="E6" s="3"/>
      <c r="F6" s="3">
        <f t="shared" ref="F6:F23" si="0">D6+E6</f>
        <v>7500</v>
      </c>
      <c r="G6" s="3"/>
      <c r="H6" s="3">
        <f t="shared" ref="H6:H23" si="1">F6-G6</f>
        <v>7500</v>
      </c>
      <c r="I6" t="s">
        <v>262</v>
      </c>
    </row>
    <row r="7" spans="1:11" x14ac:dyDescent="0.25">
      <c r="A7">
        <v>3</v>
      </c>
      <c r="B7" s="56" t="s">
        <v>147</v>
      </c>
      <c r="C7" s="56"/>
      <c r="D7" s="3">
        <f>'JANUARY 21'!H7:H25</f>
        <v>3500</v>
      </c>
      <c r="E7" s="56">
        <v>2500</v>
      </c>
      <c r="F7" s="56">
        <f t="shared" si="0"/>
        <v>6000</v>
      </c>
      <c r="G7" s="56">
        <v>4000</v>
      </c>
      <c r="H7" s="56">
        <f>F7-G7</f>
        <v>2000</v>
      </c>
    </row>
    <row r="8" spans="1:11" x14ac:dyDescent="0.25">
      <c r="A8">
        <v>4</v>
      </c>
      <c r="B8" s="17" t="s">
        <v>30</v>
      </c>
      <c r="C8" s="3"/>
      <c r="D8" s="3">
        <f>'JANUARY 21'!H8:H26</f>
        <v>0</v>
      </c>
      <c r="E8" s="3"/>
      <c r="F8" s="3">
        <f>D8+E8</f>
        <v>0</v>
      </c>
      <c r="G8" s="3"/>
      <c r="H8" s="3">
        <f t="shared" si="1"/>
        <v>0</v>
      </c>
    </row>
    <row r="9" spans="1:11" x14ac:dyDescent="0.25">
      <c r="A9">
        <v>5</v>
      </c>
      <c r="B9" s="17" t="s">
        <v>30</v>
      </c>
      <c r="C9" s="3"/>
      <c r="D9" s="3">
        <f>'JANUARY 21'!H9:H27</f>
        <v>0</v>
      </c>
      <c r="E9" s="3"/>
      <c r="F9" s="3">
        <f>D9+E9</f>
        <v>0</v>
      </c>
      <c r="G9" s="3"/>
      <c r="H9" s="3">
        <f t="shared" si="1"/>
        <v>0</v>
      </c>
    </row>
    <row r="10" spans="1:11" x14ac:dyDescent="0.25">
      <c r="A10">
        <v>6</v>
      </c>
      <c r="B10" s="3" t="s">
        <v>273</v>
      </c>
      <c r="C10" s="3"/>
      <c r="D10" s="3">
        <f>'JANUARY 21'!H10:H28</f>
        <v>0</v>
      </c>
      <c r="E10" s="3">
        <v>2500</v>
      </c>
      <c r="F10" s="3">
        <f t="shared" si="0"/>
        <v>2500</v>
      </c>
      <c r="G10" s="3">
        <f>2200</f>
        <v>2200</v>
      </c>
      <c r="H10" s="3">
        <f>F10-G10</f>
        <v>300</v>
      </c>
      <c r="I10">
        <v>757691765</v>
      </c>
    </row>
    <row r="11" spans="1:11" x14ac:dyDescent="0.25">
      <c r="A11">
        <v>7</v>
      </c>
      <c r="B11" s="29" t="s">
        <v>289</v>
      </c>
      <c r="C11" s="3"/>
      <c r="D11" s="3">
        <f>'JANUARY 21'!H11:H29</f>
        <v>0</v>
      </c>
      <c r="E11" s="3">
        <v>2500</v>
      </c>
      <c r="F11" s="3">
        <f t="shared" si="0"/>
        <v>2500</v>
      </c>
      <c r="G11" s="3"/>
      <c r="H11" s="3">
        <f t="shared" si="1"/>
        <v>2500</v>
      </c>
    </row>
    <row r="12" spans="1:11" x14ac:dyDescent="0.25">
      <c r="A12">
        <v>8</v>
      </c>
      <c r="B12" s="17" t="s">
        <v>30</v>
      </c>
      <c r="C12" s="3"/>
      <c r="D12" s="3">
        <f>'JANUARY 21'!H12:H30</f>
        <v>0</v>
      </c>
      <c r="E12" s="3"/>
      <c r="F12" s="3">
        <f t="shared" si="0"/>
        <v>0</v>
      </c>
      <c r="G12" s="3"/>
      <c r="H12" s="3">
        <f>F12-G12</f>
        <v>0</v>
      </c>
    </row>
    <row r="13" spans="1:11" x14ac:dyDescent="0.25">
      <c r="A13">
        <v>9</v>
      </c>
      <c r="B13" s="17" t="s">
        <v>107</v>
      </c>
      <c r="C13" s="3"/>
      <c r="D13" s="3">
        <f>'JANUARY 21'!H13:H31</f>
        <v>3300</v>
      </c>
      <c r="E13" s="3"/>
      <c r="F13" s="3">
        <f t="shared" si="0"/>
        <v>3300</v>
      </c>
      <c r="G13" s="3">
        <f>500</f>
        <v>500</v>
      </c>
      <c r="H13" s="17">
        <f t="shared" si="1"/>
        <v>2800</v>
      </c>
      <c r="I13" t="s">
        <v>183</v>
      </c>
      <c r="K13">
        <f>2500+2500+2800</f>
        <v>7800</v>
      </c>
    </row>
    <row r="14" spans="1:11" x14ac:dyDescent="0.25">
      <c r="A14">
        <v>10</v>
      </c>
      <c r="B14" s="17" t="s">
        <v>30</v>
      </c>
      <c r="C14" s="3"/>
      <c r="D14" s="3">
        <f>'JANUARY 21'!H14:H32</f>
        <v>0</v>
      </c>
      <c r="E14" s="3"/>
      <c r="F14" s="3">
        <f t="shared" si="0"/>
        <v>0</v>
      </c>
      <c r="G14" s="3"/>
      <c r="H14" s="3">
        <f t="shared" si="1"/>
        <v>0</v>
      </c>
    </row>
    <row r="15" spans="1:11" x14ac:dyDescent="0.25">
      <c r="A15">
        <v>11</v>
      </c>
      <c r="B15" s="57" t="s">
        <v>148</v>
      </c>
      <c r="C15" s="57"/>
      <c r="D15" s="3">
        <f>'JANUARY 21'!H15:H33</f>
        <v>0</v>
      </c>
      <c r="E15" s="57">
        <v>2500</v>
      </c>
      <c r="F15" s="3">
        <f t="shared" si="0"/>
        <v>2500</v>
      </c>
      <c r="G15" s="57">
        <f>2500</f>
        <v>2500</v>
      </c>
      <c r="H15" s="3">
        <f>F15-G15</f>
        <v>0</v>
      </c>
      <c r="I15">
        <v>748037348</v>
      </c>
    </row>
    <row r="16" spans="1:11" x14ac:dyDescent="0.25">
      <c r="A16">
        <v>12</v>
      </c>
      <c r="B16" s="3" t="s">
        <v>37</v>
      </c>
      <c r="C16" s="3"/>
      <c r="D16" s="3">
        <f>'JANUARY 21'!H16:H34</f>
        <v>2200</v>
      </c>
      <c r="E16" s="3">
        <v>2500</v>
      </c>
      <c r="F16" s="3">
        <f t="shared" si="0"/>
        <v>4700</v>
      </c>
      <c r="G16" s="3">
        <f>1000+700+1300</f>
        <v>3000</v>
      </c>
      <c r="H16" s="3">
        <f t="shared" si="1"/>
        <v>1700</v>
      </c>
    </row>
    <row r="17" spans="1:15" x14ac:dyDescent="0.25">
      <c r="A17" s="6">
        <v>13</v>
      </c>
      <c r="B17" s="60" t="s">
        <v>99</v>
      </c>
      <c r="C17" s="60"/>
      <c r="D17" s="3">
        <f>'JANUARY 21'!H17:H35</f>
        <v>2000</v>
      </c>
      <c r="E17" s="57"/>
      <c r="F17" s="58">
        <f>D17+E17</f>
        <v>2000</v>
      </c>
      <c r="G17" s="58"/>
      <c r="H17" s="58">
        <f t="shared" si="1"/>
        <v>2000</v>
      </c>
      <c r="I17">
        <v>710784927</v>
      </c>
    </row>
    <row r="18" spans="1:15" x14ac:dyDescent="0.25">
      <c r="A18">
        <v>14</v>
      </c>
      <c r="B18" s="13" t="s">
        <v>123</v>
      </c>
      <c r="C18" s="13"/>
      <c r="D18" s="3">
        <f>'JANUARY 21'!H18:H36</f>
        <v>1800</v>
      </c>
      <c r="E18" s="13">
        <v>2500</v>
      </c>
      <c r="F18" s="3">
        <f t="shared" si="0"/>
        <v>4300</v>
      </c>
      <c r="G18" s="13">
        <f>1000+500</f>
        <v>1500</v>
      </c>
      <c r="H18" s="13">
        <f t="shared" si="1"/>
        <v>2800</v>
      </c>
    </row>
    <row r="19" spans="1:15" x14ac:dyDescent="0.25">
      <c r="A19" t="s">
        <v>233</v>
      </c>
      <c r="B19" s="3" t="s">
        <v>35</v>
      </c>
      <c r="C19" s="3"/>
      <c r="D19" s="3">
        <f>'JANUARY 21'!H19:H37</f>
        <v>4500</v>
      </c>
      <c r="E19" s="3">
        <v>4500</v>
      </c>
      <c r="F19" s="3">
        <f t="shared" si="0"/>
        <v>9000</v>
      </c>
      <c r="G19" s="13">
        <f>4000+5000</f>
        <v>9000</v>
      </c>
      <c r="H19" s="13">
        <f t="shared" si="1"/>
        <v>0</v>
      </c>
      <c r="O19">
        <f>2800+2500</f>
        <v>5300</v>
      </c>
    </row>
    <row r="20" spans="1:15" x14ac:dyDescent="0.25">
      <c r="A20">
        <v>17</v>
      </c>
      <c r="B20" s="13" t="s">
        <v>247</v>
      </c>
      <c r="C20" s="13"/>
      <c r="D20" s="3">
        <f>'JANUARY 21'!H20:H38</f>
        <v>500</v>
      </c>
      <c r="E20" s="13">
        <v>3000</v>
      </c>
      <c r="F20" s="3">
        <f>D20+E20</f>
        <v>3500</v>
      </c>
      <c r="G20" s="13">
        <f>1800+1700</f>
        <v>3500</v>
      </c>
      <c r="H20" s="13">
        <f>F20-G20</f>
        <v>0</v>
      </c>
      <c r="I20">
        <v>724258280</v>
      </c>
      <c r="O20">
        <v>2500</v>
      </c>
    </row>
    <row r="21" spans="1:15" x14ac:dyDescent="0.25">
      <c r="A21">
        <v>18</v>
      </c>
      <c r="B21" s="13" t="s">
        <v>275</v>
      </c>
      <c r="C21" s="13"/>
      <c r="D21" s="3">
        <f>'JANUARY 21'!H21:H39</f>
        <v>0</v>
      </c>
      <c r="E21" s="13">
        <v>3000</v>
      </c>
      <c r="F21" s="3">
        <f t="shared" si="0"/>
        <v>3000</v>
      </c>
      <c r="G21" s="13">
        <v>3000</v>
      </c>
      <c r="H21" s="13">
        <f t="shared" si="1"/>
        <v>0</v>
      </c>
      <c r="I21">
        <v>706015227</v>
      </c>
      <c r="O21">
        <f>O19+O20</f>
        <v>7800</v>
      </c>
    </row>
    <row r="22" spans="1:15" x14ac:dyDescent="0.25">
      <c r="A22">
        <v>19</v>
      </c>
      <c r="B22" s="3" t="s">
        <v>258</v>
      </c>
      <c r="C22" s="3"/>
      <c r="D22" s="3">
        <f>'JANUARY 21'!H22:H40</f>
        <v>0</v>
      </c>
      <c r="E22" s="3">
        <v>3000</v>
      </c>
      <c r="F22" s="3">
        <f t="shared" si="0"/>
        <v>3000</v>
      </c>
      <c r="G22" s="3">
        <f>3000</f>
        <v>3000</v>
      </c>
      <c r="H22" s="13">
        <f t="shared" si="1"/>
        <v>0</v>
      </c>
      <c r="K22" s="59" t="s">
        <v>281</v>
      </c>
      <c r="M22" s="6" t="s">
        <v>14</v>
      </c>
      <c r="N22" s="6" t="s">
        <v>9</v>
      </c>
    </row>
    <row r="23" spans="1:15" x14ac:dyDescent="0.25">
      <c r="A23">
        <v>20</v>
      </c>
      <c r="B23" s="3" t="s">
        <v>244</v>
      </c>
      <c r="C23" s="3"/>
      <c r="D23" s="3">
        <f>'JANUARY 21'!H23:H41</f>
        <v>2000</v>
      </c>
      <c r="E23" s="3">
        <v>3000</v>
      </c>
      <c r="F23" s="3">
        <f t="shared" si="0"/>
        <v>5000</v>
      </c>
      <c r="G23" s="3">
        <v>3000</v>
      </c>
      <c r="H23" s="13">
        <f t="shared" si="1"/>
        <v>2000</v>
      </c>
      <c r="I23" s="31" t="s">
        <v>279</v>
      </c>
      <c r="K23" s="31"/>
      <c r="L23" s="31"/>
    </row>
    <row r="24" spans="1:15" x14ac:dyDescent="0.25">
      <c r="B24" s="30" t="s">
        <v>64</v>
      </c>
      <c r="C24" s="30">
        <f t="shared" ref="C24" si="2">SUM(C5:C22)</f>
        <v>0</v>
      </c>
      <c r="D24" s="3">
        <f>SUM(D5:D23)</f>
        <v>28800</v>
      </c>
      <c r="E24" s="30">
        <f>SUM(E5:E23)</f>
        <v>34000</v>
      </c>
      <c r="F24" s="30">
        <f>SUM(F5:F23)</f>
        <v>62800</v>
      </c>
      <c r="G24" s="30">
        <f>SUM(G5:G23)</f>
        <v>36700</v>
      </c>
      <c r="H24" s="30">
        <f>SUM(H5:H23)</f>
        <v>26100</v>
      </c>
      <c r="I24">
        <v>5776</v>
      </c>
      <c r="K24" s="31" t="s">
        <v>268</v>
      </c>
      <c r="L24" s="31">
        <f>2500</f>
        <v>2500</v>
      </c>
      <c r="M24">
        <v>1500</v>
      </c>
      <c r="N24">
        <f>L24-M24</f>
        <v>1000</v>
      </c>
    </row>
    <row r="25" spans="1:15" x14ac:dyDescent="0.25">
      <c r="C25" s="34"/>
      <c r="D25" s="3"/>
      <c r="E25" s="33"/>
      <c r="F25" s="46"/>
      <c r="G25" s="10"/>
      <c r="H25" s="35"/>
      <c r="I25">
        <v>1950</v>
      </c>
      <c r="K25" s="48" t="s">
        <v>269</v>
      </c>
      <c r="L25" s="31">
        <v>5000</v>
      </c>
      <c r="M25">
        <v>0</v>
      </c>
      <c r="N25">
        <f>L25-M25</f>
        <v>5000</v>
      </c>
    </row>
    <row r="26" spans="1:15" x14ac:dyDescent="0.25">
      <c r="B26" s="36" t="s">
        <v>13</v>
      </c>
      <c r="C26" s="36"/>
      <c r="D26" s="36"/>
      <c r="E26" s="37"/>
      <c r="F26" s="36" t="s">
        <v>14</v>
      </c>
      <c r="G26" s="31"/>
      <c r="H26" s="31" t="s">
        <v>9</v>
      </c>
      <c r="I26" s="6">
        <f>I24-I25</f>
        <v>3826</v>
      </c>
      <c r="K26" s="48" t="s">
        <v>270</v>
      </c>
      <c r="L26" s="31">
        <v>3800</v>
      </c>
      <c r="M26">
        <v>0</v>
      </c>
      <c r="N26">
        <f t="shared" ref="N26" si="3">L26-M26</f>
        <v>3800</v>
      </c>
    </row>
    <row r="27" spans="1:15" x14ac:dyDescent="0.25">
      <c r="B27" s="30" t="s">
        <v>15</v>
      </c>
      <c r="C27" s="30" t="s">
        <v>16</v>
      </c>
      <c r="D27" s="30" t="s">
        <v>17</v>
      </c>
      <c r="E27" s="30" t="s">
        <v>18</v>
      </c>
      <c r="F27" s="30"/>
      <c r="G27" s="30"/>
      <c r="H27" s="30" t="s">
        <v>17</v>
      </c>
      <c r="I27" s="30" t="s">
        <v>18</v>
      </c>
      <c r="K27" s="48" t="s">
        <v>280</v>
      </c>
      <c r="L27" s="31">
        <v>3826</v>
      </c>
      <c r="M27">
        <v>0</v>
      </c>
      <c r="N27">
        <f>SUM(N24:N26)</f>
        <v>9800</v>
      </c>
    </row>
    <row r="28" spans="1:15" x14ac:dyDescent="0.25">
      <c r="B28" s="29" t="s">
        <v>137</v>
      </c>
      <c r="C28" s="38">
        <f>E24</f>
        <v>34000</v>
      </c>
      <c r="D28" s="29"/>
      <c r="E28" s="29"/>
      <c r="F28" s="29" t="s">
        <v>137</v>
      </c>
      <c r="G28" s="38">
        <f>G24</f>
        <v>36700</v>
      </c>
      <c r="H28" s="29"/>
      <c r="I28" s="29"/>
      <c r="K28" s="48" t="s">
        <v>282</v>
      </c>
      <c r="L28" s="31">
        <f>SUM(L24:L27)</f>
        <v>15126</v>
      </c>
      <c r="N28">
        <f>N27+I26</f>
        <v>13626</v>
      </c>
    </row>
    <row r="29" spans="1:15" x14ac:dyDescent="0.25">
      <c r="B29" s="29" t="s">
        <v>5</v>
      </c>
      <c r="C29" s="38">
        <f>'JANUARY 21'!E38</f>
        <v>-1500</v>
      </c>
      <c r="D29" s="29"/>
      <c r="E29" s="29"/>
      <c r="F29" s="29" t="s">
        <v>5</v>
      </c>
      <c r="G29" s="38">
        <f>'JANUARY 21'!I38</f>
        <v>-29300</v>
      </c>
      <c r="H29" s="29"/>
      <c r="I29" s="29"/>
      <c r="N29">
        <f>L28+H24</f>
        <v>41226</v>
      </c>
    </row>
    <row r="30" spans="1:15" x14ac:dyDescent="0.25">
      <c r="B30" s="29" t="s">
        <v>70</v>
      </c>
      <c r="C30" s="38"/>
      <c r="D30" s="29"/>
      <c r="E30" s="29"/>
      <c r="F30" s="29" t="s">
        <v>70</v>
      </c>
      <c r="G30" s="38"/>
      <c r="H30" s="29"/>
      <c r="I30" s="29"/>
    </row>
    <row r="31" spans="1:15" x14ac:dyDescent="0.25">
      <c r="B31" s="29" t="s">
        <v>20</v>
      </c>
      <c r="C31" s="39">
        <v>0.1</v>
      </c>
      <c r="D31" s="38">
        <f>C31*C28</f>
        <v>3400</v>
      </c>
      <c r="E31" s="29"/>
      <c r="F31" s="29" t="s">
        <v>20</v>
      </c>
      <c r="G31" s="39">
        <v>0.1</v>
      </c>
      <c r="H31" s="38">
        <f>G31*C28</f>
        <v>3400</v>
      </c>
      <c r="I31" s="29"/>
    </row>
    <row r="32" spans="1:15" x14ac:dyDescent="0.25">
      <c r="B32" s="30" t="s">
        <v>21</v>
      </c>
      <c r="C32" s="30" t="s">
        <v>22</v>
      </c>
      <c r="D32" s="30"/>
      <c r="E32" s="30"/>
      <c r="F32" s="30" t="s">
        <v>21</v>
      </c>
      <c r="G32" s="40"/>
      <c r="H32" s="30"/>
      <c r="I32" s="30"/>
    </row>
    <row r="33" spans="2:15" x14ac:dyDescent="0.25">
      <c r="B33" s="30" t="s">
        <v>284</v>
      </c>
      <c r="C33" s="30"/>
      <c r="D33" s="30">
        <v>500</v>
      </c>
      <c r="E33" s="30"/>
      <c r="F33" s="30" t="s">
        <v>284</v>
      </c>
      <c r="G33" s="30"/>
      <c r="H33" s="30">
        <v>500</v>
      </c>
      <c r="I33" s="30"/>
      <c r="L33" s="15"/>
      <c r="O33" s="15">
        <f>C28</f>
        <v>34000</v>
      </c>
    </row>
    <row r="34" spans="2:15" x14ac:dyDescent="0.25">
      <c r="B34" s="30" t="s">
        <v>285</v>
      </c>
      <c r="C34" s="30"/>
      <c r="D34" s="30">
        <v>28600</v>
      </c>
      <c r="E34" s="30"/>
      <c r="F34" s="30" t="s">
        <v>285</v>
      </c>
      <c r="G34" s="30"/>
      <c r="H34" s="30">
        <v>28600</v>
      </c>
      <c r="I34" s="30"/>
      <c r="O34" s="15">
        <f>D31</f>
        <v>3400</v>
      </c>
    </row>
    <row r="35" spans="2:15" x14ac:dyDescent="0.25">
      <c r="B35" s="30" t="s">
        <v>35</v>
      </c>
      <c r="C35" s="30"/>
      <c r="D35" s="30">
        <v>1000</v>
      </c>
      <c r="E35" s="30"/>
      <c r="F35" s="30" t="s">
        <v>35</v>
      </c>
      <c r="G35" s="30"/>
      <c r="H35" s="30">
        <v>1000</v>
      </c>
      <c r="I35" s="30"/>
      <c r="L35" s="15"/>
      <c r="O35" s="15">
        <f>O33-O34</f>
        <v>30600</v>
      </c>
    </row>
    <row r="36" spans="2:15" x14ac:dyDescent="0.25">
      <c r="B36" s="30" t="s">
        <v>286</v>
      </c>
      <c r="C36" s="30"/>
      <c r="D36" s="30">
        <f>2000+2000</f>
        <v>4000</v>
      </c>
      <c r="E36" s="30"/>
      <c r="F36" s="30" t="s">
        <v>286</v>
      </c>
      <c r="G36" s="30"/>
      <c r="H36" s="30">
        <f>2000+2000</f>
        <v>4000</v>
      </c>
      <c r="I36" s="30"/>
      <c r="K36" s="15"/>
      <c r="L36" s="15"/>
      <c r="N36" t="s">
        <v>107</v>
      </c>
      <c r="O36">
        <v>2000</v>
      </c>
    </row>
    <row r="37" spans="2:15" x14ac:dyDescent="0.25">
      <c r="B37" s="41" t="s">
        <v>287</v>
      </c>
      <c r="C37" s="29"/>
      <c r="D37" s="29">
        <v>3000</v>
      </c>
      <c r="E37" s="29"/>
      <c r="F37" s="41" t="s">
        <v>287</v>
      </c>
      <c r="G37" s="29"/>
      <c r="H37" s="29">
        <v>3000</v>
      </c>
      <c r="I37" s="29"/>
      <c r="O37" s="15">
        <f>O35-O36</f>
        <v>28600</v>
      </c>
    </row>
    <row r="38" spans="2:15" x14ac:dyDescent="0.25">
      <c r="B38" s="30" t="s">
        <v>11</v>
      </c>
      <c r="C38" s="40">
        <f>C28+C29+C30-D31</f>
        <v>29100</v>
      </c>
      <c r="D38" s="40">
        <f>SUM(D33:D37)</f>
        <v>37100</v>
      </c>
      <c r="E38" s="40">
        <f>C38-D38</f>
        <v>-8000</v>
      </c>
      <c r="F38" s="30" t="s">
        <v>11</v>
      </c>
      <c r="G38" s="40">
        <f>G28+G29+G30-H31</f>
        <v>4000</v>
      </c>
      <c r="H38" s="40">
        <f>SUM(H33:H37)</f>
        <v>37100</v>
      </c>
      <c r="I38" s="40">
        <f>G38-H38</f>
        <v>-33100</v>
      </c>
    </row>
    <row r="39" spans="2:15" x14ac:dyDescent="0.25">
      <c r="B39" s="31"/>
      <c r="C39" s="31"/>
      <c r="D39" s="31"/>
      <c r="E39" s="31"/>
      <c r="F39" s="31"/>
      <c r="G39" s="31"/>
      <c r="H39" s="31"/>
      <c r="I39" s="31"/>
      <c r="K39" s="15">
        <f>I38-E38</f>
        <v>-25100</v>
      </c>
    </row>
    <row r="40" spans="2:15" x14ac:dyDescent="0.25">
      <c r="B40" s="31" t="s">
        <v>23</v>
      </c>
      <c r="C40" s="31"/>
      <c r="D40" s="31" t="s">
        <v>24</v>
      </c>
      <c r="E40" s="31"/>
      <c r="F40" s="31"/>
      <c r="G40" s="31" t="s">
        <v>25</v>
      </c>
      <c r="H40" s="31"/>
      <c r="I40" s="31"/>
      <c r="K40" s="15"/>
    </row>
    <row r="41" spans="2:15" x14ac:dyDescent="0.25">
      <c r="B41" s="31"/>
      <c r="C41" s="31"/>
      <c r="D41" s="31"/>
      <c r="E41" s="31"/>
      <c r="F41" s="31"/>
      <c r="G41" s="31"/>
      <c r="H41" s="31"/>
      <c r="I41" s="31"/>
      <c r="K41" s="15"/>
    </row>
    <row r="42" spans="2:15" x14ac:dyDescent="0.25">
      <c r="B42" s="31" t="s">
        <v>108</v>
      </c>
      <c r="C42" s="31"/>
      <c r="D42" s="31" t="s">
        <v>27</v>
      </c>
      <c r="E42" s="31"/>
      <c r="F42" s="31"/>
      <c r="G42" s="31" t="s">
        <v>46</v>
      </c>
      <c r="H42" s="31"/>
      <c r="I42" s="48"/>
      <c r="K42" s="15"/>
    </row>
  </sheetData>
  <pageMargins left="0.7" right="0.7" top="0.75" bottom="0.75" header="0.3" footer="0.3"/>
  <pageSetup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topLeftCell="A13" workbookViewId="0">
      <selection activeCell="H25" sqref="H25"/>
    </sheetView>
  </sheetViews>
  <sheetFormatPr defaultRowHeight="15" x14ac:dyDescent="0.25"/>
  <cols>
    <col min="1" max="1" width="5.85546875" customWidth="1"/>
    <col min="2" max="2" width="16.42578125" customWidth="1"/>
    <col min="9" max="9" width="13" customWidth="1"/>
    <col min="11" max="11" width="14" customWidth="1"/>
  </cols>
  <sheetData>
    <row r="1" spans="1:9" x14ac:dyDescent="0.25">
      <c r="C1" s="1" t="s">
        <v>28</v>
      </c>
      <c r="D1" s="1"/>
      <c r="E1" s="1"/>
      <c r="F1" s="1"/>
    </row>
    <row r="2" spans="1:9" x14ac:dyDescent="0.25">
      <c r="B2" s="1"/>
      <c r="C2" s="1" t="s">
        <v>0</v>
      </c>
      <c r="D2" s="1"/>
      <c r="E2" s="1"/>
      <c r="F2" s="1"/>
      <c r="G2" s="1"/>
      <c r="H2" s="1"/>
    </row>
    <row r="3" spans="1:9" x14ac:dyDescent="0.25">
      <c r="B3" s="1"/>
      <c r="C3" s="1" t="s">
        <v>288</v>
      </c>
      <c r="D3" s="1"/>
      <c r="E3" s="1"/>
      <c r="F3" s="1"/>
      <c r="G3" s="1"/>
      <c r="H3" s="1"/>
    </row>
    <row r="4" spans="1:9" x14ac:dyDescent="0.25">
      <c r="A4" t="s">
        <v>110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</row>
    <row r="5" spans="1:9" x14ac:dyDescent="0.25">
      <c r="A5">
        <v>1</v>
      </c>
      <c r="B5" s="3" t="s">
        <v>82</v>
      </c>
      <c r="C5" s="3"/>
      <c r="D5" s="3">
        <f>'FEBRUARY 21'!H5:H23</f>
        <v>2500</v>
      </c>
      <c r="E5" s="3">
        <v>2500</v>
      </c>
      <c r="F5" s="3">
        <f t="shared" ref="F5:F23" si="0">D5+E5</f>
        <v>5000</v>
      </c>
      <c r="G5" s="3">
        <f>3500</f>
        <v>3500</v>
      </c>
      <c r="H5" s="3">
        <f>F5-G5</f>
        <v>1500</v>
      </c>
    </row>
    <row r="6" spans="1:9" x14ac:dyDescent="0.25">
      <c r="A6">
        <v>2</v>
      </c>
      <c r="B6" s="29" t="s">
        <v>236</v>
      </c>
      <c r="C6" s="3"/>
      <c r="D6" s="3">
        <f>'FEBRUARY 21'!H6:H24</f>
        <v>7500</v>
      </c>
      <c r="E6" s="3"/>
      <c r="F6" s="3">
        <f t="shared" si="0"/>
        <v>7500</v>
      </c>
      <c r="G6" s="3"/>
      <c r="H6" s="3">
        <f>F6-G6</f>
        <v>7500</v>
      </c>
      <c r="I6" t="s">
        <v>262</v>
      </c>
    </row>
    <row r="7" spans="1:9" x14ac:dyDescent="0.25">
      <c r="A7">
        <v>3</v>
      </c>
      <c r="B7" s="56" t="s">
        <v>147</v>
      </c>
      <c r="C7" s="56"/>
      <c r="D7" s="3">
        <f>'FEBRUARY 21'!H7:H25</f>
        <v>2000</v>
      </c>
      <c r="E7" s="56">
        <v>2500</v>
      </c>
      <c r="F7" s="56">
        <f t="shared" si="0"/>
        <v>4500</v>
      </c>
      <c r="G7" s="56"/>
      <c r="H7" s="56">
        <f t="shared" ref="H7:H23" si="1">F7-G7</f>
        <v>4500</v>
      </c>
    </row>
    <row r="8" spans="1:9" x14ac:dyDescent="0.25">
      <c r="A8">
        <v>4</v>
      </c>
      <c r="B8" s="17" t="s">
        <v>30</v>
      </c>
      <c r="C8" s="3"/>
      <c r="D8" s="3">
        <f>'FEBRUARY 21'!H8:H26</f>
        <v>0</v>
      </c>
      <c r="E8" s="3"/>
      <c r="F8" s="3">
        <f t="shared" si="0"/>
        <v>0</v>
      </c>
      <c r="G8" s="3"/>
      <c r="H8" s="3">
        <f t="shared" si="1"/>
        <v>0</v>
      </c>
    </row>
    <row r="9" spans="1:9" x14ac:dyDescent="0.25">
      <c r="A9">
        <v>5</v>
      </c>
      <c r="B9" s="17" t="s">
        <v>30</v>
      </c>
      <c r="C9" s="3"/>
      <c r="D9" s="3">
        <f>'FEBRUARY 21'!H9:H27</f>
        <v>0</v>
      </c>
      <c r="E9" s="3"/>
      <c r="F9" s="3">
        <f t="shared" si="0"/>
        <v>0</v>
      </c>
      <c r="G9" s="3"/>
      <c r="H9" s="3">
        <f t="shared" si="1"/>
        <v>0</v>
      </c>
    </row>
    <row r="10" spans="1:9" x14ac:dyDescent="0.25">
      <c r="A10">
        <v>6</v>
      </c>
      <c r="B10" s="3" t="s">
        <v>273</v>
      </c>
      <c r="C10" s="3"/>
      <c r="D10" s="3">
        <f>'FEBRUARY 21'!H10:H28</f>
        <v>300</v>
      </c>
      <c r="E10" s="3">
        <v>2500</v>
      </c>
      <c r="F10" s="3">
        <f t="shared" si="0"/>
        <v>2800</v>
      </c>
      <c r="G10" s="3">
        <v>2500</v>
      </c>
      <c r="H10" s="3">
        <f t="shared" si="1"/>
        <v>300</v>
      </c>
      <c r="I10">
        <v>757691765</v>
      </c>
    </row>
    <row r="11" spans="1:9" x14ac:dyDescent="0.25">
      <c r="A11">
        <v>7</v>
      </c>
      <c r="B11" s="29" t="s">
        <v>289</v>
      </c>
      <c r="C11" s="3"/>
      <c r="D11" s="3">
        <f>'FEBRUARY 21'!H11:H29</f>
        <v>2500</v>
      </c>
      <c r="E11" s="3">
        <v>2500</v>
      </c>
      <c r="F11" s="3">
        <f t="shared" si="0"/>
        <v>5000</v>
      </c>
      <c r="G11" s="3">
        <f>2000</f>
        <v>2000</v>
      </c>
      <c r="H11" s="3">
        <f t="shared" si="1"/>
        <v>3000</v>
      </c>
    </row>
    <row r="12" spans="1:9" x14ac:dyDescent="0.25">
      <c r="A12">
        <v>8</v>
      </c>
      <c r="B12" s="17" t="s">
        <v>30</v>
      </c>
      <c r="C12" s="3"/>
      <c r="D12" s="3">
        <f>'FEBRUARY 21'!H12:H30</f>
        <v>0</v>
      </c>
      <c r="E12" s="3"/>
      <c r="F12" s="3">
        <f t="shared" si="0"/>
        <v>0</v>
      </c>
      <c r="G12" s="3"/>
      <c r="H12" s="3">
        <f>F12-G12</f>
        <v>0</v>
      </c>
    </row>
    <row r="13" spans="1:9" x14ac:dyDescent="0.25">
      <c r="A13">
        <v>9</v>
      </c>
      <c r="B13" s="17" t="s">
        <v>107</v>
      </c>
      <c r="C13" s="3"/>
      <c r="D13" s="17">
        <f>'FEBRUARY 21'!H13:H31</f>
        <v>2800</v>
      </c>
      <c r="E13" s="3"/>
      <c r="F13" s="3">
        <f t="shared" si="0"/>
        <v>2800</v>
      </c>
      <c r="G13" s="3"/>
      <c r="H13" s="3">
        <f t="shared" si="1"/>
        <v>2800</v>
      </c>
      <c r="I13" t="s">
        <v>183</v>
      </c>
    </row>
    <row r="14" spans="1:9" x14ac:dyDescent="0.25">
      <c r="A14">
        <v>10</v>
      </c>
      <c r="B14" s="29" t="s">
        <v>290</v>
      </c>
      <c r="C14" s="3"/>
      <c r="D14" s="3">
        <f>'FEBRUARY 21'!H14:H32</f>
        <v>0</v>
      </c>
      <c r="E14" s="3">
        <v>2500</v>
      </c>
      <c r="F14" s="3">
        <f t="shared" si="0"/>
        <v>2500</v>
      </c>
      <c r="G14" s="3">
        <v>2500</v>
      </c>
      <c r="H14" s="3">
        <f t="shared" si="1"/>
        <v>0</v>
      </c>
    </row>
    <row r="15" spans="1:9" x14ac:dyDescent="0.25">
      <c r="A15">
        <v>11</v>
      </c>
      <c r="B15" s="57" t="s">
        <v>148</v>
      </c>
      <c r="C15" s="57"/>
      <c r="D15" s="3">
        <f>'FEBRUARY 21'!H15:H33</f>
        <v>0</v>
      </c>
      <c r="E15" s="57">
        <v>2500</v>
      </c>
      <c r="F15" s="3">
        <f t="shared" si="0"/>
        <v>2500</v>
      </c>
      <c r="G15" s="57">
        <f>2500</f>
        <v>2500</v>
      </c>
      <c r="H15" s="3">
        <f>F15-G15</f>
        <v>0</v>
      </c>
      <c r="I15">
        <v>748037348</v>
      </c>
    </row>
    <row r="16" spans="1:9" x14ac:dyDescent="0.25">
      <c r="A16">
        <v>12</v>
      </c>
      <c r="B16" s="3" t="s">
        <v>37</v>
      </c>
      <c r="C16" s="3"/>
      <c r="D16" s="3">
        <f>'FEBRUARY 21'!H16:H34</f>
        <v>1700</v>
      </c>
      <c r="E16" s="3">
        <v>2500</v>
      </c>
      <c r="F16" s="3">
        <f t="shared" si="0"/>
        <v>4200</v>
      </c>
      <c r="G16" s="3">
        <f>2000</f>
        <v>2000</v>
      </c>
      <c r="H16" s="3">
        <f>F16-G16</f>
        <v>2200</v>
      </c>
    </row>
    <row r="17" spans="1:15" x14ac:dyDescent="0.25">
      <c r="A17" s="6">
        <v>13</v>
      </c>
      <c r="B17" s="60" t="s">
        <v>99</v>
      </c>
      <c r="C17" s="60"/>
      <c r="D17" s="3">
        <f>'FEBRUARY 21'!H17:H35</f>
        <v>2000</v>
      </c>
      <c r="E17" s="57"/>
      <c r="F17" s="58">
        <f t="shared" si="0"/>
        <v>2000</v>
      </c>
      <c r="G17" s="58"/>
      <c r="H17" s="58">
        <f t="shared" si="1"/>
        <v>2000</v>
      </c>
      <c r="I17">
        <v>710784927</v>
      </c>
      <c r="O17">
        <f>7800-2500</f>
        <v>5300</v>
      </c>
    </row>
    <row r="18" spans="1:15" x14ac:dyDescent="0.25">
      <c r="A18">
        <v>14</v>
      </c>
      <c r="B18" s="13" t="s">
        <v>123</v>
      </c>
      <c r="C18" s="13"/>
      <c r="D18" s="3">
        <f>'FEBRUARY 21'!H18:H36</f>
        <v>2800</v>
      </c>
      <c r="E18" s="13">
        <v>2500</v>
      </c>
      <c r="F18" s="3">
        <f t="shared" si="0"/>
        <v>5300</v>
      </c>
      <c r="G18" s="13">
        <f>1000+1000+1000+500</f>
        <v>3500</v>
      </c>
      <c r="H18" s="13">
        <f t="shared" si="1"/>
        <v>1800</v>
      </c>
    </row>
    <row r="19" spans="1:15" x14ac:dyDescent="0.25">
      <c r="A19" t="s">
        <v>233</v>
      </c>
      <c r="B19" s="3" t="s">
        <v>35</v>
      </c>
      <c r="C19" s="3"/>
      <c r="D19" s="3">
        <f>'FEBRUARY 21'!H19:H37</f>
        <v>0</v>
      </c>
      <c r="E19" s="3">
        <v>4500</v>
      </c>
      <c r="F19" s="3">
        <f t="shared" si="0"/>
        <v>4500</v>
      </c>
      <c r="G19" s="13">
        <f>4000+500</f>
        <v>4500</v>
      </c>
      <c r="H19" s="13">
        <f t="shared" si="1"/>
        <v>0</v>
      </c>
    </row>
    <row r="20" spans="1:15" x14ac:dyDescent="0.25">
      <c r="A20">
        <v>17</v>
      </c>
      <c r="B20" s="13" t="s">
        <v>247</v>
      </c>
      <c r="C20" s="13"/>
      <c r="D20" s="3">
        <f>'FEBRUARY 21'!H20:H38</f>
        <v>0</v>
      </c>
      <c r="E20" s="13">
        <v>3000</v>
      </c>
      <c r="F20" s="3">
        <f t="shared" si="0"/>
        <v>3000</v>
      </c>
      <c r="G20" s="13">
        <f>2000</f>
        <v>2000</v>
      </c>
      <c r="H20" s="13">
        <f>F20-G20</f>
        <v>1000</v>
      </c>
      <c r="I20">
        <v>724258280</v>
      </c>
    </row>
    <row r="21" spans="1:15" x14ac:dyDescent="0.25">
      <c r="A21">
        <v>18</v>
      </c>
      <c r="B21" s="13" t="s">
        <v>275</v>
      </c>
      <c r="C21" s="13"/>
      <c r="D21" s="3">
        <f>'FEBRUARY 21'!H21:H39</f>
        <v>0</v>
      </c>
      <c r="E21" s="13">
        <v>3000</v>
      </c>
      <c r="F21" s="3">
        <f t="shared" si="0"/>
        <v>3000</v>
      </c>
      <c r="G21" s="13">
        <f>3000</f>
        <v>3000</v>
      </c>
      <c r="H21" s="13">
        <f t="shared" si="1"/>
        <v>0</v>
      </c>
      <c r="I21">
        <v>706015227</v>
      </c>
    </row>
    <row r="22" spans="1:15" x14ac:dyDescent="0.25">
      <c r="A22">
        <v>19</v>
      </c>
      <c r="B22" s="3" t="s">
        <v>258</v>
      </c>
      <c r="C22" s="3"/>
      <c r="D22" s="3">
        <f>'FEBRUARY 21'!H22:H40</f>
        <v>0</v>
      </c>
      <c r="E22" s="3">
        <v>3000</v>
      </c>
      <c r="F22" s="3">
        <f t="shared" si="0"/>
        <v>3000</v>
      </c>
      <c r="G22" s="3"/>
      <c r="H22" s="13">
        <f t="shared" si="1"/>
        <v>3000</v>
      </c>
      <c r="K22" s="59" t="s">
        <v>281</v>
      </c>
      <c r="M22" s="6" t="s">
        <v>14</v>
      </c>
      <c r="N22" s="6" t="s">
        <v>9</v>
      </c>
    </row>
    <row r="23" spans="1:15" x14ac:dyDescent="0.25">
      <c r="A23">
        <v>20</v>
      </c>
      <c r="B23" s="3" t="s">
        <v>244</v>
      </c>
      <c r="C23" s="3"/>
      <c r="D23" s="3">
        <f>'FEBRUARY 21'!H23:H41</f>
        <v>2000</v>
      </c>
      <c r="E23" s="3">
        <v>3000</v>
      </c>
      <c r="F23" s="3">
        <f t="shared" si="0"/>
        <v>5000</v>
      </c>
      <c r="G23" s="3">
        <f>2000</f>
        <v>2000</v>
      </c>
      <c r="H23" s="13">
        <f t="shared" si="1"/>
        <v>3000</v>
      </c>
      <c r="I23" s="31" t="s">
        <v>279</v>
      </c>
      <c r="K23" s="31"/>
      <c r="L23" s="31"/>
    </row>
    <row r="24" spans="1:15" x14ac:dyDescent="0.25">
      <c r="B24" s="30" t="s">
        <v>64</v>
      </c>
      <c r="C24" s="30">
        <f t="shared" ref="C24" si="2">SUM(C5:C22)</f>
        <v>0</v>
      </c>
      <c r="D24" s="3">
        <f>SUM(D5:D23)</f>
        <v>26100</v>
      </c>
      <c r="E24" s="30">
        <f>SUM(E5:E23)</f>
        <v>36500</v>
      </c>
      <c r="F24" s="30">
        <f>SUM(F5:F23)</f>
        <v>62600</v>
      </c>
      <c r="G24" s="30">
        <f>SUM(G5:G23)</f>
        <v>30000</v>
      </c>
      <c r="H24" s="30">
        <f>SUM(H5:H23)</f>
        <v>32600</v>
      </c>
      <c r="I24">
        <v>5776</v>
      </c>
      <c r="K24" s="31" t="s">
        <v>268</v>
      </c>
      <c r="L24" s="31">
        <f>2500</f>
        <v>2500</v>
      </c>
      <c r="M24">
        <v>1500</v>
      </c>
      <c r="N24">
        <f>L24-M24</f>
        <v>1000</v>
      </c>
    </row>
    <row r="25" spans="1:15" x14ac:dyDescent="0.25">
      <c r="C25" s="34"/>
      <c r="D25" s="3"/>
      <c r="E25" s="33"/>
      <c r="F25" s="46"/>
      <c r="G25" s="10"/>
      <c r="H25" s="35"/>
      <c r="I25">
        <v>1950</v>
      </c>
      <c r="K25" s="48" t="s">
        <v>269</v>
      </c>
      <c r="L25" s="31">
        <v>5000</v>
      </c>
      <c r="M25">
        <v>0</v>
      </c>
      <c r="N25">
        <f>L25-M25</f>
        <v>5000</v>
      </c>
    </row>
    <row r="26" spans="1:15" x14ac:dyDescent="0.25">
      <c r="B26" s="36" t="s">
        <v>13</v>
      </c>
      <c r="C26" s="36"/>
      <c r="D26" s="36"/>
      <c r="E26" s="37"/>
      <c r="F26" s="36" t="s">
        <v>14</v>
      </c>
      <c r="G26" s="31"/>
      <c r="H26" s="31" t="s">
        <v>9</v>
      </c>
      <c r="I26" s="6">
        <f>I24-I25</f>
        <v>3826</v>
      </c>
      <c r="K26" s="48" t="s">
        <v>270</v>
      </c>
      <c r="L26" s="31">
        <v>3800</v>
      </c>
      <c r="M26">
        <v>0</v>
      </c>
      <c r="N26">
        <f t="shared" ref="N26:N28" si="3">L26-M26</f>
        <v>3800</v>
      </c>
    </row>
    <row r="27" spans="1:15" x14ac:dyDescent="0.25">
      <c r="B27" s="30" t="s">
        <v>15</v>
      </c>
      <c r="C27" s="30" t="s">
        <v>16</v>
      </c>
      <c r="D27" s="30" t="s">
        <v>17</v>
      </c>
      <c r="E27" s="30" t="s">
        <v>18</v>
      </c>
      <c r="F27" s="30"/>
      <c r="G27" s="30"/>
      <c r="H27" s="30" t="s">
        <v>17</v>
      </c>
      <c r="I27" s="30" t="s">
        <v>18</v>
      </c>
      <c r="K27" s="48" t="s">
        <v>280</v>
      </c>
      <c r="L27" s="31">
        <v>3826</v>
      </c>
      <c r="M27">
        <v>0</v>
      </c>
      <c r="N27">
        <f t="shared" si="3"/>
        <v>3826</v>
      </c>
    </row>
    <row r="28" spans="1:15" x14ac:dyDescent="0.25">
      <c r="B28" s="29" t="s">
        <v>74</v>
      </c>
      <c r="C28" s="38">
        <f>E24</f>
        <v>36500</v>
      </c>
      <c r="D28" s="29"/>
      <c r="E28" s="29"/>
      <c r="F28" s="29" t="s">
        <v>74</v>
      </c>
      <c r="G28" s="38">
        <f>G24</f>
        <v>30000</v>
      </c>
      <c r="H28" s="29"/>
      <c r="I28" s="29"/>
      <c r="K28" s="48" t="s">
        <v>298</v>
      </c>
      <c r="L28" s="31">
        <v>2000</v>
      </c>
      <c r="M28">
        <v>0</v>
      </c>
      <c r="N28">
        <f t="shared" si="3"/>
        <v>2000</v>
      </c>
    </row>
    <row r="29" spans="1:15" x14ac:dyDescent="0.25">
      <c r="B29" s="29" t="s">
        <v>5</v>
      </c>
      <c r="C29" s="38">
        <f>'FEBRUARY 21'!E38</f>
        <v>-8000</v>
      </c>
      <c r="D29" s="29"/>
      <c r="E29" s="29"/>
      <c r="F29" s="29" t="s">
        <v>5</v>
      </c>
      <c r="G29" s="38">
        <f>'FEBRUARY 21'!I38</f>
        <v>-33100</v>
      </c>
      <c r="H29" s="29"/>
      <c r="I29" s="29"/>
      <c r="K29" s="48" t="s">
        <v>282</v>
      </c>
      <c r="L29" s="31">
        <f>SUM(L24:L28)</f>
        <v>17126</v>
      </c>
      <c r="N29">
        <f>SUM(N24:N28)</f>
        <v>15626</v>
      </c>
    </row>
    <row r="30" spans="1:15" x14ac:dyDescent="0.25">
      <c r="B30" s="29" t="s">
        <v>70</v>
      </c>
      <c r="C30" s="38"/>
      <c r="D30" s="29"/>
      <c r="E30" s="29"/>
      <c r="F30" s="29" t="s">
        <v>70</v>
      </c>
      <c r="G30" s="38"/>
      <c r="H30" s="29"/>
      <c r="I30" s="29"/>
    </row>
    <row r="31" spans="1:15" x14ac:dyDescent="0.25">
      <c r="B31" s="29" t="s">
        <v>20</v>
      </c>
      <c r="C31" s="39">
        <v>0.1</v>
      </c>
      <c r="D31" s="38">
        <f>C31*C28</f>
        <v>3650</v>
      </c>
      <c r="E31" s="29"/>
      <c r="F31" s="29" t="s">
        <v>20</v>
      </c>
      <c r="G31" s="39">
        <v>0.1</v>
      </c>
      <c r="H31" s="38">
        <f>G31*C28</f>
        <v>3650</v>
      </c>
      <c r="I31" s="29"/>
    </row>
    <row r="32" spans="1:15" x14ac:dyDescent="0.25">
      <c r="B32" s="30" t="s">
        <v>21</v>
      </c>
      <c r="C32" s="30" t="s">
        <v>22</v>
      </c>
      <c r="D32" s="30"/>
      <c r="E32" s="30"/>
      <c r="F32" s="30" t="s">
        <v>21</v>
      </c>
      <c r="G32" s="40"/>
      <c r="H32" s="30"/>
      <c r="I32" s="30"/>
    </row>
    <row r="33" spans="2:18" x14ac:dyDescent="0.25">
      <c r="B33" s="30" t="s">
        <v>292</v>
      </c>
      <c r="C33" s="30"/>
      <c r="D33" s="30">
        <f>24850-150</f>
        <v>24700</v>
      </c>
      <c r="E33" s="30"/>
      <c r="F33" s="30" t="s">
        <v>292</v>
      </c>
      <c r="G33" s="30"/>
      <c r="H33" s="30">
        <f>D33</f>
        <v>24700</v>
      </c>
      <c r="I33" s="30"/>
      <c r="J33" s="15"/>
      <c r="L33" s="15"/>
      <c r="O33" s="15"/>
      <c r="R33">
        <f>3500/30</f>
        <v>116.66666666666667</v>
      </c>
    </row>
    <row r="34" spans="2:18" x14ac:dyDescent="0.25">
      <c r="B34" s="30"/>
      <c r="C34" s="30"/>
      <c r="D34" s="30"/>
      <c r="E34" s="30"/>
      <c r="F34" s="30"/>
      <c r="G34" s="30"/>
      <c r="H34" s="30"/>
      <c r="I34" s="30"/>
      <c r="K34" t="s">
        <v>248</v>
      </c>
      <c r="O34" s="15">
        <v>36500</v>
      </c>
      <c r="R34">
        <f>R33*10</f>
        <v>1166.6666666666667</v>
      </c>
    </row>
    <row r="35" spans="2:18" x14ac:dyDescent="0.25">
      <c r="B35" s="30" t="s">
        <v>293</v>
      </c>
      <c r="C35" s="30"/>
      <c r="D35" s="30">
        <v>2500</v>
      </c>
      <c r="E35" s="30"/>
      <c r="F35" s="30" t="s">
        <v>293</v>
      </c>
      <c r="G35" s="30"/>
      <c r="H35" s="30">
        <v>2500</v>
      </c>
      <c r="I35" s="30"/>
      <c r="K35" t="s">
        <v>296</v>
      </c>
      <c r="L35" s="15"/>
      <c r="N35" t="s">
        <v>20</v>
      </c>
      <c r="O35" s="15">
        <f>D31</f>
        <v>3650</v>
      </c>
    </row>
    <row r="36" spans="2:18" x14ac:dyDescent="0.25">
      <c r="B36" s="30" t="s">
        <v>295</v>
      </c>
      <c r="C36" s="30"/>
      <c r="D36" s="30">
        <v>2500</v>
      </c>
      <c r="E36" s="30"/>
      <c r="F36" s="30" t="s">
        <v>295</v>
      </c>
      <c r="G36" s="30"/>
      <c r="H36" s="30">
        <v>2500</v>
      </c>
      <c r="I36" s="30"/>
      <c r="K36" s="15" t="s">
        <v>297</v>
      </c>
      <c r="L36" s="15"/>
      <c r="O36" s="15">
        <f>O34-O35</f>
        <v>32850</v>
      </c>
    </row>
    <row r="37" spans="2:18" x14ac:dyDescent="0.25">
      <c r="B37" s="41" t="s">
        <v>201</v>
      </c>
      <c r="C37" s="29"/>
      <c r="D37" s="29">
        <v>500</v>
      </c>
      <c r="E37" s="30"/>
      <c r="F37" s="41" t="s">
        <v>201</v>
      </c>
      <c r="G37" s="29"/>
      <c r="H37" s="29">
        <v>500</v>
      </c>
      <c r="I37" s="30"/>
      <c r="K37" s="15"/>
      <c r="L37" s="15"/>
      <c r="O37" s="15"/>
    </row>
    <row r="38" spans="2:18" x14ac:dyDescent="0.25">
      <c r="B38" s="30"/>
      <c r="C38" s="30"/>
      <c r="D38" s="30"/>
      <c r="E38" s="30"/>
      <c r="F38" s="30"/>
      <c r="G38" s="30"/>
      <c r="H38" s="30"/>
      <c r="I38" s="30"/>
      <c r="K38" s="15"/>
      <c r="L38" s="15"/>
      <c r="O38" s="15"/>
    </row>
    <row r="39" spans="2:18" x14ac:dyDescent="0.25">
      <c r="B39" s="41"/>
      <c r="C39" s="29"/>
      <c r="D39" s="29"/>
      <c r="E39" s="29"/>
      <c r="F39" s="41"/>
      <c r="G39" s="29"/>
      <c r="H39" s="29"/>
      <c r="I39" s="29"/>
      <c r="N39" t="s">
        <v>291</v>
      </c>
      <c r="O39" s="15">
        <v>8000</v>
      </c>
    </row>
    <row r="40" spans="2:18" x14ac:dyDescent="0.25">
      <c r="B40" s="30" t="s">
        <v>11</v>
      </c>
      <c r="C40" s="40">
        <f>C28+C29+C30-D31</f>
        <v>24850</v>
      </c>
      <c r="D40" s="40">
        <f>SUM(D33:D39)</f>
        <v>30200</v>
      </c>
      <c r="E40" s="40">
        <f>C40-D40</f>
        <v>-5350</v>
      </c>
      <c r="F40" s="30" t="s">
        <v>11</v>
      </c>
      <c r="G40" s="40">
        <f>G28+G29+G30-H31</f>
        <v>-6750</v>
      </c>
      <c r="H40" s="40">
        <f>SUM(H33:H39)</f>
        <v>30200</v>
      </c>
      <c r="I40" s="40">
        <f>G40-H40</f>
        <v>-36950</v>
      </c>
      <c r="O40" s="15">
        <f>O36-O39</f>
        <v>24850</v>
      </c>
    </row>
    <row r="41" spans="2:18" x14ac:dyDescent="0.25">
      <c r="B41" s="31"/>
      <c r="C41" s="31"/>
      <c r="D41" s="31"/>
      <c r="E41" s="31"/>
      <c r="F41" s="31"/>
      <c r="G41" s="31"/>
      <c r="H41" s="31"/>
      <c r="I41" s="31"/>
      <c r="K41" s="15"/>
      <c r="Q41">
        <f>106.9-104.4</f>
        <v>2.5</v>
      </c>
    </row>
    <row r="42" spans="2:18" x14ac:dyDescent="0.25">
      <c r="B42" s="31" t="s">
        <v>23</v>
      </c>
      <c r="C42" s="31"/>
      <c r="D42" s="31" t="s">
        <v>24</v>
      </c>
      <c r="E42" s="31"/>
      <c r="F42" s="31"/>
      <c r="G42" s="31" t="s">
        <v>25</v>
      </c>
      <c r="H42" s="31"/>
      <c r="I42" s="48">
        <f>E40-I40</f>
        <v>31600</v>
      </c>
      <c r="K42" s="15"/>
      <c r="M42" s="15">
        <f>O40-24000-200</f>
        <v>650</v>
      </c>
      <c r="Q42">
        <f>Q41*170</f>
        <v>425</v>
      </c>
    </row>
    <row r="43" spans="2:18" x14ac:dyDescent="0.25">
      <c r="B43" s="31"/>
      <c r="C43" s="31"/>
      <c r="D43" s="31"/>
      <c r="E43" s="31"/>
      <c r="F43" s="31"/>
      <c r="G43" s="31"/>
      <c r="H43" s="31"/>
      <c r="I43" s="31"/>
      <c r="K43" s="15"/>
    </row>
    <row r="44" spans="2:18" x14ac:dyDescent="0.25">
      <c r="B44" s="31" t="s">
        <v>108</v>
      </c>
      <c r="C44" s="31"/>
      <c r="D44" s="31" t="s">
        <v>27</v>
      </c>
      <c r="E44" s="31"/>
      <c r="F44" s="31"/>
      <c r="G44" s="31" t="s">
        <v>46</v>
      </c>
      <c r="H44" s="31"/>
      <c r="I44" s="48"/>
      <c r="K44" s="15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zoomScale="106" zoomScaleNormal="106" workbookViewId="0">
      <selection activeCell="H7" sqref="H7"/>
    </sheetView>
  </sheetViews>
  <sheetFormatPr defaultRowHeight="15" x14ac:dyDescent="0.25"/>
  <cols>
    <col min="3" max="3" width="26.5703125" customWidth="1"/>
    <col min="8" max="8" width="10" customWidth="1"/>
    <col min="9" max="9" width="11.42578125" customWidth="1"/>
    <col min="12" max="12" width="12.28515625" customWidth="1"/>
  </cols>
  <sheetData>
    <row r="1" spans="1:9" x14ac:dyDescent="0.25">
      <c r="C1" s="1" t="s">
        <v>28</v>
      </c>
      <c r="D1" s="1"/>
      <c r="E1" s="1"/>
      <c r="F1" s="1"/>
    </row>
    <row r="2" spans="1:9" x14ac:dyDescent="0.25">
      <c r="B2" s="1"/>
      <c r="C2" s="1" t="s">
        <v>0</v>
      </c>
      <c r="D2" s="1"/>
      <c r="E2" s="1"/>
      <c r="F2" s="1"/>
      <c r="G2" s="1"/>
      <c r="H2" s="1"/>
    </row>
    <row r="3" spans="1:9" x14ac:dyDescent="0.25">
      <c r="B3" s="1"/>
      <c r="C3" s="1" t="s">
        <v>294</v>
      </c>
      <c r="D3" s="1"/>
      <c r="E3" s="1"/>
      <c r="F3" s="1"/>
      <c r="G3" s="1"/>
      <c r="H3" s="1"/>
    </row>
    <row r="4" spans="1:9" x14ac:dyDescent="0.25">
      <c r="A4" t="s">
        <v>110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</row>
    <row r="5" spans="1:9" x14ac:dyDescent="0.25">
      <c r="A5">
        <v>1</v>
      </c>
      <c r="B5" s="3" t="s">
        <v>82</v>
      </c>
      <c r="C5" s="3"/>
      <c r="D5" s="3">
        <f>'MARCH 21'!H5:H25</f>
        <v>1500</v>
      </c>
      <c r="E5" s="3">
        <v>2500</v>
      </c>
      <c r="F5" s="3">
        <f t="shared" ref="F5:F23" si="0">D5+E5</f>
        <v>4000</v>
      </c>
      <c r="G5" s="3"/>
      <c r="H5" s="3">
        <f>F5-G5</f>
        <v>4000</v>
      </c>
    </row>
    <row r="6" spans="1:9" x14ac:dyDescent="0.25">
      <c r="A6">
        <v>2</v>
      </c>
      <c r="B6" s="29" t="s">
        <v>236</v>
      </c>
      <c r="C6" s="3"/>
      <c r="D6" s="3">
        <f>'MARCH 21'!H6:H26</f>
        <v>7500</v>
      </c>
      <c r="E6" s="3"/>
      <c r="F6" s="3">
        <f t="shared" si="0"/>
        <v>7500</v>
      </c>
      <c r="G6" s="3"/>
      <c r="H6" s="3">
        <f>F6-G6</f>
        <v>7500</v>
      </c>
      <c r="I6" t="s">
        <v>262</v>
      </c>
    </row>
    <row r="7" spans="1:9" x14ac:dyDescent="0.25">
      <c r="A7">
        <v>3</v>
      </c>
      <c r="B7" s="56" t="s">
        <v>147</v>
      </c>
      <c r="C7" s="56"/>
      <c r="D7" s="3">
        <f>'MARCH 21'!H7:H27</f>
        <v>4500</v>
      </c>
      <c r="E7" s="56">
        <v>2500</v>
      </c>
      <c r="F7" s="56">
        <f t="shared" si="0"/>
        <v>7000</v>
      </c>
      <c r="G7" s="56">
        <v>2000</v>
      </c>
      <c r="H7" s="56">
        <f t="shared" ref="H7:H22" si="1">F7-G7</f>
        <v>5000</v>
      </c>
    </row>
    <row r="8" spans="1:9" x14ac:dyDescent="0.25">
      <c r="A8">
        <v>4</v>
      </c>
      <c r="B8" s="17" t="s">
        <v>30</v>
      </c>
      <c r="C8" s="3"/>
      <c r="D8" s="3">
        <f>'MARCH 21'!H8:H28</f>
        <v>0</v>
      </c>
      <c r="E8" s="3"/>
      <c r="F8" s="3">
        <f t="shared" si="0"/>
        <v>0</v>
      </c>
      <c r="G8" s="3"/>
      <c r="H8" s="3">
        <f t="shared" si="1"/>
        <v>0</v>
      </c>
    </row>
    <row r="9" spans="1:9" x14ac:dyDescent="0.25">
      <c r="A9">
        <v>5</v>
      </c>
      <c r="B9" s="17" t="s">
        <v>30</v>
      </c>
      <c r="C9" s="3"/>
      <c r="D9" s="3">
        <f>'MARCH 21'!H9:H29</f>
        <v>0</v>
      </c>
      <c r="E9" s="3"/>
      <c r="F9" s="3">
        <f t="shared" si="0"/>
        <v>0</v>
      </c>
      <c r="G9" s="3"/>
      <c r="H9" s="3">
        <f t="shared" si="1"/>
        <v>0</v>
      </c>
    </row>
    <row r="10" spans="1:9" x14ac:dyDescent="0.25">
      <c r="A10">
        <v>6</v>
      </c>
      <c r="B10" s="3" t="s">
        <v>273</v>
      </c>
      <c r="C10" s="3"/>
      <c r="D10" s="3">
        <f>'MARCH 21'!H10:H30</f>
        <v>300</v>
      </c>
      <c r="E10" s="3">
        <v>2500</v>
      </c>
      <c r="F10" s="3">
        <f t="shared" si="0"/>
        <v>2800</v>
      </c>
      <c r="G10" s="3">
        <f>2500</f>
        <v>2500</v>
      </c>
      <c r="H10" s="3">
        <f t="shared" si="1"/>
        <v>300</v>
      </c>
      <c r="I10">
        <v>757691765</v>
      </c>
    </row>
    <row r="11" spans="1:9" x14ac:dyDescent="0.25">
      <c r="A11">
        <v>7</v>
      </c>
      <c r="B11" s="29" t="s">
        <v>289</v>
      </c>
      <c r="C11" s="3"/>
      <c r="D11" s="3">
        <f>'MARCH 21'!H11:H31</f>
        <v>3000</v>
      </c>
      <c r="E11" s="3">
        <v>2500</v>
      </c>
      <c r="F11" s="3">
        <f t="shared" si="0"/>
        <v>5500</v>
      </c>
      <c r="G11" s="3">
        <f>3000</f>
        <v>3000</v>
      </c>
      <c r="H11" s="3">
        <f t="shared" si="1"/>
        <v>2500</v>
      </c>
    </row>
    <row r="12" spans="1:9" x14ac:dyDescent="0.25">
      <c r="A12">
        <v>8</v>
      </c>
      <c r="B12" s="17" t="s">
        <v>30</v>
      </c>
      <c r="C12" s="3"/>
      <c r="D12" s="3">
        <f>'MARCH 21'!H12:H32</f>
        <v>0</v>
      </c>
      <c r="E12" s="3"/>
      <c r="F12" s="3">
        <f t="shared" si="0"/>
        <v>0</v>
      </c>
      <c r="G12" s="3"/>
      <c r="H12" s="3">
        <f>F12-G12</f>
        <v>0</v>
      </c>
    </row>
    <row r="13" spans="1:9" x14ac:dyDescent="0.25">
      <c r="A13">
        <v>9</v>
      </c>
      <c r="B13" s="17" t="s">
        <v>107</v>
      </c>
      <c r="C13" s="3"/>
      <c r="D13" s="3">
        <f>'MARCH 21'!H13:H33</f>
        <v>2800</v>
      </c>
      <c r="E13" s="3"/>
      <c r="F13" s="3">
        <f t="shared" si="0"/>
        <v>2800</v>
      </c>
      <c r="G13" s="3">
        <f>2500</f>
        <v>2500</v>
      </c>
      <c r="H13" s="3">
        <f t="shared" si="1"/>
        <v>300</v>
      </c>
    </row>
    <row r="14" spans="1:9" x14ac:dyDescent="0.25">
      <c r="A14">
        <v>10</v>
      </c>
      <c r="B14" s="29" t="s">
        <v>290</v>
      </c>
      <c r="C14" s="3"/>
      <c r="D14" s="3">
        <f>'MARCH 21'!H14:H34</f>
        <v>0</v>
      </c>
      <c r="E14" s="3">
        <v>2500</v>
      </c>
      <c r="F14" s="3">
        <f t="shared" si="0"/>
        <v>2500</v>
      </c>
      <c r="G14" s="3">
        <v>2500</v>
      </c>
      <c r="H14" s="3">
        <f t="shared" si="1"/>
        <v>0</v>
      </c>
    </row>
    <row r="15" spans="1:9" x14ac:dyDescent="0.25">
      <c r="A15">
        <v>11</v>
      </c>
      <c r="B15" s="57" t="s">
        <v>148</v>
      </c>
      <c r="C15" s="57"/>
      <c r="D15" s="3">
        <f>'MARCH 21'!H15:H35</f>
        <v>0</v>
      </c>
      <c r="E15" s="57">
        <v>2500</v>
      </c>
      <c r="F15" s="3">
        <f t="shared" si="0"/>
        <v>2500</v>
      </c>
      <c r="G15" s="57">
        <f>2500</f>
        <v>2500</v>
      </c>
      <c r="H15" s="3">
        <f>F15-G15</f>
        <v>0</v>
      </c>
      <c r="I15">
        <v>748037348</v>
      </c>
    </row>
    <row r="16" spans="1:9" x14ac:dyDescent="0.25">
      <c r="A16">
        <v>12</v>
      </c>
      <c r="B16" s="3" t="s">
        <v>37</v>
      </c>
      <c r="C16" s="3"/>
      <c r="D16" s="3">
        <f>'MARCH 21'!H16:H36</f>
        <v>2200</v>
      </c>
      <c r="E16" s="3">
        <v>2500</v>
      </c>
      <c r="F16" s="3">
        <f t="shared" si="0"/>
        <v>4700</v>
      </c>
      <c r="G16" s="3"/>
      <c r="H16" s="3">
        <f t="shared" si="1"/>
        <v>4700</v>
      </c>
    </row>
    <row r="17" spans="1:15" x14ac:dyDescent="0.25">
      <c r="A17" s="6">
        <v>13</v>
      </c>
      <c r="B17" s="60" t="s">
        <v>30</v>
      </c>
      <c r="C17" s="60"/>
      <c r="D17" s="3"/>
      <c r="E17" s="57"/>
      <c r="F17" s="58">
        <f t="shared" si="0"/>
        <v>0</v>
      </c>
      <c r="G17" s="58"/>
      <c r="H17" s="58">
        <f t="shared" si="1"/>
        <v>0</v>
      </c>
      <c r="I17">
        <v>710784927</v>
      </c>
    </row>
    <row r="18" spans="1:15" x14ac:dyDescent="0.25">
      <c r="A18">
        <v>14</v>
      </c>
      <c r="B18" s="13" t="s">
        <v>123</v>
      </c>
      <c r="C18" s="13"/>
      <c r="D18" s="3">
        <f>'MARCH 21'!H18:H40</f>
        <v>1800</v>
      </c>
      <c r="E18" s="13">
        <v>2500</v>
      </c>
      <c r="F18" s="3">
        <f t="shared" si="0"/>
        <v>4300</v>
      </c>
      <c r="G18" s="13">
        <f>1000+1000+500</f>
        <v>2500</v>
      </c>
      <c r="H18" s="13">
        <f t="shared" si="1"/>
        <v>1800</v>
      </c>
    </row>
    <row r="19" spans="1:15" x14ac:dyDescent="0.25">
      <c r="A19" t="s">
        <v>233</v>
      </c>
      <c r="B19" s="3" t="s">
        <v>35</v>
      </c>
      <c r="C19" s="3"/>
      <c r="D19" s="3">
        <f>'MARCH 21'!H19:H41</f>
        <v>0</v>
      </c>
      <c r="E19" s="3">
        <v>4500</v>
      </c>
      <c r="F19" s="3">
        <f t="shared" si="0"/>
        <v>4500</v>
      </c>
      <c r="G19" s="13">
        <v>4500</v>
      </c>
      <c r="H19" s="13">
        <f t="shared" si="1"/>
        <v>0</v>
      </c>
    </row>
    <row r="20" spans="1:15" x14ac:dyDescent="0.25">
      <c r="A20">
        <v>17</v>
      </c>
      <c r="B20" s="13" t="s">
        <v>247</v>
      </c>
      <c r="C20" s="13"/>
      <c r="D20" s="3">
        <f>'MARCH 21'!H20:H42</f>
        <v>1000</v>
      </c>
      <c r="E20" s="13">
        <v>3000</v>
      </c>
      <c r="F20" s="3">
        <f t="shared" si="0"/>
        <v>4000</v>
      </c>
      <c r="G20" s="13">
        <f>1000+1300+500</f>
        <v>2800</v>
      </c>
      <c r="H20" s="13">
        <f>F20-G20</f>
        <v>1200</v>
      </c>
      <c r="I20">
        <v>724258280</v>
      </c>
    </row>
    <row r="21" spans="1:15" x14ac:dyDescent="0.25">
      <c r="A21">
        <v>18</v>
      </c>
      <c r="B21" s="13" t="s">
        <v>275</v>
      </c>
      <c r="C21" s="13"/>
      <c r="D21" s="3">
        <f>'MARCH 21'!H21:H43</f>
        <v>0</v>
      </c>
      <c r="E21" s="13">
        <v>3000</v>
      </c>
      <c r="F21" s="3">
        <f t="shared" si="0"/>
        <v>3000</v>
      </c>
      <c r="G21" s="13">
        <f>3000</f>
        <v>3000</v>
      </c>
      <c r="H21" s="13">
        <f t="shared" si="1"/>
        <v>0</v>
      </c>
      <c r="I21">
        <v>706015227</v>
      </c>
      <c r="L21">
        <f>4700+7500</f>
        <v>12200</v>
      </c>
    </row>
    <row r="22" spans="1:15" x14ac:dyDescent="0.25">
      <c r="A22">
        <v>19</v>
      </c>
      <c r="B22" s="3" t="s">
        <v>258</v>
      </c>
      <c r="C22" s="3"/>
      <c r="D22" s="3">
        <f>'MARCH 21'!H22:H44</f>
        <v>3000</v>
      </c>
      <c r="E22" s="3">
        <v>3000</v>
      </c>
      <c r="F22" s="3">
        <f t="shared" si="0"/>
        <v>6000</v>
      </c>
      <c r="G22" s="3">
        <f>1800+1000+1000</f>
        <v>3800</v>
      </c>
      <c r="H22" s="13">
        <f t="shared" si="1"/>
        <v>2200</v>
      </c>
    </row>
    <row r="23" spans="1:15" x14ac:dyDescent="0.25">
      <c r="A23">
        <v>20</v>
      </c>
      <c r="B23" s="3" t="s">
        <v>244</v>
      </c>
      <c r="C23" s="3"/>
      <c r="D23" s="3">
        <f>'MARCH 21'!H23:H45</f>
        <v>3000</v>
      </c>
      <c r="E23" s="3">
        <v>3000</v>
      </c>
      <c r="F23" s="3">
        <f t="shared" si="0"/>
        <v>6000</v>
      </c>
      <c r="G23" s="3">
        <f>5000</f>
        <v>5000</v>
      </c>
      <c r="H23" s="13">
        <f>F23-G23</f>
        <v>1000</v>
      </c>
      <c r="I23" s="31" t="s">
        <v>279</v>
      </c>
    </row>
    <row r="24" spans="1:15" x14ac:dyDescent="0.25">
      <c r="B24" s="30" t="s">
        <v>64</v>
      </c>
      <c r="C24" s="30">
        <f t="shared" ref="C24" si="2">SUM(C5:C22)</f>
        <v>0</v>
      </c>
      <c r="D24" s="3">
        <f>'MARCH 21'!H24:H46</f>
        <v>32600</v>
      </c>
      <c r="E24" s="30">
        <f>SUM(E5:E23)</f>
        <v>36500</v>
      </c>
      <c r="F24" s="30">
        <f>SUM(F5:F23)</f>
        <v>67100</v>
      </c>
      <c r="G24" s="30">
        <f>SUM(G5:G23)</f>
        <v>36600</v>
      </c>
      <c r="H24" s="30">
        <f>SUM(H5:H23)</f>
        <v>30500</v>
      </c>
      <c r="I24">
        <v>5776</v>
      </c>
      <c r="L24" s="59" t="s">
        <v>281</v>
      </c>
      <c r="N24" s="6" t="s">
        <v>14</v>
      </c>
      <c r="O24" s="6" t="s">
        <v>9</v>
      </c>
    </row>
    <row r="25" spans="1:15" x14ac:dyDescent="0.25">
      <c r="C25" s="34"/>
      <c r="D25" s="3">
        <f>'MARCH 21'!H25:H47</f>
        <v>0</v>
      </c>
      <c r="E25" s="33"/>
      <c r="F25" s="46"/>
      <c r="G25" s="10"/>
      <c r="H25" s="35">
        <f>H24-2500-1000</f>
        <v>27000</v>
      </c>
      <c r="I25">
        <v>1950</v>
      </c>
      <c r="L25" s="31"/>
      <c r="M25" s="31"/>
    </row>
    <row r="26" spans="1:15" x14ac:dyDescent="0.25">
      <c r="B26" s="36" t="s">
        <v>13</v>
      </c>
      <c r="C26" s="36"/>
      <c r="D26" s="36"/>
      <c r="E26" s="37"/>
      <c r="F26" s="36" t="s">
        <v>14</v>
      </c>
      <c r="G26" s="31"/>
      <c r="H26" s="31">
        <f>H24+O34</f>
        <v>41126</v>
      </c>
      <c r="I26" s="6">
        <f>I24-I25</f>
        <v>3826</v>
      </c>
      <c r="L26" s="31" t="s">
        <v>268</v>
      </c>
      <c r="M26" s="31">
        <f>2500</f>
        <v>2500</v>
      </c>
      <c r="N26">
        <v>1500</v>
      </c>
      <c r="O26">
        <f>M26-N26</f>
        <v>1000</v>
      </c>
    </row>
    <row r="27" spans="1:15" x14ac:dyDescent="0.25">
      <c r="B27" s="30" t="s">
        <v>15</v>
      </c>
      <c r="C27" s="30" t="s">
        <v>16</v>
      </c>
      <c r="D27" s="30" t="s">
        <v>17</v>
      </c>
      <c r="E27" s="30" t="s">
        <v>18</v>
      </c>
      <c r="F27" s="30"/>
      <c r="G27" s="30"/>
      <c r="H27" s="30" t="s">
        <v>17</v>
      </c>
      <c r="I27" s="30" t="s">
        <v>18</v>
      </c>
      <c r="L27" s="48" t="s">
        <v>269</v>
      </c>
      <c r="M27" s="31">
        <v>5000</v>
      </c>
      <c r="N27">
        <v>0</v>
      </c>
      <c r="O27">
        <f>M27-N27</f>
        <v>5000</v>
      </c>
    </row>
    <row r="28" spans="1:15" x14ac:dyDescent="0.25">
      <c r="B28" s="29" t="s">
        <v>77</v>
      </c>
      <c r="C28" s="38">
        <f>E24</f>
        <v>36500</v>
      </c>
      <c r="D28" s="29"/>
      <c r="E28" s="29"/>
      <c r="F28" s="29" t="s">
        <v>77</v>
      </c>
      <c r="G28" s="38">
        <f>G24</f>
        <v>36600</v>
      </c>
      <c r="H28" s="29"/>
      <c r="I28" s="29"/>
      <c r="L28" s="48" t="s">
        <v>270</v>
      </c>
      <c r="M28" s="31">
        <v>3800</v>
      </c>
      <c r="N28">
        <v>0</v>
      </c>
      <c r="O28">
        <f t="shared" ref="O28:O30" si="3">M28-N28</f>
        <v>3800</v>
      </c>
    </row>
    <row r="29" spans="1:15" x14ac:dyDescent="0.25">
      <c r="B29" s="29" t="s">
        <v>5</v>
      </c>
      <c r="C29" s="38">
        <f>'MARCH 21'!E40</f>
        <v>-5350</v>
      </c>
      <c r="D29" s="29"/>
      <c r="E29" s="29"/>
      <c r="F29" s="29" t="s">
        <v>5</v>
      </c>
      <c r="G29" s="38">
        <f>'MARCH 21'!I40</f>
        <v>-36950</v>
      </c>
      <c r="H29" s="29"/>
      <c r="I29" s="29"/>
      <c r="L29" s="48" t="s">
        <v>280</v>
      </c>
      <c r="M29" s="31">
        <v>3826</v>
      </c>
      <c r="N29">
        <v>0</v>
      </c>
      <c r="O29">
        <f t="shared" si="3"/>
        <v>3826</v>
      </c>
    </row>
    <row r="30" spans="1:15" x14ac:dyDescent="0.25">
      <c r="B30" s="29" t="s">
        <v>70</v>
      </c>
      <c r="C30" s="38"/>
      <c r="D30" s="29"/>
      <c r="E30" s="29"/>
      <c r="F30" s="29" t="s">
        <v>70</v>
      </c>
      <c r="G30" s="38"/>
      <c r="H30" s="29"/>
      <c r="I30" s="29"/>
      <c r="L30" s="48" t="s">
        <v>298</v>
      </c>
      <c r="M30" s="31">
        <v>2000</v>
      </c>
      <c r="N30">
        <v>0</v>
      </c>
      <c r="O30">
        <f t="shared" si="3"/>
        <v>2000</v>
      </c>
    </row>
    <row r="31" spans="1:15" x14ac:dyDescent="0.25">
      <c r="B31" s="29" t="s">
        <v>20</v>
      </c>
      <c r="C31" s="39">
        <v>0.1</v>
      </c>
      <c r="D31" s="38">
        <f>C31*C28</f>
        <v>3650</v>
      </c>
      <c r="E31" s="29"/>
      <c r="F31" s="29" t="s">
        <v>20</v>
      </c>
      <c r="G31" s="39">
        <v>0.1</v>
      </c>
      <c r="H31" s="38">
        <f>G31*C28</f>
        <v>3650</v>
      </c>
      <c r="I31" s="29"/>
      <c r="L31" s="48" t="s">
        <v>282</v>
      </c>
      <c r="M31" s="31">
        <f>SUM(M26:M30)</f>
        <v>17126</v>
      </c>
      <c r="O31">
        <f>SUM(O26:O30)</f>
        <v>15626</v>
      </c>
    </row>
    <row r="32" spans="1:15" x14ac:dyDescent="0.25">
      <c r="B32" s="30" t="s">
        <v>21</v>
      </c>
      <c r="C32" s="30" t="s">
        <v>22</v>
      </c>
      <c r="D32" s="30"/>
      <c r="E32" s="30"/>
      <c r="F32" s="30" t="s">
        <v>21</v>
      </c>
      <c r="G32" s="40"/>
      <c r="H32" s="30"/>
      <c r="I32" s="30"/>
      <c r="J32" s="15"/>
    </row>
    <row r="33" spans="2:15" x14ac:dyDescent="0.25">
      <c r="B33" s="29" t="s">
        <v>300</v>
      </c>
      <c r="C33" s="29"/>
      <c r="D33" s="29">
        <v>5000</v>
      </c>
      <c r="E33" s="30"/>
      <c r="F33" s="29" t="s">
        <v>300</v>
      </c>
      <c r="G33" s="29"/>
      <c r="H33" s="29">
        <v>5000</v>
      </c>
      <c r="I33" s="30"/>
      <c r="J33" s="15"/>
      <c r="M33" s="59" t="s">
        <v>299</v>
      </c>
      <c r="N33" s="6"/>
      <c r="O33" s="6">
        <v>5000</v>
      </c>
    </row>
    <row r="34" spans="2:15" x14ac:dyDescent="0.25">
      <c r="B34" s="29" t="s">
        <v>301</v>
      </c>
      <c r="C34" s="29"/>
      <c r="D34" s="29">
        <v>22500</v>
      </c>
      <c r="E34" s="30"/>
      <c r="F34" s="29" t="s">
        <v>301</v>
      </c>
      <c r="G34" s="29"/>
      <c r="H34" s="29">
        <v>22500</v>
      </c>
      <c r="I34" s="30"/>
      <c r="O34">
        <f>O31-O33</f>
        <v>10626</v>
      </c>
    </row>
    <row r="35" spans="2:15" x14ac:dyDescent="0.25">
      <c r="B35" s="30" t="s">
        <v>295</v>
      </c>
      <c r="C35" s="30"/>
      <c r="D35" s="30">
        <v>2500</v>
      </c>
      <c r="E35" s="30"/>
      <c r="F35" s="30" t="s">
        <v>295</v>
      </c>
      <c r="G35" s="30"/>
      <c r="H35" s="30">
        <v>2500</v>
      </c>
      <c r="I35" s="30"/>
    </row>
    <row r="36" spans="2:15" x14ac:dyDescent="0.25">
      <c r="B36" s="30"/>
      <c r="C36" s="30"/>
      <c r="D36" s="30"/>
      <c r="E36" s="30"/>
      <c r="F36" s="30"/>
      <c r="G36" s="30"/>
      <c r="H36" s="30"/>
      <c r="I36" s="30"/>
    </row>
    <row r="37" spans="2:15" x14ac:dyDescent="0.25">
      <c r="B37" s="41" t="s">
        <v>303</v>
      </c>
      <c r="C37" s="29"/>
      <c r="D37" s="29">
        <v>2000</v>
      </c>
      <c r="E37" s="29"/>
      <c r="F37" s="41" t="s">
        <v>303</v>
      </c>
      <c r="G37" s="29"/>
      <c r="H37" s="29">
        <v>2000</v>
      </c>
      <c r="I37" s="29"/>
    </row>
    <row r="38" spans="2:15" x14ac:dyDescent="0.25">
      <c r="B38" s="30" t="s">
        <v>11</v>
      </c>
      <c r="C38" s="40">
        <f>C28+C29+C30-D31</f>
        <v>27500</v>
      </c>
      <c r="D38" s="40">
        <f>SUM(D33:D37)</f>
        <v>32000</v>
      </c>
      <c r="E38" s="40">
        <f>C38-D38</f>
        <v>-4500</v>
      </c>
      <c r="F38" s="30" t="s">
        <v>11</v>
      </c>
      <c r="G38" s="40">
        <f>G28+G29+G30-H31</f>
        <v>-4000</v>
      </c>
      <c r="H38" s="40">
        <f>SUM(H33:H37)</f>
        <v>32000</v>
      </c>
      <c r="I38" s="40">
        <f>G38-H38</f>
        <v>-36000</v>
      </c>
    </row>
    <row r="39" spans="2:15" x14ac:dyDescent="0.25">
      <c r="B39" s="31"/>
      <c r="C39" s="31"/>
      <c r="D39" s="31"/>
      <c r="E39" s="31"/>
      <c r="F39" s="31"/>
      <c r="G39" s="31"/>
      <c r="H39" s="31"/>
      <c r="I39" s="31"/>
      <c r="L39">
        <f>22350+150</f>
        <v>22500</v>
      </c>
    </row>
    <row r="40" spans="2:15" x14ac:dyDescent="0.25">
      <c r="B40" s="31" t="s">
        <v>23</v>
      </c>
      <c r="C40" s="31"/>
      <c r="D40" s="31" t="s">
        <v>24</v>
      </c>
      <c r="E40" s="31"/>
      <c r="F40" s="31"/>
      <c r="G40" s="31" t="s">
        <v>25</v>
      </c>
      <c r="H40" s="31"/>
      <c r="I40" s="31"/>
      <c r="K40">
        <f>D34-8500</f>
        <v>14000</v>
      </c>
    </row>
    <row r="41" spans="2:15" x14ac:dyDescent="0.25">
      <c r="B41" s="31"/>
      <c r="C41" s="31"/>
      <c r="D41" s="31"/>
      <c r="E41" s="31"/>
      <c r="F41" s="31"/>
      <c r="G41" s="31"/>
      <c r="H41" s="31"/>
      <c r="I41" s="31"/>
    </row>
    <row r="42" spans="2:15" x14ac:dyDescent="0.25">
      <c r="B42" s="31" t="s">
        <v>108</v>
      </c>
      <c r="C42" s="31"/>
      <c r="D42" s="31" t="s">
        <v>27</v>
      </c>
      <c r="E42" s="31"/>
      <c r="F42" s="31"/>
      <c r="G42" s="31" t="s">
        <v>46</v>
      </c>
      <c r="H42" s="31"/>
      <c r="I42" s="48"/>
    </row>
  </sheetData>
  <pageMargins left="0.7" right="0.7" top="0.75" bottom="0.75" header="0.3" footer="0.3"/>
  <pageSetup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workbookViewId="0">
      <selection activeCell="E7" sqref="E7"/>
    </sheetView>
  </sheetViews>
  <sheetFormatPr defaultRowHeight="15" x14ac:dyDescent="0.25"/>
  <cols>
    <col min="1" max="1" width="6.85546875" customWidth="1"/>
    <col min="3" max="3" width="16.85546875" customWidth="1"/>
    <col min="13" max="13" width="14.85546875" customWidth="1"/>
  </cols>
  <sheetData>
    <row r="1" spans="1:8" x14ac:dyDescent="0.25">
      <c r="C1" s="1" t="s">
        <v>28</v>
      </c>
      <c r="D1" s="1"/>
      <c r="E1" s="1"/>
      <c r="F1" s="1"/>
    </row>
    <row r="2" spans="1:8" x14ac:dyDescent="0.25">
      <c r="B2" s="1"/>
      <c r="C2" s="1" t="s">
        <v>0</v>
      </c>
      <c r="D2" s="1"/>
      <c r="E2" s="1"/>
      <c r="F2" s="1"/>
      <c r="G2" s="1"/>
      <c r="H2" s="1"/>
    </row>
    <row r="3" spans="1:8" x14ac:dyDescent="0.25">
      <c r="B3" s="1"/>
      <c r="C3" s="1" t="s">
        <v>302</v>
      </c>
      <c r="D3" s="1"/>
      <c r="E3" s="1"/>
      <c r="F3" s="1"/>
      <c r="G3" s="1"/>
      <c r="H3" s="1"/>
    </row>
    <row r="4" spans="1:8" x14ac:dyDescent="0.25">
      <c r="A4" t="s">
        <v>110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</row>
    <row r="5" spans="1:8" x14ac:dyDescent="0.25">
      <c r="A5">
        <v>1</v>
      </c>
      <c r="B5" s="63" t="s">
        <v>82</v>
      </c>
      <c r="C5" s="3"/>
      <c r="D5" s="3">
        <f>APRIL21!H5:H24</f>
        <v>4000</v>
      </c>
      <c r="E5" s="3">
        <v>2000</v>
      </c>
      <c r="F5" s="3">
        <f t="shared" ref="F5:F23" si="0">D5+E5</f>
        <v>6000</v>
      </c>
      <c r="G5" s="3">
        <f>4000+2000</f>
        <v>6000</v>
      </c>
      <c r="H5" s="3">
        <f>F5-G5</f>
        <v>0</v>
      </c>
    </row>
    <row r="6" spans="1:8" x14ac:dyDescent="0.25">
      <c r="A6">
        <v>2</v>
      </c>
      <c r="B6" s="17" t="s">
        <v>236</v>
      </c>
      <c r="C6" s="17"/>
      <c r="D6" s="17">
        <f>APRIL21!H6:H25</f>
        <v>7500</v>
      </c>
      <c r="E6" s="3"/>
      <c r="F6" s="3">
        <f t="shared" si="0"/>
        <v>7500</v>
      </c>
      <c r="G6" s="3"/>
      <c r="H6" s="3">
        <f t="shared" ref="H6:H7" si="1">F6-G6</f>
        <v>7500</v>
      </c>
    </row>
    <row r="7" spans="1:8" x14ac:dyDescent="0.25">
      <c r="A7">
        <v>3</v>
      </c>
      <c r="B7" s="64" t="s">
        <v>147</v>
      </c>
      <c r="C7" s="64"/>
      <c r="D7" s="63">
        <f>APRIL21!H7:H26</f>
        <v>5000</v>
      </c>
      <c r="E7" s="56"/>
      <c r="F7" s="56">
        <f t="shared" si="0"/>
        <v>5000</v>
      </c>
      <c r="G7" s="56"/>
      <c r="H7" s="3">
        <f t="shared" si="1"/>
        <v>5000</v>
      </c>
    </row>
    <row r="8" spans="1:8" x14ac:dyDescent="0.25">
      <c r="A8">
        <v>4</v>
      </c>
      <c r="B8" s="17" t="s">
        <v>30</v>
      </c>
      <c r="C8" s="3"/>
      <c r="D8" s="3">
        <f>APRIL21!H8:H27</f>
        <v>0</v>
      </c>
      <c r="E8" s="3"/>
      <c r="F8" s="3">
        <f t="shared" si="0"/>
        <v>0</v>
      </c>
      <c r="G8" s="3"/>
      <c r="H8" s="3">
        <f t="shared" ref="H8:H23" si="2">F8-G8</f>
        <v>0</v>
      </c>
    </row>
    <row r="9" spans="1:8" x14ac:dyDescent="0.25">
      <c r="A9">
        <v>5</v>
      </c>
      <c r="B9" s="17" t="s">
        <v>30</v>
      </c>
      <c r="C9" s="3"/>
      <c r="D9" s="3">
        <f>APRIL21!H9:H28</f>
        <v>0</v>
      </c>
      <c r="E9" s="3"/>
      <c r="F9" s="3">
        <f t="shared" si="0"/>
        <v>0</v>
      </c>
      <c r="G9" s="3"/>
      <c r="H9" s="3">
        <f t="shared" si="2"/>
        <v>0</v>
      </c>
    </row>
    <row r="10" spans="1:8" x14ac:dyDescent="0.25">
      <c r="A10">
        <v>6</v>
      </c>
      <c r="B10" s="3" t="s">
        <v>273</v>
      </c>
      <c r="C10" s="3"/>
      <c r="D10" s="3">
        <f>APRIL21!H10:H29</f>
        <v>300</v>
      </c>
      <c r="E10" s="3">
        <v>2500</v>
      </c>
      <c r="F10" s="3">
        <f t="shared" si="0"/>
        <v>2800</v>
      </c>
      <c r="G10" s="3">
        <f>2500</f>
        <v>2500</v>
      </c>
      <c r="H10" s="3">
        <f t="shared" si="2"/>
        <v>300</v>
      </c>
    </row>
    <row r="11" spans="1:8" x14ac:dyDescent="0.25">
      <c r="A11">
        <v>7</v>
      </c>
      <c r="B11" s="29" t="s">
        <v>289</v>
      </c>
      <c r="C11" s="3"/>
      <c r="D11" s="3">
        <f>APRIL21!H11:H30</f>
        <v>2500</v>
      </c>
      <c r="E11" s="3">
        <v>2500</v>
      </c>
      <c r="F11" s="3">
        <f t="shared" si="0"/>
        <v>5000</v>
      </c>
      <c r="G11" s="3">
        <f>2500</f>
        <v>2500</v>
      </c>
      <c r="H11" s="3">
        <f t="shared" si="2"/>
        <v>2500</v>
      </c>
    </row>
    <row r="12" spans="1:8" x14ac:dyDescent="0.25">
      <c r="A12">
        <v>8</v>
      </c>
      <c r="B12" s="17" t="s">
        <v>30</v>
      </c>
      <c r="C12" s="3"/>
      <c r="D12" s="3">
        <f>APRIL21!H12:H31</f>
        <v>0</v>
      </c>
      <c r="E12" s="3"/>
      <c r="F12" s="3">
        <f t="shared" si="0"/>
        <v>0</v>
      </c>
      <c r="G12" s="3"/>
      <c r="H12" s="3">
        <f>F12-G12</f>
        <v>0</v>
      </c>
    </row>
    <row r="13" spans="1:8" x14ac:dyDescent="0.25">
      <c r="A13">
        <v>9</v>
      </c>
      <c r="B13" s="17" t="s">
        <v>107</v>
      </c>
      <c r="C13" s="3"/>
      <c r="D13" s="3">
        <f>APRIL21!H13:H32</f>
        <v>300</v>
      </c>
      <c r="E13" s="3"/>
      <c r="F13" s="3">
        <f t="shared" si="0"/>
        <v>300</v>
      </c>
      <c r="G13" s="3"/>
      <c r="H13" s="3">
        <f t="shared" si="2"/>
        <v>300</v>
      </c>
    </row>
    <row r="14" spans="1:8" x14ac:dyDescent="0.25">
      <c r="A14">
        <v>10</v>
      </c>
      <c r="B14" s="29" t="s">
        <v>41</v>
      </c>
      <c r="C14" s="3"/>
      <c r="D14" s="3">
        <f>APRIL21!H14:H33</f>
        <v>0</v>
      </c>
      <c r="E14" s="3"/>
      <c r="F14" s="3">
        <f t="shared" si="0"/>
        <v>0</v>
      </c>
      <c r="G14" s="3"/>
      <c r="H14" s="3">
        <f t="shared" si="2"/>
        <v>0</v>
      </c>
    </row>
    <row r="15" spans="1:8" x14ac:dyDescent="0.25">
      <c r="A15">
        <v>11</v>
      </c>
      <c r="B15" s="57" t="s">
        <v>148</v>
      </c>
      <c r="C15" s="57"/>
      <c r="D15" s="3">
        <f>APRIL21!H15:H34</f>
        <v>0</v>
      </c>
      <c r="E15" s="57">
        <v>2500</v>
      </c>
      <c r="F15" s="3">
        <f t="shared" si="0"/>
        <v>2500</v>
      </c>
      <c r="G15" s="57">
        <f>2000</f>
        <v>2000</v>
      </c>
      <c r="H15" s="3">
        <f>F15-G15</f>
        <v>500</v>
      </c>
    </row>
    <row r="16" spans="1:8" x14ac:dyDescent="0.25">
      <c r="A16">
        <v>12</v>
      </c>
      <c r="B16" s="63" t="s">
        <v>37</v>
      </c>
      <c r="C16" s="63"/>
      <c r="D16" s="63">
        <f>APRIL21!H16:H35</f>
        <v>4700</v>
      </c>
      <c r="E16" s="3"/>
      <c r="F16" s="3">
        <f>D16+E16+2500</f>
        <v>7200</v>
      </c>
      <c r="G16" s="3"/>
      <c r="H16" s="3">
        <f t="shared" si="2"/>
        <v>7200</v>
      </c>
    </row>
    <row r="17" spans="1:16" x14ac:dyDescent="0.25">
      <c r="A17" s="6">
        <v>13</v>
      </c>
      <c r="B17" s="60" t="s">
        <v>30</v>
      </c>
      <c r="C17" s="60"/>
      <c r="D17" s="3">
        <f>APRIL21!H17:H36</f>
        <v>0</v>
      </c>
      <c r="E17" s="57"/>
      <c r="F17" s="58">
        <f t="shared" si="0"/>
        <v>0</v>
      </c>
      <c r="G17" s="58"/>
      <c r="H17" s="58">
        <f t="shared" si="2"/>
        <v>0</v>
      </c>
    </row>
    <row r="18" spans="1:16" x14ac:dyDescent="0.25">
      <c r="A18">
        <v>14</v>
      </c>
      <c r="B18" s="13" t="s">
        <v>123</v>
      </c>
      <c r="C18" s="13"/>
      <c r="D18" s="3">
        <f>APRIL21!H18:H37</f>
        <v>1800</v>
      </c>
      <c r="E18" s="13">
        <v>2500</v>
      </c>
      <c r="F18" s="3">
        <f t="shared" si="0"/>
        <v>4300</v>
      </c>
      <c r="G18" s="13">
        <f>1000+1000+500</f>
        <v>2500</v>
      </c>
      <c r="H18" s="13">
        <f t="shared" si="2"/>
        <v>1800</v>
      </c>
    </row>
    <row r="19" spans="1:16" x14ac:dyDescent="0.25">
      <c r="A19" t="s">
        <v>233</v>
      </c>
      <c r="B19" s="3" t="s">
        <v>35</v>
      </c>
      <c r="C19" s="3"/>
      <c r="D19" s="3">
        <f>APRIL21!H19:H38</f>
        <v>0</v>
      </c>
      <c r="E19" s="3">
        <v>4500</v>
      </c>
      <c r="F19" s="3">
        <f t="shared" si="0"/>
        <v>4500</v>
      </c>
      <c r="G19" s="13">
        <v>4500</v>
      </c>
      <c r="H19" s="13">
        <f t="shared" si="2"/>
        <v>0</v>
      </c>
    </row>
    <row r="20" spans="1:16" x14ac:dyDescent="0.25">
      <c r="A20">
        <v>17</v>
      </c>
      <c r="B20" s="13" t="s">
        <v>247</v>
      </c>
      <c r="C20" s="13"/>
      <c r="D20" s="3">
        <f>APRIL21!H20:H39</f>
        <v>1200</v>
      </c>
      <c r="E20" s="13">
        <v>3000</v>
      </c>
      <c r="F20" s="3">
        <f t="shared" si="0"/>
        <v>4200</v>
      </c>
      <c r="G20" s="13">
        <f>2000</f>
        <v>2000</v>
      </c>
      <c r="H20" s="13">
        <f>F20-G20</f>
        <v>2200</v>
      </c>
    </row>
    <row r="21" spans="1:16" x14ac:dyDescent="0.25">
      <c r="A21">
        <v>18</v>
      </c>
      <c r="B21" s="13" t="s">
        <v>275</v>
      </c>
      <c r="C21" s="13"/>
      <c r="D21" s="3">
        <f>APRIL21!H21:H40</f>
        <v>0</v>
      </c>
      <c r="E21" s="13">
        <v>3000</v>
      </c>
      <c r="F21" s="3">
        <f t="shared" si="0"/>
        <v>3000</v>
      </c>
      <c r="G21" s="13">
        <v>3000</v>
      </c>
      <c r="H21" s="13">
        <f t="shared" si="2"/>
        <v>0</v>
      </c>
    </row>
    <row r="22" spans="1:16" x14ac:dyDescent="0.25">
      <c r="A22">
        <v>19</v>
      </c>
      <c r="B22" s="3" t="s">
        <v>258</v>
      </c>
      <c r="C22" s="3"/>
      <c r="D22" s="3">
        <f>APRIL21!H22:H41</f>
        <v>2200</v>
      </c>
      <c r="E22" s="3">
        <v>3000</v>
      </c>
      <c r="F22" s="3">
        <f t="shared" si="0"/>
        <v>5200</v>
      </c>
      <c r="G22" s="3"/>
      <c r="H22" s="13">
        <f t="shared" si="2"/>
        <v>5200</v>
      </c>
    </row>
    <row r="23" spans="1:16" x14ac:dyDescent="0.25">
      <c r="A23">
        <v>20</v>
      </c>
      <c r="B23" s="3" t="s">
        <v>244</v>
      </c>
      <c r="C23" s="3"/>
      <c r="D23" s="3">
        <f>APRIL21!H23:H42</f>
        <v>1000</v>
      </c>
      <c r="E23" s="3">
        <v>3000</v>
      </c>
      <c r="F23" s="3">
        <f t="shared" si="0"/>
        <v>4000</v>
      </c>
      <c r="G23" s="3">
        <f>3000</f>
        <v>3000</v>
      </c>
      <c r="H23" s="13">
        <f t="shared" si="2"/>
        <v>1000</v>
      </c>
      <c r="I23" s="31"/>
    </row>
    <row r="24" spans="1:16" x14ac:dyDescent="0.25">
      <c r="B24" s="30" t="s">
        <v>64</v>
      </c>
      <c r="C24" s="30">
        <f t="shared" ref="C24" si="3">SUM(C5:C22)</f>
        <v>0</v>
      </c>
      <c r="D24" s="3">
        <f>APRIL21!H24:H43</f>
        <v>30500</v>
      </c>
      <c r="E24" s="30">
        <f>SUM(E5:E23)</f>
        <v>28500</v>
      </c>
      <c r="F24" s="30">
        <f>SUM(F5:F23)</f>
        <v>61500</v>
      </c>
      <c r="G24" s="30">
        <f>SUM(G5:G23)</f>
        <v>28000</v>
      </c>
      <c r="H24" s="30">
        <f>SUM(H5:H23)</f>
        <v>33500</v>
      </c>
    </row>
    <row r="25" spans="1:16" x14ac:dyDescent="0.25">
      <c r="C25" s="34"/>
      <c r="D25" s="3">
        <f>'MARCH 21'!H25:H47</f>
        <v>0</v>
      </c>
      <c r="E25" s="33"/>
      <c r="F25" s="46"/>
      <c r="G25" s="10"/>
      <c r="H25" s="35">
        <f>H24-2500-1800-1000-5000</f>
        <v>23200</v>
      </c>
      <c r="M25" s="59" t="s">
        <v>281</v>
      </c>
      <c r="O25" s="6" t="s">
        <v>14</v>
      </c>
      <c r="P25" s="6" t="s">
        <v>9</v>
      </c>
    </row>
    <row r="26" spans="1:16" x14ac:dyDescent="0.25">
      <c r="B26" s="36" t="s">
        <v>13</v>
      </c>
      <c r="C26" s="36"/>
      <c r="D26" s="36"/>
      <c r="E26" s="37"/>
      <c r="F26" s="36" t="s">
        <v>14</v>
      </c>
      <c r="G26" s="31"/>
      <c r="H26" s="31" t="s">
        <v>9</v>
      </c>
      <c r="I26" s="67">
        <f>H25+P35</f>
        <v>33826</v>
      </c>
      <c r="M26" s="31"/>
      <c r="N26" s="31"/>
    </row>
    <row r="27" spans="1:16" x14ac:dyDescent="0.25">
      <c r="B27" s="30" t="s">
        <v>15</v>
      </c>
      <c r="C27" s="30" t="s">
        <v>16</v>
      </c>
      <c r="D27" s="30" t="s">
        <v>17</v>
      </c>
      <c r="E27" s="30" t="s">
        <v>18</v>
      </c>
      <c r="F27" s="30"/>
      <c r="G27" s="30"/>
      <c r="H27" s="30" t="s">
        <v>17</v>
      </c>
      <c r="I27" s="30" t="s">
        <v>18</v>
      </c>
      <c r="M27" s="31" t="s">
        <v>268</v>
      </c>
      <c r="N27" s="31">
        <f>2500</f>
        <v>2500</v>
      </c>
      <c r="O27">
        <v>1500</v>
      </c>
      <c r="P27">
        <f>N27-O27</f>
        <v>1000</v>
      </c>
    </row>
    <row r="28" spans="1:16" x14ac:dyDescent="0.25">
      <c r="B28" s="29" t="s">
        <v>84</v>
      </c>
      <c r="C28" s="38">
        <f>E24</f>
        <v>28500</v>
      </c>
      <c r="D28" s="29"/>
      <c r="E28" s="29"/>
      <c r="F28" s="29" t="s">
        <v>84</v>
      </c>
      <c r="G28" s="38">
        <f>G24</f>
        <v>28000</v>
      </c>
      <c r="H28" s="29"/>
      <c r="I28" s="29"/>
      <c r="J28" s="65"/>
      <c r="M28" s="48" t="s">
        <v>269</v>
      </c>
      <c r="N28" s="31">
        <v>5000</v>
      </c>
      <c r="O28">
        <v>0</v>
      </c>
      <c r="P28">
        <f>N28-O28</f>
        <v>5000</v>
      </c>
    </row>
    <row r="29" spans="1:16" x14ac:dyDescent="0.25">
      <c r="B29" s="29" t="s">
        <v>5</v>
      </c>
      <c r="C29" s="38">
        <f>APRIL21!E38</f>
        <v>-4500</v>
      </c>
      <c r="D29" s="29"/>
      <c r="E29" s="29"/>
      <c r="F29" s="29" t="s">
        <v>5</v>
      </c>
      <c r="G29" s="38">
        <f>APRIL21!I38</f>
        <v>-36000</v>
      </c>
      <c r="H29" s="29"/>
      <c r="I29" s="29"/>
      <c r="M29" s="48" t="s">
        <v>270</v>
      </c>
      <c r="N29" s="31">
        <v>3800</v>
      </c>
      <c r="P29">
        <f t="shared" ref="P29:P31" si="4">N29-O29</f>
        <v>3800</v>
      </c>
    </row>
    <row r="30" spans="1:16" x14ac:dyDescent="0.25">
      <c r="B30" s="29" t="s">
        <v>70</v>
      </c>
      <c r="C30" s="38"/>
      <c r="D30" s="29"/>
      <c r="E30" s="29"/>
      <c r="F30" s="29" t="s">
        <v>70</v>
      </c>
      <c r="G30" s="38"/>
      <c r="H30" s="29"/>
      <c r="I30" s="29"/>
      <c r="M30" s="48" t="s">
        <v>280</v>
      </c>
      <c r="N30" s="31">
        <v>3826</v>
      </c>
      <c r="O30">
        <v>0</v>
      </c>
      <c r="P30">
        <f t="shared" si="4"/>
        <v>3826</v>
      </c>
    </row>
    <row r="31" spans="1:16" x14ac:dyDescent="0.25">
      <c r="B31" s="29" t="s">
        <v>20</v>
      </c>
      <c r="C31" s="39">
        <v>0.1</v>
      </c>
      <c r="D31" s="38">
        <f>C31*C28</f>
        <v>2850</v>
      </c>
      <c r="E31" s="29"/>
      <c r="F31" s="29" t="s">
        <v>20</v>
      </c>
      <c r="G31" s="39">
        <v>0.1</v>
      </c>
      <c r="H31" s="38">
        <f>G31*C28</f>
        <v>2850</v>
      </c>
      <c r="I31" s="29"/>
      <c r="M31" s="48" t="s">
        <v>298</v>
      </c>
      <c r="N31" s="31">
        <v>2000</v>
      </c>
      <c r="P31">
        <f t="shared" si="4"/>
        <v>2000</v>
      </c>
    </row>
    <row r="32" spans="1:16" x14ac:dyDescent="0.25">
      <c r="B32" s="30" t="s">
        <v>21</v>
      </c>
      <c r="C32" s="30" t="s">
        <v>22</v>
      </c>
      <c r="D32" s="30"/>
      <c r="E32" s="30"/>
      <c r="F32" s="30" t="s">
        <v>21</v>
      </c>
      <c r="G32" s="40"/>
      <c r="H32" s="30"/>
      <c r="I32" s="30"/>
      <c r="J32" s="15"/>
      <c r="M32" s="48" t="s">
        <v>282</v>
      </c>
      <c r="N32" s="31">
        <f>SUM(N27:N31)</f>
        <v>17126</v>
      </c>
      <c r="P32">
        <f>SUM(P27:P31)</f>
        <v>15626</v>
      </c>
    </row>
    <row r="33" spans="2:16" x14ac:dyDescent="0.25">
      <c r="B33" s="29" t="s">
        <v>304</v>
      </c>
      <c r="C33" s="29"/>
      <c r="D33" s="29">
        <v>19350</v>
      </c>
      <c r="E33" s="30"/>
      <c r="F33" s="29" t="s">
        <v>304</v>
      </c>
      <c r="G33" s="29"/>
      <c r="H33" s="29">
        <v>19350</v>
      </c>
      <c r="I33" s="30"/>
      <c r="J33" s="15"/>
    </row>
    <row r="34" spans="2:16" x14ac:dyDescent="0.25">
      <c r="B34" s="29" t="s">
        <v>306</v>
      </c>
      <c r="C34" s="29"/>
      <c r="D34" s="29">
        <v>2062</v>
      </c>
      <c r="E34" s="30"/>
      <c r="F34" s="29" t="s">
        <v>306</v>
      </c>
      <c r="G34" s="29"/>
      <c r="H34" s="29">
        <v>2062</v>
      </c>
      <c r="I34" s="30"/>
      <c r="N34" s="59" t="s">
        <v>299</v>
      </c>
      <c r="O34" s="6"/>
      <c r="P34" s="6">
        <v>5000</v>
      </c>
    </row>
    <row r="35" spans="2:16" x14ac:dyDescent="0.25">
      <c r="B35" s="30"/>
      <c r="C35" s="30"/>
      <c r="D35" s="30"/>
      <c r="E35" s="30"/>
      <c r="F35" s="30"/>
      <c r="G35" s="30"/>
      <c r="H35" s="30"/>
      <c r="I35" s="30"/>
      <c r="P35">
        <f>P32-P34</f>
        <v>10626</v>
      </c>
    </row>
    <row r="36" spans="2:16" x14ac:dyDescent="0.25">
      <c r="B36" s="30"/>
      <c r="C36" s="30"/>
      <c r="D36" s="30"/>
      <c r="E36" s="30"/>
      <c r="F36" s="30"/>
      <c r="G36" s="30"/>
      <c r="H36" s="30"/>
      <c r="I36" s="30"/>
      <c r="J36" s="65">
        <f>I26+I38</f>
        <v>1564</v>
      </c>
    </row>
    <row r="37" spans="2:16" x14ac:dyDescent="0.25">
      <c r="B37" s="41"/>
      <c r="C37" s="29"/>
      <c r="D37" s="29"/>
      <c r="E37" s="29"/>
      <c r="F37" s="41"/>
      <c r="G37" s="29"/>
      <c r="H37" s="29"/>
      <c r="I37" s="29"/>
    </row>
    <row r="38" spans="2:16" x14ac:dyDescent="0.25">
      <c r="B38" s="30" t="s">
        <v>11</v>
      </c>
      <c r="C38" s="40">
        <f>C28+C29+C30-D31</f>
        <v>21150</v>
      </c>
      <c r="D38" s="40">
        <f>SUM(D33:D37)</f>
        <v>21412</v>
      </c>
      <c r="E38" s="40">
        <f>C38-D38</f>
        <v>-262</v>
      </c>
      <c r="F38" s="30" t="s">
        <v>11</v>
      </c>
      <c r="G38" s="40">
        <f>G28+G29+G30-H31</f>
        <v>-10850</v>
      </c>
      <c r="H38" s="40">
        <f>SUM(H33:H37)</f>
        <v>21412</v>
      </c>
      <c r="I38" s="40">
        <f>G38-H38</f>
        <v>-32262</v>
      </c>
    </row>
    <row r="39" spans="2:16" x14ac:dyDescent="0.25">
      <c r="B39" s="31"/>
      <c r="C39" s="31"/>
      <c r="D39" s="31"/>
      <c r="E39" s="31"/>
      <c r="F39" s="31"/>
      <c r="G39" s="31"/>
      <c r="H39" s="31"/>
      <c r="I39" s="31"/>
    </row>
    <row r="40" spans="2:16" x14ac:dyDescent="0.25">
      <c r="B40" s="31" t="s">
        <v>23</v>
      </c>
      <c r="C40" s="31"/>
      <c r="D40" s="31" t="s">
        <v>24</v>
      </c>
      <c r="E40" s="31"/>
      <c r="F40" s="31"/>
      <c r="G40" s="31" t="s">
        <v>25</v>
      </c>
      <c r="H40" s="31"/>
      <c r="I40" s="31"/>
    </row>
    <row r="41" spans="2:16" x14ac:dyDescent="0.25">
      <c r="B41" s="31"/>
      <c r="C41" s="31"/>
      <c r="D41" s="31"/>
      <c r="E41" s="31"/>
      <c r="F41" s="31"/>
      <c r="G41" s="31"/>
      <c r="H41" s="31"/>
      <c r="I41" s="31"/>
    </row>
    <row r="42" spans="2:16" x14ac:dyDescent="0.25">
      <c r="B42" s="31" t="s">
        <v>108</v>
      </c>
      <c r="C42" s="31"/>
      <c r="D42" s="31" t="s">
        <v>27</v>
      </c>
      <c r="E42" s="31"/>
      <c r="F42" s="31"/>
      <c r="G42" s="31" t="s">
        <v>46</v>
      </c>
      <c r="H42" s="31"/>
      <c r="I42" s="48"/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opLeftCell="A4" workbookViewId="0">
      <selection activeCell="F23" sqref="F23"/>
    </sheetView>
  </sheetViews>
  <sheetFormatPr defaultRowHeight="15" x14ac:dyDescent="0.25"/>
  <cols>
    <col min="2" max="2" width="16.5703125" customWidth="1"/>
    <col min="14" max="14" width="15.140625" customWidth="1"/>
  </cols>
  <sheetData>
    <row r="1" spans="1:9" x14ac:dyDescent="0.25">
      <c r="C1" s="1" t="s">
        <v>28</v>
      </c>
      <c r="D1" s="1"/>
      <c r="E1" s="1"/>
      <c r="F1" s="1"/>
    </row>
    <row r="2" spans="1:9" x14ac:dyDescent="0.25">
      <c r="B2" s="1"/>
      <c r="C2" s="1" t="s">
        <v>0</v>
      </c>
      <c r="D2" s="1"/>
      <c r="E2" s="1"/>
      <c r="F2" s="1"/>
      <c r="G2" s="1"/>
      <c r="H2" s="1"/>
    </row>
    <row r="3" spans="1:9" x14ac:dyDescent="0.25">
      <c r="B3" s="1"/>
      <c r="C3" s="1" t="s">
        <v>305</v>
      </c>
      <c r="D3" s="1"/>
      <c r="E3" s="1"/>
      <c r="F3" s="1"/>
      <c r="G3" s="1"/>
      <c r="H3" s="1"/>
    </row>
    <row r="4" spans="1:9" x14ac:dyDescent="0.25">
      <c r="A4" t="s">
        <v>110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</row>
    <row r="5" spans="1:9" x14ac:dyDescent="0.25">
      <c r="A5">
        <v>1</v>
      </c>
      <c r="B5" s="63" t="s">
        <v>82</v>
      </c>
      <c r="C5" s="3"/>
      <c r="D5" s="3">
        <f>'MAY21'!H5:H25</f>
        <v>0</v>
      </c>
      <c r="E5" s="3"/>
      <c r="F5" s="3">
        <f t="shared" ref="F5:F23" si="0">D5+E5</f>
        <v>0</v>
      </c>
      <c r="G5" s="3"/>
      <c r="H5" s="3">
        <f>F5-G5</f>
        <v>0</v>
      </c>
    </row>
    <row r="6" spans="1:9" x14ac:dyDescent="0.25">
      <c r="A6">
        <v>2</v>
      </c>
      <c r="B6" s="17" t="s">
        <v>236</v>
      </c>
      <c r="C6" s="17"/>
      <c r="D6" s="3">
        <f>'MAY21'!H6:H26</f>
        <v>7500</v>
      </c>
      <c r="E6" s="3"/>
      <c r="F6" s="3">
        <f t="shared" si="0"/>
        <v>7500</v>
      </c>
      <c r="G6" s="3"/>
      <c r="H6" s="3">
        <f t="shared" ref="H6:H23" si="1">F6-G6</f>
        <v>7500</v>
      </c>
    </row>
    <row r="7" spans="1:9" x14ac:dyDescent="0.25">
      <c r="A7">
        <v>3</v>
      </c>
      <c r="B7" s="64" t="s">
        <v>147</v>
      </c>
      <c r="C7" s="64"/>
      <c r="D7" s="3">
        <f>'MAY21'!H7:H27</f>
        <v>5000</v>
      </c>
      <c r="E7" s="56"/>
      <c r="F7" s="56">
        <f t="shared" si="0"/>
        <v>5000</v>
      </c>
      <c r="G7" s="56"/>
      <c r="H7" s="3">
        <f t="shared" si="1"/>
        <v>5000</v>
      </c>
    </row>
    <row r="8" spans="1:9" x14ac:dyDescent="0.25">
      <c r="A8">
        <v>4</v>
      </c>
      <c r="B8" s="17" t="s">
        <v>30</v>
      </c>
      <c r="C8" s="3"/>
      <c r="D8" s="3">
        <f>'MAY21'!H8:H28</f>
        <v>0</v>
      </c>
      <c r="E8" s="3"/>
      <c r="F8" s="3">
        <f t="shared" si="0"/>
        <v>0</v>
      </c>
      <c r="G8" s="3"/>
      <c r="H8" s="3">
        <f t="shared" si="1"/>
        <v>0</v>
      </c>
    </row>
    <row r="9" spans="1:9" x14ac:dyDescent="0.25">
      <c r="A9">
        <v>5</v>
      </c>
      <c r="B9" s="17" t="s">
        <v>30</v>
      </c>
      <c r="C9" s="3"/>
      <c r="D9" s="3">
        <f>'MAY21'!H9:H29</f>
        <v>0</v>
      </c>
      <c r="E9" s="3"/>
      <c r="F9" s="3">
        <f t="shared" si="0"/>
        <v>0</v>
      </c>
      <c r="G9" s="3"/>
      <c r="H9" s="3">
        <f t="shared" si="1"/>
        <v>0</v>
      </c>
    </row>
    <row r="10" spans="1:9" x14ac:dyDescent="0.25">
      <c r="A10">
        <v>6</v>
      </c>
      <c r="B10" s="3" t="s">
        <v>273</v>
      </c>
      <c r="C10" s="3"/>
      <c r="D10" s="3">
        <f>'MAY21'!H10:H30</f>
        <v>300</v>
      </c>
      <c r="E10" s="3">
        <v>2500</v>
      </c>
      <c r="F10" s="3">
        <f t="shared" si="0"/>
        <v>2800</v>
      </c>
      <c r="G10" s="3">
        <f>2500+300</f>
        <v>2800</v>
      </c>
      <c r="H10" s="3">
        <f t="shared" si="1"/>
        <v>0</v>
      </c>
      <c r="I10" t="s">
        <v>316</v>
      </c>
    </row>
    <row r="11" spans="1:9" x14ac:dyDescent="0.25">
      <c r="A11">
        <v>7</v>
      </c>
      <c r="B11" s="29" t="s">
        <v>289</v>
      </c>
      <c r="C11" s="3"/>
      <c r="D11" s="3">
        <f>'MAY21'!H11:H31</f>
        <v>2500</v>
      </c>
      <c r="E11" s="3">
        <v>2500</v>
      </c>
      <c r="F11" s="3">
        <f t="shared" si="0"/>
        <v>5000</v>
      </c>
      <c r="G11" s="3">
        <v>2500</v>
      </c>
      <c r="H11" s="3">
        <f t="shared" si="1"/>
        <v>2500</v>
      </c>
      <c r="I11" t="s">
        <v>309</v>
      </c>
    </row>
    <row r="12" spans="1:9" x14ac:dyDescent="0.25">
      <c r="A12">
        <v>8</v>
      </c>
      <c r="B12" s="17" t="s">
        <v>30</v>
      </c>
      <c r="C12" s="3"/>
      <c r="D12" s="3">
        <f>'MAY21'!H12:H32</f>
        <v>0</v>
      </c>
      <c r="E12" s="3"/>
      <c r="F12" s="3">
        <f t="shared" si="0"/>
        <v>0</v>
      </c>
      <c r="G12" s="3"/>
      <c r="H12" s="3">
        <f>F12-G12</f>
        <v>0</v>
      </c>
    </row>
    <row r="13" spans="1:9" x14ac:dyDescent="0.25">
      <c r="A13">
        <v>9</v>
      </c>
      <c r="B13" s="17" t="s">
        <v>107</v>
      </c>
      <c r="C13" s="3"/>
      <c r="D13" s="3">
        <f>'MAY21'!H13:H33</f>
        <v>300</v>
      </c>
      <c r="E13" s="3"/>
      <c r="F13" s="3">
        <f t="shared" si="0"/>
        <v>300</v>
      </c>
      <c r="G13" s="3">
        <v>300</v>
      </c>
      <c r="H13" s="3">
        <f t="shared" si="1"/>
        <v>0</v>
      </c>
      <c r="I13" t="s">
        <v>316</v>
      </c>
    </row>
    <row r="14" spans="1:9" x14ac:dyDescent="0.25">
      <c r="A14">
        <v>10</v>
      </c>
      <c r="B14" s="17" t="s">
        <v>30</v>
      </c>
      <c r="C14" s="3"/>
      <c r="D14" s="3">
        <f>'MAY21'!H14:H34</f>
        <v>0</v>
      </c>
      <c r="E14" s="3"/>
      <c r="F14" s="3">
        <f t="shared" si="0"/>
        <v>0</v>
      </c>
      <c r="G14" s="3"/>
      <c r="H14" s="3">
        <f t="shared" si="1"/>
        <v>0</v>
      </c>
    </row>
    <row r="15" spans="1:9" x14ac:dyDescent="0.25">
      <c r="A15">
        <v>11</v>
      </c>
      <c r="B15" s="57" t="s">
        <v>148</v>
      </c>
      <c r="C15" s="57"/>
      <c r="D15" s="3">
        <f>'MAY21'!H15:H35</f>
        <v>500</v>
      </c>
      <c r="E15" s="57">
        <v>2500</v>
      </c>
      <c r="F15" s="3">
        <f t="shared" si="0"/>
        <v>3000</v>
      </c>
      <c r="G15" s="57">
        <f>1800</f>
        <v>1800</v>
      </c>
      <c r="H15" s="3">
        <f>F15-G15</f>
        <v>1200</v>
      </c>
    </row>
    <row r="16" spans="1:9" x14ac:dyDescent="0.25">
      <c r="A16">
        <v>12</v>
      </c>
      <c r="B16" s="63" t="s">
        <v>37</v>
      </c>
      <c r="C16" s="63"/>
      <c r="D16" s="3">
        <f>'MAY21'!H16:H36</f>
        <v>7200</v>
      </c>
      <c r="E16" s="3"/>
      <c r="F16" s="3">
        <f>D16+E16+2500</f>
        <v>9700</v>
      </c>
      <c r="G16" s="3"/>
      <c r="H16" s="3">
        <f t="shared" si="1"/>
        <v>9700</v>
      </c>
    </row>
    <row r="17" spans="1:17" x14ac:dyDescent="0.25">
      <c r="A17" s="6">
        <v>13</v>
      </c>
      <c r="B17" s="60" t="s">
        <v>30</v>
      </c>
      <c r="C17" s="60"/>
      <c r="D17" s="3">
        <f>'MAY21'!H17:H37</f>
        <v>0</v>
      </c>
      <c r="E17" s="57"/>
      <c r="F17" s="58">
        <f t="shared" si="0"/>
        <v>0</v>
      </c>
      <c r="G17" s="58"/>
      <c r="H17" s="58">
        <f t="shared" si="1"/>
        <v>0</v>
      </c>
    </row>
    <row r="18" spans="1:17" x14ac:dyDescent="0.25">
      <c r="A18">
        <v>14</v>
      </c>
      <c r="B18" s="13" t="s">
        <v>123</v>
      </c>
      <c r="C18" s="13"/>
      <c r="D18" s="3">
        <f>'MAY21'!H18:H38</f>
        <v>1800</v>
      </c>
      <c r="E18" s="13">
        <v>2500</v>
      </c>
      <c r="F18" s="3">
        <f t="shared" si="0"/>
        <v>4300</v>
      </c>
      <c r="G18" s="13">
        <f>1000+1000+500</f>
        <v>2500</v>
      </c>
      <c r="H18" s="13">
        <f t="shared" si="1"/>
        <v>1800</v>
      </c>
    </row>
    <row r="19" spans="1:17" x14ac:dyDescent="0.25">
      <c r="A19" t="s">
        <v>233</v>
      </c>
      <c r="B19" s="3" t="s">
        <v>35</v>
      </c>
      <c r="C19" s="3"/>
      <c r="D19" s="3">
        <f>'MAY21'!H19:H39</f>
        <v>0</v>
      </c>
      <c r="E19" s="3">
        <v>4500</v>
      </c>
      <c r="F19" s="3">
        <f t="shared" si="0"/>
        <v>4500</v>
      </c>
      <c r="G19" s="13"/>
      <c r="H19" s="13">
        <f t="shared" si="1"/>
        <v>4500</v>
      </c>
    </row>
    <row r="20" spans="1:17" x14ac:dyDescent="0.25">
      <c r="A20">
        <v>17</v>
      </c>
      <c r="B20" s="13" t="s">
        <v>247</v>
      </c>
      <c r="C20" s="13"/>
      <c r="D20" s="3">
        <f>'MAY21'!H20:H40</f>
        <v>2200</v>
      </c>
      <c r="E20" s="13">
        <v>3000</v>
      </c>
      <c r="F20" s="3">
        <f t="shared" si="0"/>
        <v>5200</v>
      </c>
      <c r="G20" s="13">
        <f>3000</f>
        <v>3000</v>
      </c>
      <c r="H20" s="13">
        <f>F20-G20</f>
        <v>2200</v>
      </c>
    </row>
    <row r="21" spans="1:17" x14ac:dyDescent="0.25">
      <c r="A21">
        <v>18</v>
      </c>
      <c r="B21" s="13" t="s">
        <v>275</v>
      </c>
      <c r="C21" s="13"/>
      <c r="D21" s="3">
        <f>'MAY21'!H21:H41</f>
        <v>0</v>
      </c>
      <c r="E21" s="13">
        <v>3000</v>
      </c>
      <c r="F21" s="3">
        <f t="shared" si="0"/>
        <v>3000</v>
      </c>
      <c r="G21" s="13">
        <f>3000</f>
        <v>3000</v>
      </c>
      <c r="H21" s="13">
        <f t="shared" si="1"/>
        <v>0</v>
      </c>
    </row>
    <row r="22" spans="1:17" x14ac:dyDescent="0.25">
      <c r="A22">
        <v>19</v>
      </c>
      <c r="B22" s="17" t="s">
        <v>258</v>
      </c>
      <c r="C22" s="3"/>
      <c r="D22" s="3">
        <f>'MAY21'!H22:H42</f>
        <v>5200</v>
      </c>
      <c r="E22" s="3"/>
      <c r="F22" s="3">
        <f>D22+E22+3000</f>
        <v>8200</v>
      </c>
      <c r="G22" s="3"/>
      <c r="H22" s="13">
        <f t="shared" si="1"/>
        <v>8200</v>
      </c>
      <c r="J22">
        <f>5200+5000</f>
        <v>10200</v>
      </c>
    </row>
    <row r="23" spans="1:17" x14ac:dyDescent="0.25">
      <c r="A23">
        <v>20</v>
      </c>
      <c r="B23" s="3" t="s">
        <v>244</v>
      </c>
      <c r="C23" s="3"/>
      <c r="D23" s="3">
        <f>'MAY21'!H23:H43</f>
        <v>1000</v>
      </c>
      <c r="E23" s="3">
        <v>3000</v>
      </c>
      <c r="F23" s="3">
        <f t="shared" si="0"/>
        <v>4000</v>
      </c>
      <c r="G23" s="3">
        <f>1500+2000</f>
        <v>3500</v>
      </c>
      <c r="H23" s="13">
        <f t="shared" si="1"/>
        <v>500</v>
      </c>
      <c r="I23" s="31"/>
    </row>
    <row r="24" spans="1:17" x14ac:dyDescent="0.25">
      <c r="B24" s="30" t="s">
        <v>64</v>
      </c>
      <c r="C24" s="30">
        <f t="shared" ref="C24" si="2">SUM(C5:C22)</f>
        <v>0</v>
      </c>
      <c r="D24" s="3">
        <f>'MAY21'!H24:H44</f>
        <v>33500</v>
      </c>
      <c r="E24" s="30">
        <f>SUM(E5:E23)</f>
        <v>23500</v>
      </c>
      <c r="F24" s="30">
        <f>SUM(F5:F23)</f>
        <v>62500</v>
      </c>
      <c r="G24" s="30">
        <f>SUM(G5:G23)</f>
        <v>19400</v>
      </c>
      <c r="H24" s="30">
        <f>SUM(H5:H23)</f>
        <v>43100</v>
      </c>
    </row>
    <row r="25" spans="1:17" x14ac:dyDescent="0.25">
      <c r="C25" s="34"/>
      <c r="D25" s="3">
        <f>'MARCH 21'!H25:H47</f>
        <v>0</v>
      </c>
      <c r="E25" s="33"/>
      <c r="F25" s="46"/>
      <c r="G25" s="10"/>
      <c r="H25" s="35">
        <f>H24-2500-1800-1000</f>
        <v>37800</v>
      </c>
      <c r="I25" s="65">
        <f>H25+Q30+Q32+Q33</f>
        <v>43426</v>
      </c>
    </row>
    <row r="26" spans="1:17" x14ac:dyDescent="0.25">
      <c r="B26" s="36" t="s">
        <v>13</v>
      </c>
      <c r="C26" s="36"/>
      <c r="D26" s="36"/>
      <c r="E26" s="37"/>
      <c r="F26" s="36" t="s">
        <v>14</v>
      </c>
      <c r="G26" s="31"/>
      <c r="H26" s="31" t="s">
        <v>9</v>
      </c>
      <c r="I26" s="6"/>
    </row>
    <row r="27" spans="1:17" x14ac:dyDescent="0.25">
      <c r="B27" s="30" t="s">
        <v>15</v>
      </c>
      <c r="C27" s="30" t="s">
        <v>16</v>
      </c>
      <c r="D27" s="30" t="s">
        <v>17</v>
      </c>
      <c r="E27" s="30" t="s">
        <v>18</v>
      </c>
      <c r="F27" s="30"/>
      <c r="G27" s="30"/>
      <c r="H27" s="30" t="s">
        <v>17</v>
      </c>
      <c r="I27" s="30" t="s">
        <v>18</v>
      </c>
    </row>
    <row r="28" spans="1:17" x14ac:dyDescent="0.25">
      <c r="B28" s="29" t="s">
        <v>91</v>
      </c>
      <c r="C28" s="38">
        <f>E24</f>
        <v>23500</v>
      </c>
      <c r="D28" s="29"/>
      <c r="E28" s="29"/>
      <c r="F28" s="29" t="s">
        <v>91</v>
      </c>
      <c r="G28" s="38">
        <f>G24</f>
        <v>19400</v>
      </c>
      <c r="H28" s="29"/>
      <c r="I28" s="29"/>
      <c r="N28" s="59" t="s">
        <v>281</v>
      </c>
      <c r="P28" s="6" t="s">
        <v>14</v>
      </c>
      <c r="Q28" s="6" t="s">
        <v>9</v>
      </c>
    </row>
    <row r="29" spans="1:17" x14ac:dyDescent="0.25">
      <c r="B29" s="29" t="s">
        <v>5</v>
      </c>
      <c r="C29" s="38">
        <f>'MAY21'!E38</f>
        <v>-262</v>
      </c>
      <c r="D29" s="29"/>
      <c r="E29" s="29"/>
      <c r="F29" s="29" t="s">
        <v>5</v>
      </c>
      <c r="G29" s="38">
        <f>'MAY21'!I38</f>
        <v>-32262</v>
      </c>
      <c r="H29" s="29"/>
      <c r="I29" s="29"/>
      <c r="N29" s="31"/>
      <c r="O29" s="31"/>
    </row>
    <row r="30" spans="1:17" x14ac:dyDescent="0.25">
      <c r="B30" s="29" t="s">
        <v>70</v>
      </c>
      <c r="C30" s="38"/>
      <c r="D30" s="29"/>
      <c r="E30" s="29"/>
      <c r="F30" s="29" t="s">
        <v>70</v>
      </c>
      <c r="G30" s="38"/>
      <c r="H30" s="29"/>
      <c r="I30" s="29"/>
      <c r="N30" s="31" t="s">
        <v>268</v>
      </c>
      <c r="O30" s="31">
        <f>2500</f>
        <v>2500</v>
      </c>
      <c r="P30">
        <v>1500</v>
      </c>
      <c r="Q30">
        <f>O30-P30</f>
        <v>1000</v>
      </c>
    </row>
    <row r="31" spans="1:17" x14ac:dyDescent="0.25">
      <c r="B31" s="29" t="s">
        <v>20</v>
      </c>
      <c r="C31" s="39">
        <v>0.1</v>
      </c>
      <c r="D31" s="38">
        <f>C31*C28</f>
        <v>2350</v>
      </c>
      <c r="E31" s="29"/>
      <c r="F31" s="29" t="s">
        <v>20</v>
      </c>
      <c r="G31" s="39">
        <v>0.1</v>
      </c>
      <c r="H31" s="38">
        <f>G31*C28</f>
        <v>2350</v>
      </c>
      <c r="I31" s="29"/>
      <c r="N31" s="48" t="s">
        <v>269</v>
      </c>
      <c r="O31" s="31">
        <v>5000</v>
      </c>
      <c r="Q31">
        <f>O31-P31</f>
        <v>5000</v>
      </c>
    </row>
    <row r="32" spans="1:17" x14ac:dyDescent="0.25">
      <c r="B32" s="30" t="s">
        <v>21</v>
      </c>
      <c r="C32" s="30" t="s">
        <v>22</v>
      </c>
      <c r="D32" s="30"/>
      <c r="E32" s="30"/>
      <c r="F32" s="30" t="s">
        <v>21</v>
      </c>
      <c r="G32" s="40"/>
      <c r="H32" s="30"/>
      <c r="I32" s="30"/>
      <c r="J32" s="15"/>
      <c r="N32" s="48" t="s">
        <v>270</v>
      </c>
      <c r="O32" s="31">
        <v>3800</v>
      </c>
      <c r="P32">
        <v>3000</v>
      </c>
      <c r="Q32">
        <f t="shared" ref="Q32:Q34" si="3">O32-P32</f>
        <v>800</v>
      </c>
    </row>
    <row r="33" spans="2:17" x14ac:dyDescent="0.25">
      <c r="B33" s="29"/>
      <c r="C33" s="29"/>
      <c r="D33" s="29"/>
      <c r="E33" s="30"/>
      <c r="F33" s="29"/>
      <c r="G33" s="29"/>
      <c r="H33" s="29"/>
      <c r="I33" s="30"/>
      <c r="J33" s="15"/>
      <c r="N33" s="48" t="s">
        <v>280</v>
      </c>
      <c r="O33" s="31">
        <v>3826</v>
      </c>
      <c r="P33">
        <v>0</v>
      </c>
      <c r="Q33">
        <f t="shared" si="3"/>
        <v>3826</v>
      </c>
    </row>
    <row r="34" spans="2:17" x14ac:dyDescent="0.25">
      <c r="B34" s="29" t="s">
        <v>307</v>
      </c>
      <c r="C34" s="29"/>
      <c r="D34" s="29">
        <v>3000</v>
      </c>
      <c r="E34" s="30"/>
      <c r="F34" s="29" t="s">
        <v>307</v>
      </c>
      <c r="G34" s="29"/>
      <c r="H34" s="29">
        <v>3000</v>
      </c>
      <c r="I34" s="30"/>
      <c r="N34" s="48" t="s">
        <v>298</v>
      </c>
      <c r="O34" s="31">
        <v>2000</v>
      </c>
      <c r="P34">
        <v>2000</v>
      </c>
      <c r="Q34">
        <f t="shared" si="3"/>
        <v>0</v>
      </c>
    </row>
    <row r="35" spans="2:17" x14ac:dyDescent="0.25">
      <c r="B35" s="30" t="s">
        <v>308</v>
      </c>
      <c r="C35" s="30"/>
      <c r="D35" s="30">
        <v>17102</v>
      </c>
      <c r="E35" s="30"/>
      <c r="F35" s="30" t="s">
        <v>308</v>
      </c>
      <c r="G35" s="30"/>
      <c r="H35" s="30">
        <v>17102</v>
      </c>
      <c r="I35" s="30"/>
      <c r="N35" s="48" t="s">
        <v>282</v>
      </c>
      <c r="O35" s="31">
        <f>SUM(O30:O34)</f>
        <v>17126</v>
      </c>
      <c r="Q35">
        <f>SUM(Q30:Q34)</f>
        <v>10626</v>
      </c>
    </row>
    <row r="36" spans="2:17" x14ac:dyDescent="0.25">
      <c r="B36" s="30"/>
      <c r="C36" s="30"/>
      <c r="D36" s="30"/>
      <c r="E36" s="30"/>
      <c r="F36" s="30"/>
      <c r="G36" s="30"/>
      <c r="H36" s="30"/>
      <c r="I36" s="30"/>
      <c r="J36" s="15">
        <f>H25+I38</f>
        <v>-614</v>
      </c>
    </row>
    <row r="37" spans="2:17" x14ac:dyDescent="0.25">
      <c r="B37" s="41" t="s">
        <v>311</v>
      </c>
      <c r="C37" s="29"/>
      <c r="D37" s="29">
        <f>2500+300+300</f>
        <v>3100</v>
      </c>
      <c r="E37" s="29"/>
      <c r="F37" s="41" t="s">
        <v>310</v>
      </c>
      <c r="G37" s="29"/>
      <c r="H37" s="29">
        <f>2500+300+300</f>
        <v>3100</v>
      </c>
      <c r="I37" s="29"/>
      <c r="J37" s="65"/>
      <c r="O37" s="59" t="s">
        <v>299</v>
      </c>
      <c r="P37" s="6"/>
      <c r="Q37" s="6">
        <v>5000</v>
      </c>
    </row>
    <row r="38" spans="2:17" x14ac:dyDescent="0.25">
      <c r="B38" s="30" t="s">
        <v>11</v>
      </c>
      <c r="C38" s="40">
        <f>C28+C29+C30-D31</f>
        <v>20888</v>
      </c>
      <c r="D38" s="40">
        <f>SUM(D33:D37)</f>
        <v>23202</v>
      </c>
      <c r="E38" s="40">
        <f>C38-D38</f>
        <v>-2314</v>
      </c>
      <c r="F38" s="30" t="s">
        <v>11</v>
      </c>
      <c r="G38" s="40">
        <f>G28+G29+G30-H31</f>
        <v>-15212</v>
      </c>
      <c r="H38" s="40">
        <f>SUM(H33:H37)</f>
        <v>23202</v>
      </c>
      <c r="I38" s="40">
        <f>G38-H38</f>
        <v>-38414</v>
      </c>
      <c r="J38" s="65"/>
      <c r="Q38">
        <f>O35-P30-Q37</f>
        <v>10626</v>
      </c>
    </row>
    <row r="39" spans="2:17" x14ac:dyDescent="0.25">
      <c r="B39" s="31"/>
      <c r="C39" s="31"/>
      <c r="D39" s="31"/>
      <c r="E39" s="31"/>
      <c r="F39" s="31"/>
      <c r="G39" s="31"/>
      <c r="H39" s="31"/>
      <c r="I39" s="31"/>
    </row>
    <row r="40" spans="2:17" x14ac:dyDescent="0.25">
      <c r="B40" s="31" t="s">
        <v>23</v>
      </c>
      <c r="C40" s="31"/>
      <c r="D40" s="31" t="s">
        <v>24</v>
      </c>
      <c r="E40" s="31"/>
      <c r="F40" s="31"/>
      <c r="G40" s="31" t="s">
        <v>25</v>
      </c>
      <c r="H40" s="31"/>
      <c r="I40" s="31"/>
      <c r="Q40">
        <f>Q38-Q39</f>
        <v>10626</v>
      </c>
    </row>
    <row r="41" spans="2:17" x14ac:dyDescent="0.25">
      <c r="B41" s="31"/>
      <c r="C41" s="31"/>
      <c r="D41" s="31"/>
      <c r="E41" s="31"/>
      <c r="F41" s="31"/>
      <c r="G41" s="31"/>
      <c r="H41" s="31"/>
      <c r="I41" s="31"/>
    </row>
    <row r="42" spans="2:17" x14ac:dyDescent="0.25">
      <c r="B42" s="31" t="s">
        <v>108</v>
      </c>
      <c r="C42" s="31"/>
      <c r="D42" s="31" t="s">
        <v>27</v>
      </c>
      <c r="E42" s="31"/>
      <c r="F42" s="31"/>
      <c r="G42" s="31" t="s">
        <v>46</v>
      </c>
      <c r="H42" s="31"/>
      <c r="I42" s="48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workbookViewId="0">
      <selection activeCell="H12" sqref="H12:H14"/>
    </sheetView>
  </sheetViews>
  <sheetFormatPr defaultRowHeight="15" x14ac:dyDescent="0.25"/>
  <cols>
    <col min="3" max="3" width="17.85546875" customWidth="1"/>
    <col min="13" max="13" width="11.7109375" customWidth="1"/>
  </cols>
  <sheetData>
    <row r="1" spans="1:9" x14ac:dyDescent="0.25">
      <c r="C1" s="1" t="s">
        <v>28</v>
      </c>
      <c r="D1" s="1"/>
      <c r="E1" s="1"/>
      <c r="F1" s="1"/>
    </row>
    <row r="2" spans="1:9" x14ac:dyDescent="0.25">
      <c r="B2" s="1"/>
      <c r="C2" s="1" t="s">
        <v>0</v>
      </c>
      <c r="D2" s="1"/>
      <c r="E2" s="1"/>
      <c r="F2" s="1"/>
      <c r="G2" s="1"/>
      <c r="H2" s="1"/>
    </row>
    <row r="3" spans="1:9" x14ac:dyDescent="0.25">
      <c r="B3" s="1"/>
      <c r="C3" s="1" t="s">
        <v>314</v>
      </c>
      <c r="D3" s="1"/>
      <c r="E3" s="1"/>
      <c r="F3" s="1"/>
      <c r="G3" s="1"/>
      <c r="H3" s="1"/>
    </row>
    <row r="4" spans="1:9" x14ac:dyDescent="0.25">
      <c r="A4" t="s">
        <v>110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</row>
    <row r="5" spans="1:9" x14ac:dyDescent="0.25">
      <c r="A5">
        <v>1</v>
      </c>
      <c r="B5" s="63" t="s">
        <v>82</v>
      </c>
      <c r="C5" s="3"/>
      <c r="D5" s="3">
        <f>'JUNE 21'!H5:H24</f>
        <v>0</v>
      </c>
      <c r="E5" s="3">
        <f>2500+3000</f>
        <v>5500</v>
      </c>
      <c r="F5" s="3">
        <f>D5+E5</f>
        <v>5500</v>
      </c>
      <c r="G5" s="3">
        <f>2500+3000</f>
        <v>5500</v>
      </c>
      <c r="H5" s="3">
        <f>F5-G5</f>
        <v>0</v>
      </c>
    </row>
    <row r="6" spans="1:9" x14ac:dyDescent="0.25">
      <c r="A6">
        <v>2</v>
      </c>
      <c r="B6" s="17" t="s">
        <v>236</v>
      </c>
      <c r="C6" s="17"/>
      <c r="D6" s="3">
        <v>5000</v>
      </c>
      <c r="E6" s="3"/>
      <c r="F6" s="3">
        <f t="shared" ref="F6:F23" si="0">D6+E6</f>
        <v>5000</v>
      </c>
      <c r="G6" s="3"/>
      <c r="H6" s="3"/>
      <c r="I6" t="s">
        <v>48</v>
      </c>
    </row>
    <row r="7" spans="1:9" x14ac:dyDescent="0.25">
      <c r="A7">
        <v>3</v>
      </c>
      <c r="B7" s="64" t="s">
        <v>147</v>
      </c>
      <c r="C7" s="64"/>
      <c r="D7" s="3">
        <f>'JUNE 21'!H7:H26</f>
        <v>5000</v>
      </c>
      <c r="E7" s="56"/>
      <c r="F7" s="56">
        <f t="shared" si="0"/>
        <v>5000</v>
      </c>
      <c r="G7" s="56">
        <f>4000</f>
        <v>4000</v>
      </c>
      <c r="H7" s="3">
        <f t="shared" ref="H7:H23" si="1">F7-G7</f>
        <v>1000</v>
      </c>
    </row>
    <row r="8" spans="1:9" x14ac:dyDescent="0.25">
      <c r="A8">
        <v>4</v>
      </c>
      <c r="B8" s="17" t="s">
        <v>41</v>
      </c>
      <c r="C8" s="3"/>
      <c r="D8" s="3">
        <f>'JUNE 21'!H8:H27</f>
        <v>0</v>
      </c>
      <c r="E8" s="3"/>
      <c r="F8" s="3">
        <f t="shared" si="0"/>
        <v>0</v>
      </c>
      <c r="G8" s="3"/>
      <c r="H8" s="3">
        <f t="shared" si="1"/>
        <v>0</v>
      </c>
    </row>
    <row r="9" spans="1:9" x14ac:dyDescent="0.25">
      <c r="A9">
        <v>5</v>
      </c>
      <c r="B9" s="17" t="s">
        <v>30</v>
      </c>
      <c r="C9" s="3"/>
      <c r="D9" s="3">
        <f>'JUNE 21'!H9:H28</f>
        <v>0</v>
      </c>
      <c r="E9" s="3"/>
      <c r="F9" s="3">
        <f t="shared" si="0"/>
        <v>0</v>
      </c>
      <c r="G9" s="3"/>
      <c r="H9" s="3">
        <f t="shared" si="1"/>
        <v>0</v>
      </c>
    </row>
    <row r="10" spans="1:9" x14ac:dyDescent="0.25">
      <c r="A10">
        <v>6</v>
      </c>
      <c r="B10" s="3" t="s">
        <v>30</v>
      </c>
      <c r="C10" s="3"/>
      <c r="D10" s="3"/>
      <c r="E10" s="3"/>
      <c r="F10" s="3">
        <f t="shared" si="0"/>
        <v>0</v>
      </c>
      <c r="G10" s="3"/>
      <c r="H10" s="3">
        <f t="shared" si="1"/>
        <v>0</v>
      </c>
    </row>
    <row r="11" spans="1:9" x14ac:dyDescent="0.25">
      <c r="A11">
        <v>7</v>
      </c>
      <c r="B11" s="29" t="s">
        <v>289</v>
      </c>
      <c r="D11" s="3">
        <f>'JUNE 21'!H11:H30</f>
        <v>2500</v>
      </c>
      <c r="E11" s="3">
        <v>2500</v>
      </c>
      <c r="F11" s="3">
        <f t="shared" si="0"/>
        <v>5000</v>
      </c>
      <c r="G11" s="3">
        <f>1400+1100</f>
        <v>2500</v>
      </c>
      <c r="H11" s="3">
        <f t="shared" si="1"/>
        <v>2500</v>
      </c>
    </row>
    <row r="12" spans="1:9" x14ac:dyDescent="0.25">
      <c r="A12">
        <v>8</v>
      </c>
      <c r="B12" s="17" t="s">
        <v>30</v>
      </c>
      <c r="C12" s="3"/>
      <c r="D12" s="3">
        <f>'JUNE 21'!H12:H31</f>
        <v>0</v>
      </c>
      <c r="E12" s="3"/>
      <c r="F12" s="3">
        <f t="shared" si="0"/>
        <v>0</v>
      </c>
      <c r="G12" s="3"/>
      <c r="H12" s="3">
        <f>F12-G12</f>
        <v>0</v>
      </c>
    </row>
    <row r="13" spans="1:9" x14ac:dyDescent="0.25">
      <c r="A13">
        <v>9</v>
      </c>
      <c r="B13" s="17" t="s">
        <v>107</v>
      </c>
      <c r="C13" s="3"/>
      <c r="D13" s="3">
        <f>'JUNE 21'!H13:H32</f>
        <v>0</v>
      </c>
      <c r="E13" s="3"/>
      <c r="F13" s="3">
        <f t="shared" si="0"/>
        <v>0</v>
      </c>
      <c r="G13" s="3"/>
      <c r="H13" s="3">
        <f t="shared" si="1"/>
        <v>0</v>
      </c>
    </row>
    <row r="14" spans="1:9" x14ac:dyDescent="0.25">
      <c r="A14">
        <v>10</v>
      </c>
      <c r="B14" s="17" t="s">
        <v>30</v>
      </c>
      <c r="C14" s="3"/>
      <c r="D14" s="3">
        <f>'JUNE 21'!H14:H33</f>
        <v>0</v>
      </c>
      <c r="E14" s="3"/>
      <c r="F14" s="3">
        <f t="shared" si="0"/>
        <v>0</v>
      </c>
      <c r="G14" s="3"/>
      <c r="H14" s="3">
        <f t="shared" si="1"/>
        <v>0</v>
      </c>
    </row>
    <row r="15" spans="1:9" x14ac:dyDescent="0.25">
      <c r="A15">
        <v>11</v>
      </c>
      <c r="B15" s="57" t="s">
        <v>148</v>
      </c>
      <c r="C15" s="57"/>
      <c r="D15" s="3">
        <f>'JUNE 21'!H15:H34</f>
        <v>1200</v>
      </c>
      <c r="E15" s="57">
        <v>2500</v>
      </c>
      <c r="F15" s="3">
        <f t="shared" si="0"/>
        <v>3700</v>
      </c>
      <c r="G15" s="57">
        <f>2500</f>
        <v>2500</v>
      </c>
      <c r="H15" s="3">
        <f>F15-G15</f>
        <v>1200</v>
      </c>
    </row>
    <row r="16" spans="1:9" x14ac:dyDescent="0.25">
      <c r="A16">
        <v>12</v>
      </c>
      <c r="B16" s="63" t="s">
        <v>37</v>
      </c>
      <c r="C16" s="63"/>
      <c r="D16" s="3">
        <f>'JUNE 21'!H16:H35</f>
        <v>9700</v>
      </c>
      <c r="E16" s="3"/>
      <c r="F16" s="3">
        <f>D16+E16+2500</f>
        <v>12200</v>
      </c>
      <c r="G16" s="3"/>
      <c r="H16" s="3">
        <f t="shared" si="1"/>
        <v>12200</v>
      </c>
    </row>
    <row r="17" spans="1:16" x14ac:dyDescent="0.25">
      <c r="A17" s="6">
        <v>13</v>
      </c>
      <c r="B17" s="60" t="s">
        <v>30</v>
      </c>
      <c r="C17" s="60"/>
      <c r="D17" s="3">
        <f>'JUNE 21'!H17:H36</f>
        <v>0</v>
      </c>
      <c r="E17" s="57"/>
      <c r="F17" s="58">
        <f t="shared" si="0"/>
        <v>0</v>
      </c>
      <c r="G17" s="58"/>
      <c r="H17" s="58">
        <f t="shared" si="1"/>
        <v>0</v>
      </c>
    </row>
    <row r="18" spans="1:16" x14ac:dyDescent="0.25">
      <c r="A18">
        <v>14</v>
      </c>
      <c r="B18" s="13" t="s">
        <v>123</v>
      </c>
      <c r="C18" s="13"/>
      <c r="D18" s="3">
        <f>'JUNE 21'!H18:H37</f>
        <v>1800</v>
      </c>
      <c r="E18" s="13">
        <v>2500</v>
      </c>
      <c r="F18" s="3">
        <f t="shared" si="0"/>
        <v>4300</v>
      </c>
      <c r="G18" s="13">
        <f>1000+1000+500</f>
        <v>2500</v>
      </c>
      <c r="H18" s="13">
        <f t="shared" si="1"/>
        <v>1800</v>
      </c>
    </row>
    <row r="19" spans="1:16" x14ac:dyDescent="0.25">
      <c r="A19" t="s">
        <v>233</v>
      </c>
      <c r="B19" s="3" t="s">
        <v>35</v>
      </c>
      <c r="C19" s="3"/>
      <c r="D19" s="3">
        <f>'JUNE 21'!H19:H38</f>
        <v>4500</v>
      </c>
      <c r="E19" s="3">
        <v>4500</v>
      </c>
      <c r="F19" s="3">
        <f t="shared" si="0"/>
        <v>9000</v>
      </c>
      <c r="G19" s="13">
        <v>4500</v>
      </c>
      <c r="H19" s="13">
        <f t="shared" si="1"/>
        <v>4500</v>
      </c>
    </row>
    <row r="20" spans="1:16" x14ac:dyDescent="0.25">
      <c r="A20">
        <v>17</v>
      </c>
      <c r="B20" s="63" t="s">
        <v>247</v>
      </c>
      <c r="C20" s="63"/>
      <c r="D20" s="3">
        <f>'JUNE 21'!H20:H39</f>
        <v>2200</v>
      </c>
      <c r="E20" s="13">
        <v>3000</v>
      </c>
      <c r="F20" s="3">
        <f t="shared" si="0"/>
        <v>5200</v>
      </c>
      <c r="G20" s="13">
        <f>2900+2300</f>
        <v>5200</v>
      </c>
      <c r="H20" s="13">
        <f>F20-G20</f>
        <v>0</v>
      </c>
    </row>
    <row r="21" spans="1:16" x14ac:dyDescent="0.25">
      <c r="A21">
        <v>18</v>
      </c>
      <c r="B21" s="13" t="s">
        <v>275</v>
      </c>
      <c r="C21" s="13"/>
      <c r="D21" s="3">
        <f>'JUNE 21'!H21:H40</f>
        <v>0</v>
      </c>
      <c r="E21" s="13">
        <v>3000</v>
      </c>
      <c r="F21" s="3">
        <f t="shared" si="0"/>
        <v>3000</v>
      </c>
      <c r="G21" s="13">
        <f>3000</f>
        <v>3000</v>
      </c>
      <c r="H21" s="13">
        <f t="shared" si="1"/>
        <v>0</v>
      </c>
    </row>
    <row r="22" spans="1:16" x14ac:dyDescent="0.25">
      <c r="A22">
        <v>19</v>
      </c>
      <c r="B22" s="63" t="s">
        <v>258</v>
      </c>
      <c r="C22" s="63"/>
      <c r="D22" s="3">
        <f>'JUNE 21'!H22:H41</f>
        <v>8200</v>
      </c>
      <c r="E22" s="3"/>
      <c r="F22" s="3">
        <f>D22+E22+3000</f>
        <v>11200</v>
      </c>
      <c r="G22" s="3">
        <v>2000</v>
      </c>
      <c r="H22" s="13">
        <f t="shared" si="1"/>
        <v>9200</v>
      </c>
    </row>
    <row r="23" spans="1:16" x14ac:dyDescent="0.25">
      <c r="A23">
        <v>20</v>
      </c>
      <c r="B23" s="3" t="s">
        <v>244</v>
      </c>
      <c r="C23" s="3"/>
      <c r="D23" s="3">
        <f>'JUNE 21'!H23:H42</f>
        <v>500</v>
      </c>
      <c r="E23" s="3">
        <v>3000</v>
      </c>
      <c r="F23" s="3">
        <f t="shared" si="0"/>
        <v>3500</v>
      </c>
      <c r="G23" s="3">
        <f>3000+500</f>
        <v>3500</v>
      </c>
      <c r="H23" s="13">
        <f t="shared" si="1"/>
        <v>0</v>
      </c>
      <c r="I23" s="31"/>
    </row>
    <row r="24" spans="1:16" x14ac:dyDescent="0.25">
      <c r="B24" s="30" t="s">
        <v>64</v>
      </c>
      <c r="C24" s="30">
        <f t="shared" ref="C24" si="2">SUM(C5:C22)</f>
        <v>0</v>
      </c>
      <c r="D24" s="3">
        <f>SUM(D5:D23)</f>
        <v>40600</v>
      </c>
      <c r="E24" s="30">
        <f>SUM(E5:E23)</f>
        <v>26500</v>
      </c>
      <c r="F24" s="30">
        <f>SUM(F5:F23)</f>
        <v>72600</v>
      </c>
      <c r="G24" s="30">
        <f>SUM(G5:G23)</f>
        <v>35200</v>
      </c>
      <c r="H24" s="30">
        <f>SUM(H5:H23)</f>
        <v>32400</v>
      </c>
      <c r="I24" s="66"/>
    </row>
    <row r="25" spans="1:16" x14ac:dyDescent="0.25">
      <c r="C25" s="34"/>
      <c r="D25" s="3">
        <f>'MARCH 21'!H25:H47</f>
        <v>0</v>
      </c>
      <c r="E25" s="33"/>
      <c r="F25" s="46"/>
      <c r="G25" s="10"/>
      <c r="H25" s="35">
        <f>H24+P39</f>
        <v>41426</v>
      </c>
    </row>
    <row r="26" spans="1:16" x14ac:dyDescent="0.25">
      <c r="B26" s="36" t="s">
        <v>13</v>
      </c>
      <c r="C26" s="36"/>
      <c r="D26" s="36"/>
      <c r="E26" s="37"/>
      <c r="F26" s="36" t="s">
        <v>14</v>
      </c>
      <c r="G26" s="31"/>
      <c r="H26" s="31" t="s">
        <v>9</v>
      </c>
      <c r="I26" s="6"/>
    </row>
    <row r="27" spans="1:16" x14ac:dyDescent="0.25">
      <c r="B27" s="30" t="s">
        <v>15</v>
      </c>
      <c r="C27" s="30" t="s">
        <v>16</v>
      </c>
      <c r="D27" s="30" t="s">
        <v>17</v>
      </c>
      <c r="E27" s="30" t="s">
        <v>18</v>
      </c>
      <c r="F27" s="30"/>
      <c r="G27" s="30"/>
      <c r="H27" s="30" t="s">
        <v>17</v>
      </c>
      <c r="I27" s="30" t="s">
        <v>18</v>
      </c>
      <c r="M27" s="59" t="s">
        <v>281</v>
      </c>
      <c r="O27" s="6" t="s">
        <v>14</v>
      </c>
      <c r="P27" s="6" t="s">
        <v>9</v>
      </c>
    </row>
    <row r="28" spans="1:16" x14ac:dyDescent="0.25">
      <c r="B28" s="29" t="s">
        <v>95</v>
      </c>
      <c r="C28" s="38">
        <f>E24</f>
        <v>26500</v>
      </c>
      <c r="D28" s="29"/>
      <c r="E28" s="29"/>
      <c r="F28" s="29" t="s">
        <v>95</v>
      </c>
      <c r="G28" s="38">
        <f>G24</f>
        <v>35200</v>
      </c>
      <c r="H28" s="29"/>
      <c r="I28" s="29"/>
      <c r="M28" s="31"/>
      <c r="N28" s="31"/>
    </row>
    <row r="29" spans="1:16" x14ac:dyDescent="0.25">
      <c r="B29" s="29" t="s">
        <v>313</v>
      </c>
      <c r="C29" s="38">
        <f>'JUNE 21'!E38</f>
        <v>-2314</v>
      </c>
      <c r="D29" s="29"/>
      <c r="E29" s="29"/>
      <c r="F29" s="29" t="s">
        <v>5</v>
      </c>
      <c r="G29" s="38">
        <f>'JUNE 21'!I38</f>
        <v>-38414</v>
      </c>
      <c r="H29" s="29"/>
      <c r="I29" s="29"/>
      <c r="M29" s="31" t="s">
        <v>268</v>
      </c>
      <c r="N29" s="31">
        <f>2500</f>
        <v>2500</v>
      </c>
      <c r="O29">
        <v>1500</v>
      </c>
      <c r="P29">
        <f>N29-O29</f>
        <v>1000</v>
      </c>
    </row>
    <row r="30" spans="1:16" x14ac:dyDescent="0.25">
      <c r="B30" s="29" t="s">
        <v>70</v>
      </c>
      <c r="C30" s="38"/>
      <c r="D30" s="29"/>
      <c r="E30" s="29"/>
      <c r="F30" s="29" t="s">
        <v>70</v>
      </c>
      <c r="G30" s="38"/>
      <c r="H30" s="29"/>
      <c r="I30" s="29"/>
      <c r="M30" s="48" t="s">
        <v>269</v>
      </c>
      <c r="N30" s="31">
        <v>5000</v>
      </c>
      <c r="P30">
        <f>N30-O30</f>
        <v>5000</v>
      </c>
    </row>
    <row r="31" spans="1:16" x14ac:dyDescent="0.25">
      <c r="B31" s="29" t="s">
        <v>20</v>
      </c>
      <c r="C31" s="39">
        <v>0.1</v>
      </c>
      <c r="D31" s="38">
        <f>C31*C28</f>
        <v>2650</v>
      </c>
      <c r="E31" s="29"/>
      <c r="F31" s="29" t="s">
        <v>20</v>
      </c>
      <c r="G31" s="39">
        <v>0.1</v>
      </c>
      <c r="H31" s="38">
        <f>G31*C28</f>
        <v>2650</v>
      </c>
      <c r="I31" s="29"/>
      <c r="M31" s="48" t="s">
        <v>270</v>
      </c>
      <c r="N31" s="31">
        <v>3800</v>
      </c>
      <c r="P31">
        <f t="shared" ref="P31:P33" si="3">N31-O31</f>
        <v>3800</v>
      </c>
    </row>
    <row r="32" spans="1:16" x14ac:dyDescent="0.25">
      <c r="B32" s="30" t="s">
        <v>21</v>
      </c>
      <c r="C32" s="30" t="s">
        <v>22</v>
      </c>
      <c r="D32" s="30"/>
      <c r="E32" s="30"/>
      <c r="F32" s="30" t="s">
        <v>21</v>
      </c>
      <c r="G32" s="40"/>
      <c r="H32" s="30"/>
      <c r="I32" s="30"/>
      <c r="J32" s="15"/>
      <c r="M32" s="48" t="s">
        <v>280</v>
      </c>
      <c r="N32" s="31">
        <v>3826</v>
      </c>
      <c r="O32">
        <v>0</v>
      </c>
      <c r="P32">
        <f t="shared" si="3"/>
        <v>3826</v>
      </c>
    </row>
    <row r="33" spans="2:16" x14ac:dyDescent="0.25">
      <c r="B33" s="29"/>
      <c r="C33" s="29"/>
      <c r="D33" s="29"/>
      <c r="E33" s="30"/>
      <c r="F33" s="29"/>
      <c r="G33" s="29"/>
      <c r="H33" s="29"/>
      <c r="I33" s="30"/>
      <c r="J33" s="15"/>
      <c r="M33" s="48" t="s">
        <v>298</v>
      </c>
      <c r="N33" s="31">
        <v>2000</v>
      </c>
      <c r="O33">
        <v>0</v>
      </c>
      <c r="P33">
        <f t="shared" si="3"/>
        <v>2000</v>
      </c>
    </row>
    <row r="34" spans="2:16" x14ac:dyDescent="0.25">
      <c r="B34" s="29" t="s">
        <v>312</v>
      </c>
      <c r="C34" s="29"/>
      <c r="D34" s="29">
        <v>500</v>
      </c>
      <c r="E34" s="30"/>
      <c r="F34" s="29" t="s">
        <v>312</v>
      </c>
      <c r="G34" s="29"/>
      <c r="H34" s="29">
        <v>500</v>
      </c>
      <c r="I34" s="30"/>
      <c r="M34" s="48" t="s">
        <v>282</v>
      </c>
      <c r="N34" s="31">
        <f>SUM(N29:N33)</f>
        <v>17126</v>
      </c>
      <c r="P34">
        <f>SUM(P29:P33)</f>
        <v>15626</v>
      </c>
    </row>
    <row r="35" spans="2:16" x14ac:dyDescent="0.25">
      <c r="B35" s="30" t="s">
        <v>315</v>
      </c>
      <c r="C35" s="30"/>
      <c r="D35" s="30">
        <v>13186</v>
      </c>
      <c r="E35" s="30"/>
      <c r="F35" s="30" t="s">
        <v>315</v>
      </c>
      <c r="G35" s="30"/>
      <c r="H35" s="30">
        <v>13186</v>
      </c>
      <c r="I35" s="30"/>
      <c r="J35" s="15"/>
    </row>
    <row r="36" spans="2:16" x14ac:dyDescent="0.25">
      <c r="B36" s="30" t="s">
        <v>318</v>
      </c>
      <c r="C36" s="30"/>
      <c r="D36" s="30">
        <v>4000</v>
      </c>
      <c r="E36" s="30"/>
      <c r="F36" s="30" t="s">
        <v>318</v>
      </c>
      <c r="G36" s="30"/>
      <c r="H36" s="30">
        <v>4000</v>
      </c>
      <c r="I36" s="30"/>
      <c r="J36" s="15"/>
      <c r="N36" s="59" t="s">
        <v>299</v>
      </c>
      <c r="O36" s="6"/>
      <c r="P36" s="6">
        <v>5000</v>
      </c>
    </row>
    <row r="37" spans="2:16" x14ac:dyDescent="0.25">
      <c r="B37" s="41" t="s">
        <v>267</v>
      </c>
      <c r="C37" s="29"/>
      <c r="D37" s="29">
        <v>1600</v>
      </c>
      <c r="E37" s="29"/>
      <c r="F37" s="41"/>
      <c r="G37" s="29"/>
      <c r="H37" s="29"/>
      <c r="I37" s="29"/>
      <c r="J37" s="15"/>
      <c r="P37">
        <f>N34-O29-P36</f>
        <v>10626</v>
      </c>
    </row>
    <row r="38" spans="2:16" x14ac:dyDescent="0.25">
      <c r="B38" s="30" t="s">
        <v>11</v>
      </c>
      <c r="C38" s="40">
        <f>C28+C29+C30-D31</f>
        <v>21536</v>
      </c>
      <c r="D38" s="40">
        <f>SUM(D33:D37)</f>
        <v>19286</v>
      </c>
      <c r="E38" s="40">
        <f>C38-D38</f>
        <v>2250</v>
      </c>
      <c r="F38" s="30" t="s">
        <v>11</v>
      </c>
      <c r="G38" s="40">
        <f>G28+G29+G30-H31</f>
        <v>-5864</v>
      </c>
      <c r="H38" s="40">
        <f>SUM(H33:H37)</f>
        <v>17686</v>
      </c>
      <c r="I38" s="40">
        <f>G38-H38</f>
        <v>-23550</v>
      </c>
      <c r="J38" s="65"/>
      <c r="N38" s="6" t="s">
        <v>317</v>
      </c>
      <c r="O38" s="6"/>
      <c r="P38" s="6">
        <v>1600</v>
      </c>
    </row>
    <row r="39" spans="2:16" x14ac:dyDescent="0.25">
      <c r="B39" s="31"/>
      <c r="C39" s="31"/>
      <c r="D39" s="31"/>
      <c r="E39" s="31"/>
      <c r="F39" s="31"/>
      <c r="G39" s="31"/>
      <c r="H39" s="31"/>
      <c r="I39" s="31"/>
      <c r="J39" s="15"/>
      <c r="P39">
        <f>P37-P38</f>
        <v>9026</v>
      </c>
    </row>
    <row r="40" spans="2:16" x14ac:dyDescent="0.25">
      <c r="B40" s="31" t="s">
        <v>23</v>
      </c>
      <c r="C40" s="31"/>
      <c r="D40" s="31" t="s">
        <v>24</v>
      </c>
      <c r="E40" s="31"/>
      <c r="F40" s="31"/>
      <c r="G40" s="31" t="s">
        <v>25</v>
      </c>
      <c r="H40" s="31"/>
      <c r="I40" s="31"/>
      <c r="J40" s="15"/>
    </row>
    <row r="41" spans="2:16" x14ac:dyDescent="0.25">
      <c r="B41" s="31"/>
      <c r="C41" s="31"/>
      <c r="D41" s="31"/>
      <c r="E41" s="31"/>
      <c r="F41" s="31"/>
      <c r="G41" s="31"/>
      <c r="H41" s="31"/>
      <c r="I41" s="31"/>
      <c r="J41" s="15"/>
    </row>
    <row r="42" spans="2:16" x14ac:dyDescent="0.25">
      <c r="B42" s="31" t="s">
        <v>108</v>
      </c>
      <c r="C42" s="31"/>
      <c r="D42" s="31" t="s">
        <v>27</v>
      </c>
      <c r="E42" s="31"/>
      <c r="F42" s="31"/>
      <c r="G42" s="31" t="s">
        <v>46</v>
      </c>
      <c r="H42" s="31"/>
      <c r="I42" s="48"/>
    </row>
  </sheetData>
  <pageMargins left="0.7" right="0.7" top="0.75" bottom="0.75" header="0.3" footer="0.3"/>
  <pageSetup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workbookViewId="0">
      <selection activeCell="F23" sqref="F23"/>
    </sheetView>
  </sheetViews>
  <sheetFormatPr defaultRowHeight="15" x14ac:dyDescent="0.25"/>
  <cols>
    <col min="2" max="2" width="19.28515625" customWidth="1"/>
    <col min="3" max="3" width="9.5703125" customWidth="1"/>
    <col min="13" max="13" width="11.28515625" customWidth="1"/>
  </cols>
  <sheetData>
    <row r="1" spans="1:9" x14ac:dyDescent="0.25">
      <c r="C1" s="1" t="s">
        <v>28</v>
      </c>
      <c r="D1" s="1"/>
      <c r="E1" s="1"/>
      <c r="F1" s="1"/>
    </row>
    <row r="2" spans="1:9" x14ac:dyDescent="0.25">
      <c r="B2" s="1"/>
      <c r="C2" s="1" t="s">
        <v>0</v>
      </c>
      <c r="D2" s="1"/>
      <c r="E2" s="1"/>
      <c r="F2" s="1"/>
      <c r="G2" s="1"/>
      <c r="H2" s="1"/>
    </row>
    <row r="3" spans="1:9" x14ac:dyDescent="0.25">
      <c r="B3" s="1"/>
      <c r="C3" s="1" t="s">
        <v>319</v>
      </c>
      <c r="D3" s="1"/>
      <c r="E3" s="1"/>
      <c r="F3" s="1"/>
      <c r="G3" s="1"/>
      <c r="H3" s="1"/>
    </row>
    <row r="4" spans="1:9" x14ac:dyDescent="0.25">
      <c r="A4" t="s">
        <v>110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</row>
    <row r="5" spans="1:9" x14ac:dyDescent="0.25">
      <c r="A5">
        <v>1</v>
      </c>
      <c r="B5" s="63" t="s">
        <v>82</v>
      </c>
      <c r="C5" s="3"/>
      <c r="D5" s="3">
        <f>'JULY 21'!H5:H23</f>
        <v>0</v>
      </c>
      <c r="E5" s="3"/>
      <c r="F5" s="3">
        <f>D5+E5</f>
        <v>0</v>
      </c>
      <c r="G5" s="3"/>
      <c r="H5" s="3">
        <f>F5-G5</f>
        <v>0</v>
      </c>
    </row>
    <row r="6" spans="1:9" x14ac:dyDescent="0.25">
      <c r="A6">
        <v>2</v>
      </c>
      <c r="B6" s="17" t="s">
        <v>236</v>
      </c>
      <c r="C6" s="17"/>
      <c r="D6" s="3">
        <f>'JULY 21'!H6:H24</f>
        <v>0</v>
      </c>
      <c r="E6" s="3"/>
      <c r="F6" s="3">
        <f t="shared" ref="F6:F23" si="0">D6+E6</f>
        <v>0</v>
      </c>
      <c r="G6" s="3"/>
      <c r="H6" s="3">
        <f t="shared" ref="H6:H23" si="1">F6-G6</f>
        <v>0</v>
      </c>
      <c r="I6" t="s">
        <v>48</v>
      </c>
    </row>
    <row r="7" spans="1:9" x14ac:dyDescent="0.25">
      <c r="A7">
        <v>3</v>
      </c>
      <c r="B7" s="64" t="s">
        <v>147</v>
      </c>
      <c r="C7" s="64"/>
      <c r="D7" s="3">
        <f>'JULY 21'!H7:H25</f>
        <v>1000</v>
      </c>
      <c r="E7" s="56"/>
      <c r="F7" s="56">
        <f t="shared" si="0"/>
        <v>1000</v>
      </c>
      <c r="G7" s="56"/>
      <c r="H7" s="3">
        <f t="shared" si="1"/>
        <v>1000</v>
      </c>
    </row>
    <row r="8" spans="1:9" x14ac:dyDescent="0.25">
      <c r="A8">
        <v>4</v>
      </c>
      <c r="B8" s="17" t="s">
        <v>41</v>
      </c>
      <c r="C8" s="3"/>
      <c r="D8" s="3">
        <f>'JULY 21'!H8:H26</f>
        <v>0</v>
      </c>
      <c r="E8" s="3"/>
      <c r="F8" s="3">
        <f t="shared" si="0"/>
        <v>0</v>
      </c>
      <c r="G8" s="3"/>
      <c r="H8" s="3">
        <f t="shared" si="1"/>
        <v>0</v>
      </c>
    </row>
    <row r="9" spans="1:9" x14ac:dyDescent="0.25">
      <c r="A9">
        <v>5</v>
      </c>
      <c r="B9" s="17" t="s">
        <v>30</v>
      </c>
      <c r="C9" s="3"/>
      <c r="D9" s="3">
        <f>'JULY 21'!H9:H27</f>
        <v>0</v>
      </c>
      <c r="E9" s="3"/>
      <c r="F9" s="3">
        <f t="shared" si="0"/>
        <v>0</v>
      </c>
      <c r="G9" s="3"/>
      <c r="H9" s="3">
        <f t="shared" si="1"/>
        <v>0</v>
      </c>
    </row>
    <row r="10" spans="1:9" x14ac:dyDescent="0.25">
      <c r="A10">
        <v>6</v>
      </c>
      <c r="B10" s="3" t="s">
        <v>30</v>
      </c>
      <c r="C10" s="3"/>
      <c r="D10" s="3">
        <f>'JULY 21'!H10:H28</f>
        <v>0</v>
      </c>
      <c r="E10" s="3"/>
      <c r="F10" s="3">
        <f t="shared" si="0"/>
        <v>0</v>
      </c>
      <c r="G10" s="3"/>
      <c r="H10" s="3">
        <f t="shared" si="1"/>
        <v>0</v>
      </c>
    </row>
    <row r="11" spans="1:9" x14ac:dyDescent="0.25">
      <c r="A11">
        <v>7</v>
      </c>
      <c r="B11" s="29" t="s">
        <v>289</v>
      </c>
      <c r="D11" s="3">
        <f>'JULY 21'!H11:H29</f>
        <v>2500</v>
      </c>
      <c r="E11" s="3">
        <v>2500</v>
      </c>
      <c r="F11" s="3">
        <f t="shared" si="0"/>
        <v>5000</v>
      </c>
      <c r="G11" s="3"/>
      <c r="H11" s="3">
        <f t="shared" si="1"/>
        <v>5000</v>
      </c>
    </row>
    <row r="12" spans="1:9" x14ac:dyDescent="0.25">
      <c r="A12">
        <v>8</v>
      </c>
      <c r="B12" s="17" t="s">
        <v>30</v>
      </c>
      <c r="C12" s="3"/>
      <c r="D12" s="3">
        <f>'JULY 21'!H12:H30</f>
        <v>0</v>
      </c>
      <c r="E12" s="3"/>
      <c r="F12" s="3">
        <f t="shared" si="0"/>
        <v>0</v>
      </c>
      <c r="G12" s="3"/>
      <c r="H12" s="3">
        <f>F12-G12</f>
        <v>0</v>
      </c>
    </row>
    <row r="13" spans="1:9" x14ac:dyDescent="0.25">
      <c r="A13">
        <v>9</v>
      </c>
      <c r="B13" s="17" t="s">
        <v>107</v>
      </c>
      <c r="C13" s="3"/>
      <c r="D13" s="3">
        <f>'JULY 21'!H13:H31</f>
        <v>0</v>
      </c>
      <c r="E13" s="3"/>
      <c r="F13" s="3">
        <f t="shared" si="0"/>
        <v>0</v>
      </c>
      <c r="G13" s="3"/>
      <c r="H13" s="3">
        <f t="shared" si="1"/>
        <v>0</v>
      </c>
    </row>
    <row r="14" spans="1:9" x14ac:dyDescent="0.25">
      <c r="A14">
        <v>10</v>
      </c>
      <c r="B14" s="17" t="s">
        <v>30</v>
      </c>
      <c r="C14" s="3"/>
      <c r="D14" s="3">
        <f>'JULY 21'!H14:H32</f>
        <v>0</v>
      </c>
      <c r="E14" s="3"/>
      <c r="F14" s="3">
        <f t="shared" si="0"/>
        <v>0</v>
      </c>
      <c r="G14" s="3"/>
      <c r="H14" s="3">
        <f t="shared" si="1"/>
        <v>0</v>
      </c>
    </row>
    <row r="15" spans="1:9" x14ac:dyDescent="0.25">
      <c r="A15">
        <v>11</v>
      </c>
      <c r="B15" s="57" t="s">
        <v>148</v>
      </c>
      <c r="C15" s="57"/>
      <c r="D15" s="3">
        <f>'JULY 21'!H15:H33</f>
        <v>1200</v>
      </c>
      <c r="E15" s="57">
        <v>2500</v>
      </c>
      <c r="F15" s="3">
        <f t="shared" si="0"/>
        <v>3700</v>
      </c>
      <c r="G15" s="57">
        <f>2500</f>
        <v>2500</v>
      </c>
      <c r="H15" s="3">
        <f>F15-G15</f>
        <v>1200</v>
      </c>
    </row>
    <row r="16" spans="1:9" x14ac:dyDescent="0.25">
      <c r="A16">
        <v>12</v>
      </c>
      <c r="B16" s="63" t="s">
        <v>37</v>
      </c>
      <c r="C16" s="63"/>
      <c r="D16" s="3">
        <f>'JULY 21'!H16:H34</f>
        <v>12200</v>
      </c>
      <c r="E16" s="3"/>
      <c r="F16" s="3">
        <f>D16+E16+2500</f>
        <v>14700</v>
      </c>
      <c r="G16" s="3">
        <f>1700</f>
        <v>1700</v>
      </c>
      <c r="H16" s="3">
        <f t="shared" si="1"/>
        <v>13000</v>
      </c>
    </row>
    <row r="17" spans="1:16" x14ac:dyDescent="0.25">
      <c r="A17" s="6">
        <v>13</v>
      </c>
      <c r="B17" s="60" t="s">
        <v>30</v>
      </c>
      <c r="C17" s="60"/>
      <c r="D17" s="3">
        <f>'JULY 21'!H17:H35</f>
        <v>0</v>
      </c>
      <c r="E17" s="57"/>
      <c r="F17" s="58">
        <f t="shared" si="0"/>
        <v>0</v>
      </c>
      <c r="G17" s="58"/>
      <c r="H17" s="58">
        <f t="shared" si="1"/>
        <v>0</v>
      </c>
    </row>
    <row r="18" spans="1:16" x14ac:dyDescent="0.25">
      <c r="A18">
        <v>14</v>
      </c>
      <c r="B18" s="13" t="s">
        <v>123</v>
      </c>
      <c r="C18" s="13"/>
      <c r="D18" s="3">
        <f>'JULY 21'!H18:H36</f>
        <v>1800</v>
      </c>
      <c r="E18" s="13">
        <v>2500</v>
      </c>
      <c r="F18" s="3">
        <f t="shared" si="0"/>
        <v>4300</v>
      </c>
      <c r="G18" s="13">
        <f>500+1000+1000</f>
        <v>2500</v>
      </c>
      <c r="H18" s="13">
        <f t="shared" si="1"/>
        <v>1800</v>
      </c>
    </row>
    <row r="19" spans="1:16" x14ac:dyDescent="0.25">
      <c r="A19" t="s">
        <v>233</v>
      </c>
      <c r="B19" s="3" t="s">
        <v>35</v>
      </c>
      <c r="C19" s="3"/>
      <c r="D19" s="3">
        <f>'JULY 21'!H19:H37</f>
        <v>4500</v>
      </c>
      <c r="E19" s="3">
        <v>4500</v>
      </c>
      <c r="F19" s="3">
        <f t="shared" si="0"/>
        <v>9000</v>
      </c>
      <c r="G19" s="13">
        <f>4500+4000+500</f>
        <v>9000</v>
      </c>
      <c r="H19" s="13">
        <f t="shared" si="1"/>
        <v>0</v>
      </c>
      <c r="I19" t="s">
        <v>237</v>
      </c>
    </row>
    <row r="20" spans="1:16" x14ac:dyDescent="0.25">
      <c r="A20">
        <v>17</v>
      </c>
      <c r="B20" s="63" t="s">
        <v>247</v>
      </c>
      <c r="C20" s="63"/>
      <c r="D20" s="3">
        <f>'JULY 21'!H20:H38</f>
        <v>0</v>
      </c>
      <c r="E20" s="13">
        <v>3000</v>
      </c>
      <c r="F20" s="3">
        <f t="shared" si="0"/>
        <v>3000</v>
      </c>
      <c r="G20" s="13">
        <f>900</f>
        <v>900</v>
      </c>
      <c r="H20" s="13">
        <f>F20-G20</f>
        <v>2100</v>
      </c>
    </row>
    <row r="21" spans="1:16" x14ac:dyDescent="0.25">
      <c r="A21">
        <v>18</v>
      </c>
      <c r="B21" s="13" t="s">
        <v>275</v>
      </c>
      <c r="C21" s="13"/>
      <c r="D21" s="3">
        <f>'JULY 21'!H21:H39</f>
        <v>0</v>
      </c>
      <c r="E21" s="13">
        <v>3000</v>
      </c>
      <c r="F21" s="3">
        <f t="shared" si="0"/>
        <v>3000</v>
      </c>
      <c r="G21" s="13">
        <f>3000</f>
        <v>3000</v>
      </c>
      <c r="H21" s="13">
        <f t="shared" si="1"/>
        <v>0</v>
      </c>
    </row>
    <row r="22" spans="1:16" x14ac:dyDescent="0.25">
      <c r="A22">
        <v>19</v>
      </c>
      <c r="B22" s="63" t="s">
        <v>258</v>
      </c>
      <c r="C22" s="63"/>
      <c r="D22" s="3">
        <f>'JULY 21'!H22:H40</f>
        <v>9200</v>
      </c>
      <c r="E22" s="3"/>
      <c r="F22" s="3">
        <f>D22+E22+3000</f>
        <v>12200</v>
      </c>
      <c r="G22" s="3"/>
      <c r="H22" s="13">
        <f t="shared" si="1"/>
        <v>12200</v>
      </c>
    </row>
    <row r="23" spans="1:16" x14ac:dyDescent="0.25">
      <c r="A23">
        <v>20</v>
      </c>
      <c r="B23" s="3" t="s">
        <v>244</v>
      </c>
      <c r="C23" s="3"/>
      <c r="D23" s="3">
        <f>'JULY 21'!H23:H41</f>
        <v>0</v>
      </c>
      <c r="E23" s="3">
        <v>3000</v>
      </c>
      <c r="F23" s="3">
        <f t="shared" si="0"/>
        <v>3000</v>
      </c>
      <c r="G23" s="3">
        <v>2000</v>
      </c>
      <c r="H23" s="13">
        <f t="shared" si="1"/>
        <v>1000</v>
      </c>
      <c r="I23" s="31"/>
    </row>
    <row r="24" spans="1:16" x14ac:dyDescent="0.25">
      <c r="B24" s="30" t="s">
        <v>64</v>
      </c>
      <c r="C24" s="30">
        <f t="shared" ref="C24" si="2">SUM(C5:C22)</f>
        <v>0</v>
      </c>
      <c r="D24" s="3">
        <f>SUM(D5:D23)</f>
        <v>32400</v>
      </c>
      <c r="E24" s="30">
        <f>SUM(E5:E23)</f>
        <v>21000</v>
      </c>
      <c r="F24" s="30">
        <f>SUM(F5:F23)</f>
        <v>58900</v>
      </c>
      <c r="G24" s="30">
        <f>SUM(G5:G23)</f>
        <v>21600</v>
      </c>
      <c r="H24" s="30">
        <f>SUM(H5:H23)</f>
        <v>37300</v>
      </c>
      <c r="I24" s="66"/>
    </row>
    <row r="25" spans="1:16" x14ac:dyDescent="0.25">
      <c r="C25" s="34"/>
      <c r="D25" s="3">
        <f>'MARCH 21'!H25:H47</f>
        <v>0</v>
      </c>
      <c r="E25" s="33"/>
      <c r="F25" s="46"/>
      <c r="G25" s="10"/>
      <c r="H25" s="35">
        <f>H24+P39</f>
        <v>44076</v>
      </c>
    </row>
    <row r="26" spans="1:16" x14ac:dyDescent="0.25">
      <c r="B26" s="36" t="s">
        <v>13</v>
      </c>
      <c r="C26" s="36"/>
      <c r="D26" s="36"/>
      <c r="E26" s="37"/>
      <c r="F26" s="36" t="s">
        <v>14</v>
      </c>
      <c r="G26" s="31"/>
      <c r="H26" s="31" t="s">
        <v>9</v>
      </c>
      <c r="I26" s="6"/>
    </row>
    <row r="27" spans="1:16" x14ac:dyDescent="0.25">
      <c r="B27" s="30" t="s">
        <v>15</v>
      </c>
      <c r="C27" s="30" t="s">
        <v>16</v>
      </c>
      <c r="D27" s="30" t="s">
        <v>17</v>
      </c>
      <c r="E27" s="30" t="s">
        <v>18</v>
      </c>
      <c r="F27" s="30"/>
      <c r="G27" s="30"/>
      <c r="H27" s="30" t="s">
        <v>17</v>
      </c>
      <c r="I27" s="30" t="s">
        <v>18</v>
      </c>
      <c r="M27" s="59" t="s">
        <v>281</v>
      </c>
      <c r="O27" s="6" t="s">
        <v>14</v>
      </c>
      <c r="P27" s="6" t="s">
        <v>9</v>
      </c>
    </row>
    <row r="28" spans="1:16" x14ac:dyDescent="0.25">
      <c r="B28" s="29" t="s">
        <v>229</v>
      </c>
      <c r="C28" s="38">
        <f>E24</f>
        <v>21000</v>
      </c>
      <c r="D28" s="29"/>
      <c r="E28" s="29"/>
      <c r="F28" s="29" t="s">
        <v>229</v>
      </c>
      <c r="G28" s="38">
        <f>G24</f>
        <v>21600</v>
      </c>
      <c r="H28" s="29"/>
      <c r="I28" s="29"/>
      <c r="M28" s="31"/>
      <c r="N28" s="31"/>
    </row>
    <row r="29" spans="1:16" x14ac:dyDescent="0.25">
      <c r="B29" s="29" t="s">
        <v>5</v>
      </c>
      <c r="C29" s="38">
        <f>'JULY 21'!E38</f>
        <v>2250</v>
      </c>
      <c r="D29" s="29"/>
      <c r="E29" s="29"/>
      <c r="F29" s="29" t="s">
        <v>5</v>
      </c>
      <c r="G29" s="38">
        <f>'JULY 21'!I38</f>
        <v>-23550</v>
      </c>
      <c r="H29" s="29"/>
      <c r="I29" s="29"/>
      <c r="M29" s="31" t="s">
        <v>268</v>
      </c>
      <c r="N29" s="31">
        <f>2500</f>
        <v>2500</v>
      </c>
      <c r="O29">
        <v>1500</v>
      </c>
      <c r="P29">
        <f>N29-O29</f>
        <v>1000</v>
      </c>
    </row>
    <row r="30" spans="1:16" x14ac:dyDescent="0.25">
      <c r="B30" s="29" t="s">
        <v>70</v>
      </c>
      <c r="C30" s="38"/>
      <c r="D30" s="29"/>
      <c r="E30" s="29"/>
      <c r="F30" s="29" t="s">
        <v>70</v>
      </c>
      <c r="G30" s="38"/>
      <c r="H30" s="29"/>
      <c r="I30" s="29"/>
      <c r="M30" s="48" t="s">
        <v>269</v>
      </c>
      <c r="N30" s="31">
        <v>5000</v>
      </c>
      <c r="P30">
        <f>N30-O30</f>
        <v>5000</v>
      </c>
    </row>
    <row r="31" spans="1:16" x14ac:dyDescent="0.25">
      <c r="B31" s="29" t="s">
        <v>20</v>
      </c>
      <c r="C31" s="39">
        <v>0.1</v>
      </c>
      <c r="D31" s="38">
        <f>C31*C28</f>
        <v>2100</v>
      </c>
      <c r="E31" s="29"/>
      <c r="F31" s="29" t="s">
        <v>20</v>
      </c>
      <c r="G31" s="39">
        <v>0.1</v>
      </c>
      <c r="H31" s="38">
        <f>G31*C28</f>
        <v>2100</v>
      </c>
      <c r="I31" s="29"/>
      <c r="M31" s="48" t="s">
        <v>270</v>
      </c>
      <c r="N31" s="31">
        <v>3800</v>
      </c>
      <c r="P31">
        <f t="shared" ref="P31:P33" si="3">N31-O31</f>
        <v>3800</v>
      </c>
    </row>
    <row r="32" spans="1:16" x14ac:dyDescent="0.25">
      <c r="B32" s="30" t="s">
        <v>21</v>
      </c>
      <c r="C32" s="30" t="s">
        <v>22</v>
      </c>
      <c r="D32" s="30"/>
      <c r="E32" s="30"/>
      <c r="F32" s="30" t="s">
        <v>21</v>
      </c>
      <c r="G32" s="40"/>
      <c r="H32" s="30"/>
      <c r="I32" s="30"/>
      <c r="J32" s="15"/>
      <c r="M32" s="48" t="s">
        <v>280</v>
      </c>
      <c r="N32" s="31">
        <v>3826</v>
      </c>
      <c r="O32">
        <v>0</v>
      </c>
      <c r="P32">
        <f t="shared" si="3"/>
        <v>3826</v>
      </c>
    </row>
    <row r="33" spans="2:16" x14ac:dyDescent="0.25">
      <c r="B33" s="29" t="s">
        <v>320</v>
      </c>
      <c r="C33" s="29"/>
      <c r="D33" s="29">
        <v>3051</v>
      </c>
      <c r="E33" s="30"/>
      <c r="F33" s="29" t="s">
        <v>320</v>
      </c>
      <c r="G33" s="29"/>
      <c r="H33" s="29">
        <v>3051</v>
      </c>
      <c r="I33" s="30"/>
      <c r="J33" s="15"/>
      <c r="M33" s="48" t="s">
        <v>298</v>
      </c>
      <c r="N33" s="31">
        <v>2000</v>
      </c>
      <c r="O33">
        <v>0</v>
      </c>
      <c r="P33">
        <f t="shared" si="3"/>
        <v>2000</v>
      </c>
    </row>
    <row r="34" spans="2:16" x14ac:dyDescent="0.25">
      <c r="B34" s="29" t="s">
        <v>321</v>
      </c>
      <c r="C34" s="29"/>
      <c r="D34" s="29">
        <v>18090</v>
      </c>
      <c r="E34" s="30"/>
      <c r="F34" s="29" t="s">
        <v>321</v>
      </c>
      <c r="G34" s="29"/>
      <c r="H34" s="29">
        <v>18090</v>
      </c>
      <c r="I34" s="30"/>
      <c r="M34" s="48" t="s">
        <v>282</v>
      </c>
      <c r="N34" s="31">
        <f>SUM(N29:N33)</f>
        <v>17126</v>
      </c>
      <c r="P34">
        <f>SUM(P29:P33)</f>
        <v>15626</v>
      </c>
    </row>
    <row r="35" spans="2:16" x14ac:dyDescent="0.25">
      <c r="B35" s="29" t="s">
        <v>201</v>
      </c>
      <c r="C35" s="29"/>
      <c r="D35" s="29">
        <v>500</v>
      </c>
      <c r="E35" s="30"/>
      <c r="F35" s="30"/>
      <c r="G35" s="30"/>
      <c r="H35" s="30"/>
      <c r="I35" s="30"/>
      <c r="J35" s="15"/>
    </row>
    <row r="36" spans="2:16" x14ac:dyDescent="0.25">
      <c r="B36" s="30"/>
      <c r="C36" s="30"/>
      <c r="D36" s="30"/>
      <c r="E36" s="30"/>
      <c r="F36" s="30"/>
      <c r="G36" s="30"/>
      <c r="H36" s="30"/>
      <c r="I36" s="30"/>
      <c r="J36" s="15"/>
      <c r="N36" s="59" t="s">
        <v>299</v>
      </c>
      <c r="O36" s="6"/>
      <c r="P36" s="6">
        <v>5000</v>
      </c>
    </row>
    <row r="37" spans="2:16" x14ac:dyDescent="0.25">
      <c r="B37" s="41"/>
      <c r="C37" s="29"/>
      <c r="D37" s="29"/>
      <c r="E37" s="29"/>
      <c r="F37" s="41"/>
      <c r="G37" s="29"/>
      <c r="H37" s="29"/>
      <c r="I37" s="29"/>
      <c r="J37" s="15"/>
      <c r="K37" s="65"/>
      <c r="P37">
        <f>N34-O29-P36</f>
        <v>10626</v>
      </c>
    </row>
    <row r="38" spans="2:16" x14ac:dyDescent="0.25">
      <c r="B38" s="30" t="s">
        <v>11</v>
      </c>
      <c r="C38" s="40">
        <f>C28+C29+C30-D31</f>
        <v>21150</v>
      </c>
      <c r="D38" s="40">
        <f>SUM(D33:D37)</f>
        <v>21641</v>
      </c>
      <c r="E38" s="40">
        <f>C38-D38</f>
        <v>-491</v>
      </c>
      <c r="F38" s="30" t="s">
        <v>11</v>
      </c>
      <c r="G38" s="40">
        <f>G28+G29+G30-H31</f>
        <v>-4050</v>
      </c>
      <c r="H38" s="40">
        <f>SUM(H33:H37)</f>
        <v>21141</v>
      </c>
      <c r="I38" s="40">
        <f>G38-H38</f>
        <v>-25191</v>
      </c>
      <c r="J38" s="65"/>
      <c r="K38" s="65"/>
      <c r="N38" s="6" t="s">
        <v>317</v>
      </c>
      <c r="O38" s="6"/>
      <c r="P38" s="6">
        <v>3850</v>
      </c>
    </row>
    <row r="39" spans="2:16" x14ac:dyDescent="0.25">
      <c r="B39" s="31"/>
      <c r="C39" s="31"/>
      <c r="D39" s="31"/>
      <c r="E39" s="31"/>
      <c r="F39" s="31"/>
      <c r="G39" s="31"/>
      <c r="H39" s="31"/>
      <c r="I39" s="31"/>
      <c r="J39" s="15"/>
      <c r="P39">
        <f>P37-P38</f>
        <v>6776</v>
      </c>
    </row>
    <row r="40" spans="2:16" x14ac:dyDescent="0.25">
      <c r="B40" s="31" t="s">
        <v>23</v>
      </c>
      <c r="C40" s="31"/>
      <c r="D40" s="31" t="s">
        <v>24</v>
      </c>
      <c r="E40" s="31"/>
      <c r="F40" s="31"/>
      <c r="G40" s="31" t="s">
        <v>25</v>
      </c>
      <c r="H40" s="31"/>
      <c r="I40" s="31"/>
      <c r="J40" s="15"/>
    </row>
    <row r="41" spans="2:16" x14ac:dyDescent="0.25">
      <c r="B41" s="31"/>
      <c r="C41" s="31"/>
      <c r="D41" s="31"/>
      <c r="E41" s="31"/>
      <c r="F41" s="31"/>
      <c r="G41" s="31"/>
      <c r="H41" s="31"/>
      <c r="I41" s="31"/>
      <c r="J41" s="15"/>
    </row>
    <row r="42" spans="2:16" x14ac:dyDescent="0.25">
      <c r="B42" s="31" t="s">
        <v>108</v>
      </c>
      <c r="C42" s="31"/>
      <c r="D42" s="31" t="s">
        <v>27</v>
      </c>
      <c r="E42" s="31"/>
      <c r="F42" s="31"/>
      <c r="G42" s="31" t="s">
        <v>46</v>
      </c>
      <c r="H42" s="31"/>
      <c r="I42" s="48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G19" sqref="G19"/>
    </sheetView>
  </sheetViews>
  <sheetFormatPr defaultRowHeight="15" x14ac:dyDescent="0.25"/>
  <cols>
    <col min="2" max="2" width="17" customWidth="1"/>
  </cols>
  <sheetData>
    <row r="1" spans="1:8" x14ac:dyDescent="0.25">
      <c r="C1" s="1" t="s">
        <v>28</v>
      </c>
      <c r="D1" s="1"/>
      <c r="E1" s="1"/>
      <c r="F1" s="1"/>
    </row>
    <row r="2" spans="1:8" x14ac:dyDescent="0.25">
      <c r="B2" s="1"/>
      <c r="C2" s="1" t="s">
        <v>0</v>
      </c>
      <c r="D2" s="1"/>
      <c r="E2" s="1"/>
      <c r="F2" s="1"/>
      <c r="G2" s="1"/>
      <c r="H2" s="1"/>
    </row>
    <row r="3" spans="1:8" x14ac:dyDescent="0.25">
      <c r="B3" s="1"/>
      <c r="C3" s="1" t="s">
        <v>322</v>
      </c>
      <c r="D3" s="1"/>
      <c r="E3" s="1"/>
      <c r="F3" s="1"/>
      <c r="G3" s="1"/>
      <c r="H3" s="1"/>
    </row>
    <row r="4" spans="1:8" x14ac:dyDescent="0.25">
      <c r="A4" t="s">
        <v>110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</row>
    <row r="5" spans="1:8" x14ac:dyDescent="0.25">
      <c r="A5">
        <v>1</v>
      </c>
      <c r="B5" s="17" t="s">
        <v>30</v>
      </c>
      <c r="C5" s="3"/>
      <c r="D5" s="3">
        <f>'AUGUST 21'!H5:H23</f>
        <v>0</v>
      </c>
      <c r="E5" s="3"/>
      <c r="F5" s="3">
        <f>D5+E5</f>
        <v>0</v>
      </c>
      <c r="G5" s="3"/>
      <c r="H5" s="3">
        <f>F5-G5</f>
        <v>0</v>
      </c>
    </row>
    <row r="6" spans="1:8" x14ac:dyDescent="0.25">
      <c r="A6">
        <v>2</v>
      </c>
      <c r="B6" s="17" t="s">
        <v>30</v>
      </c>
      <c r="C6" s="17"/>
      <c r="D6" s="3">
        <f>'AUGUST 21'!H6:H24</f>
        <v>0</v>
      </c>
      <c r="E6" s="3"/>
      <c r="F6" s="3">
        <f t="shared" ref="F6:F23" si="0">D6+E6</f>
        <v>0</v>
      </c>
      <c r="G6" s="3"/>
      <c r="H6" s="3">
        <f t="shared" ref="H6:H23" si="1">F6-G6</f>
        <v>0</v>
      </c>
    </row>
    <row r="7" spans="1:8" x14ac:dyDescent="0.25">
      <c r="A7">
        <v>3</v>
      </c>
      <c r="B7" s="64" t="s">
        <v>147</v>
      </c>
      <c r="C7" s="64"/>
      <c r="D7" s="3">
        <f>'AUGUST 21'!H7:H25</f>
        <v>1000</v>
      </c>
      <c r="E7" s="56"/>
      <c r="F7" s="56">
        <f t="shared" si="0"/>
        <v>1000</v>
      </c>
      <c r="G7" s="56">
        <v>1000</v>
      </c>
      <c r="H7" s="3">
        <f t="shared" si="1"/>
        <v>0</v>
      </c>
    </row>
    <row r="8" spans="1:8" x14ac:dyDescent="0.25">
      <c r="A8">
        <v>4</v>
      </c>
      <c r="B8" s="17" t="s">
        <v>41</v>
      </c>
      <c r="C8" s="3"/>
      <c r="D8" s="3">
        <f>'AUGUST 21'!H8:H26</f>
        <v>0</v>
      </c>
      <c r="E8" s="3"/>
      <c r="F8" s="3">
        <f t="shared" si="0"/>
        <v>0</v>
      </c>
      <c r="G8" s="3"/>
      <c r="H8" s="3">
        <f t="shared" si="1"/>
        <v>0</v>
      </c>
    </row>
    <row r="9" spans="1:8" x14ac:dyDescent="0.25">
      <c r="A9">
        <v>5</v>
      </c>
      <c r="B9" s="17" t="s">
        <v>30</v>
      </c>
      <c r="C9" s="3"/>
      <c r="D9" s="3">
        <f>'AUGUST 21'!H9:H27</f>
        <v>0</v>
      </c>
      <c r="E9" s="3"/>
      <c r="F9" s="3">
        <f t="shared" si="0"/>
        <v>0</v>
      </c>
      <c r="G9" s="3"/>
      <c r="H9" s="3">
        <f t="shared" si="1"/>
        <v>0</v>
      </c>
    </row>
    <row r="10" spans="1:8" x14ac:dyDescent="0.25">
      <c r="A10">
        <v>6</v>
      </c>
      <c r="B10" s="3" t="s">
        <v>30</v>
      </c>
      <c r="C10" s="3"/>
      <c r="D10" s="3">
        <f>'AUGUST 21'!H10:H28</f>
        <v>0</v>
      </c>
      <c r="E10" s="3"/>
      <c r="F10" s="3">
        <f t="shared" si="0"/>
        <v>0</v>
      </c>
      <c r="G10" s="3"/>
      <c r="H10" s="3">
        <f t="shared" si="1"/>
        <v>0</v>
      </c>
    </row>
    <row r="11" spans="1:8" x14ac:dyDescent="0.25">
      <c r="A11">
        <v>7</v>
      </c>
      <c r="B11" s="63" t="s">
        <v>289</v>
      </c>
      <c r="D11" s="3">
        <f>'AUGUST 21'!H11:H29</f>
        <v>5000</v>
      </c>
      <c r="E11" s="3"/>
      <c r="F11" s="3">
        <f>D11+E11</f>
        <v>5000</v>
      </c>
      <c r="G11" s="3">
        <f>500</f>
        <v>500</v>
      </c>
      <c r="H11" s="3">
        <f t="shared" si="1"/>
        <v>4500</v>
      </c>
    </row>
    <row r="12" spans="1:8" x14ac:dyDescent="0.25">
      <c r="A12">
        <v>8</v>
      </c>
      <c r="B12" s="17" t="s">
        <v>30</v>
      </c>
      <c r="C12" s="3"/>
      <c r="D12" s="3">
        <f>'AUGUST 21'!H12:H30</f>
        <v>0</v>
      </c>
      <c r="E12" s="3"/>
      <c r="F12" s="3">
        <f t="shared" si="0"/>
        <v>0</v>
      </c>
      <c r="G12" s="3"/>
      <c r="H12" s="3">
        <f>F12-G12</f>
        <v>0</v>
      </c>
    </row>
    <row r="13" spans="1:8" x14ac:dyDescent="0.25">
      <c r="A13">
        <v>9</v>
      </c>
      <c r="B13" s="17" t="s">
        <v>107</v>
      </c>
      <c r="C13" s="3"/>
      <c r="D13" s="3">
        <f>'AUGUST 21'!H13:H31</f>
        <v>0</v>
      </c>
      <c r="E13" s="3"/>
      <c r="F13" s="3">
        <f t="shared" si="0"/>
        <v>0</v>
      </c>
      <c r="G13" s="3"/>
      <c r="H13" s="3">
        <f t="shared" si="1"/>
        <v>0</v>
      </c>
    </row>
    <row r="14" spans="1:8" x14ac:dyDescent="0.25">
      <c r="A14">
        <v>10</v>
      </c>
      <c r="B14" s="17" t="s">
        <v>30</v>
      </c>
      <c r="C14" s="3"/>
      <c r="D14" s="3">
        <f>'AUGUST 21'!H14:H32</f>
        <v>0</v>
      </c>
      <c r="E14" s="3"/>
      <c r="F14" s="3">
        <f t="shared" si="0"/>
        <v>0</v>
      </c>
      <c r="G14" s="3"/>
      <c r="H14" s="3">
        <f t="shared" si="1"/>
        <v>0</v>
      </c>
    </row>
    <row r="15" spans="1:8" x14ac:dyDescent="0.25">
      <c r="A15">
        <v>11</v>
      </c>
      <c r="B15" s="57" t="s">
        <v>148</v>
      </c>
      <c r="C15" s="57"/>
      <c r="D15" s="3">
        <f>'AUGUST 21'!H15:H33</f>
        <v>1200</v>
      </c>
      <c r="E15" s="57">
        <v>2500</v>
      </c>
      <c r="F15" s="3">
        <f t="shared" si="0"/>
        <v>3700</v>
      </c>
      <c r="G15" s="57">
        <f>2500</f>
        <v>2500</v>
      </c>
      <c r="H15" s="3">
        <f>F15-G15</f>
        <v>1200</v>
      </c>
    </row>
    <row r="16" spans="1:8" x14ac:dyDescent="0.25">
      <c r="A16">
        <v>12</v>
      </c>
      <c r="B16" s="63" t="s">
        <v>37</v>
      </c>
      <c r="C16" s="63"/>
      <c r="D16" s="3">
        <f>'AUGUST 21'!H16:H34</f>
        <v>13000</v>
      </c>
      <c r="E16" s="3"/>
      <c r="F16" s="3">
        <f>D16+E16+2500</f>
        <v>15500</v>
      </c>
      <c r="G16" s="3"/>
      <c r="H16" s="3">
        <f t="shared" si="1"/>
        <v>15500</v>
      </c>
    </row>
    <row r="17" spans="1:9" x14ac:dyDescent="0.25">
      <c r="A17" s="6">
        <v>13</v>
      </c>
      <c r="B17" s="60" t="s">
        <v>30</v>
      </c>
      <c r="C17" s="60"/>
      <c r="D17" s="3">
        <f>'AUGUST 21'!H17:H35</f>
        <v>0</v>
      </c>
      <c r="E17" s="57"/>
      <c r="F17" s="58">
        <f t="shared" si="0"/>
        <v>0</v>
      </c>
      <c r="G17" s="58"/>
      <c r="H17" s="58">
        <f t="shared" si="1"/>
        <v>0</v>
      </c>
    </row>
    <row r="18" spans="1:9" x14ac:dyDescent="0.25">
      <c r="A18">
        <v>14</v>
      </c>
      <c r="B18" s="13" t="s">
        <v>123</v>
      </c>
      <c r="C18" s="13"/>
      <c r="D18" s="3">
        <f>'AUGUST 21'!H18:H36</f>
        <v>1800</v>
      </c>
      <c r="E18" s="13">
        <v>2500</v>
      </c>
      <c r="F18" s="3">
        <f t="shared" si="0"/>
        <v>4300</v>
      </c>
      <c r="G18" s="13">
        <f>1000+1000+500</f>
        <v>2500</v>
      </c>
      <c r="H18" s="13">
        <f t="shared" si="1"/>
        <v>1800</v>
      </c>
    </row>
    <row r="19" spans="1:9" x14ac:dyDescent="0.25">
      <c r="A19" t="s">
        <v>233</v>
      </c>
      <c r="B19" s="3" t="s">
        <v>35</v>
      </c>
      <c r="C19" s="3"/>
      <c r="D19" s="3">
        <f>'AUGUST 21'!H19:H37</f>
        <v>0</v>
      </c>
      <c r="E19" s="3">
        <v>4500</v>
      </c>
      <c r="F19" s="3">
        <f t="shared" si="0"/>
        <v>4500</v>
      </c>
      <c r="G19" s="13"/>
      <c r="H19" s="13">
        <f t="shared" si="1"/>
        <v>4500</v>
      </c>
    </row>
    <row r="20" spans="1:9" x14ac:dyDescent="0.25">
      <c r="A20">
        <v>17</v>
      </c>
      <c r="B20" s="29" t="s">
        <v>247</v>
      </c>
      <c r="C20" s="63"/>
      <c r="D20" s="3">
        <f>'AUGUST 21'!H20:H38</f>
        <v>2100</v>
      </c>
      <c r="E20" s="13">
        <v>3000</v>
      </c>
      <c r="F20" s="3">
        <f t="shared" si="0"/>
        <v>5100</v>
      </c>
      <c r="G20" s="13">
        <f>1000</f>
        <v>1000</v>
      </c>
      <c r="H20" s="13">
        <f>F20-G20</f>
        <v>4100</v>
      </c>
    </row>
    <row r="21" spans="1:9" x14ac:dyDescent="0.25">
      <c r="A21">
        <v>18</v>
      </c>
      <c r="B21" s="13" t="s">
        <v>275</v>
      </c>
      <c r="C21" s="13"/>
      <c r="D21" s="3">
        <f>'AUGUST 21'!H21:H39</f>
        <v>0</v>
      </c>
      <c r="E21" s="13">
        <v>3000</v>
      </c>
      <c r="F21" s="3">
        <f t="shared" si="0"/>
        <v>3000</v>
      </c>
      <c r="G21" s="13">
        <v>3000</v>
      </c>
      <c r="H21" s="13">
        <f t="shared" si="1"/>
        <v>0</v>
      </c>
    </row>
    <row r="22" spans="1:9" x14ac:dyDescent="0.25">
      <c r="A22">
        <v>19</v>
      </c>
      <c r="B22" s="63" t="s">
        <v>258</v>
      </c>
      <c r="C22" s="63"/>
      <c r="D22" s="3">
        <f>'AUGUST 21'!H22:H40</f>
        <v>12200</v>
      </c>
      <c r="E22" s="3"/>
      <c r="F22" s="3">
        <f>D22+E22+3000</f>
        <v>15200</v>
      </c>
      <c r="G22" s="3">
        <v>4000</v>
      </c>
      <c r="H22" s="13">
        <f>F22-G22</f>
        <v>11200</v>
      </c>
    </row>
    <row r="23" spans="1:9" x14ac:dyDescent="0.25">
      <c r="A23">
        <v>20</v>
      </c>
      <c r="B23" s="3" t="s">
        <v>244</v>
      </c>
      <c r="C23" s="3"/>
      <c r="D23" s="3">
        <f>'AUGUST 21'!H23:H41</f>
        <v>1000</v>
      </c>
      <c r="E23" s="3">
        <v>3000</v>
      </c>
      <c r="F23" s="3">
        <f t="shared" si="0"/>
        <v>4000</v>
      </c>
      <c r="G23" s="3">
        <f>2300</f>
        <v>2300</v>
      </c>
      <c r="H23" s="13">
        <f t="shared" si="1"/>
        <v>1700</v>
      </c>
      <c r="I23" s="31"/>
    </row>
    <row r="24" spans="1:9" x14ac:dyDescent="0.25">
      <c r="B24" s="30" t="s">
        <v>64</v>
      </c>
      <c r="C24" s="30">
        <f t="shared" ref="C24" si="2">SUM(C5:C22)</f>
        <v>0</v>
      </c>
      <c r="D24" s="3">
        <f>SUM(D5:D23)</f>
        <v>37300</v>
      </c>
      <c r="E24" s="30">
        <f>SUM(E5:E23)</f>
        <v>18500</v>
      </c>
      <c r="F24" s="30">
        <f>SUM(F5:F23)</f>
        <v>61300</v>
      </c>
      <c r="G24" s="30">
        <f>SUM(G5:G23)</f>
        <v>16800</v>
      </c>
      <c r="H24" s="30">
        <f>SUM(H5:H23)</f>
        <v>44500</v>
      </c>
      <c r="I24" s="66"/>
    </row>
    <row r="25" spans="1:9" x14ac:dyDescent="0.25">
      <c r="C25" s="34"/>
      <c r="D25" s="3">
        <f>'MARCH 21'!H25:H47</f>
        <v>0</v>
      </c>
      <c r="E25" s="33"/>
      <c r="F25" s="46"/>
      <c r="G25" s="10"/>
      <c r="H25" s="35">
        <f>H24+P39</f>
        <v>44500</v>
      </c>
    </row>
    <row r="26" spans="1:9" x14ac:dyDescent="0.25">
      <c r="B26" s="36" t="s">
        <v>13</v>
      </c>
      <c r="C26" s="36"/>
      <c r="D26" s="36"/>
      <c r="E26" s="37"/>
      <c r="F26" s="36" t="s">
        <v>14</v>
      </c>
      <c r="G26" s="31"/>
      <c r="H26" s="31" t="s">
        <v>9</v>
      </c>
      <c r="I26" s="6"/>
    </row>
    <row r="27" spans="1:9" x14ac:dyDescent="0.25">
      <c r="B27" s="30" t="s">
        <v>15</v>
      </c>
      <c r="C27" s="30" t="s">
        <v>16</v>
      </c>
      <c r="D27" s="30" t="s">
        <v>17</v>
      </c>
      <c r="E27" s="30" t="s">
        <v>18</v>
      </c>
      <c r="F27" s="30"/>
      <c r="G27" s="30"/>
      <c r="H27" s="30" t="s">
        <v>17</v>
      </c>
      <c r="I27" s="30" t="s">
        <v>18</v>
      </c>
    </row>
    <row r="28" spans="1:9" x14ac:dyDescent="0.25">
      <c r="B28" s="29" t="s">
        <v>113</v>
      </c>
      <c r="C28" s="38">
        <f>E24</f>
        <v>18500</v>
      </c>
      <c r="D28" s="29"/>
      <c r="E28" s="29"/>
      <c r="F28" s="29" t="s">
        <v>113</v>
      </c>
      <c r="G28" s="38">
        <f>G24</f>
        <v>16800</v>
      </c>
      <c r="H28" s="29"/>
      <c r="I28" s="29"/>
    </row>
    <row r="29" spans="1:9" x14ac:dyDescent="0.25">
      <c r="B29" s="29" t="s">
        <v>5</v>
      </c>
      <c r="C29" s="38">
        <f>'AUGUST 21'!E38</f>
        <v>-491</v>
      </c>
      <c r="D29" s="29"/>
      <c r="E29" s="29"/>
      <c r="F29" s="29" t="s">
        <v>5</v>
      </c>
      <c r="G29" s="38">
        <f>'AUGUST 21'!I38</f>
        <v>-25191</v>
      </c>
      <c r="H29" s="29"/>
      <c r="I29" s="29"/>
    </row>
    <row r="30" spans="1:9" x14ac:dyDescent="0.25">
      <c r="B30" s="29" t="s">
        <v>70</v>
      </c>
      <c r="C30" s="38"/>
      <c r="D30" s="29"/>
      <c r="E30" s="29"/>
      <c r="F30" s="29" t="s">
        <v>70</v>
      </c>
      <c r="G30" s="38"/>
      <c r="H30" s="29"/>
      <c r="I30" s="29"/>
    </row>
    <row r="31" spans="1:9" x14ac:dyDescent="0.25">
      <c r="B31" s="29" t="s">
        <v>20</v>
      </c>
      <c r="C31" s="39">
        <v>0.1</v>
      </c>
      <c r="D31" s="38">
        <f>C31*C28</f>
        <v>1850</v>
      </c>
      <c r="E31" s="29"/>
      <c r="F31" s="29" t="s">
        <v>20</v>
      </c>
      <c r="G31" s="39">
        <v>0.1</v>
      </c>
      <c r="H31" s="38">
        <f>G31*C28</f>
        <v>1850</v>
      </c>
      <c r="I31" s="29"/>
    </row>
    <row r="32" spans="1:9" x14ac:dyDescent="0.25">
      <c r="B32" s="30" t="s">
        <v>21</v>
      </c>
      <c r="C32" s="30" t="s">
        <v>22</v>
      </c>
      <c r="D32" s="30"/>
      <c r="E32" s="30"/>
      <c r="F32" s="30" t="s">
        <v>21</v>
      </c>
      <c r="G32" s="40"/>
      <c r="H32" s="30"/>
      <c r="I32" s="30"/>
    </row>
    <row r="33" spans="2:9" x14ac:dyDescent="0.25">
      <c r="B33" s="29" t="s">
        <v>323</v>
      </c>
      <c r="C33" s="29"/>
      <c r="D33" s="29">
        <v>2032</v>
      </c>
      <c r="E33" s="30"/>
      <c r="F33" s="29" t="s">
        <v>323</v>
      </c>
      <c r="G33" s="29"/>
      <c r="H33" s="29">
        <v>2032</v>
      </c>
      <c r="I33" s="30"/>
    </row>
    <row r="34" spans="2:9" x14ac:dyDescent="0.25">
      <c r="B34" s="29" t="s">
        <v>324</v>
      </c>
      <c r="C34" s="29"/>
      <c r="D34" s="29">
        <v>14127</v>
      </c>
      <c r="E34" s="30"/>
      <c r="F34" s="29" t="s">
        <v>324</v>
      </c>
      <c r="G34" s="29"/>
      <c r="H34" s="29">
        <v>14127</v>
      </c>
      <c r="I34" s="30"/>
    </row>
    <row r="35" spans="2:9" x14ac:dyDescent="0.25">
      <c r="B35" s="29" t="s">
        <v>327</v>
      </c>
      <c r="C35" s="29"/>
      <c r="D35" s="29">
        <v>2032</v>
      </c>
      <c r="E35" s="30"/>
      <c r="F35" s="29" t="s">
        <v>327</v>
      </c>
      <c r="G35" s="29"/>
      <c r="H35" s="29">
        <v>2032</v>
      </c>
      <c r="I35" s="30"/>
    </row>
    <row r="36" spans="2:9" x14ac:dyDescent="0.25">
      <c r="B36" s="29" t="s">
        <v>328</v>
      </c>
      <c r="C36" s="29"/>
      <c r="D36" s="29">
        <v>4500</v>
      </c>
      <c r="E36" s="30"/>
      <c r="F36" s="29"/>
      <c r="G36" s="29"/>
      <c r="H36" s="29"/>
      <c r="I36" s="30"/>
    </row>
    <row r="37" spans="2:9" x14ac:dyDescent="0.25">
      <c r="B37" s="29"/>
      <c r="C37" s="29"/>
      <c r="D37" s="29"/>
      <c r="E37" s="30"/>
      <c r="F37" s="29"/>
      <c r="G37" s="29"/>
      <c r="H37" s="29"/>
      <c r="I37" s="30"/>
    </row>
    <row r="38" spans="2:9" x14ac:dyDescent="0.25">
      <c r="B38" s="30" t="s">
        <v>11</v>
      </c>
      <c r="C38" s="40">
        <f>C28+C29+C30-D31</f>
        <v>16159</v>
      </c>
      <c r="D38" s="40">
        <f>SUM(D33:D37)</f>
        <v>22691</v>
      </c>
      <c r="E38" s="40">
        <f>C38-D38</f>
        <v>-6532</v>
      </c>
      <c r="F38" s="30" t="s">
        <v>11</v>
      </c>
      <c r="G38" s="40">
        <f>G28+G29+G30-H31</f>
        <v>-10241</v>
      </c>
      <c r="H38" s="40">
        <f>SUM(H33:H37)</f>
        <v>18191</v>
      </c>
      <c r="I38" s="40">
        <f>G38-H38</f>
        <v>-28432</v>
      </c>
    </row>
    <row r="39" spans="2:9" x14ac:dyDescent="0.25">
      <c r="B39" s="31"/>
      <c r="C39" s="31"/>
      <c r="D39" s="31"/>
      <c r="E39" s="31"/>
      <c r="F39" s="31"/>
      <c r="G39" s="31"/>
      <c r="H39" s="31"/>
      <c r="I39" s="31"/>
    </row>
    <row r="40" spans="2:9" x14ac:dyDescent="0.25">
      <c r="B40" s="31" t="s">
        <v>23</v>
      </c>
      <c r="C40" s="31"/>
      <c r="D40" s="31" t="s">
        <v>24</v>
      </c>
      <c r="E40" s="31"/>
      <c r="F40" s="31"/>
      <c r="G40" s="31" t="s">
        <v>25</v>
      </c>
      <c r="H40" s="31"/>
      <c r="I40" s="31"/>
    </row>
    <row r="41" spans="2:9" x14ac:dyDescent="0.25">
      <c r="B41" s="31"/>
      <c r="C41" s="31"/>
      <c r="D41" s="31"/>
      <c r="E41" s="31"/>
      <c r="F41" s="31"/>
      <c r="G41" s="31"/>
      <c r="H41" s="31"/>
      <c r="I41" s="31"/>
    </row>
    <row r="42" spans="2:9" x14ac:dyDescent="0.25">
      <c r="B42" s="31" t="s">
        <v>108</v>
      </c>
      <c r="C42" s="31"/>
      <c r="D42" s="31" t="s">
        <v>27</v>
      </c>
      <c r="E42" s="31"/>
      <c r="F42" s="31"/>
      <c r="G42" s="31" t="s">
        <v>46</v>
      </c>
      <c r="H42" s="31"/>
      <c r="I42" s="48"/>
    </row>
  </sheetData>
  <pageMargins left="0.7" right="0.7" top="0.75" bottom="0.75" header="0.3" footer="0.3"/>
  <pageSetup orientation="portrait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G24" sqref="G24"/>
    </sheetView>
  </sheetViews>
  <sheetFormatPr defaultRowHeight="15" x14ac:dyDescent="0.25"/>
  <cols>
    <col min="2" max="2" width="19.140625" customWidth="1"/>
  </cols>
  <sheetData>
    <row r="1" spans="1:9" x14ac:dyDescent="0.25">
      <c r="C1" s="1" t="s">
        <v>28</v>
      </c>
      <c r="D1" s="1"/>
      <c r="E1" s="1"/>
      <c r="F1" s="1"/>
    </row>
    <row r="2" spans="1:9" x14ac:dyDescent="0.25">
      <c r="B2" s="1"/>
      <c r="C2" s="1" t="s">
        <v>0</v>
      </c>
      <c r="D2" s="1"/>
      <c r="E2" s="1"/>
      <c r="F2" s="1"/>
      <c r="G2" s="1"/>
      <c r="H2" s="1"/>
    </row>
    <row r="3" spans="1:9" x14ac:dyDescent="0.25">
      <c r="B3" s="1"/>
      <c r="C3" s="1" t="s">
        <v>325</v>
      </c>
      <c r="D3" s="1"/>
      <c r="E3" s="1"/>
      <c r="F3" s="1"/>
      <c r="G3" s="1"/>
      <c r="H3" s="1"/>
    </row>
    <row r="4" spans="1:9" x14ac:dyDescent="0.25">
      <c r="A4" t="s">
        <v>110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</row>
    <row r="5" spans="1:9" x14ac:dyDescent="0.25">
      <c r="A5">
        <v>1</v>
      </c>
      <c r="B5" s="29" t="s">
        <v>332</v>
      </c>
      <c r="C5" s="3"/>
      <c r="D5" s="3">
        <f>'SEPT 21'!H5:H25</f>
        <v>0</v>
      </c>
      <c r="E5" s="3">
        <v>2500</v>
      </c>
      <c r="F5" s="3">
        <f>D5+E5</f>
        <v>2500</v>
      </c>
      <c r="G5" s="3">
        <v>2500</v>
      </c>
      <c r="H5" s="3">
        <f>F5-G5</f>
        <v>0</v>
      </c>
    </row>
    <row r="6" spans="1:9" x14ac:dyDescent="0.25">
      <c r="A6">
        <v>2</v>
      </c>
      <c r="B6" s="17" t="s">
        <v>30</v>
      </c>
      <c r="C6" s="17"/>
      <c r="D6" s="3">
        <f>'SEPT 21'!H6:H26</f>
        <v>0</v>
      </c>
      <c r="E6" s="3"/>
      <c r="F6" s="3">
        <f t="shared" ref="F6:F23" si="0">D6+E6</f>
        <v>0</v>
      </c>
      <c r="G6" s="3"/>
      <c r="H6" s="3">
        <f t="shared" ref="H6:H23" si="1">F6-G6</f>
        <v>0</v>
      </c>
      <c r="I6" t="s">
        <v>48</v>
      </c>
    </row>
    <row r="7" spans="1:9" x14ac:dyDescent="0.25">
      <c r="A7">
        <v>3</v>
      </c>
      <c r="B7" s="56" t="s">
        <v>147</v>
      </c>
      <c r="C7" s="64"/>
      <c r="D7" s="3"/>
      <c r="E7" s="56">
        <f>5000</f>
        <v>5000</v>
      </c>
      <c r="F7" s="56">
        <f t="shared" si="0"/>
        <v>5000</v>
      </c>
      <c r="G7" s="56"/>
      <c r="H7" s="3">
        <f t="shared" si="1"/>
        <v>5000</v>
      </c>
    </row>
    <row r="8" spans="1:9" x14ac:dyDescent="0.25">
      <c r="A8">
        <v>4</v>
      </c>
      <c r="B8" s="17" t="s">
        <v>30</v>
      </c>
      <c r="C8" s="3"/>
      <c r="D8" s="3">
        <f>'SEPT 21'!H8:H28</f>
        <v>0</v>
      </c>
      <c r="E8" s="3"/>
      <c r="F8" s="3">
        <f t="shared" si="0"/>
        <v>0</v>
      </c>
      <c r="G8" s="3"/>
      <c r="H8" s="3">
        <f t="shared" si="1"/>
        <v>0</v>
      </c>
    </row>
    <row r="9" spans="1:9" x14ac:dyDescent="0.25">
      <c r="A9">
        <v>5</v>
      </c>
      <c r="B9" s="17" t="s">
        <v>30</v>
      </c>
      <c r="C9" s="3"/>
      <c r="D9" s="3">
        <f>'SEPT 21'!H9:H29</f>
        <v>0</v>
      </c>
      <c r="E9" s="3"/>
      <c r="F9" s="3">
        <f t="shared" si="0"/>
        <v>0</v>
      </c>
      <c r="G9" s="3"/>
      <c r="H9" s="3">
        <f t="shared" si="1"/>
        <v>0</v>
      </c>
    </row>
    <row r="10" spans="1:9" x14ac:dyDescent="0.25">
      <c r="A10">
        <v>6</v>
      </c>
      <c r="B10" s="3" t="s">
        <v>333</v>
      </c>
      <c r="C10" s="3"/>
      <c r="D10" s="3">
        <f>'SEPT 21'!H10:H30</f>
        <v>0</v>
      </c>
      <c r="E10" s="3">
        <v>2500</v>
      </c>
      <c r="F10" s="3">
        <f t="shared" si="0"/>
        <v>2500</v>
      </c>
      <c r="G10" s="3">
        <v>1650</v>
      </c>
      <c r="H10" s="3">
        <f t="shared" si="1"/>
        <v>850</v>
      </c>
    </row>
    <row r="11" spans="1:9" x14ac:dyDescent="0.25">
      <c r="A11">
        <v>7</v>
      </c>
      <c r="B11" s="63" t="s">
        <v>30</v>
      </c>
      <c r="D11" s="3"/>
      <c r="E11" s="3"/>
      <c r="F11" s="3">
        <f>D11+E11</f>
        <v>0</v>
      </c>
      <c r="G11" s="3"/>
      <c r="H11" s="3">
        <f t="shared" si="1"/>
        <v>0</v>
      </c>
    </row>
    <row r="12" spans="1:9" x14ac:dyDescent="0.25">
      <c r="A12">
        <v>8</v>
      </c>
      <c r="B12" s="17" t="s">
        <v>30</v>
      </c>
      <c r="C12" s="3"/>
      <c r="D12" s="3">
        <f>'SEPT 21'!H12:H32</f>
        <v>0</v>
      </c>
      <c r="E12" s="3"/>
      <c r="F12" s="3">
        <f t="shared" si="0"/>
        <v>0</v>
      </c>
      <c r="G12" s="3"/>
      <c r="H12" s="3">
        <f>F12-G12</f>
        <v>0</v>
      </c>
    </row>
    <row r="13" spans="1:9" x14ac:dyDescent="0.25">
      <c r="A13">
        <v>9</v>
      </c>
      <c r="B13" s="17" t="s">
        <v>107</v>
      </c>
      <c r="C13" s="3"/>
      <c r="D13" s="3">
        <f>'SEPT 21'!H13:H33</f>
        <v>0</v>
      </c>
      <c r="E13" s="3"/>
      <c r="F13" s="3">
        <f t="shared" si="0"/>
        <v>0</v>
      </c>
      <c r="G13" s="3"/>
      <c r="H13" s="3">
        <f t="shared" si="1"/>
        <v>0</v>
      </c>
    </row>
    <row r="14" spans="1:9" x14ac:dyDescent="0.25">
      <c r="A14">
        <v>10</v>
      </c>
      <c r="B14" s="29" t="s">
        <v>334</v>
      </c>
      <c r="C14" s="3"/>
      <c r="D14" s="3">
        <f>'SEPT 21'!H14:H37</f>
        <v>0</v>
      </c>
      <c r="E14" s="3">
        <v>2500</v>
      </c>
      <c r="F14" s="3">
        <f t="shared" si="0"/>
        <v>2500</v>
      </c>
      <c r="G14" s="3">
        <v>2500</v>
      </c>
      <c r="H14" s="3">
        <f t="shared" si="1"/>
        <v>0</v>
      </c>
    </row>
    <row r="15" spans="1:9" x14ac:dyDescent="0.25">
      <c r="A15">
        <v>11</v>
      </c>
      <c r="B15" s="57" t="s">
        <v>148</v>
      </c>
      <c r="C15" s="57"/>
      <c r="D15" s="3">
        <f>'SEPT 21'!H15:H38</f>
        <v>1200</v>
      </c>
      <c r="E15" s="57">
        <v>2500</v>
      </c>
      <c r="F15" s="3">
        <f t="shared" si="0"/>
        <v>3700</v>
      </c>
      <c r="G15" s="57">
        <f>2500+200</f>
        <v>2700</v>
      </c>
      <c r="H15" s="3">
        <f>F15-G15</f>
        <v>1000</v>
      </c>
    </row>
    <row r="16" spans="1:9" x14ac:dyDescent="0.25">
      <c r="A16">
        <v>12</v>
      </c>
      <c r="B16" s="63" t="s">
        <v>37</v>
      </c>
      <c r="C16" s="63"/>
      <c r="D16" s="3">
        <f>'SEPT 21'!H16:H39</f>
        <v>15500</v>
      </c>
      <c r="E16" s="3"/>
      <c r="F16" s="3">
        <f>D16+E16+2500</f>
        <v>18000</v>
      </c>
      <c r="G16" s="3"/>
      <c r="H16" s="3">
        <f t="shared" si="1"/>
        <v>18000</v>
      </c>
    </row>
    <row r="17" spans="1:9" x14ac:dyDescent="0.25">
      <c r="A17" s="6">
        <v>13</v>
      </c>
      <c r="B17" s="60" t="s">
        <v>30</v>
      </c>
      <c r="C17" s="60"/>
      <c r="D17" s="3">
        <f>'SEPT 21'!H17:H40</f>
        <v>0</v>
      </c>
      <c r="E17" s="57"/>
      <c r="F17" s="58">
        <f t="shared" si="0"/>
        <v>0</v>
      </c>
      <c r="G17" s="58"/>
      <c r="H17" s="58">
        <f t="shared" si="1"/>
        <v>0</v>
      </c>
    </row>
    <row r="18" spans="1:9" x14ac:dyDescent="0.25">
      <c r="A18">
        <v>14</v>
      </c>
      <c r="B18" s="13" t="s">
        <v>123</v>
      </c>
      <c r="C18" s="13"/>
      <c r="D18" s="3">
        <f>'SEPT 21'!H18:H41</f>
        <v>1800</v>
      </c>
      <c r="E18" s="13">
        <v>2500</v>
      </c>
      <c r="F18" s="3">
        <f t="shared" si="0"/>
        <v>4300</v>
      </c>
      <c r="G18" s="13">
        <f>1000</f>
        <v>1000</v>
      </c>
      <c r="H18" s="13">
        <f t="shared" si="1"/>
        <v>3300</v>
      </c>
    </row>
    <row r="19" spans="1:9" x14ac:dyDescent="0.25">
      <c r="A19" t="s">
        <v>233</v>
      </c>
      <c r="B19" s="3" t="s">
        <v>35</v>
      </c>
      <c r="C19" s="3"/>
      <c r="D19" s="3">
        <f>'SEPT 21'!H19:H42</f>
        <v>4500</v>
      </c>
      <c r="E19" s="3">
        <v>4500</v>
      </c>
      <c r="F19" s="3">
        <f t="shared" si="0"/>
        <v>9000</v>
      </c>
      <c r="G19" s="13">
        <f>4500+4500</f>
        <v>9000</v>
      </c>
      <c r="H19" s="13">
        <f t="shared" si="1"/>
        <v>0</v>
      </c>
      <c r="I19" t="s">
        <v>329</v>
      </c>
    </row>
    <row r="20" spans="1:9" x14ac:dyDescent="0.25">
      <c r="A20">
        <v>17</v>
      </c>
      <c r="B20" s="29" t="s">
        <v>247</v>
      </c>
      <c r="C20" s="63"/>
      <c r="D20" s="3">
        <f>'SEPT 21'!H20:H43</f>
        <v>4100</v>
      </c>
      <c r="E20" s="13"/>
      <c r="F20" s="3">
        <f t="shared" si="0"/>
        <v>4100</v>
      </c>
      <c r="G20" s="13">
        <v>4100</v>
      </c>
      <c r="H20" s="13">
        <f>F20-G20</f>
        <v>0</v>
      </c>
    </row>
    <row r="21" spans="1:9" x14ac:dyDescent="0.25">
      <c r="A21">
        <v>18</v>
      </c>
      <c r="B21" s="13" t="s">
        <v>275</v>
      </c>
      <c r="C21" s="13"/>
      <c r="D21" s="3">
        <f>'SEPT 21'!H21:H44</f>
        <v>0</v>
      </c>
      <c r="E21" s="13">
        <v>3000</v>
      </c>
      <c r="F21" s="3">
        <f t="shared" si="0"/>
        <v>3000</v>
      </c>
      <c r="G21" s="13">
        <v>3000</v>
      </c>
      <c r="H21" s="13">
        <f t="shared" si="1"/>
        <v>0</v>
      </c>
    </row>
    <row r="22" spans="1:9" x14ac:dyDescent="0.25">
      <c r="A22">
        <v>19</v>
      </c>
      <c r="B22" s="63" t="s">
        <v>258</v>
      </c>
      <c r="C22" s="63"/>
      <c r="D22" s="3">
        <f>'SEPT 21'!H22:H45</f>
        <v>11200</v>
      </c>
      <c r="E22" s="3">
        <v>3000</v>
      </c>
      <c r="F22" s="3">
        <f>D22+E22</f>
        <v>14200</v>
      </c>
      <c r="G22" s="3">
        <f>4000+1500+1000</f>
        <v>6500</v>
      </c>
      <c r="H22" s="13">
        <f>F22-G22</f>
        <v>7700</v>
      </c>
    </row>
    <row r="23" spans="1:9" x14ac:dyDescent="0.25">
      <c r="A23">
        <v>20</v>
      </c>
      <c r="B23" s="3" t="s">
        <v>244</v>
      </c>
      <c r="C23" s="3"/>
      <c r="D23" s="3">
        <f>'SEPT 21'!H23:H46</f>
        <v>1700</v>
      </c>
      <c r="E23" s="3">
        <v>3000</v>
      </c>
      <c r="F23" s="3">
        <f t="shared" si="0"/>
        <v>4700</v>
      </c>
      <c r="G23" s="3">
        <f>1400+500</f>
        <v>1900</v>
      </c>
      <c r="H23" s="13">
        <f t="shared" si="1"/>
        <v>2800</v>
      </c>
      <c r="I23" s="31"/>
    </row>
    <row r="24" spans="1:9" x14ac:dyDescent="0.25">
      <c r="B24" s="30" t="s">
        <v>64</v>
      </c>
      <c r="C24" s="30">
        <f t="shared" ref="C24" si="2">SUM(C5:C22)</f>
        <v>0</v>
      </c>
      <c r="D24" s="3">
        <f>'SEPT 21'!H24:H47</f>
        <v>44500</v>
      </c>
      <c r="E24" s="30">
        <f>SUM(E5:E23)</f>
        <v>31000</v>
      </c>
      <c r="F24" s="30">
        <f>SUM(F5:F23)</f>
        <v>73500</v>
      </c>
      <c r="G24" s="30">
        <f>SUM(G5:G23)</f>
        <v>34850</v>
      </c>
      <c r="H24" s="30">
        <f>SUM(H5:H23)</f>
        <v>38650</v>
      </c>
      <c r="I24" s="66"/>
    </row>
    <row r="25" spans="1:9" x14ac:dyDescent="0.25">
      <c r="C25" s="34"/>
      <c r="D25" s="3">
        <f>'SEPT 21'!H25:H48</f>
        <v>44500</v>
      </c>
      <c r="E25" s="33"/>
      <c r="F25" s="46"/>
      <c r="G25" s="10"/>
      <c r="H25" s="35">
        <f>H24+P36</f>
        <v>38650</v>
      </c>
    </row>
    <row r="26" spans="1:9" x14ac:dyDescent="0.25">
      <c r="B26" s="36" t="s">
        <v>13</v>
      </c>
      <c r="C26" s="36"/>
      <c r="D26" s="36"/>
      <c r="E26" s="37"/>
      <c r="F26" s="36" t="s">
        <v>14</v>
      </c>
      <c r="G26" s="31"/>
      <c r="H26" s="31" t="s">
        <v>9</v>
      </c>
      <c r="I26" s="6"/>
    </row>
    <row r="27" spans="1:9" x14ac:dyDescent="0.25">
      <c r="B27" s="30" t="s">
        <v>15</v>
      </c>
      <c r="C27" s="30" t="s">
        <v>16</v>
      </c>
      <c r="D27" s="30" t="s">
        <v>17</v>
      </c>
      <c r="E27" s="30" t="s">
        <v>18</v>
      </c>
      <c r="F27" s="30"/>
      <c r="G27" s="30"/>
      <c r="H27" s="30" t="s">
        <v>17</v>
      </c>
      <c r="I27" s="30" t="s">
        <v>18</v>
      </c>
    </row>
    <row r="28" spans="1:9" x14ac:dyDescent="0.25">
      <c r="B28" s="29" t="s">
        <v>326</v>
      </c>
      <c r="C28" s="38">
        <f>E24</f>
        <v>31000</v>
      </c>
      <c r="D28" s="29"/>
      <c r="E28" s="29"/>
      <c r="F28" s="29" t="s">
        <v>326</v>
      </c>
      <c r="G28" s="38">
        <f>G24</f>
        <v>34850</v>
      </c>
      <c r="H28" s="29"/>
      <c r="I28" s="29"/>
    </row>
    <row r="29" spans="1:9" x14ac:dyDescent="0.25">
      <c r="B29" s="29" t="s">
        <v>5</v>
      </c>
      <c r="C29" s="38">
        <f>'SEPT 21'!E38</f>
        <v>-6532</v>
      </c>
      <c r="D29" s="29"/>
      <c r="E29" s="29"/>
      <c r="F29" s="29" t="s">
        <v>5</v>
      </c>
      <c r="G29" s="38">
        <f>'SEPT 21'!I38</f>
        <v>-28432</v>
      </c>
      <c r="H29" s="29"/>
      <c r="I29" s="29"/>
    </row>
    <row r="30" spans="1:9" x14ac:dyDescent="0.25">
      <c r="B30" s="29" t="s">
        <v>70</v>
      </c>
      <c r="C30" s="38"/>
      <c r="D30" s="29"/>
      <c r="E30" s="29"/>
      <c r="F30" s="29" t="s">
        <v>70</v>
      </c>
      <c r="G30" s="38"/>
      <c r="H30" s="29"/>
      <c r="I30" s="29"/>
    </row>
    <row r="31" spans="1:9" x14ac:dyDescent="0.25">
      <c r="B31" s="29" t="s">
        <v>20</v>
      </c>
      <c r="C31" s="39">
        <v>0.1</v>
      </c>
      <c r="D31" s="38">
        <f>C31*C28</f>
        <v>3100</v>
      </c>
      <c r="E31" s="29"/>
      <c r="F31" s="29" t="s">
        <v>20</v>
      </c>
      <c r="G31" s="39">
        <v>0.1</v>
      </c>
      <c r="H31" s="38">
        <f>G31*C28</f>
        <v>3100</v>
      </c>
      <c r="I31" s="29"/>
    </row>
    <row r="32" spans="1:9" x14ac:dyDescent="0.25">
      <c r="B32" s="30" t="s">
        <v>21</v>
      </c>
      <c r="C32" s="30" t="s">
        <v>22</v>
      </c>
      <c r="D32" s="30"/>
      <c r="E32" s="30"/>
      <c r="F32" s="30" t="s">
        <v>21</v>
      </c>
      <c r="G32" s="40"/>
      <c r="H32" s="30"/>
      <c r="I32" s="30"/>
    </row>
    <row r="33" spans="2:9" x14ac:dyDescent="0.25">
      <c r="B33" s="29" t="s">
        <v>201</v>
      </c>
      <c r="C33" s="29"/>
      <c r="D33" s="29">
        <v>4500</v>
      </c>
      <c r="E33" s="30"/>
      <c r="F33" s="29"/>
      <c r="G33" s="29"/>
      <c r="H33" s="29"/>
      <c r="I33" s="30"/>
    </row>
    <row r="34" spans="2:9" x14ac:dyDescent="0.25">
      <c r="B34" s="29" t="s">
        <v>330</v>
      </c>
      <c r="C34" s="29"/>
      <c r="D34" s="29">
        <v>16860</v>
      </c>
      <c r="E34" s="30"/>
      <c r="F34" s="29" t="s">
        <v>330</v>
      </c>
      <c r="G34" s="29"/>
      <c r="H34" s="29">
        <v>16860</v>
      </c>
      <c r="I34" s="30"/>
    </row>
    <row r="35" spans="2:9" x14ac:dyDescent="0.25">
      <c r="B35" s="30" t="s">
        <v>11</v>
      </c>
      <c r="C35" s="40">
        <f>C28+C29+C30-D31</f>
        <v>21368</v>
      </c>
      <c r="D35" s="40">
        <f>SUM(D33:D34)</f>
        <v>21360</v>
      </c>
      <c r="E35" s="40">
        <f>C35-D35</f>
        <v>8</v>
      </c>
      <c r="F35" s="30" t="s">
        <v>11</v>
      </c>
      <c r="G35" s="40">
        <f>G28+G29+G30-H31</f>
        <v>3318</v>
      </c>
      <c r="H35" s="40">
        <f>SUM(H33:H34)</f>
        <v>16860</v>
      </c>
      <c r="I35" s="40">
        <f>G35-H35</f>
        <v>-13542</v>
      </c>
    </row>
    <row r="36" spans="2:9" x14ac:dyDescent="0.25">
      <c r="B36" s="31"/>
      <c r="C36" s="31"/>
      <c r="D36" s="31"/>
      <c r="E36" s="31"/>
      <c r="F36" s="31"/>
      <c r="G36" s="31"/>
      <c r="H36" s="31"/>
      <c r="I36" s="31"/>
    </row>
    <row r="37" spans="2:9" x14ac:dyDescent="0.25">
      <c r="B37" s="31" t="s">
        <v>23</v>
      </c>
      <c r="C37" s="31"/>
      <c r="D37" s="31" t="s">
        <v>24</v>
      </c>
      <c r="E37" s="31"/>
      <c r="F37" s="31"/>
      <c r="G37" s="31" t="s">
        <v>25</v>
      </c>
      <c r="H37" s="31"/>
      <c r="I37" s="31"/>
    </row>
    <row r="38" spans="2:9" x14ac:dyDescent="0.25">
      <c r="B38" s="31"/>
      <c r="C38" s="31"/>
      <c r="D38" s="31"/>
      <c r="E38" s="31"/>
      <c r="F38" s="31"/>
      <c r="G38" s="31"/>
      <c r="H38" s="31"/>
      <c r="I38" s="31"/>
    </row>
    <row r="39" spans="2:9" x14ac:dyDescent="0.25">
      <c r="B39" s="31" t="s">
        <v>108</v>
      </c>
      <c r="C39" s="31"/>
      <c r="D39" s="31" t="s">
        <v>27</v>
      </c>
      <c r="E39" s="31"/>
      <c r="F39" s="31"/>
      <c r="G39" s="31" t="s">
        <v>46</v>
      </c>
      <c r="H39" s="31"/>
      <c r="I39" s="48"/>
    </row>
  </sheetData>
  <pageMargins left="0.7" right="0.7" top="0.75" bottom="0.75" header="0.3" footer="0.3"/>
  <pageSetup paperSize="0" orientation="portrait" horizontalDpi="203" verticalDpi="203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3" workbookViewId="0">
      <selection sqref="A1:L40"/>
    </sheetView>
  </sheetViews>
  <sheetFormatPr defaultRowHeight="15" x14ac:dyDescent="0.25"/>
  <cols>
    <col min="2" max="2" width="17.140625" customWidth="1"/>
  </cols>
  <sheetData>
    <row r="1" spans="1:9" x14ac:dyDescent="0.25">
      <c r="C1" s="1" t="s">
        <v>28</v>
      </c>
      <c r="D1" s="1"/>
      <c r="E1" s="1"/>
      <c r="F1" s="1"/>
    </row>
    <row r="2" spans="1:9" x14ac:dyDescent="0.25">
      <c r="B2" s="1"/>
      <c r="C2" s="1" t="s">
        <v>0</v>
      </c>
      <c r="D2" s="1"/>
      <c r="E2" s="1"/>
      <c r="F2" s="1"/>
      <c r="G2" s="1"/>
      <c r="H2" s="1"/>
    </row>
    <row r="3" spans="1:9" x14ac:dyDescent="0.25">
      <c r="B3" s="1"/>
      <c r="C3" s="1" t="s">
        <v>331</v>
      </c>
      <c r="D3" s="1"/>
      <c r="E3" s="1"/>
      <c r="F3" s="1"/>
      <c r="G3" s="1"/>
      <c r="H3" s="1"/>
    </row>
    <row r="4" spans="1:9" x14ac:dyDescent="0.25">
      <c r="A4" t="s">
        <v>110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</row>
    <row r="5" spans="1:9" x14ac:dyDescent="0.25">
      <c r="A5">
        <v>1</v>
      </c>
      <c r="B5" s="29" t="s">
        <v>335</v>
      </c>
      <c r="C5" s="3"/>
      <c r="D5" s="3">
        <f>'OCTOBER  21'!H5:H23</f>
        <v>0</v>
      </c>
      <c r="E5" s="3">
        <v>2500</v>
      </c>
      <c r="F5" s="3">
        <f>D5+E5</f>
        <v>2500</v>
      </c>
      <c r="G5" s="3"/>
      <c r="H5" s="3">
        <f>F5-G5</f>
        <v>2500</v>
      </c>
    </row>
    <row r="6" spans="1:9" x14ac:dyDescent="0.25">
      <c r="A6">
        <v>2</v>
      </c>
      <c r="B6" s="17" t="s">
        <v>30</v>
      </c>
      <c r="C6" s="17"/>
      <c r="D6" s="3">
        <f>'OCTOBER  21'!H6:H24</f>
        <v>0</v>
      </c>
      <c r="E6" s="3"/>
      <c r="F6" s="3">
        <f t="shared" ref="F6:F23" si="0">D6+E6</f>
        <v>0</v>
      </c>
      <c r="G6" s="3"/>
      <c r="H6" s="3">
        <f t="shared" ref="H6:H23" si="1">F6-G6</f>
        <v>0</v>
      </c>
      <c r="I6" t="s">
        <v>48</v>
      </c>
    </row>
    <row r="7" spans="1:9" x14ac:dyDescent="0.25">
      <c r="A7">
        <v>3</v>
      </c>
      <c r="B7" s="56" t="s">
        <v>147</v>
      </c>
      <c r="C7" s="64"/>
      <c r="D7" s="3">
        <f>'OCTOBER  21'!H7:H25</f>
        <v>5000</v>
      </c>
      <c r="E7" s="56">
        <v>2500</v>
      </c>
      <c r="F7" s="56">
        <f t="shared" si="0"/>
        <v>7500</v>
      </c>
      <c r="G7" s="3">
        <f>2500+5000</f>
        <v>7500</v>
      </c>
      <c r="H7" s="3">
        <f t="shared" si="1"/>
        <v>0</v>
      </c>
    </row>
    <row r="8" spans="1:9" x14ac:dyDescent="0.25">
      <c r="A8">
        <v>4</v>
      </c>
      <c r="B8" s="17" t="s">
        <v>30</v>
      </c>
      <c r="C8" s="3"/>
      <c r="D8" s="3">
        <f>'OCTOBER  21'!H8:H26</f>
        <v>0</v>
      </c>
      <c r="E8" s="3"/>
      <c r="F8" s="3">
        <f t="shared" si="0"/>
        <v>0</v>
      </c>
      <c r="G8" s="3"/>
      <c r="H8" s="3">
        <f t="shared" si="1"/>
        <v>0</v>
      </c>
    </row>
    <row r="9" spans="1:9" x14ac:dyDescent="0.25">
      <c r="A9">
        <v>5</v>
      </c>
      <c r="B9" s="17" t="s">
        <v>30</v>
      </c>
      <c r="C9" s="3"/>
      <c r="D9" s="3">
        <f>'OCTOBER  21'!H9:H27</f>
        <v>0</v>
      </c>
      <c r="E9" s="3"/>
      <c r="F9" s="3">
        <f t="shared" si="0"/>
        <v>0</v>
      </c>
      <c r="G9" s="3"/>
      <c r="H9" s="3">
        <f t="shared" si="1"/>
        <v>0</v>
      </c>
    </row>
    <row r="10" spans="1:9" x14ac:dyDescent="0.25">
      <c r="A10">
        <v>6</v>
      </c>
      <c r="B10" s="3" t="s">
        <v>333</v>
      </c>
      <c r="C10" s="3"/>
      <c r="D10" s="3">
        <f>'OCTOBER  21'!H10:H28</f>
        <v>850</v>
      </c>
      <c r="E10" s="3">
        <v>2500</v>
      </c>
      <c r="F10" s="3">
        <f t="shared" si="0"/>
        <v>3350</v>
      </c>
      <c r="G10" s="3">
        <v>1650</v>
      </c>
      <c r="H10" s="3">
        <f t="shared" si="1"/>
        <v>1700</v>
      </c>
    </row>
    <row r="11" spans="1:9" x14ac:dyDescent="0.25">
      <c r="A11">
        <v>7</v>
      </c>
      <c r="B11" s="63" t="s">
        <v>30</v>
      </c>
      <c r="D11" s="3">
        <f>'OCTOBER  21'!H11:H29</f>
        <v>0</v>
      </c>
      <c r="E11" s="3"/>
      <c r="F11" s="3">
        <f>D11+E11</f>
        <v>0</v>
      </c>
      <c r="G11" s="3"/>
      <c r="H11" s="3">
        <f t="shared" si="1"/>
        <v>0</v>
      </c>
    </row>
    <row r="12" spans="1:9" x14ac:dyDescent="0.25">
      <c r="A12">
        <v>8</v>
      </c>
      <c r="B12" s="17" t="s">
        <v>30</v>
      </c>
      <c r="C12" s="3"/>
      <c r="D12" s="3">
        <f>'OCTOBER  21'!H12:H30</f>
        <v>0</v>
      </c>
      <c r="E12" s="3"/>
      <c r="F12" s="3">
        <f t="shared" si="0"/>
        <v>0</v>
      </c>
      <c r="G12" s="3"/>
      <c r="H12" s="3">
        <f>F12-G12</f>
        <v>0</v>
      </c>
    </row>
    <row r="13" spans="1:9" x14ac:dyDescent="0.25">
      <c r="A13">
        <v>9</v>
      </c>
      <c r="B13" s="17" t="s">
        <v>107</v>
      </c>
      <c r="C13" s="3"/>
      <c r="D13" s="3">
        <f>'OCTOBER  21'!H13:H31</f>
        <v>0</v>
      </c>
      <c r="E13" s="3"/>
      <c r="F13" s="3">
        <f t="shared" si="0"/>
        <v>0</v>
      </c>
      <c r="G13" s="3"/>
      <c r="H13" s="3">
        <f t="shared" si="1"/>
        <v>0</v>
      </c>
    </row>
    <row r="14" spans="1:9" x14ac:dyDescent="0.25">
      <c r="A14">
        <v>10</v>
      </c>
      <c r="B14" s="29" t="s">
        <v>336</v>
      </c>
      <c r="C14" s="3"/>
      <c r="D14" s="3">
        <f>'OCTOBER  21'!H14:H32</f>
        <v>0</v>
      </c>
      <c r="E14" s="3">
        <v>2500</v>
      </c>
      <c r="F14" s="3">
        <f t="shared" si="0"/>
        <v>2500</v>
      </c>
      <c r="G14" s="3">
        <f>2000+500</f>
        <v>2500</v>
      </c>
      <c r="H14" s="3">
        <f t="shared" si="1"/>
        <v>0</v>
      </c>
    </row>
    <row r="15" spans="1:9" x14ac:dyDescent="0.25">
      <c r="A15">
        <v>11</v>
      </c>
      <c r="B15" s="57" t="s">
        <v>148</v>
      </c>
      <c r="C15" s="57"/>
      <c r="D15" s="3">
        <f>'OCTOBER  21'!H15:H33</f>
        <v>1000</v>
      </c>
      <c r="E15" s="57">
        <v>2500</v>
      </c>
      <c r="F15" s="3">
        <f t="shared" si="0"/>
        <v>3500</v>
      </c>
      <c r="G15" s="3">
        <v>2500</v>
      </c>
      <c r="H15" s="3">
        <f>F15-G15</f>
        <v>1000</v>
      </c>
    </row>
    <row r="16" spans="1:9" x14ac:dyDescent="0.25">
      <c r="A16">
        <v>12</v>
      </c>
      <c r="B16" s="63" t="s">
        <v>37</v>
      </c>
      <c r="C16" s="63"/>
      <c r="D16" s="3">
        <f>'OCTOBER  21'!H16:H34</f>
        <v>18000</v>
      </c>
      <c r="E16" s="3"/>
      <c r="F16" s="3">
        <f>D16+E16+2500</f>
        <v>20500</v>
      </c>
      <c r="G16" s="3"/>
      <c r="H16" s="3">
        <f t="shared" si="1"/>
        <v>20500</v>
      </c>
    </row>
    <row r="17" spans="1:9" x14ac:dyDescent="0.25">
      <c r="A17" s="6">
        <v>13</v>
      </c>
      <c r="B17" s="60" t="s">
        <v>30</v>
      </c>
      <c r="C17" s="60"/>
      <c r="D17" s="3">
        <f>'OCTOBER  21'!H17:H35</f>
        <v>0</v>
      </c>
      <c r="E17" s="57"/>
      <c r="F17" s="58">
        <f t="shared" si="0"/>
        <v>0</v>
      </c>
      <c r="G17" s="3"/>
      <c r="H17" s="58">
        <f t="shared" si="1"/>
        <v>0</v>
      </c>
    </row>
    <row r="18" spans="1:9" x14ac:dyDescent="0.25">
      <c r="A18">
        <v>14</v>
      </c>
      <c r="B18" s="13" t="s">
        <v>123</v>
      </c>
      <c r="C18" s="13"/>
      <c r="D18" s="3">
        <f>'OCTOBER  21'!H18:H36</f>
        <v>3300</v>
      </c>
      <c r="E18" s="13">
        <v>2500</v>
      </c>
      <c r="F18" s="3">
        <f t="shared" si="0"/>
        <v>5800</v>
      </c>
      <c r="G18" s="3">
        <f>1000+500+1000</f>
        <v>2500</v>
      </c>
      <c r="H18" s="13">
        <f t="shared" si="1"/>
        <v>3300</v>
      </c>
    </row>
    <row r="19" spans="1:9" x14ac:dyDescent="0.25">
      <c r="A19" t="s">
        <v>233</v>
      </c>
      <c r="B19" s="3" t="s">
        <v>35</v>
      </c>
      <c r="C19" s="3"/>
      <c r="D19" s="3">
        <f>'OCTOBER  21'!H19:H37</f>
        <v>0</v>
      </c>
      <c r="E19" s="3">
        <v>4500</v>
      </c>
      <c r="F19" s="3">
        <f t="shared" si="0"/>
        <v>4500</v>
      </c>
      <c r="G19" s="3"/>
      <c r="H19" s="13">
        <f t="shared" si="1"/>
        <v>4500</v>
      </c>
    </row>
    <row r="20" spans="1:9" x14ac:dyDescent="0.25">
      <c r="A20">
        <v>17</v>
      </c>
      <c r="B20" s="29" t="s">
        <v>337</v>
      </c>
      <c r="C20" s="63"/>
      <c r="D20" s="3">
        <f>'OCTOBER  21'!H20:H38</f>
        <v>0</v>
      </c>
      <c r="E20" s="13">
        <v>3000</v>
      </c>
      <c r="F20" s="3">
        <f t="shared" si="0"/>
        <v>3000</v>
      </c>
      <c r="G20" s="3">
        <v>3000</v>
      </c>
      <c r="H20" s="13">
        <f>F20-G20</f>
        <v>0</v>
      </c>
    </row>
    <row r="21" spans="1:9" x14ac:dyDescent="0.25">
      <c r="A21">
        <v>18</v>
      </c>
      <c r="B21" s="13" t="s">
        <v>275</v>
      </c>
      <c r="C21" s="13"/>
      <c r="D21" s="3">
        <f>'OCTOBER  21'!H21:H39</f>
        <v>0</v>
      </c>
      <c r="E21" s="13">
        <v>3000</v>
      </c>
      <c r="F21" s="3">
        <f t="shared" si="0"/>
        <v>3000</v>
      </c>
      <c r="G21" s="3">
        <v>3000</v>
      </c>
      <c r="H21" s="13">
        <f t="shared" si="1"/>
        <v>0</v>
      </c>
    </row>
    <row r="22" spans="1:9" x14ac:dyDescent="0.25">
      <c r="A22">
        <v>19</v>
      </c>
      <c r="B22" s="63" t="s">
        <v>258</v>
      </c>
      <c r="C22" s="63"/>
      <c r="D22" s="3">
        <f>'OCTOBER  21'!H22:H40</f>
        <v>7700</v>
      </c>
      <c r="E22" s="3">
        <v>3000</v>
      </c>
      <c r="F22" s="3">
        <f>D22+E22</f>
        <v>10700</v>
      </c>
      <c r="G22" s="3"/>
      <c r="H22" s="13">
        <f>F22-G22</f>
        <v>10700</v>
      </c>
    </row>
    <row r="23" spans="1:9" x14ac:dyDescent="0.25">
      <c r="A23">
        <v>20</v>
      </c>
      <c r="B23" s="3" t="s">
        <v>244</v>
      </c>
      <c r="C23" s="3"/>
      <c r="D23" s="3">
        <f>'OCTOBER  21'!H23:H41</f>
        <v>2800</v>
      </c>
      <c r="E23" s="3">
        <v>3000</v>
      </c>
      <c r="F23" s="3">
        <f t="shared" si="0"/>
        <v>5800</v>
      </c>
      <c r="G23" s="3">
        <f>1300+500+3200</f>
        <v>5000</v>
      </c>
      <c r="H23" s="13">
        <f t="shared" si="1"/>
        <v>800</v>
      </c>
      <c r="I23" s="31"/>
    </row>
    <row r="24" spans="1:9" x14ac:dyDescent="0.25">
      <c r="B24" s="30" t="s">
        <v>64</v>
      </c>
      <c r="C24" s="30">
        <f t="shared" ref="C24" si="2">SUM(C5:C22)</f>
        <v>0</v>
      </c>
      <c r="D24" s="3">
        <f>'SEPT 21'!H24:H47</f>
        <v>44500</v>
      </c>
      <c r="E24" s="30">
        <f>SUM(E5:E23)</f>
        <v>31500</v>
      </c>
      <c r="F24" s="30">
        <f>SUM(F5:F23)</f>
        <v>72650</v>
      </c>
      <c r="G24" s="30">
        <f>SUM(G5:G23)</f>
        <v>27650</v>
      </c>
      <c r="H24" s="30">
        <f>SUM(H5:H23)</f>
        <v>45000</v>
      </c>
      <c r="I24" s="66"/>
    </row>
    <row r="25" spans="1:9" x14ac:dyDescent="0.25">
      <c r="C25" s="34"/>
      <c r="D25" s="3">
        <f>'SEPT 21'!H25:H48</f>
        <v>44500</v>
      </c>
      <c r="E25" s="33"/>
      <c r="F25" s="46"/>
      <c r="G25" s="10"/>
      <c r="H25" s="35">
        <f>H24+P36</f>
        <v>45000</v>
      </c>
    </row>
    <row r="26" spans="1:9" x14ac:dyDescent="0.25">
      <c r="B26" s="36" t="s">
        <v>13</v>
      </c>
      <c r="C26" s="36"/>
      <c r="D26" s="36"/>
      <c r="E26" s="37"/>
      <c r="F26" s="36" t="s">
        <v>14</v>
      </c>
      <c r="G26" s="31"/>
      <c r="H26" s="31" t="s">
        <v>9</v>
      </c>
      <c r="I26" s="6"/>
    </row>
    <row r="27" spans="1:9" x14ac:dyDescent="0.25">
      <c r="B27" s="30" t="s">
        <v>15</v>
      </c>
      <c r="C27" s="30" t="s">
        <v>16</v>
      </c>
      <c r="D27" s="30" t="s">
        <v>17</v>
      </c>
      <c r="E27" s="30" t="s">
        <v>18</v>
      </c>
      <c r="F27" s="30"/>
      <c r="G27" s="30"/>
      <c r="H27" s="30" t="s">
        <v>17</v>
      </c>
      <c r="I27" s="30" t="s">
        <v>18</v>
      </c>
    </row>
    <row r="28" spans="1:9" x14ac:dyDescent="0.25">
      <c r="B28" s="29" t="s">
        <v>52</v>
      </c>
      <c r="C28" s="38">
        <f>E24</f>
        <v>31500</v>
      </c>
      <c r="D28" s="29"/>
      <c r="E28" s="29"/>
      <c r="F28" s="29" t="s">
        <v>52</v>
      </c>
      <c r="G28" s="38">
        <f>G24</f>
        <v>27650</v>
      </c>
      <c r="H28" s="29"/>
      <c r="I28" s="29"/>
    </row>
    <row r="29" spans="1:9" x14ac:dyDescent="0.25">
      <c r="B29" s="29" t="s">
        <v>5</v>
      </c>
      <c r="C29" s="38">
        <f>'OCTOBER  21'!E35</f>
        <v>8</v>
      </c>
      <c r="D29" s="29"/>
      <c r="E29" s="29"/>
      <c r="F29" s="29" t="s">
        <v>5</v>
      </c>
      <c r="G29" s="38">
        <f>'OCTOBER  21'!I35</f>
        <v>-13542</v>
      </c>
      <c r="H29" s="29"/>
      <c r="I29" s="29"/>
    </row>
    <row r="30" spans="1:9" x14ac:dyDescent="0.25">
      <c r="B30" s="29" t="s">
        <v>70</v>
      </c>
      <c r="C30" s="38"/>
      <c r="D30" s="29"/>
      <c r="E30" s="29"/>
      <c r="F30" s="29" t="s">
        <v>70</v>
      </c>
      <c r="G30" s="38"/>
      <c r="H30" s="29"/>
      <c r="I30" s="29"/>
    </row>
    <row r="31" spans="1:9" x14ac:dyDescent="0.25">
      <c r="B31" s="29" t="s">
        <v>20</v>
      </c>
      <c r="C31" s="39">
        <v>0.1</v>
      </c>
      <c r="D31" s="38">
        <f>C31*C28</f>
        <v>3150</v>
      </c>
      <c r="E31" s="29"/>
      <c r="F31" s="29" t="s">
        <v>20</v>
      </c>
      <c r="G31" s="39">
        <v>0.1</v>
      </c>
      <c r="H31" s="38">
        <f>G31*C28</f>
        <v>3150</v>
      </c>
      <c r="I31" s="29"/>
    </row>
    <row r="32" spans="1:9" x14ac:dyDescent="0.25">
      <c r="B32" s="30" t="s">
        <v>21</v>
      </c>
      <c r="C32" s="30" t="s">
        <v>22</v>
      </c>
      <c r="D32" s="30"/>
      <c r="E32" s="30"/>
      <c r="F32" s="30" t="s">
        <v>21</v>
      </c>
      <c r="G32" s="40"/>
      <c r="H32" s="30"/>
      <c r="I32" s="30"/>
    </row>
    <row r="33" spans="2:12" x14ac:dyDescent="0.25">
      <c r="B33" s="29" t="s">
        <v>260</v>
      </c>
      <c r="C33" s="29"/>
      <c r="D33" s="29">
        <f>9000+19358</f>
        <v>28358</v>
      </c>
      <c r="E33" s="30"/>
      <c r="F33" s="29" t="s">
        <v>260</v>
      </c>
      <c r="G33" s="29"/>
      <c r="H33" s="29">
        <f>9000+19358</f>
        <v>28358</v>
      </c>
      <c r="I33" s="30"/>
      <c r="L33" s="15">
        <f>C28-D31</f>
        <v>28350</v>
      </c>
    </row>
    <row r="34" spans="2:12" x14ac:dyDescent="0.25">
      <c r="B34" s="29"/>
      <c r="C34" s="29"/>
      <c r="D34" s="29"/>
      <c r="E34" s="30"/>
      <c r="F34" s="29"/>
      <c r="G34" s="29"/>
      <c r="H34" s="29"/>
      <c r="I34" s="30"/>
    </row>
    <row r="35" spans="2:12" x14ac:dyDescent="0.25">
      <c r="B35" s="30" t="s">
        <v>11</v>
      </c>
      <c r="C35" s="40">
        <f>C28+C29+C30-D31</f>
        <v>28358</v>
      </c>
      <c r="D35" s="40">
        <f>SUM(D33:D34)</f>
        <v>28358</v>
      </c>
      <c r="E35" s="40">
        <f>C35-D35</f>
        <v>0</v>
      </c>
      <c r="F35" s="30" t="s">
        <v>11</v>
      </c>
      <c r="G35" s="40">
        <f>G28+G29+G30-H31</f>
        <v>10958</v>
      </c>
      <c r="H35" s="40">
        <f>SUM(H33:H34)</f>
        <v>28358</v>
      </c>
      <c r="I35" s="40">
        <f>G35-H35</f>
        <v>-17400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G10" sqref="G10"/>
    </sheetView>
  </sheetViews>
  <sheetFormatPr defaultRowHeight="15" x14ac:dyDescent="0.25"/>
  <cols>
    <col min="1" max="1" width="5" customWidth="1"/>
    <col min="2" max="2" width="19.85546875" customWidth="1"/>
    <col min="3" max="3" width="8.85546875" customWidth="1"/>
    <col min="4" max="4" width="9" customWidth="1"/>
    <col min="5" max="5" width="8.85546875" customWidth="1"/>
    <col min="6" max="6" width="10.5703125" customWidth="1"/>
    <col min="7" max="7" width="8.5703125" customWidth="1"/>
  </cols>
  <sheetData>
    <row r="1" spans="1:9" x14ac:dyDescent="0.25">
      <c r="A1" s="1"/>
      <c r="B1" s="1"/>
      <c r="C1" s="1" t="s">
        <v>28</v>
      </c>
      <c r="D1" s="1"/>
      <c r="E1" s="1"/>
      <c r="F1" s="1"/>
      <c r="G1" s="1"/>
      <c r="H1" s="1"/>
    </row>
    <row r="2" spans="1:9" x14ac:dyDescent="0.25">
      <c r="A2" s="1"/>
      <c r="B2" s="1"/>
      <c r="C2" s="1" t="s">
        <v>0</v>
      </c>
      <c r="D2" s="1"/>
      <c r="E2" s="1"/>
      <c r="F2" s="1"/>
      <c r="G2" s="1"/>
      <c r="H2" s="1"/>
    </row>
    <row r="3" spans="1:9" x14ac:dyDescent="0.25">
      <c r="A3" s="1"/>
      <c r="B3" s="1"/>
      <c r="C3" s="1" t="s">
        <v>54</v>
      </c>
      <c r="D3" s="1"/>
      <c r="E3" s="1"/>
      <c r="F3" s="1"/>
      <c r="G3" s="1"/>
      <c r="H3" s="1"/>
    </row>
    <row r="4" spans="1:9" x14ac:dyDescent="0.25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</row>
    <row r="5" spans="1:9" x14ac:dyDescent="0.25">
      <c r="A5" s="25">
        <v>1</v>
      </c>
      <c r="B5" s="3" t="s">
        <v>29</v>
      </c>
      <c r="C5" s="3"/>
      <c r="D5" s="3"/>
      <c r="E5" s="3"/>
      <c r="F5" s="3">
        <f>D5+E5</f>
        <v>0</v>
      </c>
      <c r="G5" s="3"/>
      <c r="H5" s="3">
        <f>F5-G5</f>
        <v>0</v>
      </c>
    </row>
    <row r="6" spans="1:9" x14ac:dyDescent="0.25">
      <c r="A6" s="25">
        <v>2</v>
      </c>
      <c r="B6" s="3" t="s">
        <v>44</v>
      </c>
      <c r="C6" s="3"/>
      <c r="D6" s="3"/>
      <c r="E6" s="3">
        <v>2200</v>
      </c>
      <c r="F6" s="3">
        <f t="shared" ref="F6:F18" si="0">D6+E6</f>
        <v>2200</v>
      </c>
      <c r="G6" s="3">
        <v>2200</v>
      </c>
      <c r="H6" s="3">
        <f t="shared" ref="H6:H18" si="1">F6-G6</f>
        <v>0</v>
      </c>
    </row>
    <row r="7" spans="1:9" x14ac:dyDescent="0.25">
      <c r="A7" s="25">
        <v>3</v>
      </c>
      <c r="B7" s="3" t="s">
        <v>31</v>
      </c>
      <c r="C7" s="3"/>
      <c r="D7" s="3">
        <v>50</v>
      </c>
      <c r="E7" s="3">
        <v>2200</v>
      </c>
      <c r="F7" s="3">
        <f t="shared" si="0"/>
        <v>2250</v>
      </c>
      <c r="G7" s="3">
        <v>2200</v>
      </c>
      <c r="H7" s="3">
        <f t="shared" si="1"/>
        <v>50</v>
      </c>
    </row>
    <row r="8" spans="1:9" x14ac:dyDescent="0.25">
      <c r="A8" s="25">
        <v>4</v>
      </c>
      <c r="B8" s="3"/>
      <c r="C8" s="3"/>
      <c r="D8" s="3"/>
      <c r="E8" s="3"/>
      <c r="F8" s="3">
        <f t="shared" si="0"/>
        <v>0</v>
      </c>
      <c r="G8" s="3"/>
      <c r="H8" s="3">
        <f t="shared" si="1"/>
        <v>0</v>
      </c>
    </row>
    <row r="9" spans="1:9" x14ac:dyDescent="0.25">
      <c r="A9" s="25">
        <v>5</v>
      </c>
      <c r="B9" s="3" t="s">
        <v>47</v>
      </c>
      <c r="C9" s="3"/>
      <c r="D9" s="3"/>
      <c r="E9" s="3">
        <v>2200</v>
      </c>
      <c r="F9" s="3">
        <f t="shared" si="0"/>
        <v>2200</v>
      </c>
      <c r="G9" s="3">
        <v>2200</v>
      </c>
      <c r="H9" s="3">
        <f t="shared" si="1"/>
        <v>0</v>
      </c>
    </row>
    <row r="10" spans="1:9" x14ac:dyDescent="0.25">
      <c r="A10" s="25">
        <v>6</v>
      </c>
      <c r="B10" s="3" t="s">
        <v>34</v>
      </c>
      <c r="C10" s="3"/>
      <c r="D10" s="3">
        <v>2400</v>
      </c>
      <c r="E10" s="3">
        <v>2200</v>
      </c>
      <c r="F10" s="3">
        <f t="shared" si="0"/>
        <v>4600</v>
      </c>
      <c r="G10" s="3">
        <v>3500</v>
      </c>
      <c r="H10" s="3">
        <f t="shared" si="1"/>
        <v>1100</v>
      </c>
    </row>
    <row r="11" spans="1:9" x14ac:dyDescent="0.25">
      <c r="A11" s="25" t="s">
        <v>10</v>
      </c>
      <c r="B11" s="3" t="s">
        <v>35</v>
      </c>
      <c r="C11" s="3"/>
      <c r="D11" s="3"/>
      <c r="E11" s="3">
        <v>4000</v>
      </c>
      <c r="F11" s="3">
        <f t="shared" si="0"/>
        <v>4000</v>
      </c>
      <c r="G11" s="3">
        <v>4000</v>
      </c>
      <c r="H11" s="3">
        <f t="shared" si="1"/>
        <v>0</v>
      </c>
    </row>
    <row r="12" spans="1:9" x14ac:dyDescent="0.25">
      <c r="A12" s="25">
        <v>9</v>
      </c>
      <c r="B12" s="3" t="s">
        <v>41</v>
      </c>
      <c r="C12" s="3"/>
      <c r="D12" s="3"/>
      <c r="E12" s="3">
        <v>2200</v>
      </c>
      <c r="F12" s="3">
        <f t="shared" si="0"/>
        <v>2200</v>
      </c>
      <c r="G12" s="3">
        <v>2200</v>
      </c>
      <c r="H12" s="3">
        <f t="shared" si="1"/>
        <v>0</v>
      </c>
      <c r="I12" t="s">
        <v>48</v>
      </c>
    </row>
    <row r="13" spans="1:9" x14ac:dyDescent="0.25">
      <c r="A13" s="25">
        <v>10</v>
      </c>
      <c r="B13" s="3" t="s">
        <v>45</v>
      </c>
      <c r="C13" s="3"/>
      <c r="D13" s="3">
        <v>2200</v>
      </c>
      <c r="E13" s="3">
        <v>2200</v>
      </c>
      <c r="F13" s="3">
        <f t="shared" si="0"/>
        <v>4400</v>
      </c>
      <c r="G13" s="3">
        <v>4400</v>
      </c>
      <c r="H13" s="3">
        <f t="shared" si="1"/>
        <v>0</v>
      </c>
    </row>
    <row r="14" spans="1:9" x14ac:dyDescent="0.25">
      <c r="A14" s="25">
        <v>11</v>
      </c>
      <c r="B14" s="23" t="s">
        <v>36</v>
      </c>
      <c r="C14" s="3"/>
      <c r="D14" s="3">
        <v>100</v>
      </c>
      <c r="E14" s="3">
        <v>2200</v>
      </c>
      <c r="F14" s="3">
        <f t="shared" si="0"/>
        <v>2300</v>
      </c>
      <c r="G14" s="3">
        <v>1000</v>
      </c>
      <c r="H14" s="3">
        <f t="shared" si="1"/>
        <v>1300</v>
      </c>
    </row>
    <row r="15" spans="1:9" x14ac:dyDescent="0.25">
      <c r="A15" s="25">
        <v>12</v>
      </c>
      <c r="B15" s="3" t="s">
        <v>37</v>
      </c>
      <c r="C15" s="3"/>
      <c r="D15" s="3">
        <v>1000</v>
      </c>
      <c r="E15" s="3">
        <v>2200</v>
      </c>
      <c r="F15" s="3">
        <f t="shared" si="0"/>
        <v>3200</v>
      </c>
      <c r="G15" s="3">
        <v>3200</v>
      </c>
      <c r="H15" s="3">
        <f t="shared" si="1"/>
        <v>0</v>
      </c>
    </row>
    <row r="16" spans="1:9" x14ac:dyDescent="0.25">
      <c r="A16" s="25">
        <v>13</v>
      </c>
      <c r="B16" s="3" t="s">
        <v>38</v>
      </c>
      <c r="C16" s="3"/>
      <c r="D16" s="3"/>
      <c r="E16" s="3">
        <v>2200</v>
      </c>
      <c r="F16" s="3">
        <f t="shared" si="0"/>
        <v>2200</v>
      </c>
      <c r="G16" s="3">
        <v>2200</v>
      </c>
      <c r="H16" s="3">
        <f t="shared" si="1"/>
        <v>0</v>
      </c>
    </row>
    <row r="17" spans="1:12" x14ac:dyDescent="0.25">
      <c r="A17" s="25">
        <v>14</v>
      </c>
      <c r="B17" s="3"/>
      <c r="C17" s="3"/>
      <c r="D17" s="3"/>
      <c r="E17" s="3"/>
      <c r="F17" s="3">
        <f t="shared" si="0"/>
        <v>0</v>
      </c>
      <c r="G17" s="3"/>
      <c r="H17" s="3">
        <f t="shared" si="1"/>
        <v>0</v>
      </c>
    </row>
    <row r="18" spans="1:12" x14ac:dyDescent="0.25">
      <c r="A18" s="25" t="s">
        <v>39</v>
      </c>
      <c r="B18" s="3" t="s">
        <v>40</v>
      </c>
      <c r="C18" s="3"/>
      <c r="D18" s="3"/>
      <c r="E18" s="3">
        <v>4000</v>
      </c>
      <c r="F18" s="3">
        <f t="shared" si="0"/>
        <v>4000</v>
      </c>
      <c r="G18" s="3">
        <v>4000</v>
      </c>
      <c r="H18" s="3">
        <f t="shared" si="1"/>
        <v>0</v>
      </c>
    </row>
    <row r="19" spans="1:12" x14ac:dyDescent="0.25">
      <c r="A19" s="3"/>
      <c r="B19" s="2" t="s">
        <v>49</v>
      </c>
      <c r="C19" s="2">
        <f t="shared" ref="C19:H19" si="2">SUM(C5:C18)</f>
        <v>0</v>
      </c>
      <c r="D19" s="2">
        <f t="shared" si="2"/>
        <v>5750</v>
      </c>
      <c r="E19" s="2">
        <f>SUM(E5:E18)</f>
        <v>27800</v>
      </c>
      <c r="F19" s="2">
        <f>SUM(F5:F18)</f>
        <v>33550</v>
      </c>
      <c r="G19" s="2">
        <f t="shared" si="2"/>
        <v>31100</v>
      </c>
      <c r="H19" s="3">
        <f t="shared" si="2"/>
        <v>2450</v>
      </c>
    </row>
    <row r="20" spans="1:12" x14ac:dyDescent="0.25">
      <c r="A20" s="4"/>
      <c r="B20" s="5"/>
      <c r="C20" s="5"/>
      <c r="D20" s="5"/>
      <c r="E20" s="5"/>
      <c r="F20" s="5"/>
      <c r="G20" s="5"/>
      <c r="H20" s="4"/>
    </row>
    <row r="21" spans="1:12" x14ac:dyDescent="0.25">
      <c r="B21" s="6" t="s">
        <v>12</v>
      </c>
      <c r="C21" s="7"/>
      <c r="D21" s="8"/>
      <c r="E21" s="5"/>
      <c r="F21" s="9"/>
      <c r="G21" s="10"/>
      <c r="H21" s="9"/>
    </row>
    <row r="22" spans="1:12" x14ac:dyDescent="0.25">
      <c r="B22" s="1" t="s">
        <v>13</v>
      </c>
      <c r="C22" s="1"/>
      <c r="D22" s="1"/>
      <c r="E22" s="11"/>
      <c r="F22" s="1" t="s">
        <v>14</v>
      </c>
      <c r="G22" s="12"/>
      <c r="H22" s="12"/>
      <c r="I22" s="12"/>
    </row>
    <row r="23" spans="1:12" x14ac:dyDescent="0.25">
      <c r="B23" s="2" t="s">
        <v>15</v>
      </c>
      <c r="C23" s="2" t="s">
        <v>16</v>
      </c>
      <c r="D23" s="2" t="s">
        <v>17</v>
      </c>
      <c r="E23" s="2" t="s">
        <v>18</v>
      </c>
      <c r="F23" s="2" t="s">
        <v>15</v>
      </c>
      <c r="G23" s="2" t="s">
        <v>16</v>
      </c>
      <c r="H23" s="2" t="s">
        <v>17</v>
      </c>
      <c r="I23" s="2" t="s">
        <v>18</v>
      </c>
    </row>
    <row r="24" spans="1:12" x14ac:dyDescent="0.25">
      <c r="B24" s="13" t="s">
        <v>55</v>
      </c>
      <c r="C24" s="14">
        <f>E19</f>
        <v>27800</v>
      </c>
      <c r="D24" s="13"/>
      <c r="E24" s="13"/>
      <c r="F24" s="13" t="s">
        <v>55</v>
      </c>
      <c r="G24" s="14">
        <f>G19</f>
        <v>31100</v>
      </c>
      <c r="H24" s="13"/>
      <c r="I24" s="13"/>
      <c r="L24" s="15"/>
    </row>
    <row r="25" spans="1:12" x14ac:dyDescent="0.25">
      <c r="B25" s="13" t="s">
        <v>5</v>
      </c>
      <c r="C25" s="14">
        <f>NOVEMBER!E34</f>
        <v>0</v>
      </c>
      <c r="D25" s="13"/>
      <c r="E25" s="13"/>
      <c r="F25" s="13" t="s">
        <v>5</v>
      </c>
      <c r="G25" s="14">
        <f>NOVEMBER!I34</f>
        <v>-5750</v>
      </c>
      <c r="H25" s="13"/>
      <c r="I25" s="13"/>
    </row>
    <row r="26" spans="1:12" x14ac:dyDescent="0.25">
      <c r="B26" s="13" t="s">
        <v>20</v>
      </c>
      <c r="C26" s="16">
        <v>0.1</v>
      </c>
      <c r="D26" s="14">
        <f>C24*C26</f>
        <v>2780</v>
      </c>
      <c r="E26" s="13"/>
      <c r="F26" s="13" t="s">
        <v>20</v>
      </c>
      <c r="G26" s="16">
        <v>0.1</v>
      </c>
      <c r="H26" s="14">
        <f>D26</f>
        <v>2780</v>
      </c>
      <c r="I26" s="13"/>
    </row>
    <row r="27" spans="1:12" x14ac:dyDescent="0.25">
      <c r="B27" s="17" t="s">
        <v>21</v>
      </c>
      <c r="C27" s="13" t="s">
        <v>22</v>
      </c>
      <c r="D27" s="13"/>
      <c r="E27" s="13"/>
      <c r="F27" s="17" t="s">
        <v>21</v>
      </c>
      <c r="G27" s="14"/>
      <c r="H27" s="13"/>
      <c r="I27" s="13"/>
    </row>
    <row r="28" spans="1:12" x14ac:dyDescent="0.25">
      <c r="B28" s="18" t="s">
        <v>57</v>
      </c>
      <c r="C28" s="3"/>
      <c r="D28" s="3">
        <v>1076</v>
      </c>
      <c r="E28" s="3"/>
      <c r="F28" s="18" t="s">
        <v>57</v>
      </c>
      <c r="G28" s="3"/>
      <c r="H28" s="3">
        <v>1076</v>
      </c>
      <c r="I28" s="3"/>
      <c r="K28" s="15">
        <f>I34+H19</f>
        <v>-2461</v>
      </c>
    </row>
    <row r="29" spans="1:12" x14ac:dyDescent="0.25">
      <c r="B29" s="19" t="s">
        <v>58</v>
      </c>
      <c r="C29" s="3"/>
      <c r="D29">
        <v>21964</v>
      </c>
      <c r="E29" s="3"/>
      <c r="F29" s="19" t="s">
        <v>58</v>
      </c>
      <c r="G29" s="3"/>
      <c r="H29">
        <v>21964</v>
      </c>
      <c r="I29" s="3"/>
    </row>
    <row r="30" spans="1:12" x14ac:dyDescent="0.25">
      <c r="B30" s="20" t="s">
        <v>56</v>
      </c>
      <c r="C30" s="13"/>
      <c r="D30" s="13">
        <v>2200</v>
      </c>
      <c r="E30" s="13"/>
      <c r="F30" s="20" t="s">
        <v>56</v>
      </c>
      <c r="G30" s="13"/>
      <c r="H30" s="13">
        <v>2200</v>
      </c>
      <c r="I30" s="13"/>
    </row>
    <row r="31" spans="1:12" x14ac:dyDescent="0.25">
      <c r="B31" s="20" t="s">
        <v>59</v>
      </c>
      <c r="C31" s="13"/>
      <c r="D31" s="13">
        <v>2241</v>
      </c>
      <c r="E31" s="13"/>
      <c r="F31" s="20" t="s">
        <v>59</v>
      </c>
      <c r="G31" s="13"/>
      <c r="H31" s="13">
        <v>2241</v>
      </c>
      <c r="I31" s="13"/>
    </row>
    <row r="32" spans="1:12" x14ac:dyDescent="0.25">
      <c r="B32" s="21"/>
      <c r="C32" s="13"/>
      <c r="D32" s="13"/>
      <c r="E32" s="13"/>
      <c r="F32" s="19"/>
      <c r="G32" s="3"/>
      <c r="H32" s="22"/>
      <c r="I32" s="13"/>
    </row>
    <row r="33" spans="2:9" x14ac:dyDescent="0.25">
      <c r="B33" s="19"/>
      <c r="C33" s="3"/>
      <c r="D33" s="22"/>
      <c r="E33" s="13"/>
      <c r="F33" s="3"/>
      <c r="G33" s="3"/>
      <c r="H33" s="3"/>
      <c r="I33" s="13"/>
    </row>
    <row r="34" spans="2:9" x14ac:dyDescent="0.25">
      <c r="B34" s="26" t="s">
        <v>11</v>
      </c>
      <c r="C34" s="27">
        <f>C24+C25-D26</f>
        <v>25020</v>
      </c>
      <c r="D34" s="27">
        <f>SUM(D28:D33)</f>
        <v>27481</v>
      </c>
      <c r="E34" s="27">
        <f>C34-D34</f>
        <v>-2461</v>
      </c>
      <c r="F34" s="26" t="s">
        <v>11</v>
      </c>
      <c r="G34" s="27">
        <f>G24+G25-H26</f>
        <v>22570</v>
      </c>
      <c r="H34" s="27">
        <f>SUM(H28:H33)</f>
        <v>27481</v>
      </c>
      <c r="I34" s="28">
        <f>G34-H34</f>
        <v>-4911</v>
      </c>
    </row>
    <row r="36" spans="2:9" x14ac:dyDescent="0.25">
      <c r="B36" t="s">
        <v>23</v>
      </c>
      <c r="D36" t="s">
        <v>24</v>
      </c>
      <c r="G36" t="s">
        <v>25</v>
      </c>
    </row>
    <row r="38" spans="2:9" x14ac:dyDescent="0.25">
      <c r="B38" t="s">
        <v>26</v>
      </c>
      <c r="D38" t="s">
        <v>27</v>
      </c>
      <c r="G38" t="s">
        <v>46</v>
      </c>
    </row>
  </sheetData>
  <pageMargins left="0.25" right="0.25" top="0.75" bottom="0.75" header="0.3" footer="0.3"/>
  <pageSetup paperSize="9"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workbookViewId="0">
      <selection activeCell="G16" sqref="G16"/>
    </sheetView>
  </sheetViews>
  <sheetFormatPr defaultRowHeight="15" x14ac:dyDescent="0.25"/>
  <sheetData>
    <row r="1" spans="1:9" x14ac:dyDescent="0.25">
      <c r="C1" s="1" t="s">
        <v>28</v>
      </c>
      <c r="D1" s="1"/>
      <c r="E1" s="1"/>
      <c r="F1" s="1"/>
    </row>
    <row r="2" spans="1:9" x14ac:dyDescent="0.25">
      <c r="B2" s="1"/>
      <c r="C2" s="1" t="s">
        <v>0</v>
      </c>
      <c r="D2" s="1"/>
      <c r="E2" s="1"/>
      <c r="F2" s="1"/>
      <c r="G2" s="1"/>
      <c r="H2" s="1"/>
    </row>
    <row r="3" spans="1:9" x14ac:dyDescent="0.25">
      <c r="B3" s="1"/>
      <c r="C3" s="1" t="s">
        <v>339</v>
      </c>
      <c r="D3" s="1"/>
      <c r="E3" s="1"/>
      <c r="F3" s="1"/>
      <c r="G3" s="1"/>
      <c r="H3" s="1"/>
    </row>
    <row r="4" spans="1:9" x14ac:dyDescent="0.25">
      <c r="A4" t="s">
        <v>110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</row>
    <row r="5" spans="1:9" x14ac:dyDescent="0.25">
      <c r="A5">
        <v>1</v>
      </c>
      <c r="B5" s="29" t="s">
        <v>335</v>
      </c>
      <c r="C5" s="3"/>
      <c r="D5" s="3">
        <f>'NOVEMBER 21'!H5:H23</f>
        <v>2500</v>
      </c>
      <c r="E5" s="3">
        <v>2500</v>
      </c>
      <c r="F5" s="3">
        <f>D5+E5</f>
        <v>5000</v>
      </c>
      <c r="G5" s="3">
        <v>1000</v>
      </c>
      <c r="H5" s="3">
        <f>F5-G5</f>
        <v>4000</v>
      </c>
    </row>
    <row r="6" spans="1:9" x14ac:dyDescent="0.25">
      <c r="A6">
        <v>2</v>
      </c>
      <c r="B6" s="17" t="s">
        <v>30</v>
      </c>
      <c r="C6" s="17"/>
      <c r="D6" s="3">
        <f>'NOVEMBER 21'!H6:H24</f>
        <v>0</v>
      </c>
      <c r="E6" s="3"/>
      <c r="F6" s="3">
        <f t="shared" ref="F6:F23" si="0">D6+E6</f>
        <v>0</v>
      </c>
      <c r="G6" s="3"/>
      <c r="H6" s="3">
        <f t="shared" ref="H6:H23" si="1">F6-G6</f>
        <v>0</v>
      </c>
      <c r="I6" t="s">
        <v>48</v>
      </c>
    </row>
    <row r="7" spans="1:9" x14ac:dyDescent="0.25">
      <c r="A7">
        <v>3</v>
      </c>
      <c r="B7" s="56" t="s">
        <v>147</v>
      </c>
      <c r="C7" s="64"/>
      <c r="D7" s="3">
        <f>'NOVEMBER 21'!H7:H25</f>
        <v>0</v>
      </c>
      <c r="E7" s="56">
        <v>2500</v>
      </c>
      <c r="F7" s="56">
        <f t="shared" si="0"/>
        <v>2500</v>
      </c>
      <c r="G7" s="3"/>
      <c r="H7" s="3">
        <f t="shared" si="1"/>
        <v>2500</v>
      </c>
    </row>
    <row r="8" spans="1:9" x14ac:dyDescent="0.25">
      <c r="A8">
        <v>4</v>
      </c>
      <c r="B8" s="17" t="s">
        <v>30</v>
      </c>
      <c r="C8" s="3"/>
      <c r="D8" s="3">
        <f>'NOVEMBER 21'!H8:H26</f>
        <v>0</v>
      </c>
      <c r="E8" s="3"/>
      <c r="F8" s="3">
        <f t="shared" si="0"/>
        <v>0</v>
      </c>
      <c r="G8" s="3"/>
      <c r="H8" s="3">
        <f t="shared" si="1"/>
        <v>0</v>
      </c>
    </row>
    <row r="9" spans="1:9" x14ac:dyDescent="0.25">
      <c r="A9">
        <v>5</v>
      </c>
      <c r="B9" s="17" t="s">
        <v>30</v>
      </c>
      <c r="C9" s="3"/>
      <c r="D9" s="3">
        <f>'NOVEMBER 21'!H9:H27</f>
        <v>0</v>
      </c>
      <c r="E9" s="3"/>
      <c r="F9" s="3">
        <f t="shared" si="0"/>
        <v>0</v>
      </c>
      <c r="G9" s="3"/>
      <c r="H9" s="3">
        <f t="shared" si="1"/>
        <v>0</v>
      </c>
    </row>
    <row r="10" spans="1:9" x14ac:dyDescent="0.25">
      <c r="A10">
        <v>6</v>
      </c>
      <c r="B10" s="3" t="s">
        <v>333</v>
      </c>
      <c r="C10" s="3"/>
      <c r="D10" s="3">
        <f>'NOVEMBER 21'!H10:H28</f>
        <v>1700</v>
      </c>
      <c r="E10" s="3">
        <v>2500</v>
      </c>
      <c r="F10" s="3">
        <f t="shared" si="0"/>
        <v>4200</v>
      </c>
      <c r="G10" s="3"/>
      <c r="H10" s="3">
        <f t="shared" si="1"/>
        <v>4200</v>
      </c>
    </row>
    <row r="11" spans="1:9" x14ac:dyDescent="0.25">
      <c r="A11">
        <v>7</v>
      </c>
      <c r="B11" s="63" t="s">
        <v>30</v>
      </c>
      <c r="D11" s="3">
        <f>'NOVEMBER 21'!H11:H29</f>
        <v>0</v>
      </c>
      <c r="E11" s="3"/>
      <c r="F11" s="3">
        <f>D11+E11</f>
        <v>0</v>
      </c>
      <c r="G11" s="3"/>
      <c r="H11" s="3">
        <f t="shared" si="1"/>
        <v>0</v>
      </c>
    </row>
    <row r="12" spans="1:9" x14ac:dyDescent="0.25">
      <c r="A12">
        <v>8</v>
      </c>
      <c r="B12" s="17" t="s">
        <v>30</v>
      </c>
      <c r="C12" s="3"/>
      <c r="D12" s="3">
        <f>'NOVEMBER 21'!H12:H30</f>
        <v>0</v>
      </c>
      <c r="E12" s="3"/>
      <c r="F12" s="3">
        <f t="shared" si="0"/>
        <v>0</v>
      </c>
      <c r="G12" s="3"/>
      <c r="H12" s="3">
        <f>F12-G12</f>
        <v>0</v>
      </c>
    </row>
    <row r="13" spans="1:9" x14ac:dyDescent="0.25">
      <c r="A13">
        <v>9</v>
      </c>
      <c r="B13" s="17" t="s">
        <v>107</v>
      </c>
      <c r="C13" s="3"/>
      <c r="D13" s="3">
        <f>'NOVEMBER 21'!H13:H31</f>
        <v>0</v>
      </c>
      <c r="E13" s="3"/>
      <c r="F13" s="3">
        <f t="shared" si="0"/>
        <v>0</v>
      </c>
      <c r="G13" s="3"/>
      <c r="H13" s="3">
        <f t="shared" si="1"/>
        <v>0</v>
      </c>
    </row>
    <row r="14" spans="1:9" x14ac:dyDescent="0.25">
      <c r="A14">
        <v>10</v>
      </c>
      <c r="B14" s="29" t="s">
        <v>336</v>
      </c>
      <c r="C14" s="3"/>
      <c r="D14" s="3">
        <f>'NOVEMBER 21'!H14:H32</f>
        <v>0</v>
      </c>
      <c r="E14" s="3">
        <v>2500</v>
      </c>
      <c r="F14" s="3">
        <f t="shared" si="0"/>
        <v>2500</v>
      </c>
      <c r="G14" s="3"/>
      <c r="H14" s="3">
        <f t="shared" si="1"/>
        <v>2500</v>
      </c>
    </row>
    <row r="15" spans="1:9" x14ac:dyDescent="0.25">
      <c r="A15">
        <v>11</v>
      </c>
      <c r="B15" s="57" t="s">
        <v>148</v>
      </c>
      <c r="C15" s="57"/>
      <c r="D15" s="3">
        <f>'NOVEMBER 21'!H15:H33</f>
        <v>1000</v>
      </c>
      <c r="E15" s="57">
        <v>2500</v>
      </c>
      <c r="F15" s="3">
        <f t="shared" si="0"/>
        <v>3500</v>
      </c>
      <c r="G15" s="3">
        <v>2500</v>
      </c>
      <c r="H15" s="3">
        <f>F15-G15</f>
        <v>1000</v>
      </c>
    </row>
    <row r="16" spans="1:9" x14ac:dyDescent="0.25">
      <c r="A16">
        <v>12</v>
      </c>
      <c r="B16" s="63" t="s">
        <v>37</v>
      </c>
      <c r="C16" s="63"/>
      <c r="D16" s="3">
        <f>'NOVEMBER 21'!H16:H34</f>
        <v>20500</v>
      </c>
      <c r="E16" s="3"/>
      <c r="F16" s="3">
        <f>D16+E16+2500</f>
        <v>23000</v>
      </c>
      <c r="G16" s="3"/>
      <c r="H16" s="3">
        <f t="shared" si="1"/>
        <v>23000</v>
      </c>
    </row>
    <row r="17" spans="1:9" x14ac:dyDescent="0.25">
      <c r="A17" s="6">
        <v>13</v>
      </c>
      <c r="B17" s="60" t="s">
        <v>30</v>
      </c>
      <c r="C17" s="60"/>
      <c r="D17" s="3">
        <f>'NOVEMBER 21'!H17:H35</f>
        <v>0</v>
      </c>
      <c r="E17" s="57"/>
      <c r="F17" s="58">
        <f t="shared" si="0"/>
        <v>0</v>
      </c>
      <c r="G17" s="3"/>
      <c r="H17" s="58">
        <f t="shared" si="1"/>
        <v>0</v>
      </c>
    </row>
    <row r="18" spans="1:9" x14ac:dyDescent="0.25">
      <c r="A18">
        <v>14</v>
      </c>
      <c r="B18" s="13" t="s">
        <v>123</v>
      </c>
      <c r="C18" s="13"/>
      <c r="D18" s="3">
        <f>'NOVEMBER 21'!H18:H36</f>
        <v>3300</v>
      </c>
      <c r="E18" s="13">
        <v>2500</v>
      </c>
      <c r="F18" s="3">
        <f t="shared" si="0"/>
        <v>5800</v>
      </c>
      <c r="G18" s="3"/>
      <c r="H18" s="13">
        <f t="shared" si="1"/>
        <v>5800</v>
      </c>
    </row>
    <row r="19" spans="1:9" x14ac:dyDescent="0.25">
      <c r="A19" t="s">
        <v>233</v>
      </c>
      <c r="B19" s="3" t="s">
        <v>35</v>
      </c>
      <c r="C19" s="3"/>
      <c r="D19" s="3">
        <f>'NOVEMBER 21'!H19:H37</f>
        <v>4500</v>
      </c>
      <c r="E19" s="3">
        <v>4500</v>
      </c>
      <c r="F19" s="3">
        <f t="shared" si="0"/>
        <v>9000</v>
      </c>
      <c r="G19" s="3">
        <v>4500</v>
      </c>
      <c r="H19" s="13">
        <f t="shared" si="1"/>
        <v>4500</v>
      </c>
    </row>
    <row r="20" spans="1:9" x14ac:dyDescent="0.25">
      <c r="A20">
        <v>17</v>
      </c>
      <c r="B20" s="29" t="s">
        <v>337</v>
      </c>
      <c r="C20" s="63"/>
      <c r="D20" s="3">
        <f>'NOVEMBER 21'!H20:H38</f>
        <v>0</v>
      </c>
      <c r="E20" s="13">
        <v>3000</v>
      </c>
      <c r="F20" s="3">
        <f t="shared" si="0"/>
        <v>3000</v>
      </c>
      <c r="G20" s="3">
        <v>3000</v>
      </c>
      <c r="H20" s="13">
        <f>F20-G20</f>
        <v>0</v>
      </c>
    </row>
    <row r="21" spans="1:9" x14ac:dyDescent="0.25">
      <c r="A21">
        <v>18</v>
      </c>
      <c r="B21" s="13" t="s">
        <v>275</v>
      </c>
      <c r="C21" s="13"/>
      <c r="D21" s="3">
        <f>'NOVEMBER 21'!H21:H39</f>
        <v>0</v>
      </c>
      <c r="E21" s="13">
        <v>3000</v>
      </c>
      <c r="F21" s="3">
        <f t="shared" si="0"/>
        <v>3000</v>
      </c>
      <c r="G21" s="3"/>
      <c r="H21" s="13">
        <f t="shared" si="1"/>
        <v>3000</v>
      </c>
    </row>
    <row r="22" spans="1:9" x14ac:dyDescent="0.25">
      <c r="A22">
        <v>19</v>
      </c>
      <c r="B22" s="63" t="s">
        <v>258</v>
      </c>
      <c r="C22" s="63"/>
      <c r="D22" s="3">
        <f>'NOVEMBER 21'!H22:H40</f>
        <v>10700</v>
      </c>
      <c r="E22" s="3">
        <v>3000</v>
      </c>
      <c r="F22" s="3">
        <f>D22+E22</f>
        <v>13700</v>
      </c>
      <c r="G22" s="3"/>
      <c r="H22" s="13">
        <f>F22-G22</f>
        <v>13700</v>
      </c>
    </row>
    <row r="23" spans="1:9" x14ac:dyDescent="0.25">
      <c r="A23">
        <v>20</v>
      </c>
      <c r="B23" s="3" t="s">
        <v>244</v>
      </c>
      <c r="C23" s="3"/>
      <c r="D23" s="3">
        <f>'NOVEMBER 21'!H23:H41</f>
        <v>800</v>
      </c>
      <c r="E23" s="3">
        <v>3000</v>
      </c>
      <c r="F23" s="3">
        <f t="shared" si="0"/>
        <v>3800</v>
      </c>
      <c r="G23" s="3">
        <v>1000</v>
      </c>
      <c r="H23" s="13">
        <f t="shared" si="1"/>
        <v>2800</v>
      </c>
      <c r="I23" s="31"/>
    </row>
    <row r="24" spans="1:9" x14ac:dyDescent="0.25">
      <c r="B24" s="30" t="s">
        <v>64</v>
      </c>
      <c r="C24" s="30">
        <f t="shared" ref="C24" si="2">SUM(C5:C22)</f>
        <v>0</v>
      </c>
      <c r="D24" s="3">
        <f>SUM(D5:D23)</f>
        <v>45000</v>
      </c>
      <c r="E24" s="30">
        <f>SUM(E5:E23)</f>
        <v>31500</v>
      </c>
      <c r="F24" s="30">
        <f>SUM(F5:F23)</f>
        <v>79000</v>
      </c>
      <c r="G24" s="30">
        <f>SUM(G5:G23)</f>
        <v>12000</v>
      </c>
      <c r="H24" s="30">
        <f>SUM(H5:H23)</f>
        <v>67000</v>
      </c>
      <c r="I24" s="66"/>
    </row>
    <row r="25" spans="1:9" x14ac:dyDescent="0.25">
      <c r="C25" s="34"/>
      <c r="D25" s="3">
        <f>'SEPT 21'!H25:H48</f>
        <v>44500</v>
      </c>
      <c r="E25" s="33"/>
      <c r="F25" s="46"/>
      <c r="G25" s="10"/>
      <c r="H25" s="35">
        <f>H24+P36</f>
        <v>67000</v>
      </c>
    </row>
    <row r="26" spans="1:9" x14ac:dyDescent="0.25">
      <c r="B26" s="36" t="s">
        <v>13</v>
      </c>
      <c r="C26" s="36"/>
      <c r="D26" s="36"/>
      <c r="E26" s="37"/>
      <c r="F26" s="36" t="s">
        <v>14</v>
      </c>
      <c r="G26" s="31"/>
      <c r="H26" s="31" t="s">
        <v>9</v>
      </c>
      <c r="I26" s="6"/>
    </row>
    <row r="27" spans="1:9" x14ac:dyDescent="0.25">
      <c r="B27" s="30" t="s">
        <v>15</v>
      </c>
      <c r="C27" s="30" t="s">
        <v>16</v>
      </c>
      <c r="D27" s="30" t="s">
        <v>17</v>
      </c>
      <c r="E27" s="30" t="s">
        <v>18</v>
      </c>
      <c r="F27" s="30"/>
      <c r="G27" s="30"/>
      <c r="H27" s="30" t="s">
        <v>17</v>
      </c>
      <c r="I27" s="30" t="s">
        <v>18</v>
      </c>
    </row>
    <row r="28" spans="1:9" x14ac:dyDescent="0.25">
      <c r="B28" s="29" t="s">
        <v>52</v>
      </c>
      <c r="C28" s="38">
        <f>E24</f>
        <v>31500</v>
      </c>
      <c r="D28" s="29"/>
      <c r="E28" s="29"/>
      <c r="F28" s="29" t="s">
        <v>52</v>
      </c>
      <c r="G28" s="38">
        <f>G24</f>
        <v>12000</v>
      </c>
      <c r="H28" s="29"/>
      <c r="I28" s="29"/>
    </row>
    <row r="29" spans="1:9" x14ac:dyDescent="0.25">
      <c r="B29" s="29" t="s">
        <v>5</v>
      </c>
      <c r="C29" s="38">
        <f>'NOVEMBER 21'!E35</f>
        <v>0</v>
      </c>
      <c r="D29" s="29"/>
      <c r="E29" s="29"/>
      <c r="F29" s="29" t="s">
        <v>5</v>
      </c>
      <c r="G29" s="38">
        <f>'NOVEMBER 21'!I35</f>
        <v>-17400</v>
      </c>
      <c r="H29" s="29"/>
      <c r="I29" s="29"/>
    </row>
    <row r="30" spans="1:9" x14ac:dyDescent="0.25">
      <c r="B30" s="29" t="s">
        <v>70</v>
      </c>
      <c r="C30" s="38"/>
      <c r="D30" s="29"/>
      <c r="E30" s="29"/>
      <c r="F30" s="29" t="s">
        <v>70</v>
      </c>
      <c r="G30" s="38"/>
      <c r="H30" s="29"/>
      <c r="I30" s="29"/>
    </row>
    <row r="31" spans="1:9" x14ac:dyDescent="0.25">
      <c r="B31" s="29" t="s">
        <v>20</v>
      </c>
      <c r="C31" s="39">
        <v>0.1</v>
      </c>
      <c r="D31" s="38">
        <f>C31*C28</f>
        <v>3150</v>
      </c>
      <c r="E31" s="29"/>
      <c r="F31" s="29" t="s">
        <v>20</v>
      </c>
      <c r="G31" s="39">
        <v>0.1</v>
      </c>
      <c r="H31" s="38">
        <f>G31*C28</f>
        <v>3150</v>
      </c>
      <c r="I31" s="29"/>
    </row>
    <row r="32" spans="1:9" x14ac:dyDescent="0.25">
      <c r="B32" s="30" t="s">
        <v>21</v>
      </c>
      <c r="C32" s="30" t="s">
        <v>22</v>
      </c>
      <c r="D32" s="30"/>
      <c r="E32" s="30"/>
      <c r="F32" s="30" t="s">
        <v>21</v>
      </c>
      <c r="G32" s="40"/>
      <c r="H32" s="30"/>
      <c r="I32" s="30"/>
    </row>
    <row r="33" spans="2:12" x14ac:dyDescent="0.25">
      <c r="B33" s="29" t="s">
        <v>338</v>
      </c>
      <c r="C33" s="29"/>
      <c r="D33" s="29"/>
      <c r="E33" s="30"/>
      <c r="F33" s="29"/>
      <c r="G33" s="29"/>
      <c r="H33" s="29"/>
      <c r="I33" s="30"/>
      <c r="L33" s="15">
        <f>C28-D31</f>
        <v>28350</v>
      </c>
    </row>
    <row r="34" spans="2:12" x14ac:dyDescent="0.25">
      <c r="B34" s="29"/>
      <c r="C34" s="29"/>
      <c r="D34" s="29"/>
      <c r="E34" s="30"/>
      <c r="F34" s="29"/>
      <c r="G34" s="29"/>
      <c r="H34" s="29"/>
      <c r="I34" s="30"/>
    </row>
    <row r="35" spans="2:12" x14ac:dyDescent="0.25">
      <c r="B35" s="30" t="s">
        <v>11</v>
      </c>
      <c r="C35" s="40">
        <f>C28+C29+C30-D31</f>
        <v>28350</v>
      </c>
      <c r="D35" s="40">
        <f>SUM(D33:D34)</f>
        <v>0</v>
      </c>
      <c r="E35" s="40">
        <f>C35-D35</f>
        <v>28350</v>
      </c>
      <c r="F35" s="30" t="s">
        <v>11</v>
      </c>
      <c r="G35" s="40">
        <f>G28+G29+G30-H31</f>
        <v>-8550</v>
      </c>
      <c r="H35" s="40">
        <f>SUM(H33:H34)</f>
        <v>0</v>
      </c>
      <c r="I35" s="40">
        <f>G35-H35</f>
        <v>-8550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Normal="100" workbookViewId="0">
      <selection activeCell="N16" sqref="N16"/>
    </sheetView>
  </sheetViews>
  <sheetFormatPr defaultRowHeight="15" x14ac:dyDescent="0.25"/>
  <cols>
    <col min="1" max="1" width="5" customWidth="1"/>
    <col min="2" max="2" width="19.140625" customWidth="1"/>
    <col min="3" max="3" width="8.85546875" customWidth="1"/>
    <col min="4" max="4" width="9" customWidth="1"/>
    <col min="5" max="5" width="8.85546875" customWidth="1"/>
    <col min="6" max="6" width="10.5703125" customWidth="1"/>
    <col min="7" max="7" width="8.42578125" customWidth="1"/>
  </cols>
  <sheetData>
    <row r="1" spans="1:11" x14ac:dyDescent="0.25">
      <c r="A1" s="1"/>
      <c r="B1" s="1"/>
      <c r="C1" s="1" t="s">
        <v>28</v>
      </c>
      <c r="D1" s="1"/>
      <c r="E1" s="1"/>
      <c r="F1" s="1"/>
      <c r="G1" s="1"/>
      <c r="H1" s="1"/>
      <c r="K1" s="15">
        <f>I34+H19</f>
        <v>-4436</v>
      </c>
    </row>
    <row r="2" spans="1:11" x14ac:dyDescent="0.25">
      <c r="A2" s="1"/>
      <c r="B2" s="1"/>
      <c r="C2" s="1" t="s">
        <v>0</v>
      </c>
      <c r="D2" s="1"/>
      <c r="E2" s="1"/>
      <c r="F2" s="1"/>
      <c r="G2" s="1"/>
      <c r="H2" s="1"/>
    </row>
    <row r="3" spans="1:11" x14ac:dyDescent="0.25">
      <c r="A3" s="1"/>
      <c r="B3" s="1"/>
      <c r="C3" s="1" t="s">
        <v>60</v>
      </c>
      <c r="D3" s="1"/>
      <c r="E3" s="1"/>
      <c r="F3" s="1"/>
      <c r="G3" s="1"/>
      <c r="H3" s="1"/>
    </row>
    <row r="4" spans="1:11" x14ac:dyDescent="0.25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</row>
    <row r="5" spans="1:11" x14ac:dyDescent="0.25">
      <c r="A5" s="25">
        <v>1</v>
      </c>
      <c r="B5" s="3" t="s">
        <v>29</v>
      </c>
      <c r="C5" s="3"/>
      <c r="D5" s="3"/>
      <c r="E5" s="3"/>
      <c r="F5" s="3">
        <f>D5+E5</f>
        <v>0</v>
      </c>
      <c r="G5" s="3"/>
      <c r="H5" s="3">
        <f>F5-G5</f>
        <v>0</v>
      </c>
    </row>
    <row r="6" spans="1:11" x14ac:dyDescent="0.25">
      <c r="A6" s="25">
        <v>2</v>
      </c>
      <c r="B6" s="3" t="s">
        <v>44</v>
      </c>
      <c r="C6" s="3"/>
      <c r="D6" s="3"/>
      <c r="E6" s="3">
        <v>2200</v>
      </c>
      <c r="F6" s="3">
        <f t="shared" ref="F6:F18" si="0">D6+E6</f>
        <v>2200</v>
      </c>
      <c r="G6" s="3">
        <v>2200</v>
      </c>
      <c r="H6" s="3">
        <f t="shared" ref="H6:H18" si="1">F6-G6</f>
        <v>0</v>
      </c>
    </row>
    <row r="7" spans="1:11" x14ac:dyDescent="0.25">
      <c r="A7" s="25">
        <v>3</v>
      </c>
      <c r="B7" s="3" t="s">
        <v>31</v>
      </c>
      <c r="C7" s="3"/>
      <c r="D7" s="3">
        <v>50</v>
      </c>
      <c r="E7" s="3">
        <v>2200</v>
      </c>
      <c r="F7" s="3">
        <f t="shared" si="0"/>
        <v>2250</v>
      </c>
      <c r="G7" s="3">
        <v>2200</v>
      </c>
      <c r="H7" s="3">
        <f t="shared" si="1"/>
        <v>50</v>
      </c>
    </row>
    <row r="8" spans="1:11" x14ac:dyDescent="0.25">
      <c r="A8" s="25">
        <v>4</v>
      </c>
      <c r="B8" s="3" t="s">
        <v>41</v>
      </c>
      <c r="C8" s="3"/>
      <c r="D8" s="3"/>
      <c r="E8" s="3">
        <v>2200</v>
      </c>
      <c r="F8" s="3">
        <f t="shared" si="0"/>
        <v>2200</v>
      </c>
      <c r="G8" s="3">
        <v>2200</v>
      </c>
      <c r="H8" s="3">
        <f t="shared" si="1"/>
        <v>0</v>
      </c>
      <c r="I8" t="s">
        <v>48</v>
      </c>
    </row>
    <row r="9" spans="1:11" x14ac:dyDescent="0.25">
      <c r="A9" s="25">
        <v>5</v>
      </c>
      <c r="B9" s="3" t="s">
        <v>47</v>
      </c>
      <c r="C9" s="3"/>
      <c r="D9" s="3"/>
      <c r="E9" s="3">
        <v>2200</v>
      </c>
      <c r="F9" s="3">
        <f t="shared" si="0"/>
        <v>2200</v>
      </c>
      <c r="G9" s="3">
        <v>2200</v>
      </c>
      <c r="H9" s="3">
        <f t="shared" si="1"/>
        <v>0</v>
      </c>
    </row>
    <row r="10" spans="1:11" x14ac:dyDescent="0.25">
      <c r="A10" s="25">
        <v>6</v>
      </c>
      <c r="B10" s="3" t="s">
        <v>34</v>
      </c>
      <c r="C10" s="3"/>
      <c r="D10" s="3">
        <v>1100</v>
      </c>
      <c r="E10" s="3">
        <v>2200</v>
      </c>
      <c r="F10" s="3">
        <f t="shared" si="0"/>
        <v>3300</v>
      </c>
      <c r="G10" s="3">
        <v>2000</v>
      </c>
      <c r="H10" s="3">
        <f t="shared" si="1"/>
        <v>1300</v>
      </c>
    </row>
    <row r="11" spans="1:11" x14ac:dyDescent="0.25">
      <c r="A11" s="25" t="s">
        <v>10</v>
      </c>
      <c r="B11" s="3" t="s">
        <v>35</v>
      </c>
      <c r="C11" s="3"/>
      <c r="D11" s="3"/>
      <c r="E11" s="3">
        <v>4000</v>
      </c>
      <c r="F11" s="3">
        <f t="shared" si="0"/>
        <v>4000</v>
      </c>
      <c r="G11" s="3">
        <v>4000</v>
      </c>
      <c r="H11" s="3">
        <f t="shared" si="1"/>
        <v>0</v>
      </c>
    </row>
    <row r="12" spans="1:11" x14ac:dyDescent="0.25">
      <c r="A12" s="25">
        <v>9</v>
      </c>
      <c r="B12" s="3" t="s">
        <v>41</v>
      </c>
      <c r="C12" s="3"/>
      <c r="D12" s="3"/>
      <c r="E12" s="3">
        <v>2200</v>
      </c>
      <c r="F12" s="3">
        <f t="shared" si="0"/>
        <v>2200</v>
      </c>
      <c r="G12" s="3">
        <v>2200</v>
      </c>
      <c r="H12" s="3">
        <f t="shared" si="1"/>
        <v>0</v>
      </c>
      <c r="I12" t="s">
        <v>48</v>
      </c>
    </row>
    <row r="13" spans="1:11" x14ac:dyDescent="0.25">
      <c r="A13" s="25">
        <v>10</v>
      </c>
      <c r="B13" s="3" t="s">
        <v>45</v>
      </c>
      <c r="C13" s="3"/>
      <c r="D13" s="3"/>
      <c r="E13" s="3">
        <v>2200</v>
      </c>
      <c r="F13" s="3">
        <f t="shared" si="0"/>
        <v>2200</v>
      </c>
      <c r="G13" s="3">
        <v>1160</v>
      </c>
      <c r="H13" s="3">
        <f t="shared" si="1"/>
        <v>1040</v>
      </c>
    </row>
    <row r="14" spans="1:11" x14ac:dyDescent="0.25">
      <c r="A14" s="25">
        <v>11</v>
      </c>
      <c r="B14" s="23" t="s">
        <v>36</v>
      </c>
      <c r="C14" s="3"/>
      <c r="D14" s="3">
        <v>1300</v>
      </c>
      <c r="E14" s="3">
        <v>2200</v>
      </c>
      <c r="F14" s="3">
        <f t="shared" si="0"/>
        <v>3500</v>
      </c>
      <c r="G14" s="3">
        <v>2200</v>
      </c>
      <c r="H14" s="3">
        <f t="shared" si="1"/>
        <v>1300</v>
      </c>
    </row>
    <row r="15" spans="1:11" x14ac:dyDescent="0.25">
      <c r="A15" s="25">
        <v>12</v>
      </c>
      <c r="B15" s="3" t="s">
        <v>37</v>
      </c>
      <c r="C15" s="3"/>
      <c r="D15" s="3"/>
      <c r="E15" s="3">
        <v>2200</v>
      </c>
      <c r="F15" s="3">
        <f t="shared" si="0"/>
        <v>2200</v>
      </c>
      <c r="G15" s="3">
        <v>2200</v>
      </c>
      <c r="H15" s="3">
        <f t="shared" si="1"/>
        <v>0</v>
      </c>
    </row>
    <row r="16" spans="1:11" x14ac:dyDescent="0.25">
      <c r="A16" s="25">
        <v>13</v>
      </c>
      <c r="B16" s="3" t="s">
        <v>38</v>
      </c>
      <c r="C16" s="3"/>
      <c r="D16" s="3"/>
      <c r="E16" s="3">
        <v>2200</v>
      </c>
      <c r="F16" s="3">
        <f t="shared" si="0"/>
        <v>2200</v>
      </c>
      <c r="G16" s="3"/>
      <c r="H16" s="3">
        <f t="shared" si="1"/>
        <v>2200</v>
      </c>
    </row>
    <row r="17" spans="1:12" x14ac:dyDescent="0.25">
      <c r="A17" s="25">
        <v>14</v>
      </c>
      <c r="B17" s="13" t="s">
        <v>62</v>
      </c>
      <c r="C17" s="13"/>
      <c r="D17" s="13"/>
      <c r="E17" s="13">
        <v>2200</v>
      </c>
      <c r="F17" s="13">
        <f t="shared" si="0"/>
        <v>2200</v>
      </c>
      <c r="G17" s="13">
        <v>2200</v>
      </c>
      <c r="H17" s="13">
        <f t="shared" si="1"/>
        <v>0</v>
      </c>
      <c r="I17" s="1"/>
    </row>
    <row r="18" spans="1:12" x14ac:dyDescent="0.25">
      <c r="A18" s="25" t="s">
        <v>39</v>
      </c>
      <c r="B18" s="3" t="s">
        <v>40</v>
      </c>
      <c r="C18" s="3"/>
      <c r="D18" s="3"/>
      <c r="E18" s="3">
        <v>4000</v>
      </c>
      <c r="F18" s="3">
        <f t="shared" si="0"/>
        <v>4000</v>
      </c>
      <c r="G18" s="3">
        <v>4000</v>
      </c>
      <c r="H18" s="3">
        <f t="shared" si="1"/>
        <v>0</v>
      </c>
    </row>
    <row r="19" spans="1:12" x14ac:dyDescent="0.25">
      <c r="A19" s="3"/>
      <c r="B19" s="2" t="s">
        <v>64</v>
      </c>
      <c r="C19" s="2">
        <f t="shared" ref="C19:H19" si="2">SUM(C5:C18)</f>
        <v>0</v>
      </c>
      <c r="D19" s="2">
        <f t="shared" si="2"/>
        <v>2450</v>
      </c>
      <c r="E19" s="2">
        <f t="shared" si="2"/>
        <v>32200</v>
      </c>
      <c r="F19" s="2">
        <f t="shared" si="2"/>
        <v>34650</v>
      </c>
      <c r="G19" s="2">
        <f t="shared" si="2"/>
        <v>28760</v>
      </c>
      <c r="H19" s="2">
        <f t="shared" si="2"/>
        <v>5890</v>
      </c>
    </row>
    <row r="20" spans="1:12" x14ac:dyDescent="0.25">
      <c r="A20" s="4"/>
      <c r="B20" s="5"/>
      <c r="C20" s="5"/>
      <c r="D20" s="5"/>
      <c r="E20" s="5"/>
      <c r="F20" s="5"/>
      <c r="G20" s="5"/>
      <c r="H20" s="4"/>
    </row>
    <row r="21" spans="1:12" x14ac:dyDescent="0.25">
      <c r="B21" s="6" t="s">
        <v>12</v>
      </c>
      <c r="C21" s="7"/>
      <c r="D21" s="8"/>
      <c r="E21" s="5"/>
      <c r="F21" s="9"/>
      <c r="G21" s="10"/>
      <c r="H21" s="9"/>
    </row>
    <row r="22" spans="1:12" x14ac:dyDescent="0.25">
      <c r="B22" s="1" t="s">
        <v>13</v>
      </c>
      <c r="C22" s="1"/>
      <c r="D22" s="1"/>
      <c r="E22" s="11"/>
      <c r="F22" s="1" t="s">
        <v>14</v>
      </c>
      <c r="G22" s="12"/>
      <c r="H22" s="12"/>
      <c r="I22" s="12"/>
    </row>
    <row r="23" spans="1:12" x14ac:dyDescent="0.25">
      <c r="B23" s="2" t="s">
        <v>15</v>
      </c>
      <c r="C23" s="2" t="s">
        <v>16</v>
      </c>
      <c r="D23" s="2" t="s">
        <v>17</v>
      </c>
      <c r="E23" s="2" t="s">
        <v>18</v>
      </c>
      <c r="F23" s="2" t="s">
        <v>15</v>
      </c>
      <c r="G23" s="2" t="s">
        <v>16</v>
      </c>
      <c r="H23" s="2" t="s">
        <v>17</v>
      </c>
      <c r="I23" s="2" t="s">
        <v>18</v>
      </c>
    </row>
    <row r="24" spans="1:12" x14ac:dyDescent="0.25">
      <c r="B24" s="13" t="s">
        <v>61</v>
      </c>
      <c r="C24" s="14">
        <f>E19</f>
        <v>32200</v>
      </c>
      <c r="D24" s="13"/>
      <c r="E24" s="13"/>
      <c r="F24" s="13" t="s">
        <v>61</v>
      </c>
      <c r="G24" s="14">
        <f>G19</f>
        <v>28760</v>
      </c>
      <c r="H24" s="13"/>
      <c r="I24" s="13"/>
      <c r="L24" s="15"/>
    </row>
    <row r="25" spans="1:12" x14ac:dyDescent="0.25">
      <c r="B25" s="13" t="s">
        <v>5</v>
      </c>
      <c r="C25" s="14">
        <f>DECEMBER!E34</f>
        <v>-2461</v>
      </c>
      <c r="D25" s="13"/>
      <c r="E25" s="13"/>
      <c r="F25" s="13" t="s">
        <v>5</v>
      </c>
      <c r="G25" s="14">
        <f>DECEMBER!I34</f>
        <v>-4911</v>
      </c>
      <c r="H25" s="13"/>
      <c r="I25" s="13"/>
    </row>
    <row r="26" spans="1:12" x14ac:dyDescent="0.25">
      <c r="B26" s="13" t="s">
        <v>20</v>
      </c>
      <c r="C26" s="16">
        <v>0.1</v>
      </c>
      <c r="D26" s="14">
        <f>C24*C26</f>
        <v>3220</v>
      </c>
      <c r="E26" s="13"/>
      <c r="F26" s="13" t="s">
        <v>20</v>
      </c>
      <c r="G26" s="16">
        <v>0.1</v>
      </c>
      <c r="H26" s="14">
        <f>D26</f>
        <v>3220</v>
      </c>
      <c r="I26" s="13"/>
    </row>
    <row r="27" spans="1:12" x14ac:dyDescent="0.25">
      <c r="B27" s="17" t="s">
        <v>21</v>
      </c>
      <c r="C27" s="13" t="s">
        <v>22</v>
      </c>
      <c r="D27" s="13"/>
      <c r="E27" s="13"/>
      <c r="F27" s="17" t="s">
        <v>21</v>
      </c>
      <c r="G27" s="14"/>
      <c r="H27" s="13"/>
      <c r="I27" s="13"/>
    </row>
    <row r="28" spans="1:12" x14ac:dyDescent="0.25">
      <c r="B28" s="18" t="s">
        <v>63</v>
      </c>
      <c r="C28" s="3"/>
      <c r="D28" s="3">
        <v>26555</v>
      </c>
      <c r="E28" s="3"/>
      <c r="F28" s="18" t="s">
        <v>63</v>
      </c>
      <c r="G28" s="3"/>
      <c r="H28" s="3">
        <v>26555</v>
      </c>
      <c r="I28" s="3"/>
    </row>
    <row r="29" spans="1:12" x14ac:dyDescent="0.25">
      <c r="B29" s="19" t="s">
        <v>67</v>
      </c>
      <c r="C29" s="3"/>
      <c r="D29">
        <f>E8+E12</f>
        <v>4400</v>
      </c>
      <c r="E29" s="3"/>
      <c r="F29" s="19" t="s">
        <v>67</v>
      </c>
      <c r="G29" s="3"/>
      <c r="H29">
        <f>D29</f>
        <v>4400</v>
      </c>
      <c r="I29" s="3"/>
    </row>
    <row r="30" spans="1:12" x14ac:dyDescent="0.25">
      <c r="B30" s="20"/>
      <c r="C30" s="13"/>
      <c r="D30" s="13"/>
      <c r="E30" s="13"/>
      <c r="F30" s="20"/>
      <c r="G30" s="13"/>
      <c r="H30" s="13"/>
      <c r="I30" s="13"/>
    </row>
    <row r="31" spans="1:12" x14ac:dyDescent="0.25">
      <c r="B31" s="20"/>
      <c r="C31" s="13"/>
      <c r="D31" s="13"/>
      <c r="E31" s="13"/>
      <c r="F31" s="20"/>
      <c r="G31" s="13"/>
      <c r="H31" s="13"/>
      <c r="I31" s="13"/>
      <c r="J31" s="15">
        <f>I34+H19</f>
        <v>-4436</v>
      </c>
    </row>
    <row r="32" spans="1:12" x14ac:dyDescent="0.25">
      <c r="B32" s="21"/>
      <c r="C32" s="13"/>
      <c r="D32" s="13"/>
      <c r="E32" s="13"/>
      <c r="F32" s="19"/>
      <c r="G32" s="3"/>
      <c r="H32" s="22"/>
      <c r="I32" s="13"/>
    </row>
    <row r="33" spans="2:9" x14ac:dyDescent="0.25">
      <c r="B33" s="19"/>
      <c r="C33" s="3"/>
      <c r="D33" s="22"/>
      <c r="E33" s="13"/>
      <c r="F33" s="3"/>
      <c r="G33" s="3"/>
      <c r="H33" s="3"/>
      <c r="I33" s="13"/>
    </row>
    <row r="34" spans="2:9" x14ac:dyDescent="0.25">
      <c r="B34" s="26" t="s">
        <v>11</v>
      </c>
      <c r="C34" s="27">
        <f>C24+C25-D26</f>
        <v>26519</v>
      </c>
      <c r="D34" s="27">
        <f>SUM(D28:D33)</f>
        <v>30955</v>
      </c>
      <c r="E34" s="27">
        <f>C34-D34</f>
        <v>-4436</v>
      </c>
      <c r="F34" s="26" t="s">
        <v>11</v>
      </c>
      <c r="G34" s="27">
        <f>G24+G25-H26</f>
        <v>20629</v>
      </c>
      <c r="H34" s="27">
        <f>SUM(H28:H33)</f>
        <v>30955</v>
      </c>
      <c r="I34" s="28">
        <f>G34-H34</f>
        <v>-10326</v>
      </c>
    </row>
    <row r="36" spans="2:9" x14ac:dyDescent="0.25">
      <c r="B36" t="s">
        <v>23</v>
      </c>
      <c r="D36" t="s">
        <v>24</v>
      </c>
      <c r="G36" t="s">
        <v>25</v>
      </c>
    </row>
    <row r="38" spans="2:9" x14ac:dyDescent="0.25">
      <c r="B38" t="s">
        <v>26</v>
      </c>
      <c r="D38" t="s">
        <v>27</v>
      </c>
      <c r="G38" t="s">
        <v>46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A4" zoomScaleNormal="100" workbookViewId="0">
      <selection activeCell="F11" sqref="F11"/>
    </sheetView>
  </sheetViews>
  <sheetFormatPr defaultRowHeight="15" x14ac:dyDescent="0.25"/>
  <cols>
    <col min="1" max="1" width="5" customWidth="1"/>
    <col min="2" max="2" width="19.140625" customWidth="1"/>
    <col min="3" max="3" width="8.85546875" customWidth="1"/>
    <col min="4" max="4" width="9" customWidth="1"/>
    <col min="5" max="5" width="8.85546875" customWidth="1"/>
    <col min="6" max="6" width="10.5703125" customWidth="1"/>
    <col min="7" max="7" width="10.7109375" customWidth="1"/>
  </cols>
  <sheetData>
    <row r="1" spans="1:8" x14ac:dyDescent="0.25">
      <c r="A1" s="1"/>
      <c r="B1" s="1"/>
      <c r="C1" s="1" t="s">
        <v>28</v>
      </c>
      <c r="D1" s="1"/>
      <c r="E1" s="1"/>
      <c r="F1" s="1"/>
      <c r="G1" s="1"/>
      <c r="H1" s="1"/>
    </row>
    <row r="2" spans="1:8" x14ac:dyDescent="0.25">
      <c r="A2" s="1"/>
      <c r="B2" s="1"/>
      <c r="C2" s="1" t="s">
        <v>0</v>
      </c>
      <c r="D2" s="1"/>
      <c r="E2" s="1"/>
      <c r="F2" s="1"/>
      <c r="G2" s="1"/>
      <c r="H2" s="1"/>
    </row>
    <row r="3" spans="1:8" x14ac:dyDescent="0.25">
      <c r="A3" s="1"/>
      <c r="B3" s="1"/>
      <c r="C3" s="1" t="s">
        <v>65</v>
      </c>
      <c r="D3" s="1"/>
      <c r="E3" s="1"/>
      <c r="F3" s="1"/>
      <c r="G3" s="1"/>
      <c r="H3" s="1"/>
    </row>
    <row r="4" spans="1:8" x14ac:dyDescent="0.25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</row>
    <row r="5" spans="1:8" x14ac:dyDescent="0.25">
      <c r="A5" s="25">
        <v>1</v>
      </c>
      <c r="B5" s="3" t="s">
        <v>29</v>
      </c>
      <c r="C5" s="3"/>
      <c r="D5" s="3"/>
      <c r="E5" s="3"/>
      <c r="F5" s="3">
        <f>D5+E5</f>
        <v>0</v>
      </c>
      <c r="G5" s="3"/>
      <c r="H5" s="3">
        <f>F5-G5</f>
        <v>0</v>
      </c>
    </row>
    <row r="6" spans="1:8" x14ac:dyDescent="0.25">
      <c r="A6" s="25">
        <v>2</v>
      </c>
      <c r="B6" s="3" t="s">
        <v>41</v>
      </c>
      <c r="C6" s="3"/>
      <c r="D6" s="3"/>
      <c r="E6" s="3">
        <v>2200</v>
      </c>
      <c r="F6" s="3">
        <f t="shared" ref="F6:F18" si="0">D6+E6</f>
        <v>2200</v>
      </c>
      <c r="G6" s="3">
        <v>2200</v>
      </c>
      <c r="H6" s="3">
        <f t="shared" ref="H6:H18" si="1">F6-G6</f>
        <v>0</v>
      </c>
    </row>
    <row r="7" spans="1:8" x14ac:dyDescent="0.25">
      <c r="A7" s="25">
        <v>3</v>
      </c>
      <c r="B7" s="3" t="s">
        <v>31</v>
      </c>
      <c r="C7" s="3"/>
      <c r="D7" s="3">
        <v>50</v>
      </c>
      <c r="E7" s="3">
        <v>2200</v>
      </c>
      <c r="F7" s="3">
        <f t="shared" si="0"/>
        <v>2250</v>
      </c>
      <c r="G7" s="3">
        <v>2200</v>
      </c>
      <c r="H7" s="3">
        <f t="shared" si="1"/>
        <v>50</v>
      </c>
    </row>
    <row r="8" spans="1:8" x14ac:dyDescent="0.25">
      <c r="A8" s="25">
        <v>4</v>
      </c>
      <c r="B8" s="3" t="s">
        <v>71</v>
      </c>
      <c r="C8" s="3"/>
      <c r="D8" s="3"/>
      <c r="E8" s="3">
        <v>2200</v>
      </c>
      <c r="F8" s="3">
        <f t="shared" si="0"/>
        <v>2200</v>
      </c>
      <c r="G8" s="3">
        <v>2200</v>
      </c>
      <c r="H8" s="3">
        <f t="shared" si="1"/>
        <v>0</v>
      </c>
    </row>
    <row r="9" spans="1:8" x14ac:dyDescent="0.25">
      <c r="A9" s="25">
        <v>5</v>
      </c>
      <c r="B9" s="3" t="s">
        <v>47</v>
      </c>
      <c r="C9" s="3"/>
      <c r="D9" s="3"/>
      <c r="E9" s="3">
        <v>2200</v>
      </c>
      <c r="F9" s="3">
        <f t="shared" si="0"/>
        <v>2200</v>
      </c>
      <c r="G9" s="3">
        <v>2200</v>
      </c>
      <c r="H9" s="3">
        <f t="shared" si="1"/>
        <v>0</v>
      </c>
    </row>
    <row r="10" spans="1:8" x14ac:dyDescent="0.25">
      <c r="A10" s="25">
        <v>6</v>
      </c>
      <c r="B10" s="3" t="s">
        <v>34</v>
      </c>
      <c r="C10" s="3"/>
      <c r="D10" s="3">
        <v>1300</v>
      </c>
      <c r="E10" s="3">
        <v>2200</v>
      </c>
      <c r="F10" s="3">
        <f>D10+E10</f>
        <v>3500</v>
      </c>
      <c r="G10" s="3">
        <v>2000</v>
      </c>
      <c r="H10" s="3">
        <f t="shared" si="1"/>
        <v>1500</v>
      </c>
    </row>
    <row r="11" spans="1:8" x14ac:dyDescent="0.25">
      <c r="A11" s="25" t="s">
        <v>10</v>
      </c>
      <c r="B11" s="3" t="s">
        <v>35</v>
      </c>
      <c r="C11" s="3"/>
      <c r="D11" s="3"/>
      <c r="E11" s="3">
        <v>4000</v>
      </c>
      <c r="F11" s="3">
        <f t="shared" si="0"/>
        <v>4000</v>
      </c>
      <c r="G11" s="3">
        <v>4000</v>
      </c>
      <c r="H11" s="3">
        <f t="shared" si="1"/>
        <v>0</v>
      </c>
    </row>
    <row r="12" spans="1:8" x14ac:dyDescent="0.25">
      <c r="A12" s="25">
        <v>9</v>
      </c>
      <c r="B12" s="3" t="s">
        <v>41</v>
      </c>
      <c r="C12" s="3"/>
      <c r="D12" s="3"/>
      <c r="E12" s="3">
        <v>2200</v>
      </c>
      <c r="F12" s="3">
        <f t="shared" si="0"/>
        <v>2200</v>
      </c>
      <c r="G12" s="3">
        <v>2200</v>
      </c>
      <c r="H12" s="3">
        <f t="shared" si="1"/>
        <v>0</v>
      </c>
    </row>
    <row r="13" spans="1:8" x14ac:dyDescent="0.25">
      <c r="A13" s="25">
        <v>10</v>
      </c>
      <c r="B13" s="3" t="s">
        <v>45</v>
      </c>
      <c r="C13" s="3"/>
      <c r="D13" s="3">
        <v>1040</v>
      </c>
      <c r="E13" s="3">
        <v>2200</v>
      </c>
      <c r="F13" s="3">
        <f t="shared" si="0"/>
        <v>3240</v>
      </c>
      <c r="G13" s="3">
        <v>2200</v>
      </c>
      <c r="H13" s="3">
        <f t="shared" si="1"/>
        <v>1040</v>
      </c>
    </row>
    <row r="14" spans="1:8" x14ac:dyDescent="0.25">
      <c r="A14" s="25">
        <v>11</v>
      </c>
      <c r="B14" s="23" t="s">
        <v>36</v>
      </c>
      <c r="C14" s="3"/>
      <c r="D14" s="3">
        <v>1300</v>
      </c>
      <c r="E14" s="3">
        <v>2200</v>
      </c>
      <c r="F14" s="3">
        <f t="shared" si="0"/>
        <v>3500</v>
      </c>
      <c r="G14" s="3">
        <v>2200</v>
      </c>
      <c r="H14" s="3">
        <f t="shared" si="1"/>
        <v>1300</v>
      </c>
    </row>
    <row r="15" spans="1:8" x14ac:dyDescent="0.25">
      <c r="A15" s="25">
        <v>12</v>
      </c>
      <c r="B15" s="3" t="s">
        <v>37</v>
      </c>
      <c r="C15" s="3"/>
      <c r="D15" s="3"/>
      <c r="E15" s="3">
        <v>2200</v>
      </c>
      <c r="F15" s="3">
        <f t="shared" si="0"/>
        <v>2200</v>
      </c>
      <c r="G15" s="3">
        <v>2000</v>
      </c>
      <c r="H15" s="3">
        <f t="shared" si="1"/>
        <v>200</v>
      </c>
    </row>
    <row r="16" spans="1:8" x14ac:dyDescent="0.25">
      <c r="A16" s="25">
        <v>13</v>
      </c>
      <c r="B16" s="3" t="s">
        <v>38</v>
      </c>
      <c r="C16" s="3"/>
      <c r="D16" s="3">
        <v>2200</v>
      </c>
      <c r="E16" s="3">
        <v>2200</v>
      </c>
      <c r="F16" s="3">
        <f t="shared" si="0"/>
        <v>4400</v>
      </c>
      <c r="G16" s="3">
        <v>4000</v>
      </c>
      <c r="H16" s="3">
        <f t="shared" si="1"/>
        <v>400</v>
      </c>
    </row>
    <row r="17" spans="1:12" x14ac:dyDescent="0.25">
      <c r="A17" s="25">
        <v>14</v>
      </c>
      <c r="B17" s="13" t="s">
        <v>62</v>
      </c>
      <c r="C17" s="13"/>
      <c r="D17" s="13"/>
      <c r="E17" s="13">
        <v>2200</v>
      </c>
      <c r="F17" s="3">
        <f t="shared" si="0"/>
        <v>2200</v>
      </c>
      <c r="G17" s="13">
        <v>2200</v>
      </c>
      <c r="H17" s="13">
        <f t="shared" si="1"/>
        <v>0</v>
      </c>
    </row>
    <row r="18" spans="1:12" x14ac:dyDescent="0.25">
      <c r="A18" s="25" t="s">
        <v>39</v>
      </c>
      <c r="B18" s="3" t="s">
        <v>40</v>
      </c>
      <c r="C18" s="3"/>
      <c r="D18" s="3"/>
      <c r="E18" s="3">
        <v>4000</v>
      </c>
      <c r="F18" s="3">
        <f t="shared" si="0"/>
        <v>4000</v>
      </c>
      <c r="G18" s="3">
        <v>4000</v>
      </c>
      <c r="H18" s="3">
        <f t="shared" si="1"/>
        <v>0</v>
      </c>
    </row>
    <row r="19" spans="1:12" x14ac:dyDescent="0.25">
      <c r="A19" s="29"/>
      <c r="B19" s="30" t="s">
        <v>64</v>
      </c>
      <c r="C19" s="30">
        <f t="shared" ref="C19:H19" si="2">SUM(C5:C18)</f>
        <v>0</v>
      </c>
      <c r="D19" s="30">
        <f t="shared" si="2"/>
        <v>5890</v>
      </c>
      <c r="E19" s="30">
        <f t="shared" si="2"/>
        <v>32200</v>
      </c>
      <c r="F19" s="30">
        <f t="shared" si="2"/>
        <v>38090</v>
      </c>
      <c r="G19" s="30">
        <f t="shared" si="2"/>
        <v>33600</v>
      </c>
      <c r="H19" s="30">
        <f t="shared" si="2"/>
        <v>4490</v>
      </c>
      <c r="I19" s="31"/>
    </row>
    <row r="20" spans="1:12" x14ac:dyDescent="0.25">
      <c r="A20" s="32"/>
      <c r="B20" s="33"/>
      <c r="C20" s="33"/>
      <c r="D20" s="33"/>
      <c r="E20" s="33"/>
      <c r="F20" s="33"/>
      <c r="G20" s="33"/>
      <c r="H20" s="32"/>
      <c r="I20" s="31"/>
    </row>
    <row r="21" spans="1:12" x14ac:dyDescent="0.25">
      <c r="A21" s="31"/>
      <c r="B21" s="31" t="s">
        <v>12</v>
      </c>
      <c r="C21" s="34"/>
      <c r="D21" s="8"/>
      <c r="E21" s="33"/>
      <c r="F21" s="35"/>
      <c r="G21" s="10"/>
      <c r="H21" s="35"/>
      <c r="I21" s="31"/>
    </row>
    <row r="22" spans="1:12" x14ac:dyDescent="0.25">
      <c r="A22" s="31"/>
      <c r="B22" s="36" t="s">
        <v>13</v>
      </c>
      <c r="C22" s="36"/>
      <c r="D22" s="36"/>
      <c r="E22" s="37"/>
      <c r="F22" s="36" t="s">
        <v>14</v>
      </c>
      <c r="G22" s="31"/>
      <c r="H22" s="31"/>
      <c r="I22" s="31"/>
    </row>
    <row r="23" spans="1:12" x14ac:dyDescent="0.25">
      <c r="A23" s="31"/>
      <c r="B23" s="30" t="s">
        <v>15</v>
      </c>
      <c r="C23" s="30" t="s">
        <v>16</v>
      </c>
      <c r="D23" s="30" t="s">
        <v>17</v>
      </c>
      <c r="E23" s="30" t="s">
        <v>18</v>
      </c>
      <c r="F23" s="30" t="s">
        <v>15</v>
      </c>
      <c r="G23" s="30" t="s">
        <v>16</v>
      </c>
      <c r="H23" s="30" t="s">
        <v>17</v>
      </c>
      <c r="I23" s="30" t="s">
        <v>18</v>
      </c>
    </row>
    <row r="24" spans="1:12" x14ac:dyDescent="0.25">
      <c r="A24" s="31"/>
      <c r="B24" s="29" t="s">
        <v>66</v>
      </c>
      <c r="C24" s="38">
        <f>E19</f>
        <v>32200</v>
      </c>
      <c r="D24" s="29"/>
      <c r="E24" s="29"/>
      <c r="F24" s="29" t="s">
        <v>66</v>
      </c>
      <c r="G24" s="38">
        <f>G19</f>
        <v>33600</v>
      </c>
      <c r="H24" s="29"/>
      <c r="I24" s="29"/>
      <c r="L24" s="15"/>
    </row>
    <row r="25" spans="1:12" x14ac:dyDescent="0.25">
      <c r="A25" s="31"/>
      <c r="B25" s="29" t="s">
        <v>5</v>
      </c>
      <c r="C25" s="38">
        <f>JANUARY!E34</f>
        <v>-4436</v>
      </c>
      <c r="D25" s="29"/>
      <c r="E25" s="29"/>
      <c r="F25" s="29" t="s">
        <v>5</v>
      </c>
      <c r="G25" s="38">
        <f>JANUARY!I34</f>
        <v>-10326</v>
      </c>
      <c r="H25" s="29"/>
      <c r="I25" s="29"/>
    </row>
    <row r="26" spans="1:12" x14ac:dyDescent="0.25">
      <c r="A26" s="31"/>
      <c r="B26" s="29" t="s">
        <v>70</v>
      </c>
      <c r="C26" s="38">
        <v>1300</v>
      </c>
      <c r="D26" s="29"/>
      <c r="E26" s="29"/>
      <c r="F26" s="29" t="s">
        <v>70</v>
      </c>
      <c r="G26" s="38">
        <v>1300</v>
      </c>
      <c r="H26" s="29"/>
      <c r="I26" s="29"/>
      <c r="J26" s="15">
        <f>I35+H19</f>
        <v>-261</v>
      </c>
    </row>
    <row r="27" spans="1:12" x14ac:dyDescent="0.25">
      <c r="A27" s="31"/>
      <c r="B27" s="29" t="s">
        <v>20</v>
      </c>
      <c r="C27" s="39">
        <v>0.1</v>
      </c>
      <c r="D27" s="38">
        <f>C24*C27</f>
        <v>3220</v>
      </c>
      <c r="E27" s="29"/>
      <c r="F27" s="29" t="s">
        <v>20</v>
      </c>
      <c r="G27" s="39">
        <v>0.1</v>
      </c>
      <c r="H27" s="38">
        <f>D27</f>
        <v>3220</v>
      </c>
      <c r="I27" s="29"/>
    </row>
    <row r="28" spans="1:12" x14ac:dyDescent="0.25">
      <c r="A28" s="31"/>
      <c r="B28" s="30" t="s">
        <v>21</v>
      </c>
      <c r="C28" s="30" t="s">
        <v>22</v>
      </c>
      <c r="D28" s="30"/>
      <c r="E28" s="30"/>
      <c r="F28" s="30" t="s">
        <v>21</v>
      </c>
      <c r="G28" s="40"/>
      <c r="H28" s="30"/>
      <c r="I28" s="30"/>
    </row>
    <row r="29" spans="1:12" x14ac:dyDescent="0.25">
      <c r="A29" s="31"/>
      <c r="B29" s="41" t="s">
        <v>68</v>
      </c>
      <c r="C29" s="29"/>
      <c r="D29" s="29">
        <v>2200</v>
      </c>
      <c r="E29" s="29"/>
      <c r="F29" s="41" t="s">
        <v>68</v>
      </c>
      <c r="G29" s="29"/>
      <c r="H29" s="29">
        <v>2200</v>
      </c>
      <c r="I29" s="29"/>
    </row>
    <row r="30" spans="1:12" x14ac:dyDescent="0.25">
      <c r="A30" s="31"/>
      <c r="B30" s="42" t="s">
        <v>69</v>
      </c>
      <c r="C30" s="29"/>
      <c r="D30" s="31">
        <v>23005</v>
      </c>
      <c r="E30" s="29"/>
      <c r="F30" s="42" t="s">
        <v>69</v>
      </c>
      <c r="G30" s="29"/>
      <c r="H30" s="31">
        <v>23005</v>
      </c>
      <c r="I30" s="29"/>
    </row>
    <row r="31" spans="1:12" x14ac:dyDescent="0.25">
      <c r="A31" s="31"/>
      <c r="B31" s="42" t="s">
        <v>72</v>
      </c>
      <c r="C31" s="29"/>
      <c r="D31" s="29">
        <v>200</v>
      </c>
      <c r="E31" s="29"/>
      <c r="F31" s="42" t="s">
        <v>72</v>
      </c>
      <c r="G31" s="29"/>
      <c r="H31" s="29">
        <v>200</v>
      </c>
      <c r="I31" s="29"/>
    </row>
    <row r="32" spans="1:12" x14ac:dyDescent="0.25">
      <c r="A32" s="31"/>
      <c r="B32" s="42">
        <v>43510</v>
      </c>
      <c r="C32" s="29"/>
      <c r="D32" s="29">
        <v>700</v>
      </c>
      <c r="E32" s="29"/>
      <c r="F32" s="42">
        <v>43510</v>
      </c>
      <c r="G32" s="29"/>
      <c r="H32" s="29">
        <v>700</v>
      </c>
      <c r="I32" s="29"/>
    </row>
    <row r="33" spans="1:9" x14ac:dyDescent="0.25">
      <c r="A33" s="31"/>
      <c r="B33" s="43"/>
      <c r="C33" s="29"/>
      <c r="D33" s="29"/>
      <c r="E33" s="29"/>
      <c r="F33" s="42"/>
      <c r="G33" s="29"/>
      <c r="H33" s="44"/>
      <c r="I33" s="29"/>
    </row>
    <row r="34" spans="1:9" x14ac:dyDescent="0.25">
      <c r="A34" s="31"/>
      <c r="B34" s="42"/>
      <c r="C34" s="29"/>
      <c r="D34" s="44"/>
      <c r="E34" s="29"/>
      <c r="F34" s="29"/>
      <c r="G34" s="29"/>
      <c r="H34" s="29"/>
      <c r="I34" s="29"/>
    </row>
    <row r="35" spans="1:9" x14ac:dyDescent="0.25">
      <c r="A35" s="31"/>
      <c r="B35" s="30" t="s">
        <v>11</v>
      </c>
      <c r="C35" s="40">
        <f>C24+C25+C26-D27</f>
        <v>25844</v>
      </c>
      <c r="D35" s="40">
        <f>SUM(D29:D34)</f>
        <v>26105</v>
      </c>
      <c r="E35" s="40">
        <f>C35-D35</f>
        <v>-261</v>
      </c>
      <c r="F35" s="30" t="s">
        <v>11</v>
      </c>
      <c r="G35" s="40">
        <f>G24+G25+G26-H27</f>
        <v>21354</v>
      </c>
      <c r="H35" s="40">
        <f>SUM(H29:H34)</f>
        <v>26105</v>
      </c>
      <c r="I35" s="40">
        <f>G35-H35</f>
        <v>-4751</v>
      </c>
    </row>
    <row r="36" spans="1:9" x14ac:dyDescent="0.25">
      <c r="A36" s="31"/>
      <c r="B36" s="31"/>
      <c r="C36" s="31"/>
      <c r="D36" s="31"/>
      <c r="E36" s="31"/>
      <c r="F36" s="31"/>
      <c r="G36" s="31"/>
      <c r="H36" s="31"/>
      <c r="I36" s="31"/>
    </row>
    <row r="37" spans="1:9" x14ac:dyDescent="0.25">
      <c r="A37" s="31"/>
      <c r="B37" s="31" t="s">
        <v>23</v>
      </c>
      <c r="C37" s="31"/>
      <c r="D37" s="31" t="s">
        <v>24</v>
      </c>
      <c r="E37" s="31"/>
      <c r="F37" s="31"/>
      <c r="G37" s="31" t="s">
        <v>25</v>
      </c>
      <c r="H37" s="31"/>
      <c r="I37" s="31"/>
    </row>
    <row r="38" spans="1:9" x14ac:dyDescent="0.25">
      <c r="A38" s="31"/>
      <c r="B38" s="31"/>
      <c r="C38" s="31"/>
      <c r="D38" s="31"/>
      <c r="E38" s="31"/>
      <c r="F38" s="31"/>
      <c r="G38" s="31"/>
      <c r="H38" s="31"/>
      <c r="I38" s="31"/>
    </row>
    <row r="39" spans="1:9" x14ac:dyDescent="0.25">
      <c r="A39" s="31"/>
      <c r="B39" s="31" t="s">
        <v>26</v>
      </c>
      <c r="C39" s="31"/>
      <c r="D39" s="31" t="s">
        <v>27</v>
      </c>
      <c r="E39" s="31"/>
      <c r="F39" s="31"/>
      <c r="G39" s="31" t="s">
        <v>46</v>
      </c>
      <c r="H39" s="31"/>
      <c r="I39" s="31"/>
    </row>
    <row r="40" spans="1:9" x14ac:dyDescent="0.25">
      <c r="A40" s="31"/>
      <c r="B40" s="31"/>
      <c r="C40" s="31"/>
      <c r="D40" s="31"/>
      <c r="E40" s="31"/>
      <c r="F40" s="31"/>
      <c r="G40" s="31"/>
      <c r="H40" s="31"/>
      <c r="I40" s="31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J28" sqref="J28"/>
    </sheetView>
  </sheetViews>
  <sheetFormatPr defaultRowHeight="15" x14ac:dyDescent="0.25"/>
  <cols>
    <col min="1" max="1" width="5" customWidth="1"/>
    <col min="2" max="2" width="19.140625" customWidth="1"/>
    <col min="3" max="3" width="8.85546875" customWidth="1"/>
    <col min="4" max="4" width="9" customWidth="1"/>
    <col min="5" max="5" width="8.85546875" customWidth="1"/>
    <col min="6" max="6" width="10.5703125" customWidth="1"/>
    <col min="7" max="7" width="10.7109375" customWidth="1"/>
  </cols>
  <sheetData>
    <row r="1" spans="1:8" x14ac:dyDescent="0.25">
      <c r="A1" s="1"/>
      <c r="B1" s="1"/>
      <c r="C1" s="1" t="s">
        <v>28</v>
      </c>
      <c r="D1" s="1"/>
      <c r="E1" s="1"/>
      <c r="F1" s="1"/>
      <c r="G1" s="1"/>
      <c r="H1" s="1"/>
    </row>
    <row r="2" spans="1:8" x14ac:dyDescent="0.25">
      <c r="A2" s="1"/>
      <c r="B2" s="1"/>
      <c r="C2" s="1" t="s">
        <v>0</v>
      </c>
      <c r="D2" s="1"/>
      <c r="E2" s="1"/>
      <c r="F2" s="1"/>
      <c r="G2" s="1"/>
      <c r="H2" s="1"/>
    </row>
    <row r="3" spans="1:8" x14ac:dyDescent="0.25">
      <c r="A3" s="1"/>
      <c r="B3" s="1"/>
      <c r="C3" s="1" t="s">
        <v>73</v>
      </c>
      <c r="D3" s="1"/>
      <c r="E3" s="1"/>
      <c r="F3" s="1"/>
      <c r="G3" s="1"/>
      <c r="H3" s="1"/>
    </row>
    <row r="4" spans="1:8" x14ac:dyDescent="0.25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</row>
    <row r="5" spans="1:8" x14ac:dyDescent="0.25">
      <c r="A5" s="25">
        <v>1</v>
      </c>
      <c r="B5" s="3" t="s">
        <v>29</v>
      </c>
      <c r="C5" s="3"/>
      <c r="D5" s="3"/>
      <c r="E5" s="3"/>
      <c r="F5" s="3">
        <f>D5+E5</f>
        <v>0</v>
      </c>
      <c r="G5" s="3"/>
      <c r="H5" s="3">
        <f>F5-G5</f>
        <v>0</v>
      </c>
    </row>
    <row r="6" spans="1:8" x14ac:dyDescent="0.25">
      <c r="A6" s="25">
        <v>2</v>
      </c>
      <c r="B6" s="3"/>
      <c r="C6" s="3"/>
      <c r="D6" s="3"/>
      <c r="E6" s="3"/>
      <c r="F6" s="3">
        <f t="shared" ref="F6:F18" si="0">D6+E6</f>
        <v>0</v>
      </c>
      <c r="G6" s="3"/>
      <c r="H6" s="3">
        <f t="shared" ref="H6:H18" si="1">F6-G6</f>
        <v>0</v>
      </c>
    </row>
    <row r="7" spans="1:8" x14ac:dyDescent="0.25">
      <c r="A7" s="25">
        <v>3</v>
      </c>
      <c r="B7" s="3" t="s">
        <v>31</v>
      </c>
      <c r="C7" s="3"/>
      <c r="D7" s="3">
        <v>50</v>
      </c>
      <c r="E7" s="3">
        <v>2200</v>
      </c>
      <c r="F7" s="3">
        <f t="shared" si="0"/>
        <v>2250</v>
      </c>
      <c r="G7" s="3">
        <v>2200</v>
      </c>
      <c r="H7" s="3">
        <f t="shared" si="1"/>
        <v>50</v>
      </c>
    </row>
    <row r="8" spans="1:8" x14ac:dyDescent="0.25">
      <c r="A8" s="25">
        <v>4</v>
      </c>
      <c r="B8" s="3" t="s">
        <v>71</v>
      </c>
      <c r="C8" s="3"/>
      <c r="D8" s="3"/>
      <c r="E8" s="3">
        <v>2200</v>
      </c>
      <c r="F8" s="3">
        <f t="shared" si="0"/>
        <v>2200</v>
      </c>
      <c r="G8" s="3"/>
      <c r="H8" s="3">
        <f t="shared" si="1"/>
        <v>2200</v>
      </c>
    </row>
    <row r="9" spans="1:8" x14ac:dyDescent="0.25">
      <c r="A9" s="25">
        <v>5</v>
      </c>
      <c r="B9" s="3" t="s">
        <v>47</v>
      </c>
      <c r="C9" s="3"/>
      <c r="D9" s="3"/>
      <c r="E9" s="3">
        <v>2200</v>
      </c>
      <c r="F9" s="3">
        <f t="shared" si="0"/>
        <v>2200</v>
      </c>
      <c r="G9" s="3">
        <v>2200</v>
      </c>
      <c r="H9" s="3">
        <f t="shared" si="1"/>
        <v>0</v>
      </c>
    </row>
    <row r="10" spans="1:8" x14ac:dyDescent="0.25">
      <c r="A10" s="25">
        <v>6</v>
      </c>
      <c r="B10" s="3" t="s">
        <v>34</v>
      </c>
      <c r="C10" s="3"/>
      <c r="D10" s="3">
        <v>1500</v>
      </c>
      <c r="E10" s="3">
        <v>2200</v>
      </c>
      <c r="F10" s="3">
        <f t="shared" si="0"/>
        <v>3700</v>
      </c>
      <c r="G10" s="3">
        <v>2500</v>
      </c>
      <c r="H10" s="3">
        <f t="shared" si="1"/>
        <v>1200</v>
      </c>
    </row>
    <row r="11" spans="1:8" x14ac:dyDescent="0.25">
      <c r="A11" s="25" t="s">
        <v>10</v>
      </c>
      <c r="B11" s="3" t="s">
        <v>35</v>
      </c>
      <c r="C11" s="3"/>
      <c r="D11" s="3"/>
      <c r="E11" s="3">
        <v>4000</v>
      </c>
      <c r="F11" s="3">
        <f t="shared" si="0"/>
        <v>4000</v>
      </c>
      <c r="G11" s="3">
        <v>4000</v>
      </c>
      <c r="H11" s="3">
        <f t="shared" si="1"/>
        <v>0</v>
      </c>
    </row>
    <row r="12" spans="1:8" x14ac:dyDescent="0.25">
      <c r="A12" s="25">
        <v>9</v>
      </c>
      <c r="B12" s="3" t="s">
        <v>41</v>
      </c>
      <c r="C12" s="3"/>
      <c r="D12" s="3"/>
      <c r="E12" s="3">
        <v>2200</v>
      </c>
      <c r="F12" s="3">
        <f t="shared" si="0"/>
        <v>2200</v>
      </c>
      <c r="G12" s="3">
        <v>2200</v>
      </c>
      <c r="H12" s="3">
        <f t="shared" si="1"/>
        <v>0</v>
      </c>
    </row>
    <row r="13" spans="1:8" x14ac:dyDescent="0.25">
      <c r="A13" s="25">
        <v>10</v>
      </c>
      <c r="B13" s="3" t="s">
        <v>45</v>
      </c>
      <c r="C13" s="3"/>
      <c r="D13" s="3">
        <v>1040</v>
      </c>
      <c r="E13" s="3">
        <v>2200</v>
      </c>
      <c r="F13" s="3">
        <f t="shared" si="0"/>
        <v>3240</v>
      </c>
      <c r="G13" s="3">
        <v>2200</v>
      </c>
      <c r="H13" s="3">
        <f t="shared" si="1"/>
        <v>1040</v>
      </c>
    </row>
    <row r="14" spans="1:8" x14ac:dyDescent="0.25">
      <c r="A14" s="25">
        <v>11</v>
      </c>
      <c r="B14" s="23" t="s">
        <v>36</v>
      </c>
      <c r="C14" s="3"/>
      <c r="D14" s="3">
        <v>1300</v>
      </c>
      <c r="E14" s="3">
        <v>2200</v>
      </c>
      <c r="F14" s="3">
        <f t="shared" si="0"/>
        <v>3500</v>
      </c>
      <c r="G14" s="3"/>
      <c r="H14" s="3">
        <f t="shared" si="1"/>
        <v>3500</v>
      </c>
    </row>
    <row r="15" spans="1:8" x14ac:dyDescent="0.25">
      <c r="A15" s="25">
        <v>12</v>
      </c>
      <c r="B15" s="3" t="s">
        <v>37</v>
      </c>
      <c r="C15" s="3"/>
      <c r="D15" s="3">
        <v>200</v>
      </c>
      <c r="E15" s="3">
        <v>2200</v>
      </c>
      <c r="F15" s="3">
        <f t="shared" si="0"/>
        <v>2400</v>
      </c>
      <c r="G15" s="3">
        <v>2300</v>
      </c>
      <c r="H15" s="3">
        <f t="shared" si="1"/>
        <v>100</v>
      </c>
    </row>
    <row r="16" spans="1:8" x14ac:dyDescent="0.25">
      <c r="A16" s="25">
        <v>13</v>
      </c>
      <c r="B16" s="3" t="s">
        <v>38</v>
      </c>
      <c r="C16" s="3"/>
      <c r="D16" s="3">
        <v>400</v>
      </c>
      <c r="E16" s="3">
        <v>2200</v>
      </c>
      <c r="F16" s="3">
        <f t="shared" si="0"/>
        <v>2600</v>
      </c>
      <c r="G16" s="3"/>
      <c r="H16" s="3">
        <f t="shared" si="1"/>
        <v>2600</v>
      </c>
    </row>
    <row r="17" spans="1:12" x14ac:dyDescent="0.25">
      <c r="A17" s="25">
        <v>14</v>
      </c>
      <c r="B17" s="13" t="s">
        <v>62</v>
      </c>
      <c r="C17" s="13"/>
      <c r="D17" s="13"/>
      <c r="E17" s="13">
        <v>2200</v>
      </c>
      <c r="F17" s="3">
        <f t="shared" si="0"/>
        <v>2200</v>
      </c>
      <c r="G17" s="13">
        <v>2200</v>
      </c>
      <c r="H17" s="13">
        <f t="shared" si="1"/>
        <v>0</v>
      </c>
    </row>
    <row r="18" spans="1:12" x14ac:dyDescent="0.25">
      <c r="A18" s="25" t="s">
        <v>39</v>
      </c>
      <c r="B18" s="3"/>
      <c r="C18" s="3"/>
      <c r="D18" s="3"/>
      <c r="E18" s="3"/>
      <c r="F18" s="3">
        <f t="shared" si="0"/>
        <v>0</v>
      </c>
      <c r="G18" s="3"/>
      <c r="H18" s="3">
        <f t="shared" si="1"/>
        <v>0</v>
      </c>
    </row>
    <row r="19" spans="1:12" x14ac:dyDescent="0.25">
      <c r="A19" s="29"/>
      <c r="B19" s="30" t="s">
        <v>64</v>
      </c>
      <c r="C19" s="30">
        <f t="shared" ref="C19:H19" si="2">SUM(C5:C18)</f>
        <v>0</v>
      </c>
      <c r="D19" s="30">
        <f t="shared" si="2"/>
        <v>4490</v>
      </c>
      <c r="E19" s="30">
        <f t="shared" si="2"/>
        <v>26000</v>
      </c>
      <c r="F19" s="30">
        <f t="shared" si="2"/>
        <v>30490</v>
      </c>
      <c r="G19" s="30">
        <f t="shared" si="2"/>
        <v>19800</v>
      </c>
      <c r="H19" s="30">
        <f t="shared" si="2"/>
        <v>10690</v>
      </c>
      <c r="I19" s="31"/>
    </row>
    <row r="20" spans="1:12" x14ac:dyDescent="0.25">
      <c r="A20" s="32"/>
      <c r="B20" s="33"/>
      <c r="C20" s="33"/>
      <c r="D20" s="33"/>
      <c r="E20" s="33"/>
      <c r="F20" s="33"/>
      <c r="G20" s="33"/>
      <c r="H20" s="32"/>
      <c r="I20" s="31"/>
    </row>
    <row r="21" spans="1:12" x14ac:dyDescent="0.25">
      <c r="A21" s="31"/>
      <c r="B21" s="31" t="s">
        <v>12</v>
      </c>
      <c r="C21" s="34"/>
      <c r="D21" s="8"/>
      <c r="E21" s="33"/>
      <c r="F21" s="35"/>
      <c r="G21" s="10"/>
      <c r="H21" s="35"/>
      <c r="I21" s="31"/>
    </row>
    <row r="22" spans="1:12" x14ac:dyDescent="0.25">
      <c r="A22" s="31"/>
      <c r="B22" s="36" t="s">
        <v>13</v>
      </c>
      <c r="C22" s="36"/>
      <c r="D22" s="36"/>
      <c r="E22" s="37"/>
      <c r="F22" s="36" t="s">
        <v>14</v>
      </c>
      <c r="G22" s="31"/>
      <c r="H22" s="31"/>
      <c r="I22" s="31"/>
    </row>
    <row r="23" spans="1:12" x14ac:dyDescent="0.25">
      <c r="A23" s="31"/>
      <c r="B23" s="30" t="s">
        <v>15</v>
      </c>
      <c r="C23" s="30" t="s">
        <v>16</v>
      </c>
      <c r="D23" s="30" t="s">
        <v>17</v>
      </c>
      <c r="E23" s="30" t="s">
        <v>18</v>
      </c>
      <c r="F23" s="30" t="s">
        <v>15</v>
      </c>
      <c r="G23" s="30" t="s">
        <v>16</v>
      </c>
      <c r="H23" s="30" t="s">
        <v>17</v>
      </c>
      <c r="I23" s="30" t="s">
        <v>18</v>
      </c>
    </row>
    <row r="24" spans="1:12" x14ac:dyDescent="0.25">
      <c r="A24" s="31"/>
      <c r="B24" s="29" t="s">
        <v>74</v>
      </c>
      <c r="C24" s="38">
        <f>E19</f>
        <v>26000</v>
      </c>
      <c r="D24" s="29"/>
      <c r="E24" s="29"/>
      <c r="F24" s="29" t="s">
        <v>74</v>
      </c>
      <c r="G24" s="38">
        <f>G19</f>
        <v>19800</v>
      </c>
      <c r="H24" s="29"/>
      <c r="I24" s="29"/>
      <c r="L24" s="15"/>
    </row>
    <row r="25" spans="1:12" x14ac:dyDescent="0.25">
      <c r="A25" s="31"/>
      <c r="B25" s="29" t="s">
        <v>5</v>
      </c>
      <c r="C25" s="38">
        <f>FEBRUARY!E35</f>
        <v>-261</v>
      </c>
      <c r="D25" s="29"/>
      <c r="E25" s="29"/>
      <c r="F25" s="29" t="s">
        <v>5</v>
      </c>
      <c r="G25" s="38">
        <f>FEBRUARY!I35</f>
        <v>-4751</v>
      </c>
      <c r="H25" s="29"/>
      <c r="I25" s="29"/>
    </row>
    <row r="26" spans="1:12" x14ac:dyDescent="0.25">
      <c r="A26" s="31"/>
      <c r="B26" s="29" t="s">
        <v>70</v>
      </c>
      <c r="C26" s="38"/>
      <c r="D26" s="29"/>
      <c r="E26" s="29"/>
      <c r="F26" s="29" t="s">
        <v>70</v>
      </c>
      <c r="G26" s="38"/>
      <c r="H26" s="29"/>
      <c r="I26" s="29"/>
    </row>
    <row r="27" spans="1:12" x14ac:dyDescent="0.25">
      <c r="A27" s="31"/>
      <c r="B27" s="29" t="s">
        <v>20</v>
      </c>
      <c r="C27" s="39">
        <v>0.1</v>
      </c>
      <c r="D27" s="38">
        <f>C24*C27</f>
        <v>2600</v>
      </c>
      <c r="E27" s="29"/>
      <c r="F27" s="29" t="s">
        <v>20</v>
      </c>
      <c r="G27" s="39">
        <v>0.1</v>
      </c>
      <c r="H27" s="38">
        <f>D27</f>
        <v>2600</v>
      </c>
      <c r="I27" s="29"/>
      <c r="J27" s="15">
        <f>H19+I35</f>
        <v>34</v>
      </c>
    </row>
    <row r="28" spans="1:12" x14ac:dyDescent="0.25">
      <c r="A28" s="31"/>
      <c r="B28" s="30" t="s">
        <v>21</v>
      </c>
      <c r="C28" s="30" t="s">
        <v>22</v>
      </c>
      <c r="D28" s="30"/>
      <c r="E28" s="30"/>
      <c r="F28" s="30" t="s">
        <v>21</v>
      </c>
      <c r="G28" s="40"/>
      <c r="H28" s="30"/>
      <c r="I28" s="30"/>
    </row>
    <row r="29" spans="1:12" x14ac:dyDescent="0.25">
      <c r="A29" s="31"/>
      <c r="B29" s="41" t="s">
        <v>75</v>
      </c>
      <c r="C29" s="29"/>
      <c r="D29" s="29">
        <v>23105</v>
      </c>
      <c r="E29" s="29"/>
      <c r="F29" s="41" t="s">
        <v>75</v>
      </c>
      <c r="G29" s="29"/>
      <c r="H29" s="29">
        <v>23105</v>
      </c>
      <c r="I29" s="29"/>
    </row>
    <row r="30" spans="1:12" x14ac:dyDescent="0.25">
      <c r="A30" s="31"/>
      <c r="B30" s="42"/>
      <c r="C30" s="29"/>
      <c r="D30" s="31"/>
      <c r="E30" s="29"/>
      <c r="F30" s="42"/>
      <c r="G30" s="29"/>
      <c r="H30" s="31"/>
      <c r="I30" s="29"/>
    </row>
    <row r="31" spans="1:12" x14ac:dyDescent="0.25">
      <c r="A31" s="31"/>
      <c r="B31" s="42"/>
      <c r="C31" s="29"/>
      <c r="D31" s="29"/>
      <c r="E31" s="29"/>
      <c r="F31" s="42"/>
      <c r="G31" s="29"/>
      <c r="H31" s="29"/>
      <c r="I31" s="29"/>
    </row>
    <row r="32" spans="1:12" x14ac:dyDescent="0.25">
      <c r="A32" s="31"/>
      <c r="B32" s="42"/>
      <c r="C32" s="29"/>
      <c r="D32" s="29"/>
      <c r="E32" s="29"/>
      <c r="F32" s="42"/>
      <c r="G32" s="29"/>
      <c r="H32" s="29"/>
      <c r="I32" s="29"/>
    </row>
    <row r="33" spans="1:9" x14ac:dyDescent="0.25">
      <c r="A33" s="31"/>
      <c r="B33" s="43"/>
      <c r="C33" s="29"/>
      <c r="D33" s="29"/>
      <c r="E33" s="29"/>
      <c r="F33" s="42"/>
      <c r="G33" s="29"/>
      <c r="H33" s="44"/>
      <c r="I33" s="29"/>
    </row>
    <row r="34" spans="1:9" x14ac:dyDescent="0.25">
      <c r="A34" s="31"/>
      <c r="B34" s="42"/>
      <c r="C34" s="29"/>
      <c r="D34" s="44"/>
      <c r="E34" s="29"/>
      <c r="F34" s="29"/>
      <c r="G34" s="29"/>
      <c r="H34" s="29"/>
      <c r="I34" s="29"/>
    </row>
    <row r="35" spans="1:9" x14ac:dyDescent="0.25">
      <c r="A35" s="31"/>
      <c r="B35" s="30" t="s">
        <v>11</v>
      </c>
      <c r="C35" s="40">
        <f>C24+C25+C26-D27</f>
        <v>23139</v>
      </c>
      <c r="D35" s="40">
        <f>SUM(D29:D34)</f>
        <v>23105</v>
      </c>
      <c r="E35" s="40">
        <f>C35-D35</f>
        <v>34</v>
      </c>
      <c r="F35" s="30" t="s">
        <v>11</v>
      </c>
      <c r="G35" s="40">
        <f>G24+G25+G26-H27</f>
        <v>12449</v>
      </c>
      <c r="H35" s="40">
        <f>SUM(H29:H34)</f>
        <v>23105</v>
      </c>
      <c r="I35" s="40">
        <f>G35-H35</f>
        <v>-10656</v>
      </c>
    </row>
    <row r="36" spans="1:9" x14ac:dyDescent="0.25">
      <c r="A36" s="31"/>
      <c r="B36" s="31"/>
      <c r="C36" s="31"/>
      <c r="D36" s="31"/>
      <c r="E36" s="31"/>
      <c r="F36" s="31"/>
      <c r="G36" s="31"/>
      <c r="H36" s="31"/>
      <c r="I36" s="31"/>
    </row>
    <row r="37" spans="1:9" x14ac:dyDescent="0.25">
      <c r="A37" s="31"/>
      <c r="B37" s="31" t="s">
        <v>23</v>
      </c>
      <c r="C37" s="31"/>
      <c r="D37" s="31" t="s">
        <v>24</v>
      </c>
      <c r="E37" s="31"/>
      <c r="F37" s="31"/>
      <c r="G37" s="31" t="s">
        <v>25</v>
      </c>
      <c r="H37" s="31"/>
      <c r="I37" s="31"/>
    </row>
    <row r="38" spans="1:9" x14ac:dyDescent="0.25">
      <c r="A38" s="31"/>
      <c r="B38" s="31"/>
      <c r="C38" s="31"/>
      <c r="D38" s="31"/>
      <c r="E38" s="31"/>
      <c r="F38" s="31"/>
      <c r="G38" s="31"/>
      <c r="H38" s="31"/>
      <c r="I38" s="31"/>
    </row>
    <row r="39" spans="1:9" x14ac:dyDescent="0.25">
      <c r="A39" s="31"/>
      <c r="B39" s="31" t="s">
        <v>26</v>
      </c>
      <c r="C39" s="31"/>
      <c r="D39" s="31" t="s">
        <v>27</v>
      </c>
      <c r="E39" s="31"/>
      <c r="F39" s="31"/>
      <c r="G39" s="31" t="s">
        <v>46</v>
      </c>
      <c r="H39" s="31"/>
      <c r="I39" s="31"/>
    </row>
    <row r="40" spans="1:9" x14ac:dyDescent="0.25">
      <c r="A40" s="31"/>
      <c r="B40" s="31"/>
      <c r="C40" s="31"/>
      <c r="D40" s="31"/>
      <c r="E40" s="31"/>
      <c r="F40" s="31"/>
      <c r="G40" s="31"/>
      <c r="H40" s="31"/>
      <c r="I40" s="3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K28" sqref="K28"/>
    </sheetView>
  </sheetViews>
  <sheetFormatPr defaultRowHeight="15" x14ac:dyDescent="0.25"/>
  <cols>
    <col min="1" max="1" width="5" customWidth="1"/>
    <col min="2" max="2" width="19.140625" customWidth="1"/>
    <col min="3" max="3" width="8.85546875" customWidth="1"/>
    <col min="4" max="4" width="9" customWidth="1"/>
    <col min="5" max="5" width="8.85546875" customWidth="1"/>
    <col min="6" max="6" width="10.5703125" customWidth="1"/>
    <col min="7" max="7" width="10.7109375" customWidth="1"/>
  </cols>
  <sheetData>
    <row r="1" spans="1:9" x14ac:dyDescent="0.25">
      <c r="A1" s="1"/>
      <c r="B1" s="1"/>
      <c r="C1" s="1" t="s">
        <v>28</v>
      </c>
      <c r="D1" s="1"/>
      <c r="E1" s="1"/>
      <c r="F1" s="1"/>
      <c r="G1" s="1"/>
      <c r="H1" s="1"/>
    </row>
    <row r="2" spans="1:9" x14ac:dyDescent="0.25">
      <c r="A2" s="1"/>
      <c r="B2" s="1"/>
      <c r="C2" s="1" t="s">
        <v>0</v>
      </c>
      <c r="D2" s="1"/>
      <c r="E2" s="1"/>
      <c r="F2" s="1"/>
      <c r="G2" s="1"/>
      <c r="H2" s="1"/>
    </row>
    <row r="3" spans="1:9" x14ac:dyDescent="0.25">
      <c r="A3" s="1"/>
      <c r="B3" s="1"/>
      <c r="C3" s="1" t="s">
        <v>76</v>
      </c>
      <c r="D3" s="1"/>
      <c r="E3" s="1"/>
      <c r="F3" s="1"/>
      <c r="G3" s="1"/>
      <c r="H3" s="1"/>
    </row>
    <row r="4" spans="1:9" x14ac:dyDescent="0.25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</row>
    <row r="5" spans="1:9" x14ac:dyDescent="0.25">
      <c r="A5" s="25">
        <v>1</v>
      </c>
      <c r="B5" s="3" t="s">
        <v>82</v>
      </c>
      <c r="C5" s="3"/>
      <c r="D5" s="3"/>
      <c r="E5" s="3">
        <v>2200</v>
      </c>
      <c r="F5" s="3">
        <f>D5+E5</f>
        <v>2200</v>
      </c>
      <c r="G5" s="3">
        <v>2200</v>
      </c>
      <c r="H5" s="3">
        <f>F5-G5</f>
        <v>0</v>
      </c>
    </row>
    <row r="6" spans="1:9" x14ac:dyDescent="0.25">
      <c r="A6" s="25">
        <v>2</v>
      </c>
      <c r="B6" s="3"/>
      <c r="C6" s="3"/>
      <c r="D6" s="3"/>
      <c r="E6" s="3"/>
      <c r="F6" s="3">
        <f t="shared" ref="F6:F17" si="0">D6+E6</f>
        <v>0</v>
      </c>
      <c r="G6" s="3"/>
      <c r="H6" s="3">
        <f t="shared" ref="H6:H17" si="1">F6-G6</f>
        <v>0</v>
      </c>
    </row>
    <row r="7" spans="1:9" x14ac:dyDescent="0.25">
      <c r="A7" s="25">
        <v>3</v>
      </c>
      <c r="B7" s="3" t="s">
        <v>31</v>
      </c>
      <c r="C7" s="3"/>
      <c r="D7" s="3">
        <v>50</v>
      </c>
      <c r="E7" s="3">
        <v>2200</v>
      </c>
      <c r="F7" s="3">
        <f t="shared" si="0"/>
        <v>2250</v>
      </c>
      <c r="G7" s="3">
        <v>2200</v>
      </c>
      <c r="H7" s="3">
        <f t="shared" si="1"/>
        <v>50</v>
      </c>
    </row>
    <row r="8" spans="1:9" x14ac:dyDescent="0.25">
      <c r="A8" s="25">
        <v>4</v>
      </c>
      <c r="B8" s="3" t="s">
        <v>71</v>
      </c>
      <c r="C8" s="3"/>
      <c r="D8" s="3">
        <v>2200</v>
      </c>
      <c r="E8" s="3">
        <v>2200</v>
      </c>
      <c r="F8" s="3">
        <f t="shared" si="0"/>
        <v>4400</v>
      </c>
      <c r="G8" s="3"/>
      <c r="H8" s="3">
        <f t="shared" si="1"/>
        <v>4400</v>
      </c>
    </row>
    <row r="9" spans="1:9" x14ac:dyDescent="0.25">
      <c r="A9" s="25">
        <v>5</v>
      </c>
      <c r="B9" s="3" t="s">
        <v>47</v>
      </c>
      <c r="C9" s="3"/>
      <c r="D9" s="3"/>
      <c r="E9" s="3">
        <v>2200</v>
      </c>
      <c r="F9" s="3">
        <f t="shared" si="0"/>
        <v>2200</v>
      </c>
      <c r="G9" s="3">
        <v>2200</v>
      </c>
      <c r="H9" s="3">
        <f t="shared" si="1"/>
        <v>0</v>
      </c>
    </row>
    <row r="10" spans="1:9" x14ac:dyDescent="0.25">
      <c r="A10" s="25">
        <v>6</v>
      </c>
      <c r="B10" s="3" t="s">
        <v>34</v>
      </c>
      <c r="C10" s="3"/>
      <c r="D10" s="3">
        <v>1200</v>
      </c>
      <c r="E10" s="3">
        <v>2200</v>
      </c>
      <c r="F10" s="3">
        <f t="shared" si="0"/>
        <v>3400</v>
      </c>
      <c r="G10" s="3">
        <v>2000</v>
      </c>
      <c r="H10" s="3">
        <f t="shared" si="1"/>
        <v>1400</v>
      </c>
    </row>
    <row r="11" spans="1:9" x14ac:dyDescent="0.25">
      <c r="A11" s="25" t="s">
        <v>10</v>
      </c>
      <c r="B11" s="3" t="s">
        <v>45</v>
      </c>
      <c r="C11" s="3"/>
      <c r="D11" s="3">
        <v>1040</v>
      </c>
      <c r="E11" s="3">
        <v>4400</v>
      </c>
      <c r="F11" s="3">
        <f>D11+E11</f>
        <v>5440</v>
      </c>
      <c r="G11" s="3">
        <v>5440</v>
      </c>
      <c r="H11" s="3">
        <f>F11-G11</f>
        <v>0</v>
      </c>
    </row>
    <row r="12" spans="1:9" x14ac:dyDescent="0.25">
      <c r="A12" s="25">
        <v>9</v>
      </c>
      <c r="B12" s="3" t="s">
        <v>41</v>
      </c>
      <c r="C12" s="3"/>
      <c r="D12" s="3"/>
      <c r="E12" s="3">
        <v>2200</v>
      </c>
      <c r="F12" s="3">
        <f t="shared" si="0"/>
        <v>2200</v>
      </c>
      <c r="G12" s="3">
        <v>2200</v>
      </c>
      <c r="H12" s="3">
        <f t="shared" si="1"/>
        <v>0</v>
      </c>
    </row>
    <row r="13" spans="1:9" x14ac:dyDescent="0.25">
      <c r="A13" s="25">
        <v>10</v>
      </c>
      <c r="B13" s="3"/>
      <c r="C13" s="3"/>
      <c r="D13" s="3"/>
      <c r="E13" s="3"/>
      <c r="F13" s="3"/>
      <c r="G13" s="3"/>
      <c r="H13" s="3"/>
    </row>
    <row r="14" spans="1:9" x14ac:dyDescent="0.25">
      <c r="A14" s="25">
        <v>11</v>
      </c>
      <c r="B14" s="45" t="s">
        <v>36</v>
      </c>
      <c r="C14" s="3"/>
      <c r="D14" s="3">
        <v>3500</v>
      </c>
      <c r="E14" s="3">
        <v>2200</v>
      </c>
      <c r="F14" s="3">
        <f t="shared" si="0"/>
        <v>5700</v>
      </c>
      <c r="G14" s="3">
        <v>5700</v>
      </c>
      <c r="H14" s="3">
        <f t="shared" si="1"/>
        <v>0</v>
      </c>
      <c r="I14" t="s">
        <v>48</v>
      </c>
    </row>
    <row r="15" spans="1:9" x14ac:dyDescent="0.25">
      <c r="A15" s="25">
        <v>12</v>
      </c>
      <c r="B15" s="3" t="s">
        <v>37</v>
      </c>
      <c r="C15" s="3"/>
      <c r="D15" s="3">
        <v>100</v>
      </c>
      <c r="E15" s="3">
        <v>2200</v>
      </c>
      <c r="F15" s="3">
        <f t="shared" si="0"/>
        <v>2300</v>
      </c>
      <c r="G15" s="3">
        <v>2200</v>
      </c>
      <c r="H15" s="3">
        <f t="shared" si="1"/>
        <v>100</v>
      </c>
    </row>
    <row r="16" spans="1:9" x14ac:dyDescent="0.25">
      <c r="A16" s="25">
        <v>13</v>
      </c>
      <c r="B16" s="3" t="s">
        <v>38</v>
      </c>
      <c r="C16" s="3"/>
      <c r="D16" s="3">
        <v>2600</v>
      </c>
      <c r="E16" s="3">
        <v>2200</v>
      </c>
      <c r="F16" s="3">
        <f t="shared" si="0"/>
        <v>4800</v>
      </c>
      <c r="G16" s="3">
        <v>2200</v>
      </c>
      <c r="H16" s="3">
        <f t="shared" si="1"/>
        <v>2600</v>
      </c>
    </row>
    <row r="17" spans="1:12" x14ac:dyDescent="0.25">
      <c r="A17" s="25">
        <v>14</v>
      </c>
      <c r="B17" s="13" t="s">
        <v>62</v>
      </c>
      <c r="C17" s="13"/>
      <c r="D17" s="13"/>
      <c r="E17" s="13">
        <v>2200</v>
      </c>
      <c r="F17" s="3">
        <f t="shared" si="0"/>
        <v>2200</v>
      </c>
      <c r="G17" s="13">
        <v>2200</v>
      </c>
      <c r="H17" s="13">
        <f t="shared" si="1"/>
        <v>0</v>
      </c>
    </row>
    <row r="18" spans="1:12" x14ac:dyDescent="0.25">
      <c r="A18" s="25" t="s">
        <v>39</v>
      </c>
      <c r="B18" s="3" t="s">
        <v>35</v>
      </c>
      <c r="C18" s="3"/>
      <c r="D18" s="3"/>
      <c r="E18" s="3">
        <v>4500</v>
      </c>
      <c r="F18" s="3">
        <f>D18+E18</f>
        <v>4500</v>
      </c>
      <c r="G18" s="3">
        <v>4000</v>
      </c>
      <c r="H18" s="3">
        <f>F18-G18</f>
        <v>500</v>
      </c>
    </row>
    <row r="19" spans="1:12" x14ac:dyDescent="0.25">
      <c r="A19" s="29"/>
      <c r="B19" s="30" t="s">
        <v>64</v>
      </c>
      <c r="C19" s="30">
        <f t="shared" ref="C19:H19" si="2">SUM(C5:C18)</f>
        <v>0</v>
      </c>
      <c r="D19" s="30">
        <f t="shared" si="2"/>
        <v>10690</v>
      </c>
      <c r="E19" s="30">
        <f>SUM(E5:E18)</f>
        <v>30900</v>
      </c>
      <c r="F19" s="30">
        <f>SUM(F5:F18)</f>
        <v>41590</v>
      </c>
      <c r="G19" s="30">
        <f t="shared" si="2"/>
        <v>32540</v>
      </c>
      <c r="H19" s="30">
        <f t="shared" si="2"/>
        <v>9050</v>
      </c>
      <c r="I19" s="31"/>
    </row>
    <row r="20" spans="1:12" x14ac:dyDescent="0.25">
      <c r="A20" s="32"/>
      <c r="B20" s="33"/>
      <c r="C20" s="33"/>
      <c r="D20" s="33"/>
      <c r="E20" s="33"/>
      <c r="F20" s="33"/>
      <c r="G20" s="33"/>
      <c r="H20" s="32"/>
      <c r="I20" s="31"/>
    </row>
    <row r="21" spans="1:12" x14ac:dyDescent="0.25">
      <c r="A21" s="31"/>
      <c r="B21" s="31" t="s">
        <v>12</v>
      </c>
      <c r="C21" s="34"/>
      <c r="D21" s="8"/>
      <c r="E21" s="33"/>
      <c r="F21" s="35"/>
      <c r="G21" s="10"/>
      <c r="H21" s="35"/>
      <c r="I21" s="31"/>
    </row>
    <row r="22" spans="1:12" x14ac:dyDescent="0.25">
      <c r="A22" s="31"/>
      <c r="B22" s="36" t="s">
        <v>13</v>
      </c>
      <c r="C22" s="36"/>
      <c r="D22" s="36"/>
      <c r="E22" s="37"/>
      <c r="F22" s="36" t="s">
        <v>14</v>
      </c>
      <c r="G22" s="31"/>
      <c r="H22" s="31"/>
      <c r="I22" s="31"/>
    </row>
    <row r="23" spans="1:12" x14ac:dyDescent="0.25">
      <c r="A23" s="31"/>
      <c r="B23" s="30" t="s">
        <v>15</v>
      </c>
      <c r="C23" s="30" t="s">
        <v>16</v>
      </c>
      <c r="D23" s="30" t="s">
        <v>17</v>
      </c>
      <c r="E23" s="30" t="s">
        <v>18</v>
      </c>
      <c r="F23" s="30" t="s">
        <v>15</v>
      </c>
      <c r="G23" s="30" t="s">
        <v>16</v>
      </c>
      <c r="H23" s="30" t="s">
        <v>17</v>
      </c>
      <c r="I23" s="30" t="s">
        <v>18</v>
      </c>
    </row>
    <row r="24" spans="1:12" x14ac:dyDescent="0.25">
      <c r="A24" s="31"/>
      <c r="B24" s="29" t="s">
        <v>77</v>
      </c>
      <c r="C24" s="38">
        <f>E19</f>
        <v>30900</v>
      </c>
      <c r="D24" s="29"/>
      <c r="E24" s="29"/>
      <c r="F24" s="29" t="s">
        <v>78</v>
      </c>
      <c r="G24" s="38">
        <f>G19</f>
        <v>32540</v>
      </c>
      <c r="H24" s="29"/>
      <c r="I24" s="29"/>
      <c r="L24" s="15"/>
    </row>
    <row r="25" spans="1:12" x14ac:dyDescent="0.25">
      <c r="A25" s="31"/>
      <c r="B25" s="29" t="s">
        <v>5</v>
      </c>
      <c r="C25" s="38">
        <f>MARCH!E35</f>
        <v>34</v>
      </c>
      <c r="D25" s="29"/>
      <c r="E25" s="29"/>
      <c r="F25" s="29" t="s">
        <v>5</v>
      </c>
      <c r="G25" s="38">
        <f>MARCH!I35</f>
        <v>-10656</v>
      </c>
      <c r="H25" s="29"/>
      <c r="I25" s="29"/>
    </row>
    <row r="26" spans="1:12" x14ac:dyDescent="0.25">
      <c r="A26" s="31"/>
      <c r="B26" s="29" t="s">
        <v>70</v>
      </c>
      <c r="C26" s="38">
        <v>450</v>
      </c>
      <c r="D26" s="29"/>
      <c r="E26" s="29"/>
      <c r="F26" s="29" t="s">
        <v>70</v>
      </c>
      <c r="G26" s="38">
        <v>450</v>
      </c>
      <c r="H26" s="29"/>
      <c r="I26" s="29"/>
    </row>
    <row r="27" spans="1:12" x14ac:dyDescent="0.25">
      <c r="A27" s="31"/>
      <c r="B27" s="29" t="s">
        <v>20</v>
      </c>
      <c r="C27" s="39">
        <v>0.1</v>
      </c>
      <c r="D27" s="38">
        <f>C24*C27</f>
        <v>3090</v>
      </c>
      <c r="E27" s="29"/>
      <c r="F27" s="29" t="s">
        <v>20</v>
      </c>
      <c r="G27" s="39">
        <v>0.1</v>
      </c>
      <c r="H27" s="38">
        <f>D27</f>
        <v>3090</v>
      </c>
      <c r="I27" s="29"/>
      <c r="K27" s="15">
        <f>I35+H19</f>
        <v>18</v>
      </c>
    </row>
    <row r="28" spans="1:12" x14ac:dyDescent="0.25">
      <c r="A28" s="31"/>
      <c r="B28" s="30" t="s">
        <v>21</v>
      </c>
      <c r="C28" s="30" t="s">
        <v>22</v>
      </c>
      <c r="D28" s="30"/>
      <c r="E28" s="30"/>
      <c r="F28" s="30" t="s">
        <v>21</v>
      </c>
      <c r="G28" s="40"/>
      <c r="H28" s="30"/>
      <c r="I28" s="30"/>
    </row>
    <row r="29" spans="1:12" x14ac:dyDescent="0.25">
      <c r="A29" s="31"/>
      <c r="B29" s="41" t="s">
        <v>79</v>
      </c>
      <c r="C29" s="29"/>
      <c r="D29" s="29">
        <v>3126</v>
      </c>
      <c r="E29" s="29"/>
      <c r="F29" s="41" t="s">
        <v>79</v>
      </c>
      <c r="G29" s="29"/>
      <c r="H29" s="29">
        <v>3126</v>
      </c>
      <c r="I29" s="29"/>
    </row>
    <row r="30" spans="1:12" x14ac:dyDescent="0.25">
      <c r="A30" s="31"/>
      <c r="B30" s="42" t="s">
        <v>80</v>
      </c>
      <c r="C30" s="29"/>
      <c r="D30" s="31">
        <v>5700</v>
      </c>
      <c r="E30" s="29"/>
      <c r="F30" s="42" t="s">
        <v>80</v>
      </c>
      <c r="G30" s="29"/>
      <c r="H30" s="31">
        <v>5700</v>
      </c>
      <c r="I30" s="29"/>
    </row>
    <row r="31" spans="1:12" x14ac:dyDescent="0.25">
      <c r="A31" s="31"/>
      <c r="B31" s="42" t="s">
        <v>81</v>
      </c>
      <c r="C31" s="29"/>
      <c r="D31" s="29">
        <v>19450</v>
      </c>
      <c r="E31" s="29"/>
      <c r="F31" s="42" t="s">
        <v>81</v>
      </c>
      <c r="G31" s="29"/>
      <c r="H31" s="29">
        <v>19450</v>
      </c>
      <c r="I31" s="29"/>
    </row>
    <row r="32" spans="1:12" x14ac:dyDescent="0.25">
      <c r="A32" s="31"/>
      <c r="B32" s="42"/>
      <c r="C32" s="29"/>
      <c r="D32" s="29"/>
      <c r="E32" s="29"/>
      <c r="F32" s="42"/>
      <c r="G32" s="29"/>
      <c r="H32" s="29"/>
      <c r="I32" s="29"/>
    </row>
    <row r="33" spans="1:9" x14ac:dyDescent="0.25">
      <c r="A33" s="31"/>
      <c r="B33" s="43"/>
      <c r="C33" s="29"/>
      <c r="D33" s="29"/>
      <c r="E33" s="29"/>
      <c r="F33" s="42"/>
      <c r="G33" s="29"/>
      <c r="H33" s="44"/>
      <c r="I33" s="29"/>
    </row>
    <row r="34" spans="1:9" x14ac:dyDescent="0.25">
      <c r="A34" s="31"/>
      <c r="B34" s="42"/>
      <c r="C34" s="29"/>
      <c r="D34" s="44"/>
      <c r="E34" s="29"/>
      <c r="F34" s="29"/>
      <c r="G34" s="29"/>
      <c r="H34" s="29"/>
      <c r="I34" s="29"/>
    </row>
    <row r="35" spans="1:9" x14ac:dyDescent="0.25">
      <c r="A35" s="31"/>
      <c r="B35" s="30" t="s">
        <v>11</v>
      </c>
      <c r="C35" s="40">
        <f>C24+C25+C26-D27</f>
        <v>28294</v>
      </c>
      <c r="D35" s="40">
        <f>SUM(D29:D34)</f>
        <v>28276</v>
      </c>
      <c r="E35" s="40">
        <f>C35-D35</f>
        <v>18</v>
      </c>
      <c r="F35" s="30" t="s">
        <v>11</v>
      </c>
      <c r="G35" s="40">
        <f>G24+G25+G26-H27</f>
        <v>19244</v>
      </c>
      <c r="H35" s="40">
        <f>SUM(H29:H34)</f>
        <v>28276</v>
      </c>
      <c r="I35" s="40">
        <f>G35-H35</f>
        <v>-9032</v>
      </c>
    </row>
    <row r="36" spans="1:9" x14ac:dyDescent="0.25">
      <c r="A36" s="31"/>
      <c r="B36" s="31"/>
      <c r="C36" s="31"/>
      <c r="D36" s="31"/>
      <c r="E36" s="31"/>
      <c r="F36" s="31"/>
      <c r="G36" s="31"/>
      <c r="H36" s="31"/>
      <c r="I36" s="31"/>
    </row>
    <row r="37" spans="1:9" x14ac:dyDescent="0.25">
      <c r="A37" s="31"/>
      <c r="B37" s="31" t="s">
        <v>23</v>
      </c>
      <c r="C37" s="31"/>
      <c r="D37" s="31" t="s">
        <v>24</v>
      </c>
      <c r="E37" s="31"/>
      <c r="F37" s="31"/>
      <c r="G37" s="31" t="s">
        <v>25</v>
      </c>
      <c r="H37" s="31"/>
      <c r="I37" s="31"/>
    </row>
    <row r="38" spans="1:9" x14ac:dyDescent="0.25">
      <c r="A38" s="31"/>
      <c r="B38" s="31"/>
      <c r="C38" s="31"/>
      <c r="D38" s="31"/>
      <c r="E38" s="31"/>
      <c r="F38" s="31"/>
      <c r="G38" s="31"/>
      <c r="H38" s="31"/>
      <c r="I38" s="31"/>
    </row>
    <row r="39" spans="1:9" x14ac:dyDescent="0.25">
      <c r="A39" s="31"/>
      <c r="B39" s="31" t="s">
        <v>26</v>
      </c>
      <c r="C39" s="31"/>
      <c r="D39" s="31" t="s">
        <v>27</v>
      </c>
      <c r="E39" s="31"/>
      <c r="F39" s="31"/>
      <c r="G39" s="31" t="s">
        <v>46</v>
      </c>
      <c r="H39" s="31"/>
      <c r="I39" s="31"/>
    </row>
    <row r="40" spans="1:9" x14ac:dyDescent="0.25">
      <c r="A40" s="31"/>
      <c r="B40" s="31"/>
      <c r="C40" s="31"/>
      <c r="D40" s="31"/>
      <c r="E40" s="31"/>
      <c r="F40" s="31"/>
      <c r="G40" s="31"/>
      <c r="H40" s="31"/>
      <c r="I40" s="3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A4" workbookViewId="0">
      <selection activeCell="H10" sqref="H10"/>
    </sheetView>
  </sheetViews>
  <sheetFormatPr defaultRowHeight="15" x14ac:dyDescent="0.25"/>
  <cols>
    <col min="1" max="1" width="5" customWidth="1"/>
    <col min="2" max="2" width="19.140625" customWidth="1"/>
    <col min="3" max="3" width="8.85546875" customWidth="1"/>
    <col min="4" max="4" width="9" customWidth="1"/>
    <col min="5" max="5" width="8.85546875" customWidth="1"/>
    <col min="6" max="6" width="10.5703125" customWidth="1"/>
    <col min="7" max="7" width="10.7109375" customWidth="1"/>
  </cols>
  <sheetData>
    <row r="1" spans="1:9" x14ac:dyDescent="0.25">
      <c r="A1" s="1"/>
      <c r="B1" s="1"/>
      <c r="C1" s="1" t="s">
        <v>28</v>
      </c>
      <c r="D1" s="1"/>
      <c r="E1" s="1"/>
      <c r="F1" s="1"/>
      <c r="G1" s="1"/>
      <c r="H1" s="1"/>
    </row>
    <row r="2" spans="1:9" x14ac:dyDescent="0.25">
      <c r="A2" s="1"/>
      <c r="B2" s="1"/>
      <c r="C2" s="1" t="s">
        <v>0</v>
      </c>
      <c r="D2" s="1"/>
      <c r="E2" s="1"/>
      <c r="F2" s="1"/>
      <c r="G2" s="1"/>
      <c r="H2" s="1"/>
    </row>
    <row r="3" spans="1:9" x14ac:dyDescent="0.25">
      <c r="A3" s="1"/>
      <c r="B3" s="1"/>
      <c r="C3" s="1" t="s">
        <v>83</v>
      </c>
      <c r="D3" s="1"/>
      <c r="E3" s="1"/>
      <c r="F3" s="1"/>
      <c r="G3" s="1"/>
      <c r="H3" s="1"/>
    </row>
    <row r="4" spans="1:9" x14ac:dyDescent="0.25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</row>
    <row r="5" spans="1:9" x14ac:dyDescent="0.25">
      <c r="A5" s="25">
        <v>1</v>
      </c>
      <c r="B5" s="3" t="s">
        <v>82</v>
      </c>
      <c r="C5" s="3"/>
      <c r="D5" s="3"/>
      <c r="E5" s="3">
        <v>2200</v>
      </c>
      <c r="F5" s="3">
        <f>D5+E5</f>
        <v>2200</v>
      </c>
      <c r="G5" s="3">
        <v>2200</v>
      </c>
      <c r="H5" s="3">
        <f>F5-G5</f>
        <v>0</v>
      </c>
    </row>
    <row r="6" spans="1:9" x14ac:dyDescent="0.25">
      <c r="A6" s="25">
        <v>2</v>
      </c>
      <c r="B6" s="3"/>
      <c r="C6" s="3"/>
      <c r="D6" s="3"/>
      <c r="E6" s="3"/>
      <c r="F6" s="3">
        <f t="shared" ref="F6:F17" si="0">D6+E6</f>
        <v>0</v>
      </c>
      <c r="G6" s="3"/>
      <c r="H6" s="3">
        <f t="shared" ref="H6:H17" si="1">F6-G6</f>
        <v>0</v>
      </c>
    </row>
    <row r="7" spans="1:9" x14ac:dyDescent="0.25">
      <c r="A7" s="25">
        <v>3</v>
      </c>
      <c r="B7" s="3" t="s">
        <v>31</v>
      </c>
      <c r="C7" s="3"/>
      <c r="D7" s="3">
        <v>50</v>
      </c>
      <c r="E7" s="3">
        <v>2200</v>
      </c>
      <c r="F7" s="3">
        <f t="shared" si="0"/>
        <v>2250</v>
      </c>
      <c r="G7" s="3">
        <v>2200</v>
      </c>
      <c r="H7" s="3">
        <f t="shared" si="1"/>
        <v>50</v>
      </c>
    </row>
    <row r="8" spans="1:9" x14ac:dyDescent="0.25">
      <c r="A8" s="25">
        <v>4</v>
      </c>
      <c r="B8" s="3" t="s">
        <v>71</v>
      </c>
      <c r="C8" s="3"/>
      <c r="D8" s="3">
        <v>4400</v>
      </c>
      <c r="E8" s="3"/>
      <c r="F8" s="3">
        <f t="shared" si="0"/>
        <v>4400</v>
      </c>
      <c r="G8" s="3">
        <v>4400</v>
      </c>
      <c r="H8" s="3">
        <f t="shared" si="1"/>
        <v>0</v>
      </c>
      <c r="I8" t="s">
        <v>88</v>
      </c>
    </row>
    <row r="9" spans="1:9" x14ac:dyDescent="0.25">
      <c r="A9" s="25">
        <v>5</v>
      </c>
      <c r="B9" s="3" t="s">
        <v>47</v>
      </c>
      <c r="C9" s="3"/>
      <c r="D9" s="3"/>
      <c r="E9" s="3">
        <v>2200</v>
      </c>
      <c r="F9" s="3">
        <f t="shared" si="0"/>
        <v>2200</v>
      </c>
      <c r="G9" s="3">
        <v>2200</v>
      </c>
      <c r="H9" s="3">
        <f t="shared" si="1"/>
        <v>0</v>
      </c>
    </row>
    <row r="10" spans="1:9" x14ac:dyDescent="0.25">
      <c r="A10" s="25">
        <v>6</v>
      </c>
      <c r="B10" s="3" t="s">
        <v>34</v>
      </c>
      <c r="C10" s="3"/>
      <c r="D10" s="3">
        <v>1400</v>
      </c>
      <c r="E10" s="3">
        <v>2200</v>
      </c>
      <c r="F10" s="3">
        <f t="shared" si="0"/>
        <v>3600</v>
      </c>
      <c r="G10" s="3">
        <v>2200</v>
      </c>
      <c r="H10" s="3">
        <f t="shared" si="1"/>
        <v>1400</v>
      </c>
    </row>
    <row r="11" spans="1:9" x14ac:dyDescent="0.25">
      <c r="A11" s="25" t="s">
        <v>10</v>
      </c>
      <c r="B11" s="3" t="s">
        <v>45</v>
      </c>
      <c r="C11" s="3"/>
      <c r="D11" s="3"/>
      <c r="E11" s="3">
        <v>4400</v>
      </c>
      <c r="F11" s="3">
        <f>D11+E11</f>
        <v>4400</v>
      </c>
      <c r="G11" s="3">
        <v>4400</v>
      </c>
      <c r="H11" s="3">
        <f>F11-G11</f>
        <v>0</v>
      </c>
    </row>
    <row r="12" spans="1:9" x14ac:dyDescent="0.25">
      <c r="A12" s="25">
        <v>9</v>
      </c>
      <c r="B12" s="3" t="s">
        <v>41</v>
      </c>
      <c r="C12" s="3"/>
      <c r="D12" s="3"/>
      <c r="E12" s="3">
        <v>2200</v>
      </c>
      <c r="F12" s="3">
        <f t="shared" si="0"/>
        <v>2200</v>
      </c>
      <c r="G12" s="3">
        <v>2200</v>
      </c>
      <c r="H12" s="3">
        <f t="shared" si="1"/>
        <v>0</v>
      </c>
    </row>
    <row r="13" spans="1:9" x14ac:dyDescent="0.25">
      <c r="A13" s="25">
        <v>10</v>
      </c>
      <c r="B13" s="3"/>
      <c r="C13" s="3"/>
      <c r="D13" s="3"/>
      <c r="E13" s="3"/>
      <c r="F13" s="3"/>
      <c r="G13" s="3"/>
      <c r="H13" s="3"/>
    </row>
    <row r="14" spans="1:9" x14ac:dyDescent="0.25">
      <c r="A14" s="25">
        <v>11</v>
      </c>
      <c r="B14" s="45"/>
      <c r="C14" s="3"/>
      <c r="D14" s="3"/>
      <c r="E14" s="3"/>
      <c r="F14" s="3">
        <f t="shared" si="0"/>
        <v>0</v>
      </c>
      <c r="G14" s="3"/>
      <c r="H14" s="3">
        <f t="shared" si="1"/>
        <v>0</v>
      </c>
    </row>
    <row r="15" spans="1:9" x14ac:dyDescent="0.25">
      <c r="A15" s="25">
        <v>12</v>
      </c>
      <c r="B15" s="3" t="s">
        <v>37</v>
      </c>
      <c r="C15" s="3"/>
      <c r="D15" s="3">
        <v>100</v>
      </c>
      <c r="E15" s="3">
        <v>2200</v>
      </c>
      <c r="F15" s="3">
        <f t="shared" si="0"/>
        <v>2300</v>
      </c>
      <c r="G15" s="3">
        <v>2000</v>
      </c>
      <c r="H15" s="3">
        <f t="shared" si="1"/>
        <v>300</v>
      </c>
    </row>
    <row r="16" spans="1:9" x14ac:dyDescent="0.25">
      <c r="A16" s="25">
        <v>13</v>
      </c>
      <c r="B16" s="3" t="s">
        <v>38</v>
      </c>
      <c r="C16" s="3"/>
      <c r="D16" s="3">
        <v>2600</v>
      </c>
      <c r="E16" s="3"/>
      <c r="F16" s="3">
        <f t="shared" si="0"/>
        <v>2600</v>
      </c>
      <c r="G16" s="3">
        <v>2600</v>
      </c>
      <c r="H16" s="3">
        <f t="shared" si="1"/>
        <v>0</v>
      </c>
    </row>
    <row r="17" spans="1:12" x14ac:dyDescent="0.25">
      <c r="A17" s="25">
        <v>14</v>
      </c>
      <c r="B17" s="13" t="s">
        <v>62</v>
      </c>
      <c r="C17" s="13"/>
      <c r="D17" s="13"/>
      <c r="E17" s="13">
        <v>2200</v>
      </c>
      <c r="F17" s="3">
        <f t="shared" si="0"/>
        <v>2200</v>
      </c>
      <c r="G17" s="13">
        <v>1000</v>
      </c>
      <c r="H17" s="13">
        <f t="shared" si="1"/>
        <v>1200</v>
      </c>
    </row>
    <row r="18" spans="1:12" x14ac:dyDescent="0.25">
      <c r="A18" s="25" t="s">
        <v>39</v>
      </c>
      <c r="B18" s="3" t="s">
        <v>35</v>
      </c>
      <c r="C18" s="3"/>
      <c r="D18" s="3">
        <v>500</v>
      </c>
      <c r="E18" s="3">
        <v>4500</v>
      </c>
      <c r="F18" s="3">
        <f>D18+E18</f>
        <v>5000</v>
      </c>
      <c r="G18" s="3">
        <v>5000</v>
      </c>
      <c r="H18" s="3">
        <f>F18-G18</f>
        <v>0</v>
      </c>
    </row>
    <row r="19" spans="1:12" x14ac:dyDescent="0.25">
      <c r="A19" s="29"/>
      <c r="B19" s="30" t="s">
        <v>64</v>
      </c>
      <c r="C19" s="30">
        <f t="shared" ref="C19:H19" si="2">SUM(C5:C18)</f>
        <v>0</v>
      </c>
      <c r="D19" s="30">
        <f t="shared" si="2"/>
        <v>9050</v>
      </c>
      <c r="E19" s="30">
        <f t="shared" si="2"/>
        <v>24300</v>
      </c>
      <c r="F19" s="30">
        <f t="shared" si="2"/>
        <v>33350</v>
      </c>
      <c r="G19" s="30">
        <f t="shared" si="2"/>
        <v>30400</v>
      </c>
      <c r="H19" s="30">
        <f t="shared" si="2"/>
        <v>2950</v>
      </c>
      <c r="I19" s="31"/>
    </row>
    <row r="20" spans="1:12" x14ac:dyDescent="0.25">
      <c r="A20" s="32"/>
      <c r="B20" s="33"/>
      <c r="C20" s="33"/>
      <c r="D20" s="33"/>
      <c r="E20" s="33"/>
      <c r="F20" s="33"/>
      <c r="G20" s="33"/>
      <c r="H20" s="32"/>
      <c r="I20" s="31"/>
    </row>
    <row r="21" spans="1:12" x14ac:dyDescent="0.25">
      <c r="A21" s="31"/>
      <c r="B21" s="31" t="s">
        <v>12</v>
      </c>
      <c r="C21" s="34"/>
      <c r="D21" s="8"/>
      <c r="E21" s="33"/>
      <c r="F21" s="35"/>
      <c r="G21" s="10"/>
      <c r="H21" s="35"/>
      <c r="I21" s="31"/>
    </row>
    <row r="22" spans="1:12" x14ac:dyDescent="0.25">
      <c r="A22" s="31"/>
      <c r="B22" s="36" t="s">
        <v>13</v>
      </c>
      <c r="C22" s="36"/>
      <c r="D22" s="36"/>
      <c r="E22" s="37"/>
      <c r="F22" s="36" t="s">
        <v>14</v>
      </c>
      <c r="G22" s="31"/>
      <c r="H22" s="31"/>
      <c r="I22" s="31"/>
    </row>
    <row r="23" spans="1:12" x14ac:dyDescent="0.25">
      <c r="A23" s="31"/>
      <c r="B23" s="30" t="s">
        <v>15</v>
      </c>
      <c r="C23" s="30" t="s">
        <v>16</v>
      </c>
      <c r="D23" s="30" t="s">
        <v>17</v>
      </c>
      <c r="E23" s="30" t="s">
        <v>18</v>
      </c>
      <c r="F23" s="30" t="s">
        <v>15</v>
      </c>
      <c r="G23" s="30" t="s">
        <v>16</v>
      </c>
      <c r="H23" s="30" t="s">
        <v>17</v>
      </c>
      <c r="I23" s="30" t="s">
        <v>18</v>
      </c>
    </row>
    <row r="24" spans="1:12" x14ac:dyDescent="0.25">
      <c r="A24" s="31"/>
      <c r="B24" s="29" t="s">
        <v>84</v>
      </c>
      <c r="C24" s="38">
        <f>E19</f>
        <v>24300</v>
      </c>
      <c r="D24" s="29"/>
      <c r="E24" s="29"/>
      <c r="F24" s="29" t="s">
        <v>84</v>
      </c>
      <c r="G24" s="38">
        <f>G19</f>
        <v>30400</v>
      </c>
      <c r="H24" s="29"/>
      <c r="I24" s="29"/>
      <c r="L24" s="15"/>
    </row>
    <row r="25" spans="1:12" x14ac:dyDescent="0.25">
      <c r="A25" s="31"/>
      <c r="B25" s="29" t="s">
        <v>5</v>
      </c>
      <c r="C25" s="38">
        <f>'APRIL '!E35</f>
        <v>18</v>
      </c>
      <c r="D25" s="29"/>
      <c r="E25" s="29"/>
      <c r="F25" s="29" t="s">
        <v>5</v>
      </c>
      <c r="G25" s="38">
        <f>'APRIL '!I35</f>
        <v>-9032</v>
      </c>
      <c r="H25" s="29"/>
      <c r="I25" s="29"/>
    </row>
    <row r="26" spans="1:12" x14ac:dyDescent="0.25">
      <c r="A26" s="31"/>
      <c r="B26" s="29" t="s">
        <v>70</v>
      </c>
      <c r="C26" s="38"/>
      <c r="D26" s="29"/>
      <c r="E26" s="29"/>
      <c r="F26" s="29" t="s">
        <v>70</v>
      </c>
      <c r="G26" s="38"/>
      <c r="H26" s="29"/>
      <c r="I26" s="29"/>
    </row>
    <row r="27" spans="1:12" x14ac:dyDescent="0.25">
      <c r="A27" s="31"/>
      <c r="B27" s="29" t="s">
        <v>20</v>
      </c>
      <c r="C27" s="39">
        <v>0.1</v>
      </c>
      <c r="D27" s="38">
        <f>C24*C27</f>
        <v>2430</v>
      </c>
      <c r="E27" s="29"/>
      <c r="F27" s="29" t="s">
        <v>20</v>
      </c>
      <c r="G27" s="39">
        <v>0.1</v>
      </c>
      <c r="H27" s="38">
        <f>D27</f>
        <v>2430</v>
      </c>
      <c r="I27" s="29"/>
    </row>
    <row r="28" spans="1:12" x14ac:dyDescent="0.25">
      <c r="A28" s="31"/>
      <c r="B28" s="30" t="s">
        <v>21</v>
      </c>
      <c r="C28" s="30" t="s">
        <v>22</v>
      </c>
      <c r="D28" s="30"/>
      <c r="E28" s="30"/>
      <c r="F28" s="30" t="s">
        <v>21</v>
      </c>
      <c r="G28" s="40"/>
      <c r="H28" s="30"/>
      <c r="I28" s="30"/>
      <c r="L28">
        <f>D16+E17</f>
        <v>4800</v>
      </c>
    </row>
    <row r="29" spans="1:12" x14ac:dyDescent="0.25">
      <c r="A29" s="31"/>
      <c r="B29" s="41" t="s">
        <v>85</v>
      </c>
      <c r="C29" s="29"/>
      <c r="D29" s="29">
        <v>2600</v>
      </c>
      <c r="E29" s="29"/>
      <c r="F29" s="41" t="s">
        <v>85</v>
      </c>
      <c r="G29" s="29"/>
      <c r="H29" s="29">
        <v>2600</v>
      </c>
      <c r="I29" s="29"/>
    </row>
    <row r="30" spans="1:12" x14ac:dyDescent="0.25">
      <c r="A30" s="31"/>
      <c r="B30" s="42" t="s">
        <v>86</v>
      </c>
      <c r="C30" s="29"/>
      <c r="D30" s="31">
        <v>2200</v>
      </c>
      <c r="E30" s="29"/>
      <c r="F30" s="42" t="s">
        <v>86</v>
      </c>
      <c r="G30" s="29"/>
      <c r="H30" s="31">
        <v>2200</v>
      </c>
      <c r="I30" s="29"/>
    </row>
    <row r="31" spans="1:12" x14ac:dyDescent="0.25">
      <c r="A31" s="31"/>
      <c r="B31" s="42" t="s">
        <v>87</v>
      </c>
      <c r="C31" s="29"/>
      <c r="D31" s="29">
        <v>17502</v>
      </c>
      <c r="E31" s="29"/>
      <c r="F31" s="42" t="s">
        <v>87</v>
      </c>
      <c r="G31" s="29"/>
      <c r="H31" s="29">
        <v>17502</v>
      </c>
      <c r="I31" s="29"/>
    </row>
    <row r="32" spans="1:12" x14ac:dyDescent="0.25">
      <c r="A32" s="31"/>
      <c r="B32" s="42" t="s">
        <v>89</v>
      </c>
      <c r="C32" s="29"/>
      <c r="D32" s="29">
        <v>100</v>
      </c>
      <c r="E32" s="29"/>
      <c r="F32" s="42" t="s">
        <v>89</v>
      </c>
      <c r="G32" s="29"/>
      <c r="H32" s="29">
        <v>100</v>
      </c>
      <c r="I32" s="29"/>
      <c r="K32" s="15">
        <f>I35+H19</f>
        <v>-514</v>
      </c>
    </row>
    <row r="33" spans="1:9" x14ac:dyDescent="0.25">
      <c r="A33" s="31"/>
      <c r="B33" s="43"/>
      <c r="C33" s="29"/>
      <c r="D33" s="29"/>
      <c r="E33" s="29"/>
      <c r="F33" s="42"/>
      <c r="G33" s="29"/>
      <c r="H33" s="44"/>
      <c r="I33" s="29"/>
    </row>
    <row r="34" spans="1:9" x14ac:dyDescent="0.25">
      <c r="A34" s="31"/>
      <c r="B34" s="42"/>
      <c r="C34" s="29"/>
      <c r="D34" s="44"/>
      <c r="E34" s="29"/>
      <c r="F34" s="29"/>
      <c r="G34" s="29"/>
      <c r="H34" s="29"/>
      <c r="I34" s="29"/>
    </row>
    <row r="35" spans="1:9" x14ac:dyDescent="0.25">
      <c r="A35" s="31"/>
      <c r="B35" s="30" t="s">
        <v>11</v>
      </c>
      <c r="C35" s="40">
        <f>C24+C25+C26-D27</f>
        <v>21888</v>
      </c>
      <c r="D35" s="40">
        <f>SUM(D29:D34)</f>
        <v>22402</v>
      </c>
      <c r="E35" s="40">
        <f>C35-D35</f>
        <v>-514</v>
      </c>
      <c r="F35" s="30" t="s">
        <v>11</v>
      </c>
      <c r="G35" s="40">
        <f>G24+G25+G26-H27</f>
        <v>18938</v>
      </c>
      <c r="H35" s="40">
        <f>SUM(H29:H34)</f>
        <v>22402</v>
      </c>
      <c r="I35" s="40">
        <f>G35-H35</f>
        <v>-3464</v>
      </c>
    </row>
    <row r="36" spans="1:9" x14ac:dyDescent="0.25">
      <c r="A36" s="31"/>
      <c r="B36" s="31"/>
      <c r="C36" s="31"/>
      <c r="D36" s="31"/>
      <c r="E36" s="31"/>
      <c r="F36" s="31"/>
      <c r="G36" s="31"/>
      <c r="H36" s="31"/>
      <c r="I36" s="31"/>
    </row>
    <row r="37" spans="1:9" x14ac:dyDescent="0.25">
      <c r="A37" s="31"/>
      <c r="B37" s="31" t="s">
        <v>23</v>
      </c>
      <c r="C37" s="31"/>
      <c r="D37" s="31" t="s">
        <v>24</v>
      </c>
      <c r="E37" s="31"/>
      <c r="F37" s="31"/>
      <c r="G37" s="31" t="s">
        <v>25</v>
      </c>
      <c r="H37" s="31"/>
      <c r="I37" s="31"/>
    </row>
    <row r="38" spans="1:9" x14ac:dyDescent="0.25">
      <c r="A38" s="31"/>
      <c r="B38" s="31"/>
      <c r="C38" s="31"/>
      <c r="D38" s="31"/>
      <c r="E38" s="31"/>
      <c r="F38" s="31"/>
      <c r="G38" s="31"/>
      <c r="H38" s="31"/>
      <c r="I38" s="31"/>
    </row>
    <row r="39" spans="1:9" x14ac:dyDescent="0.25">
      <c r="A39" s="31"/>
      <c r="B39" s="31" t="s">
        <v>26</v>
      </c>
      <c r="C39" s="31"/>
      <c r="D39" s="31" t="s">
        <v>27</v>
      </c>
      <c r="E39" s="31"/>
      <c r="F39" s="31"/>
      <c r="G39" s="31" t="s">
        <v>46</v>
      </c>
      <c r="H39" s="31"/>
      <c r="I39" s="31"/>
    </row>
    <row r="40" spans="1:9" x14ac:dyDescent="0.25">
      <c r="A40" s="31"/>
      <c r="B40" s="31"/>
      <c r="C40" s="31"/>
      <c r="D40" s="31"/>
      <c r="E40" s="31"/>
      <c r="F40" s="31"/>
      <c r="G40" s="31"/>
      <c r="H40" s="31"/>
      <c r="I40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SEPTEMBER</vt:lpstr>
      <vt:lpstr>OCT</vt:lpstr>
      <vt:lpstr>NOVEMBER</vt:lpstr>
      <vt:lpstr>DECEMBER</vt:lpstr>
      <vt:lpstr>JANUARY</vt:lpstr>
      <vt:lpstr>FEBRUARY</vt:lpstr>
      <vt:lpstr>MARCH</vt:lpstr>
      <vt:lpstr>APRIL </vt:lpstr>
      <vt:lpstr>MAY </vt:lpstr>
      <vt:lpstr>JUNE </vt:lpstr>
      <vt:lpstr>JULY </vt:lpstr>
      <vt:lpstr>AUGUST 19</vt:lpstr>
      <vt:lpstr>SEPTEMBER 19</vt:lpstr>
      <vt:lpstr>OCTOBER 19</vt:lpstr>
      <vt:lpstr>NOVEMBER 19</vt:lpstr>
      <vt:lpstr>DECEMBER 19</vt:lpstr>
      <vt:lpstr>JANUARY 20</vt:lpstr>
      <vt:lpstr>FEBRUARY 20</vt:lpstr>
      <vt:lpstr>MARCH 20</vt:lpstr>
      <vt:lpstr>APRIL 20</vt:lpstr>
      <vt:lpstr>MAY 20</vt:lpstr>
      <vt:lpstr>JUNE 20</vt:lpstr>
      <vt:lpstr>JULY 20</vt:lpstr>
      <vt:lpstr>AUGUST 20</vt:lpstr>
      <vt:lpstr>SEPTEMBER20</vt:lpstr>
      <vt:lpstr>OCTOBER 20</vt:lpstr>
      <vt:lpstr>NOVEMBER20</vt:lpstr>
      <vt:lpstr>DECEMBER 20</vt:lpstr>
      <vt:lpstr>JANUARY 21</vt:lpstr>
      <vt:lpstr>FEBRUARY 21</vt:lpstr>
      <vt:lpstr>MARCH 21</vt:lpstr>
      <vt:lpstr>APRIL21</vt:lpstr>
      <vt:lpstr>MAY21</vt:lpstr>
      <vt:lpstr>JUNE 21</vt:lpstr>
      <vt:lpstr>JULY 21</vt:lpstr>
      <vt:lpstr>AUGUST 21</vt:lpstr>
      <vt:lpstr>SEPT 21</vt:lpstr>
      <vt:lpstr>OCTOBER  21</vt:lpstr>
      <vt:lpstr>NOVEMBER 21</vt:lpstr>
      <vt:lpstr>DECEMBER 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2021-12-07T10:37:15Z</dcterms:modified>
</cp:coreProperties>
</file>